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80" activeTab="0"/>
  </bookViews>
  <sheets>
    <sheet name="VerAG, v17,5, 7y" sheetId="1" r:id="rId1"/>
    <sheet name="VerAG, v22,5, 8y" sheetId="2" r:id="rId2"/>
    <sheet name="VerAG, v27,5, 7,5y " sheetId="3" r:id="rId3"/>
    <sheet name="VerAG, v34,5, 8,2y" sheetId="4" r:id="rId4"/>
  </sheets>
  <definedNames/>
  <calcPr fullCalcOnLoad="1"/>
</workbook>
</file>

<file path=xl/sharedStrings.xml><?xml version="1.0" encoding="utf-8"?>
<sst xmlns="http://schemas.openxmlformats.org/spreadsheetml/2006/main" count="555" uniqueCount="236">
  <si>
    <t>a</t>
  </si>
  <si>
    <t>Total</t>
  </si>
  <si>
    <t>RAR (IC 95%)</t>
  </si>
  <si>
    <t>NNT (IC 95%)</t>
  </si>
  <si>
    <t>(</t>
  </si>
  <si>
    <t>)</t>
  </si>
  <si>
    <t>-</t>
  </si>
  <si>
    <t>%</t>
  </si>
  <si>
    <t>RR (IC 95%)</t>
  </si>
  <si>
    <t>RAR (IC95%)</t>
  </si>
  <si>
    <t>/</t>
  </si>
  <si>
    <t>% RA control</t>
  </si>
  <si>
    <t>Estimación puntual</t>
  </si>
  <si>
    <t>RR (IC 95%) obtenido en el metaanálisis</t>
  </si>
  <si>
    <t>Intervención</t>
  </si>
  <si>
    <t>Control</t>
  </si>
  <si>
    <t>Variable buscada</t>
  </si>
  <si>
    <t>Nº pacientes grupo intervención</t>
  </si>
  <si>
    <t>Nº pacientes grupo control</t>
  </si>
  <si>
    <t>Si evento</t>
  </si>
  <si>
    <t>No evento</t>
  </si>
  <si>
    <t>LI IC 95%</t>
  </si>
  <si>
    <t>LS IC 95%</t>
  </si>
  <si>
    <t>Años de seguimiento</t>
  </si>
  <si>
    <t>Nº personas-año</t>
  </si>
  <si>
    <t>Eventos / 100 personas-año</t>
  </si>
  <si>
    <t>Media de edad (años)</t>
  </si>
  <si>
    <t>Ambos grupos combinados</t>
  </si>
  <si>
    <t>Puntuación ordinal de importancia o aversión al riesgo</t>
  </si>
  <si>
    <t>Estudios individuales</t>
  </si>
  <si>
    <t>Diseño</t>
  </si>
  <si>
    <t>Heteroge-neidad</t>
  </si>
  <si>
    <t xml:space="preserve">Años de seguimiento (media o mediana) </t>
  </si>
  <si>
    <t>Edad media, años</t>
  </si>
  <si>
    <t>Peso de los estudios (modelo efectos aleatorios)</t>
  </si>
  <si>
    <t>Cálculo por incidencias acumuladas</t>
  </si>
  <si>
    <t>RR (IC (95%)</t>
  </si>
  <si>
    <t>Validez de la evidencia</t>
  </si>
  <si>
    <t>ECA</t>
  </si>
  <si>
    <t>Total estudios:</t>
  </si>
  <si>
    <t>METAANÁLISIS</t>
  </si>
  <si>
    <t xml:space="preserve">Aplicando al </t>
  </si>
  <si>
    <t xml:space="preserve">  de eventos/año en el control, para una edad media de </t>
  </si>
  <si>
    <t>años de edad</t>
  </si>
  <si>
    <t xml:space="preserve"> por año</t>
  </si>
  <si>
    <t xml:space="preserve">de eventos estimados en el control en </t>
  </si>
  <si>
    <t>años de seguimiento</t>
  </si>
  <si>
    <t xml:space="preserve">Intervalo de predicción al 95%: </t>
  </si>
  <si>
    <t>En años</t>
  </si>
  <si>
    <t>Ambos</t>
  </si>
  <si>
    <t>Pob MA /1000</t>
  </si>
  <si>
    <t xml:space="preserve">% RA control = </t>
  </si>
  <si>
    <t>Riesgo basal control en 1 año</t>
  </si>
  <si>
    <t>nº de años</t>
  </si>
  <si>
    <t>% RA Vit D + Caerv</t>
  </si>
  <si>
    <t>%Ev en nº de años</t>
  </si>
  <si>
    <t>% RA Interv</t>
  </si>
  <si>
    <t>Nº Eventos / total pacientes; Grupo Intervención</t>
  </si>
  <si>
    <t xml:space="preserve"> % Eventos/ año, Grupo Intervención</t>
  </si>
  <si>
    <t xml:space="preserve"> % Eventos, Grupo Intervención</t>
  </si>
  <si>
    <t>control</t>
  </si>
  <si>
    <t>Nº Eventos / total pacientes; Grupo control</t>
  </si>
  <si>
    <t xml:space="preserve"> % Eventos/ año, Grupo control</t>
  </si>
  <si>
    <t xml:space="preserve"> % Eventos, Grupo control</t>
  </si>
  <si>
    <t xml:space="preserve">ECAs que informan de: </t>
  </si>
  <si>
    <t>Si aplicamos el Modelo de efectos aleatorios</t>
  </si>
  <si>
    <t>Guerra 2016, 17,5, 6y</t>
  </si>
  <si>
    <t>Cocchio2017, 17,5, 7y</t>
  </si>
  <si>
    <t>Herweijer 2018, 17,5, 6y</t>
  </si>
  <si>
    <t>Flagg 2018, 17,5, 8y</t>
  </si>
  <si>
    <t>Dominiak 2015, 17,5, 6y</t>
  </si>
  <si>
    <t>Oliphant 2017, 17,5, 5y</t>
  </si>
  <si>
    <t>Harrison 2014, 17,5, 8y</t>
  </si>
  <si>
    <t>Callander 2016, 17,5, 8y</t>
  </si>
  <si>
    <r>
      <t>I</t>
    </r>
    <r>
      <rPr>
        <b/>
        <i/>
        <vertAlign val="superscript"/>
        <sz val="14"/>
        <color indexed="10"/>
        <rFont val="Calibri"/>
        <family val="2"/>
      </rPr>
      <t xml:space="preserve">2 </t>
    </r>
    <r>
      <rPr>
        <b/>
        <sz val="14"/>
        <color indexed="10"/>
        <rFont val="Calibri"/>
        <family val="2"/>
      </rPr>
      <t>= 99%</t>
    </r>
  </si>
  <si>
    <t>0,01% (0% a 0,02%)</t>
  </si>
  <si>
    <t>en 7,3 años</t>
  </si>
  <si>
    <t>Guerra 2016, 22,5, 6y</t>
  </si>
  <si>
    <t>Herweijer 2018, 22,5, 6y</t>
  </si>
  <si>
    <t>Flagg 2018, 22,5, 8y</t>
  </si>
  <si>
    <t>Dominiak 2015, 22,5, 6y</t>
  </si>
  <si>
    <t>Oliphant 2017, 22,5, 5y</t>
  </si>
  <si>
    <t>Harrison 2014, 22,5, 8y</t>
  </si>
  <si>
    <t>Cocchio2017, 22,5, 7y</t>
  </si>
  <si>
    <t>Callander 2016, 22,5, 8y</t>
  </si>
  <si>
    <t>Guerra 2016, 27,5, 6y</t>
  </si>
  <si>
    <t>Cocchio2017, 27,5, 7y</t>
  </si>
  <si>
    <t>Herweijer 2018, 27,5, 6y</t>
  </si>
  <si>
    <t>Flagg 2018, 27,5, 8y</t>
  </si>
  <si>
    <t>Dominiak 2015, 27,5, 6y</t>
  </si>
  <si>
    <t>Oliphant 2017, 27,5, 5y</t>
  </si>
  <si>
    <t>Harrison 2014, 27,5, 8y</t>
  </si>
  <si>
    <t>Callander 2016, 27,5, 8y</t>
  </si>
  <si>
    <t>Cocchio 2017, 34,5, 7y</t>
  </si>
  <si>
    <t>Herweijer 2018, 34,5, 6y</t>
  </si>
  <si>
    <t>Flagg 2018, 34,5, 6y</t>
  </si>
  <si>
    <t>Dominiak 2015, 34,5, 6y</t>
  </si>
  <si>
    <t>Oliphant 2017, 34,5, 5y</t>
  </si>
  <si>
    <t>Callander 2016, 34,5, 8y</t>
  </si>
  <si>
    <t>Harrison 2014,34,5 8y</t>
  </si>
  <si>
    <t>-0,01% (-0,03% a 0%)</t>
  </si>
  <si>
    <t>0% (-0,02% a 0,02%)</t>
  </si>
  <si>
    <t>1,03 (0,97-1,1)</t>
  </si>
  <si>
    <t>-0,01% (-0,03% a 0,01%)</t>
  </si>
  <si>
    <t>-12651 (10225 a -3936)</t>
  </si>
  <si>
    <t>0,98 (0,7-1,35)</t>
  </si>
  <si>
    <t>0% (-0,01% a 0,01%)</t>
  </si>
  <si>
    <t>200118 (13796 a -15907)</t>
  </si>
  <si>
    <t>0,85 (0,81-0,89)</t>
  </si>
  <si>
    <t>0,16% (0,12% a 0,21%)</t>
  </si>
  <si>
    <t>615 (483 a 853)</t>
  </si>
  <si>
    <t>1,45 (1,39-1,52)</t>
  </si>
  <si>
    <t>-0,13% (-0,14% a -0,11%)</t>
  </si>
  <si>
    <t>-787 (-872 a -716)</t>
  </si>
  <si>
    <t>0,56 (0,42-0,76)</t>
  </si>
  <si>
    <t>0,05% (0,02% a 0,08%)</t>
  </si>
  <si>
    <t>1909 (1253 a 4634)</t>
  </si>
  <si>
    <t>0,46 (0,37-0,57)</t>
  </si>
  <si>
    <t>11,18% (8,39% a 14,07%)</t>
  </si>
  <si>
    <t>9 (7 a 12)</t>
  </si>
  <si>
    <t>0,5 (0,29-0,84)</t>
  </si>
  <si>
    <t>0,38% (0,08% a 0,67%)</t>
  </si>
  <si>
    <t>262 (150 a 1297)</t>
  </si>
  <si>
    <t>0,25 (0,23-0,28)</t>
  </si>
  <si>
    <t>10,99% (10,08% a 11,87%)</t>
  </si>
  <si>
    <t>9 (8 a 10)</t>
  </si>
  <si>
    <t>0,68 (0,47-0,98)</t>
  </si>
  <si>
    <t>0,94 (0,88-1,01)</t>
  </si>
  <si>
    <t>0,02% (0% a 0,03%)</t>
  </si>
  <si>
    <t>6431 (3018 a -52971)</t>
  </si>
  <si>
    <t>1,58 (1,19-2,08)</t>
  </si>
  <si>
    <t>-0,01% (-0,02% a 0%)</t>
  </si>
  <si>
    <t>-8785 (-24155 a -5464)</t>
  </si>
  <si>
    <t>0,95 (0,91-1)</t>
  </si>
  <si>
    <t>0,04% (0% a 0,08%)</t>
  </si>
  <si>
    <t>2463 (1227 a -88693)</t>
  </si>
  <si>
    <t>1,79 (1,72-1,86)</t>
  </si>
  <si>
    <t>-0,25% (-0,26% a -0,23%)</t>
  </si>
  <si>
    <t>-407 (-431 a -385)</t>
  </si>
  <si>
    <t>0,92 (0,74-1,15)</t>
  </si>
  <si>
    <t>0,01% (-0,02% a 0,04%)</t>
  </si>
  <si>
    <t>8828 (2412 a -5002)</t>
  </si>
  <si>
    <t>0,66 (0,53-0,82)</t>
  </si>
  <si>
    <t>6,12% (3,11% a 9,22%)</t>
  </si>
  <si>
    <t>16 (11 a 32)</t>
  </si>
  <si>
    <t>0,85 (0,48-1,49)</t>
  </si>
  <si>
    <t>0,07% (-0,19% a 0,31%)</t>
  </si>
  <si>
    <t>1422 (321 a -538)</t>
  </si>
  <si>
    <t>0,44 (0,4-0,49)</t>
  </si>
  <si>
    <t>8,5% (7,43% a 9,55%)</t>
  </si>
  <si>
    <t>12 (10 a 13)</t>
  </si>
  <si>
    <t>0,94 (0,66-1,33)</t>
  </si>
  <si>
    <t>0,13 (0,11-0,16)</t>
  </si>
  <si>
    <t>0,11% (0,09% a 0,13%)</t>
  </si>
  <si>
    <t>917 (784 a 1143)</t>
  </si>
  <si>
    <t>1,23 (1,16-1,29)</t>
  </si>
  <si>
    <t>-0,07% (-0,09% a -0,05%)</t>
  </si>
  <si>
    <t>-1444 (-1923 a -1152)</t>
  </si>
  <si>
    <t>1,79 (1,74-1,84)</t>
  </si>
  <si>
    <t>-0,17% (-0,18% a -0,16%)</t>
  </si>
  <si>
    <t>-589 (-614 a -566)</t>
  </si>
  <si>
    <t>1,16 (0,98-1,38)</t>
  </si>
  <si>
    <t>-6711 (60417 a -3163)</t>
  </si>
  <si>
    <t>0,77 (0,61-0,96)</t>
  </si>
  <si>
    <t>3,33% (0,74% a 6,09%)</t>
  </si>
  <si>
    <t>30 (16 a 135)</t>
  </si>
  <si>
    <t>0,7 (0,45-1,1)</t>
  </si>
  <si>
    <t>0,1% (-0,04% a 0,23%)</t>
  </si>
  <si>
    <t>990 (434 a -2791)</t>
  </si>
  <si>
    <t>0,66 (0,61-0,73)</t>
  </si>
  <si>
    <t>4,38% (3,42% a 5,34%)</t>
  </si>
  <si>
    <t>23 (19 a 29)</t>
  </si>
  <si>
    <t>0,75 (0,49-1,14)</t>
  </si>
  <si>
    <t>0,97 (0,9-1,05)</t>
  </si>
  <si>
    <t>0% (0% a 0,01%)</t>
  </si>
  <si>
    <t>36553 (9539 a -20463)</t>
  </si>
  <si>
    <t>0,66 (0,25-1,74)</t>
  </si>
  <si>
    <t>0% (0% a 0%)</t>
  </si>
  <si>
    <t>97265 (28011 a -58076)</t>
  </si>
  <si>
    <t>0,93 (0,84-1,02)</t>
  </si>
  <si>
    <t>6604 (2909 a -21102)</t>
  </si>
  <si>
    <t>1,3 (1,21-1,39)</t>
  </si>
  <si>
    <t>-0,02% (-0,02% a -0,01%)</t>
  </si>
  <si>
    <t>-5509 (-7360 a -4364)</t>
  </si>
  <si>
    <t>0,44 (0,2-0,99)</t>
  </si>
  <si>
    <t>8489 (4281 a -31707)</t>
  </si>
  <si>
    <t>0,19 (0,11-0,33)</t>
  </si>
  <si>
    <t>16,71% (12,97% a 20,8%)</t>
  </si>
  <si>
    <t>6 (5 a 8)</t>
  </si>
  <si>
    <t>0 (0-470950,21)</t>
  </si>
  <si>
    <t>0,17% (-0,01% a 0,29%)</t>
  </si>
  <si>
    <t>601 (343 a -9478)</t>
  </si>
  <si>
    <t>0,13 (0,09-0,18)</t>
  </si>
  <si>
    <t>4,85% (3,93% a 5,66%)</t>
  </si>
  <si>
    <t>21 (18 a 25)</t>
  </si>
  <si>
    <t>0,54 (0,38-0,77)</t>
  </si>
  <si>
    <r>
      <t>I</t>
    </r>
    <r>
      <rPr>
        <b/>
        <i/>
        <vertAlign val="superscript"/>
        <sz val="14"/>
        <color indexed="10"/>
        <rFont val="Calibri"/>
        <family val="2"/>
      </rPr>
      <t xml:space="preserve">2 </t>
    </r>
    <r>
      <rPr>
        <b/>
        <sz val="14"/>
        <color indexed="10"/>
        <rFont val="Calibri"/>
        <family val="2"/>
      </rPr>
      <t>= 9</t>
    </r>
    <r>
      <rPr>
        <b/>
        <sz val="14"/>
        <color indexed="10"/>
        <rFont val="Calibri"/>
        <family val="2"/>
      </rPr>
      <t>7</t>
    </r>
    <r>
      <rPr>
        <b/>
        <sz val="14"/>
        <color indexed="10"/>
        <rFont val="Calibri"/>
        <family val="2"/>
      </rPr>
      <t>%</t>
    </r>
  </si>
  <si>
    <r>
      <rPr>
        <b/>
        <sz val="14"/>
        <color indexed="60"/>
        <rFont val="Calibri"/>
        <family val="2"/>
      </rPr>
      <t>Tabla 20.a:</t>
    </r>
    <r>
      <rPr>
        <b/>
        <sz val="14"/>
        <rFont val="Calibri"/>
        <family val="2"/>
      </rPr>
      <t xml:space="preserve">  </t>
    </r>
  </si>
  <si>
    <r>
      <rPr>
        <b/>
        <sz val="14"/>
        <color indexed="60"/>
        <rFont val="Calibri"/>
        <family val="2"/>
      </rPr>
      <t>Tabla 21.a:</t>
    </r>
    <r>
      <rPr>
        <b/>
        <sz val="14"/>
        <rFont val="Calibri"/>
        <family val="2"/>
      </rPr>
      <t xml:space="preserve">  </t>
    </r>
  </si>
  <si>
    <r>
      <rPr>
        <b/>
        <sz val="14"/>
        <color indexed="60"/>
        <rFont val="Calibri"/>
        <family val="2"/>
      </rPr>
      <t>Tabla 22.a:</t>
    </r>
    <r>
      <rPr>
        <b/>
        <sz val="14"/>
        <rFont val="Calibri"/>
        <family val="2"/>
      </rPr>
      <t xml:space="preserve">  </t>
    </r>
  </si>
  <si>
    <r>
      <rPr>
        <b/>
        <sz val="14"/>
        <color indexed="60"/>
        <rFont val="Calibri"/>
        <family val="2"/>
      </rPr>
      <t>Tabla 23.a:</t>
    </r>
    <r>
      <rPr>
        <b/>
        <sz val="14"/>
        <rFont val="Calibri"/>
        <family val="2"/>
      </rPr>
      <t xml:space="preserve">  </t>
    </r>
  </si>
  <si>
    <t>CAMBIOS en diagnóstico de verrugas AG, VARONES 15 a 19 años, seguimiento 5 a 8 años</t>
  </si>
  <si>
    <t>CAMBIOS en diagnóstico de verrugas AG, VARONES 20 a 24 años, seguimiento 5 a 8 años</t>
  </si>
  <si>
    <t>CAMBIOS en diagnóstico de verrugas AG, VARONES 25 a 29 años, seguimiento 5 a 8 años</t>
  </si>
  <si>
    <t>CAMBIOS en diagnóstico de verrugas AG, VARONES 30 a 39 años, seguimiento 5 a 8 años</t>
  </si>
  <si>
    <t>0,01% (0% a 0,01%)</t>
  </si>
  <si>
    <t>16145 (11978 a 32290)</t>
  </si>
  <si>
    <t>0,05%</t>
  </si>
  <si>
    <t>0,05% (0,02% a 0,06%)</t>
  </si>
  <si>
    <t>2214 (1643 a 4428)</t>
  </si>
  <si>
    <t>0,54 (0,19-1,53)</t>
  </si>
  <si>
    <t>0,007%</t>
  </si>
  <si>
    <t>0,013%</t>
  </si>
  <si>
    <t>0,053%</t>
  </si>
  <si>
    <t>0,098%</t>
  </si>
  <si>
    <t>0,04%</t>
  </si>
  <si>
    <t>0,06%</t>
  </si>
  <si>
    <t>5593 (3377 a 89483)</t>
  </si>
  <si>
    <t>en 7,4 años</t>
  </si>
  <si>
    <t>0,28%</t>
  </si>
  <si>
    <t>0,41%</t>
  </si>
  <si>
    <t>0,13% (0,01% a 0,22%)</t>
  </si>
  <si>
    <t>757 (457 a 12115)</t>
  </si>
  <si>
    <t>0,68 (0,19-2,38)</t>
  </si>
  <si>
    <t>32965 (5817 a -5994)</t>
  </si>
  <si>
    <t>0,34%</t>
  </si>
  <si>
    <t>0,37%</t>
  </si>
  <si>
    <t>0,02% (-0,12% a 0,12%)</t>
  </si>
  <si>
    <t>4545 (802 a -826)</t>
  </si>
  <si>
    <t>0,94 (0,28-3,14)</t>
  </si>
  <si>
    <t>0,01% (-0,01% a 0,02%)</t>
  </si>
  <si>
    <t>9981 (4893 a -17823)</t>
  </si>
  <si>
    <t>0,06% (-0,03% a 0,13%)</t>
  </si>
  <si>
    <t>1612 (790 a -2878)</t>
  </si>
  <si>
    <t>en 6,2 años</t>
  </si>
  <si>
    <t>0,75 (0,18-3,13)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</si>
</sst>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0.0%"/>
    <numFmt numFmtId="168" formatCode="_-* #,##0.00000\ _€_-;\-* #,##0.00000\ _€_-;_-* &quot;-&quot;??\ _€_-;_-@_-"/>
    <numFmt numFmtId="169" formatCode="_-* #,##0.000000\ _€_-;\-* #,##0.000000\ _€_-;_-* &quot;-&quot;??\ _€_-;_-@_-"/>
    <numFmt numFmtId="170" formatCode="_-* #,##0.000\ _€_-;\-* #,##0.000\ _€_-;_-* &quot;-&quot;???\ _€_-;_-@_-"/>
    <numFmt numFmtId="171" formatCode="_-* #,##0.0\ _€_-;\-* #,##0.0\ _€_-;_-* &quot;-&quot;??\ _€_-;_-@_-"/>
    <numFmt numFmtId="172" formatCode="0.0"/>
    <numFmt numFmtId="173" formatCode="_-* #,##0.0\ _€_-;\-* #,##0.0\ _€_-;_-* &quot;-&quot;?\ _€_-;_-@_-"/>
    <numFmt numFmtId="174" formatCode="0.0000%"/>
    <numFmt numFmtId="175" formatCode="0.00000%"/>
    <numFmt numFmtId="176" formatCode="_-* #,##0\ _€_-;\-* #,##0\ _€_-;_-* &quot;-&quot;???\ _€_-;_-@_-"/>
    <numFmt numFmtId="177" formatCode="_-* #,##0.0000\ _€_-;\-* #,##0.0000\ _€_-;_-* &quot;-&quot;?\ _€_-;_-@_-"/>
    <numFmt numFmtId="178" formatCode="_-* #,##0.00\ _P_t_s_-;\-* #,##0.00\ _P_t_s_-;_-* &quot;-&quot;??\ _P_t_s_-;_-@_-"/>
    <numFmt numFmtId="179" formatCode="_-* #,##0.0000\ _P_t_s_-;\-* #,##0.0000\ _P_t_s_-;_-* &quot;-&quot;??\ _P_t_s_-;_-@_-"/>
    <numFmt numFmtId="180" formatCode="0.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"/>
    <numFmt numFmtId="186" formatCode="00000"/>
    <numFmt numFmtId="187" formatCode="0.0000000"/>
    <numFmt numFmtId="188" formatCode="0.000000"/>
    <numFmt numFmtId="189" formatCode="0.00000"/>
    <numFmt numFmtId="190" formatCode="0.0000"/>
    <numFmt numFmtId="191" formatCode="0.000000%"/>
    <numFmt numFmtId="192" formatCode="0.0000000%"/>
    <numFmt numFmtId="193" formatCode="0.00000000"/>
    <numFmt numFmtId="194" formatCode="_-* #,##0.0000\ _€_-;\-* #,##0.0000\ _€_-;_-* &quot;-&quot;????\ _€_-;_-@_-"/>
    <numFmt numFmtId="195" formatCode="_-* #,##0.00\ _€_-;\-* #,##0.00\ _€_-;_-* \-??\ _€_-;_-@_-"/>
    <numFmt numFmtId="196" formatCode="_-* #,##0\ _€_-;\-* #,##0\ _€_-;_-* &quot;-&quot;?\ _€_-;_-@_-"/>
    <numFmt numFmtId="197" formatCode="[$-C0A]dddd\,\ dd&quot; de &quot;mmmm&quot; de &quot;yyyy"/>
    <numFmt numFmtId="198" formatCode="#,##0.00_ ;\-#,##0.00\ "/>
    <numFmt numFmtId="199" formatCode="_-* #,##0.00000\ _€_-;\-* #,##0.00000\ _€_-;_-* &quot;-&quot;???\ _€_-;_-@_-"/>
    <numFmt numFmtId="200" formatCode="[$-C0A]dddd\,\ d&quot; de &quot;mmmm&quot; de &quot;yyyy"/>
    <numFmt numFmtId="201" formatCode="_-* #,##0.0000000\ _€_-;\-* #,##0.0000000\ _€_-;_-* &quot;-&quot;??\ _€_-;_-@_-"/>
    <numFmt numFmtId="202" formatCode="0.000000000"/>
    <numFmt numFmtId="203" formatCode="0.0000000000"/>
    <numFmt numFmtId="204" formatCode="0.00000000000"/>
    <numFmt numFmtId="205" formatCode="0.000000000000"/>
    <numFmt numFmtId="206" formatCode="_-* #,##0.00\ _€_-;\-* #,##0.00\ _€_-;_-* &quot;-&quot;???\ _€_-;_-@_-"/>
    <numFmt numFmtId="207" formatCode="_-* #,##0.00000000\ _€_-;\-* #,##0.00000000\ _€_-;_-* &quot;-&quot;??\ _€_-;_-@_-"/>
    <numFmt numFmtId="208" formatCode="_-* #,##0.000000000\ _€_-;\-* #,##0.000000000\ _€_-;_-* &quot;-&quot;??\ _€_-;_-@_-"/>
    <numFmt numFmtId="209" formatCode="_-* #,##0.0000000000\ _€_-;\-* #,##0.0000000000\ _€_-;_-* &quot;-&quot;??\ _€_-;_-@_-"/>
    <numFmt numFmtId="210" formatCode="_-* #,##0.00000000000\ _€_-;\-* #,##0.00000000000\ _€_-;_-* &quot;-&quot;??\ _€_-;_-@_-"/>
    <numFmt numFmtId="211" formatCode="_-* #,##0.00000000\ _€_-;\-* #,##0.00000000\ _€_-;_-* &quot;-&quot;????????\ _€_-;_-@_-"/>
    <numFmt numFmtId="212" formatCode="0.00000000000000000000000000000000000000000000000000000000000000000000000000000000000000000"/>
    <numFmt numFmtId="213" formatCode="#,##0.0"/>
    <numFmt numFmtId="214" formatCode="#,##0_ ;\-#,##0\ 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b/>
      <sz val="14"/>
      <color indexed="60"/>
      <name val="Calibri"/>
      <family val="2"/>
    </font>
    <font>
      <b/>
      <i/>
      <vertAlign val="superscript"/>
      <sz val="14"/>
      <color indexed="10"/>
      <name val="Calibri"/>
      <family val="2"/>
    </font>
    <font>
      <sz val="11"/>
      <color indexed="8"/>
      <name val="Courier"/>
      <family val="2"/>
    </font>
    <font>
      <sz val="11"/>
      <color indexed="9"/>
      <name val="Courier"/>
      <family val="2"/>
    </font>
    <font>
      <sz val="11"/>
      <color indexed="17"/>
      <name val="Courier"/>
      <family val="2"/>
    </font>
    <font>
      <b/>
      <sz val="11"/>
      <color indexed="52"/>
      <name val="Courier"/>
      <family val="2"/>
    </font>
    <font>
      <b/>
      <sz val="11"/>
      <color indexed="9"/>
      <name val="Courier"/>
      <family val="2"/>
    </font>
    <font>
      <sz val="11"/>
      <color indexed="52"/>
      <name val="Courier"/>
      <family val="2"/>
    </font>
    <font>
      <b/>
      <sz val="15"/>
      <color indexed="62"/>
      <name val="Courier"/>
      <family val="2"/>
    </font>
    <font>
      <b/>
      <sz val="11"/>
      <color indexed="62"/>
      <name val="Courier"/>
      <family val="2"/>
    </font>
    <font>
      <sz val="11"/>
      <color indexed="62"/>
      <name val="Courier"/>
      <family val="2"/>
    </font>
    <font>
      <sz val="11"/>
      <color indexed="14"/>
      <name val="Courier"/>
      <family val="2"/>
    </font>
    <font>
      <sz val="11"/>
      <color indexed="60"/>
      <name val="Courier"/>
      <family val="2"/>
    </font>
    <font>
      <b/>
      <sz val="11"/>
      <color indexed="63"/>
      <name val="Courier"/>
      <family val="2"/>
    </font>
    <font>
      <sz val="11"/>
      <color indexed="10"/>
      <name val="Courier"/>
      <family val="2"/>
    </font>
    <font>
      <i/>
      <sz val="11"/>
      <color indexed="23"/>
      <name val="Courier"/>
      <family val="2"/>
    </font>
    <font>
      <b/>
      <sz val="18"/>
      <color indexed="62"/>
      <name val="Cambria"/>
      <family val="2"/>
    </font>
    <font>
      <b/>
      <sz val="13"/>
      <color indexed="62"/>
      <name val="Courier"/>
      <family val="2"/>
    </font>
    <font>
      <b/>
      <sz val="11"/>
      <color indexed="8"/>
      <name val="Courier"/>
      <family val="2"/>
    </font>
    <font>
      <sz val="11"/>
      <name val="Calibri"/>
      <family val="2"/>
    </font>
    <font>
      <sz val="10"/>
      <color indexed="62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0"/>
      <color indexed="62"/>
      <name val="Calibri"/>
      <family val="2"/>
    </font>
    <font>
      <b/>
      <i/>
      <sz val="14"/>
      <color indexed="10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b/>
      <sz val="12"/>
      <name val="Calibri"/>
      <family val="0"/>
    </font>
    <font>
      <b/>
      <sz val="13"/>
      <name val="Calibri"/>
      <family val="2"/>
    </font>
    <font>
      <sz val="14"/>
      <name val="Calibri"/>
      <family val="2"/>
    </font>
    <font>
      <sz val="12"/>
      <name val="Calibri"/>
      <family val="0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b/>
      <i/>
      <sz val="11"/>
      <name val="Calibri"/>
      <family val="2"/>
    </font>
    <font>
      <sz val="12"/>
      <color indexed="17"/>
      <name val="Calibri"/>
      <family val="2"/>
    </font>
    <font>
      <b/>
      <sz val="14"/>
      <color indexed="53"/>
      <name val="Calibri"/>
      <family val="2"/>
    </font>
    <font>
      <b/>
      <sz val="14"/>
      <color indexed="39"/>
      <name val="Calibri"/>
      <family val="2"/>
    </font>
    <font>
      <b/>
      <sz val="14"/>
      <color indexed="8"/>
      <name val="Calibri"/>
      <family val="2"/>
    </font>
    <font>
      <sz val="11"/>
      <color theme="1"/>
      <name val="Courier"/>
      <family val="2"/>
    </font>
    <font>
      <sz val="11"/>
      <color theme="0"/>
      <name val="Courier"/>
      <family val="2"/>
    </font>
    <font>
      <sz val="11"/>
      <color rgb="FF006100"/>
      <name val="Courier"/>
      <family val="2"/>
    </font>
    <font>
      <b/>
      <sz val="11"/>
      <color rgb="FFFA7D00"/>
      <name val="Courier"/>
      <family val="2"/>
    </font>
    <font>
      <b/>
      <sz val="11"/>
      <color theme="0"/>
      <name val="Courier"/>
      <family val="2"/>
    </font>
    <font>
      <sz val="11"/>
      <color rgb="FFFA7D00"/>
      <name val="Courier"/>
      <family val="2"/>
    </font>
    <font>
      <b/>
      <sz val="15"/>
      <color theme="3"/>
      <name val="Courier"/>
      <family val="2"/>
    </font>
    <font>
      <b/>
      <sz val="11"/>
      <color theme="3"/>
      <name val="Courier"/>
      <family val="2"/>
    </font>
    <font>
      <sz val="11"/>
      <color rgb="FF3F3F76"/>
      <name val="Courier"/>
      <family val="2"/>
    </font>
    <font>
      <sz val="11"/>
      <color rgb="FF9C0006"/>
      <name val="Courier"/>
      <family val="2"/>
    </font>
    <font>
      <sz val="11"/>
      <color rgb="FF9C6500"/>
      <name val="Courier"/>
      <family val="2"/>
    </font>
    <font>
      <b/>
      <sz val="11"/>
      <color rgb="FF3F3F3F"/>
      <name val="Courier"/>
      <family val="2"/>
    </font>
    <font>
      <sz val="11"/>
      <color rgb="FFFF0000"/>
      <name val="Courier"/>
      <family val="2"/>
    </font>
    <font>
      <i/>
      <sz val="11"/>
      <color rgb="FF7F7F7F"/>
      <name val="Courier"/>
      <family val="2"/>
    </font>
    <font>
      <b/>
      <sz val="18"/>
      <color theme="3"/>
      <name val="Cambria"/>
      <family val="2"/>
    </font>
    <font>
      <b/>
      <sz val="13"/>
      <color theme="3"/>
      <name val="Courier"/>
      <family val="2"/>
    </font>
    <font>
      <b/>
      <sz val="11"/>
      <color theme="1"/>
      <name val="Courier"/>
      <family val="2"/>
    </font>
    <font>
      <sz val="10"/>
      <color rgb="FF7030A0"/>
      <name val="Calibri"/>
      <family val="2"/>
    </font>
    <font>
      <b/>
      <sz val="10"/>
      <color rgb="FF7030A0"/>
      <name val="Calibri"/>
      <family val="2"/>
    </font>
    <font>
      <b/>
      <i/>
      <sz val="14"/>
      <color rgb="FFFF0000"/>
      <name val="Calibri"/>
      <family val="2"/>
    </font>
    <font>
      <sz val="10"/>
      <color rgb="FFFF0000"/>
      <name val="Calibri"/>
      <family val="2"/>
    </font>
    <font>
      <sz val="10"/>
      <color rgb="FF009900"/>
      <name val="Calibri"/>
      <family val="2"/>
    </font>
    <font>
      <sz val="11"/>
      <color rgb="FF000000"/>
      <name val="Calibri"/>
      <family val="2"/>
    </font>
    <font>
      <sz val="12"/>
      <color rgb="FF009900"/>
      <name val="Calibri"/>
      <family val="2"/>
    </font>
    <font>
      <b/>
      <sz val="14"/>
      <color rgb="FFFF6600"/>
      <name val="Calibri"/>
      <family val="2"/>
    </font>
    <font>
      <b/>
      <sz val="14"/>
      <color rgb="FF0000F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4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6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2" fontId="3" fillId="33" borderId="0" xfId="0" applyNumberFormat="1" applyFont="1" applyFill="1" applyBorder="1" applyAlignment="1">
      <alignment horizontal="center"/>
    </xf>
    <xf numFmtId="10" fontId="3" fillId="33" borderId="0" xfId="6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6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left"/>
    </xf>
    <xf numFmtId="167" fontId="27" fillId="0" borderId="15" xfId="60" applyNumberFormat="1" applyFont="1" applyBorder="1" applyAlignment="1">
      <alignment horizontal="center" vertical="center"/>
    </xf>
    <xf numFmtId="43" fontId="3" fillId="0" borderId="0" xfId="0" applyNumberFormat="1" applyFont="1" applyFill="1" applyAlignment="1">
      <alignment/>
    </xf>
    <xf numFmtId="1" fontId="3" fillId="35" borderId="15" xfId="0" applyNumberFormat="1" applyFont="1" applyFill="1" applyBorder="1" applyAlignment="1">
      <alignment horizontal="center"/>
    </xf>
    <xf numFmtId="1" fontId="3" fillId="34" borderId="15" xfId="0" applyNumberFormat="1" applyFont="1" applyFill="1" applyBorder="1" applyAlignment="1">
      <alignment horizontal="center"/>
    </xf>
    <xf numFmtId="1" fontId="3" fillId="35" borderId="15" xfId="49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right" vertical="distributed"/>
    </xf>
    <xf numFmtId="0" fontId="3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3" fillId="0" borderId="12" xfId="0" applyFont="1" applyBorder="1" applyAlignment="1">
      <alignment horizontal="left"/>
    </xf>
    <xf numFmtId="49" fontId="3" fillId="0" borderId="16" xfId="0" applyNumberFormat="1" applyFont="1" applyBorder="1" applyAlignment="1">
      <alignment/>
    </xf>
    <xf numFmtId="165" fontId="3" fillId="0" borderId="11" xfId="49" applyNumberFormat="1" applyFont="1" applyBorder="1" applyAlignment="1">
      <alignment horizontal="center"/>
    </xf>
    <xf numFmtId="166" fontId="3" fillId="0" borderId="11" xfId="49" applyNumberFormat="1" applyFont="1" applyBorder="1" applyAlignment="1">
      <alignment horizontal="center"/>
    </xf>
    <xf numFmtId="10" fontId="3" fillId="0" borderId="17" xfId="6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right" vertical="center"/>
    </xf>
    <xf numFmtId="10" fontId="28" fillId="36" borderId="11" xfId="0" applyNumberFormat="1" applyFont="1" applyFill="1" applyBorder="1" applyAlignment="1">
      <alignment horizontal="center" vertical="center"/>
    </xf>
    <xf numFmtId="10" fontId="28" fillId="37" borderId="11" xfId="0" applyNumberFormat="1" applyFont="1" applyFill="1" applyBorder="1" applyAlignment="1">
      <alignment horizontal="center" vertical="center"/>
    </xf>
    <xf numFmtId="10" fontId="28" fillId="38" borderId="11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right" vertical="center"/>
    </xf>
    <xf numFmtId="1" fontId="28" fillId="36" borderId="12" xfId="0" applyNumberFormat="1" applyFont="1" applyFill="1" applyBorder="1" applyAlignment="1">
      <alignment horizontal="center" vertical="center"/>
    </xf>
    <xf numFmtId="1" fontId="28" fillId="37" borderId="12" xfId="0" applyNumberFormat="1" applyFont="1" applyFill="1" applyBorder="1" applyAlignment="1">
      <alignment horizontal="center" vertical="center"/>
    </xf>
    <xf numFmtId="1" fontId="28" fillId="38" borderId="11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/>
    </xf>
    <xf numFmtId="165" fontId="3" fillId="33" borderId="0" xfId="0" applyNumberFormat="1" applyFont="1" applyFill="1" applyBorder="1" applyAlignment="1">
      <alignment horizontal="center"/>
    </xf>
    <xf numFmtId="10" fontId="3" fillId="33" borderId="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left"/>
    </xf>
    <xf numFmtId="43" fontId="28" fillId="0" borderId="0" xfId="49" applyFont="1" applyAlignment="1">
      <alignment horizontal="right"/>
    </xf>
    <xf numFmtId="174" fontId="28" fillId="0" borderId="0" xfId="60" applyNumberFormat="1" applyFont="1" applyAlignment="1">
      <alignment/>
    </xf>
    <xf numFmtId="10" fontId="64" fillId="0" borderId="0" xfId="60" applyNumberFormat="1" applyFont="1" applyAlignment="1">
      <alignment horizontal="right" vertical="center"/>
    </xf>
    <xf numFmtId="0" fontId="28" fillId="0" borderId="14" xfId="46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164" fontId="3" fillId="0" borderId="0" xfId="49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5" fillId="34" borderId="22" xfId="0" applyFont="1" applyFill="1" applyBorder="1" applyAlignment="1">
      <alignment horizontal="center" vertical="distributed" wrapText="1"/>
    </xf>
    <xf numFmtId="0" fontId="25" fillId="34" borderId="0" xfId="0" applyFont="1" applyFill="1" applyBorder="1" applyAlignment="1">
      <alignment horizontal="center"/>
    </xf>
    <xf numFmtId="172" fontId="3" fillId="0" borderId="0" xfId="0" applyNumberFormat="1" applyFont="1" applyFill="1" applyAlignment="1">
      <alignment horizontal="center" vertical="center"/>
    </xf>
    <xf numFmtId="0" fontId="65" fillId="34" borderId="15" xfId="0" applyFont="1" applyFill="1" applyBorder="1" applyAlignment="1">
      <alignment horizontal="center" vertical="distributed" wrapText="1"/>
    </xf>
    <xf numFmtId="10" fontId="3" fillId="34" borderId="0" xfId="60" applyNumberFormat="1" applyFont="1" applyFill="1" applyAlignment="1">
      <alignment/>
    </xf>
    <xf numFmtId="43" fontId="28" fillId="34" borderId="0" xfId="49" applyFont="1" applyFill="1" applyBorder="1" applyAlignment="1">
      <alignment horizontal="center" vertical="distributed"/>
    </xf>
    <xf numFmtId="10" fontId="31" fillId="34" borderId="11" xfId="0" applyNumberFormat="1" applyFont="1" applyFill="1" applyBorder="1" applyAlignment="1">
      <alignment horizontal="center" vertical="distributed"/>
    </xf>
    <xf numFmtId="0" fontId="28" fillId="34" borderId="0" xfId="0" applyFont="1" applyFill="1" applyBorder="1" applyAlignment="1">
      <alignment horizontal="center" vertical="distributed"/>
    </xf>
    <xf numFmtId="0" fontId="3" fillId="34" borderId="0" xfId="0" applyFont="1" applyFill="1" applyBorder="1" applyAlignment="1">
      <alignment horizontal="center" vertical="distributed" wrapText="1"/>
    </xf>
    <xf numFmtId="0" fontId="32" fillId="34" borderId="0" xfId="0" applyFont="1" applyFill="1" applyBorder="1" applyAlignment="1">
      <alignment horizontal="center" vertical="distributed" wrapText="1"/>
    </xf>
    <xf numFmtId="0" fontId="3" fillId="34" borderId="0" xfId="0" applyFont="1" applyFill="1" applyAlignment="1">
      <alignment horizontal="center" vertical="center"/>
    </xf>
    <xf numFmtId="0" fontId="28" fillId="34" borderId="0" xfId="0" applyFont="1" applyFill="1" applyBorder="1" applyAlignment="1">
      <alignment horizontal="center" vertical="distributed" wrapText="1"/>
    </xf>
    <xf numFmtId="10" fontId="28" fillId="34" borderId="0" xfId="60" applyNumberFormat="1" applyFont="1" applyFill="1" applyBorder="1" applyAlignment="1">
      <alignment horizontal="center" vertical="distributed" wrapText="1"/>
    </xf>
    <xf numFmtId="10" fontId="3" fillId="34" borderId="0" xfId="60" applyNumberFormat="1" applyFont="1" applyFill="1" applyBorder="1" applyAlignment="1">
      <alignment horizontal="center" vertical="distributed" wrapText="1"/>
    </xf>
    <xf numFmtId="167" fontId="27" fillId="34" borderId="0" xfId="0" applyNumberFormat="1" applyFont="1" applyFill="1" applyBorder="1" applyAlignment="1">
      <alignment horizontal="center" vertical="distributed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 horizontal="center" vertical="distributed"/>
    </xf>
    <xf numFmtId="0" fontId="33" fillId="34" borderId="23" xfId="0" applyFont="1" applyFill="1" applyBorder="1" applyAlignment="1">
      <alignment horizontal="center" vertical="center" wrapText="1"/>
    </xf>
    <xf numFmtId="0" fontId="33" fillId="34" borderId="24" xfId="0" applyFont="1" applyFill="1" applyBorder="1" applyAlignment="1">
      <alignment horizontal="center" vertical="distributed" wrapText="1"/>
    </xf>
    <xf numFmtId="0" fontId="33" fillId="34" borderId="24" xfId="0" applyFont="1" applyFill="1" applyBorder="1" applyAlignment="1">
      <alignment horizontal="center" vertical="distributed"/>
    </xf>
    <xf numFmtId="0" fontId="33" fillId="34" borderId="25" xfId="0" applyFont="1" applyFill="1" applyBorder="1" applyAlignment="1">
      <alignment horizontal="center" vertical="distributed" wrapText="1"/>
    </xf>
    <xf numFmtId="0" fontId="3" fillId="34" borderId="26" xfId="0" applyFont="1" applyFill="1" applyBorder="1" applyAlignment="1">
      <alignment horizontal="right" vertical="center"/>
    </xf>
    <xf numFmtId="10" fontId="34" fillId="34" borderId="27" xfId="0" applyNumberFormat="1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vertical="center"/>
    </xf>
    <xf numFmtId="172" fontId="34" fillId="34" borderId="27" xfId="0" applyNumberFormat="1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vertical="center"/>
    </xf>
    <xf numFmtId="10" fontId="35" fillId="34" borderId="29" xfId="0" applyNumberFormat="1" applyFont="1" applyFill="1" applyBorder="1" applyAlignment="1">
      <alignment horizontal="center" vertical="center"/>
    </xf>
    <xf numFmtId="10" fontId="35" fillId="34" borderId="30" xfId="0" applyNumberFormat="1" applyFont="1" applyFill="1" applyBorder="1" applyAlignment="1">
      <alignment horizontal="center" vertical="center"/>
    </xf>
    <xf numFmtId="0" fontId="36" fillId="34" borderId="30" xfId="0" applyFont="1" applyFill="1" applyBorder="1" applyAlignment="1">
      <alignment horizontal="center" vertical="distributed"/>
    </xf>
    <xf numFmtId="0" fontId="34" fillId="34" borderId="31" xfId="0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right" vertical="center"/>
    </xf>
    <xf numFmtId="10" fontId="34" fillId="34" borderId="0" xfId="0" applyNumberFormat="1" applyFont="1" applyFill="1" applyBorder="1" applyAlignment="1">
      <alignment horizontal="center" vertical="center"/>
    </xf>
    <xf numFmtId="167" fontId="3" fillId="34" borderId="0" xfId="60" applyNumberFormat="1" applyFont="1" applyFill="1" applyBorder="1" applyAlignment="1">
      <alignment horizontal="left" vertical="center"/>
    </xf>
    <xf numFmtId="2" fontId="3" fillId="34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172" fontId="34" fillId="34" borderId="0" xfId="0" applyNumberFormat="1" applyFont="1" applyFill="1" applyBorder="1" applyAlignment="1">
      <alignment horizontal="center" vertical="center"/>
    </xf>
    <xf numFmtId="10" fontId="35" fillId="34" borderId="0" xfId="0" applyNumberFormat="1" applyFont="1" applyFill="1" applyBorder="1" applyAlignment="1">
      <alignment horizontal="center" vertical="center"/>
    </xf>
    <xf numFmtId="43" fontId="5" fillId="34" borderId="0" xfId="49" applyFont="1" applyFill="1" applyBorder="1" applyAlignment="1">
      <alignment horizontal="center" vertical="distributed"/>
    </xf>
    <xf numFmtId="43" fontId="36" fillId="34" borderId="0" xfId="49" applyFont="1" applyFill="1" applyBorder="1" applyAlignment="1">
      <alignment horizontal="center" vertical="distributed"/>
    </xf>
    <xf numFmtId="43" fontId="34" fillId="34" borderId="0" xfId="49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43" fontId="36" fillId="34" borderId="0" xfId="49" applyFont="1" applyFill="1" applyAlignment="1">
      <alignment/>
    </xf>
    <xf numFmtId="43" fontId="3" fillId="34" borderId="0" xfId="49" applyFont="1" applyFill="1" applyAlignment="1">
      <alignment/>
    </xf>
    <xf numFmtId="0" fontId="5" fillId="34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172" fontId="34" fillId="0" borderId="0" xfId="0" applyNumberFormat="1" applyFont="1" applyFill="1" applyBorder="1" applyAlignment="1">
      <alignment horizontal="center" vertical="center"/>
    </xf>
    <xf numFmtId="43" fontId="5" fillId="34" borderId="11" xfId="49" applyFont="1" applyFill="1" applyBorder="1" applyAlignment="1">
      <alignment horizontal="center" vertical="distributed"/>
    </xf>
    <xf numFmtId="43" fontId="5" fillId="34" borderId="30" xfId="49" applyFont="1" applyFill="1" applyBorder="1" applyAlignment="1">
      <alignment horizontal="center" vertical="distributed"/>
    </xf>
    <xf numFmtId="43" fontId="5" fillId="34" borderId="17" xfId="49" applyFont="1" applyFill="1" applyBorder="1" applyAlignment="1">
      <alignment horizontal="center" vertical="center"/>
    </xf>
    <xf numFmtId="1" fontId="66" fillId="0" borderId="15" xfId="0" applyNumberFormat="1" applyFont="1" applyFill="1" applyBorder="1" applyAlignment="1">
      <alignment horizontal="center" vertical="center"/>
    </xf>
    <xf numFmtId="1" fontId="28" fillId="0" borderId="15" xfId="0" applyNumberFormat="1" applyFont="1" applyFill="1" applyBorder="1" applyAlignment="1">
      <alignment horizontal="center" vertical="center"/>
    </xf>
    <xf numFmtId="1" fontId="67" fillId="0" borderId="15" xfId="0" applyNumberFormat="1" applyFont="1" applyFill="1" applyBorder="1" applyAlignment="1">
      <alignment horizontal="center" vertical="center"/>
    </xf>
    <xf numFmtId="167" fontId="39" fillId="34" borderId="15" xfId="0" applyNumberFormat="1" applyFont="1" applyFill="1" applyBorder="1" applyAlignment="1">
      <alignment horizontal="center" vertical="center" wrapText="1"/>
    </xf>
    <xf numFmtId="0" fontId="68" fillId="34" borderId="15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left"/>
    </xf>
    <xf numFmtId="0" fontId="3" fillId="33" borderId="33" xfId="0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  <xf numFmtId="10" fontId="3" fillId="33" borderId="33" xfId="60" applyNumberFormat="1" applyFont="1" applyFill="1" applyBorder="1" applyAlignment="1">
      <alignment horizontal="center"/>
    </xf>
    <xf numFmtId="1" fontId="3" fillId="33" borderId="3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distributed"/>
    </xf>
    <xf numFmtId="0" fontId="64" fillId="0" borderId="15" xfId="46" applyFont="1" applyFill="1" applyBorder="1" applyAlignment="1" applyProtection="1">
      <alignment horizontal="center" vertical="center" wrapText="1"/>
      <protection/>
    </xf>
    <xf numFmtId="0" fontId="28" fillId="0" borderId="15" xfId="46" applyFont="1" applyFill="1" applyBorder="1" applyAlignment="1" applyProtection="1">
      <alignment horizontal="center" vertical="center" wrapText="1"/>
      <protection/>
    </xf>
    <xf numFmtId="0" fontId="64" fillId="0" borderId="14" xfId="46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3" fontId="3" fillId="0" borderId="15" xfId="49" applyNumberFormat="1" applyFont="1" applyFill="1" applyBorder="1" applyAlignment="1">
      <alignment horizontal="center" vertical="center"/>
    </xf>
    <xf numFmtId="10" fontId="3" fillId="0" borderId="15" xfId="6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distributed"/>
    </xf>
    <xf numFmtId="3" fontId="28" fillId="0" borderId="15" xfId="49" applyNumberFormat="1" applyFont="1" applyFill="1" applyBorder="1" applyAlignment="1">
      <alignment horizontal="center" vertical="distributed"/>
    </xf>
    <xf numFmtId="3" fontId="3" fillId="0" borderId="15" xfId="49" applyNumberFormat="1" applyFont="1" applyFill="1" applyBorder="1" applyAlignment="1">
      <alignment horizontal="center" vertical="distributed"/>
    </xf>
    <xf numFmtId="213" fontId="64" fillId="33" borderId="15" xfId="46" applyNumberFormat="1" applyFont="1" applyFill="1" applyBorder="1" applyAlignment="1" applyProtection="1">
      <alignment horizontal="center" vertical="center"/>
      <protection/>
    </xf>
    <xf numFmtId="3" fontId="28" fillId="0" borderId="15" xfId="49" applyNumberFormat="1" applyFont="1" applyFill="1" applyBorder="1" applyAlignment="1">
      <alignment horizontal="center" vertical="center"/>
    </xf>
    <xf numFmtId="10" fontId="28" fillId="0" borderId="15" xfId="60" applyNumberFormat="1" applyFont="1" applyFill="1" applyBorder="1" applyAlignment="1">
      <alignment horizontal="center" vertical="center"/>
    </xf>
    <xf numFmtId="172" fontId="28" fillId="39" borderId="15" xfId="0" applyNumberFormat="1" applyFont="1" applyFill="1" applyBorder="1" applyAlignment="1">
      <alignment horizontal="center" vertical="center"/>
    </xf>
    <xf numFmtId="164" fontId="28" fillId="0" borderId="0" xfId="49" applyNumberFormat="1" applyFont="1" applyFill="1" applyBorder="1" applyAlignment="1">
      <alignment vertical="center"/>
    </xf>
    <xf numFmtId="172" fontId="25" fillId="34" borderId="15" xfId="0" applyNumberFormat="1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horizontal="center" vertical="distributed" wrapText="1"/>
    </xf>
    <xf numFmtId="10" fontId="25" fillId="34" borderId="15" xfId="60" applyNumberFormat="1" applyFont="1" applyFill="1" applyBorder="1" applyAlignment="1">
      <alignment horizontal="center" vertical="distributed" wrapText="1"/>
    </xf>
    <xf numFmtId="167" fontId="25" fillId="34" borderId="15" xfId="60" applyNumberFormat="1" applyFont="1" applyFill="1" applyBorder="1" applyAlignment="1">
      <alignment horizontal="center" vertical="distributed" wrapText="1"/>
    </xf>
    <xf numFmtId="0" fontId="25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33" fillId="34" borderId="15" xfId="0" applyFont="1" applyFill="1" applyBorder="1" applyAlignment="1">
      <alignment horizontal="right" vertical="distributed"/>
    </xf>
    <xf numFmtId="0" fontId="33" fillId="34" borderId="15" xfId="0" applyFont="1" applyFill="1" applyBorder="1" applyAlignment="1">
      <alignment horizontal="center" vertical="distributed"/>
    </xf>
    <xf numFmtId="0" fontId="25" fillId="34" borderId="36" xfId="0" applyFont="1" applyFill="1" applyBorder="1" applyAlignment="1">
      <alignment horizontal="left" vertical="distributed" wrapText="1"/>
    </xf>
    <xf numFmtId="172" fontId="5" fillId="34" borderId="15" xfId="0" applyNumberFormat="1" applyFont="1" applyFill="1" applyBorder="1" applyAlignment="1">
      <alignment horizontal="center" vertical="center"/>
    </xf>
    <xf numFmtId="0" fontId="31" fillId="34" borderId="15" xfId="0" applyFont="1" applyFill="1" applyBorder="1" applyAlignment="1">
      <alignment horizontal="center" vertical="distributed" wrapText="1"/>
    </xf>
    <xf numFmtId="10" fontId="5" fillId="34" borderId="15" xfId="60" applyNumberFormat="1" applyFont="1" applyFill="1" applyBorder="1" applyAlignment="1">
      <alignment horizontal="center" vertical="distributed" wrapText="1"/>
    </xf>
    <xf numFmtId="167" fontId="41" fillId="34" borderId="35" xfId="0" applyNumberFormat="1" applyFont="1" applyFill="1" applyBorder="1" applyAlignment="1">
      <alignment horizontal="center" vertical="distributed"/>
    </xf>
    <xf numFmtId="172" fontId="3" fillId="39" borderId="0" xfId="0" applyNumberFormat="1" applyFont="1" applyFill="1" applyAlignment="1">
      <alignment horizontal="center" vertical="center"/>
    </xf>
    <xf numFmtId="0" fontId="33" fillId="34" borderId="24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right" vertical="center"/>
    </xf>
    <xf numFmtId="10" fontId="34" fillId="34" borderId="38" xfId="0" applyNumberFormat="1" applyFont="1" applyFill="1" applyBorder="1" applyAlignment="1">
      <alignment horizontal="center" vertical="center"/>
    </xf>
    <xf numFmtId="167" fontId="3" fillId="34" borderId="38" xfId="60" applyNumberFormat="1" applyFont="1" applyFill="1" applyBorder="1" applyAlignment="1">
      <alignment horizontal="left" vertical="center"/>
    </xf>
    <xf numFmtId="2" fontId="3" fillId="34" borderId="38" xfId="0" applyNumberFormat="1" applyFont="1" applyFill="1" applyBorder="1" applyAlignment="1">
      <alignment vertical="center"/>
    </xf>
    <xf numFmtId="0" fontId="3" fillId="34" borderId="38" xfId="0" applyFont="1" applyFill="1" applyBorder="1" applyAlignment="1">
      <alignment vertical="center"/>
    </xf>
    <xf numFmtId="172" fontId="34" fillId="34" borderId="38" xfId="0" applyNumberFormat="1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vertical="center"/>
    </xf>
    <xf numFmtId="10" fontId="35" fillId="34" borderId="39" xfId="0" applyNumberFormat="1" applyFont="1" applyFill="1" applyBorder="1" applyAlignment="1">
      <alignment horizontal="center" vertical="center"/>
    </xf>
    <xf numFmtId="10" fontId="35" fillId="34" borderId="40" xfId="0" applyNumberFormat="1" applyFont="1" applyFill="1" applyBorder="1" applyAlignment="1">
      <alignment horizontal="center" vertical="center"/>
    </xf>
    <xf numFmtId="165" fontId="5" fillId="34" borderId="40" xfId="49" applyNumberFormat="1" applyFont="1" applyFill="1" applyBorder="1" applyAlignment="1">
      <alignment horizontal="center" vertical="distributed"/>
    </xf>
    <xf numFmtId="43" fontId="36" fillId="34" borderId="40" xfId="49" applyFont="1" applyFill="1" applyBorder="1" applyAlignment="1">
      <alignment horizontal="center" vertical="distributed"/>
    </xf>
    <xf numFmtId="43" fontId="34" fillId="34" borderId="41" xfId="49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vertical="distributed"/>
    </xf>
    <xf numFmtId="0" fontId="5" fillId="34" borderId="17" xfId="0" applyFont="1" applyFill="1" applyBorder="1" applyAlignment="1">
      <alignment vertical="distributed"/>
    </xf>
    <xf numFmtId="43" fontId="5" fillId="0" borderId="16" xfId="0" applyNumberFormat="1" applyFont="1" applyFill="1" applyBorder="1" applyAlignment="1">
      <alignment horizontal="left" vertical="center"/>
    </xf>
    <xf numFmtId="10" fontId="28" fillId="0" borderId="0" xfId="6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28" fillId="0" borderId="0" xfId="0" applyNumberFormat="1" applyFont="1" applyAlignment="1">
      <alignment horizontal="right" vertical="center"/>
    </xf>
    <xf numFmtId="180" fontId="3" fillId="0" borderId="0" xfId="60" applyNumberFormat="1" applyFont="1" applyAlignment="1">
      <alignment horizontal="left" vertical="center"/>
    </xf>
    <xf numFmtId="213" fontId="63" fillId="32" borderId="15" xfId="46" applyNumberFormat="1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>
      <alignment horizontal="center" vertical="distributed"/>
    </xf>
    <xf numFmtId="0" fontId="3" fillId="0" borderId="43" xfId="0" applyFont="1" applyBorder="1" applyAlignment="1">
      <alignment horizontal="center" vertical="distributed"/>
    </xf>
    <xf numFmtId="0" fontId="3" fillId="0" borderId="44" xfId="0" applyFont="1" applyBorder="1" applyAlignment="1">
      <alignment horizontal="center" vertical="distributed"/>
    </xf>
    <xf numFmtId="0" fontId="28" fillId="0" borderId="45" xfId="0" applyFont="1" applyFill="1" applyBorder="1" applyAlignment="1">
      <alignment horizontal="center" vertical="distributed"/>
    </xf>
    <xf numFmtId="0" fontId="28" fillId="0" borderId="46" xfId="0" applyFont="1" applyFill="1" applyBorder="1" applyAlignment="1">
      <alignment horizontal="center" vertical="distributed"/>
    </xf>
    <xf numFmtId="0" fontId="28" fillId="0" borderId="47" xfId="0" applyFont="1" applyFill="1" applyBorder="1" applyAlignment="1">
      <alignment horizontal="center" vertical="distributed"/>
    </xf>
    <xf numFmtId="43" fontId="3" fillId="35" borderId="0" xfId="0" applyNumberFormat="1" applyFont="1" applyFill="1" applyAlignment="1">
      <alignment horizontal="left" vertical="center"/>
    </xf>
    <xf numFmtId="43" fontId="3" fillId="35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10" fontId="3" fillId="35" borderId="17" xfId="60" applyNumberFormat="1" applyFont="1" applyFill="1" applyBorder="1" applyAlignment="1">
      <alignment horizontal="center" vertical="distributed"/>
    </xf>
    <xf numFmtId="2" fontId="3" fillId="35" borderId="12" xfId="0" applyNumberFormat="1" applyFont="1" applyFill="1" applyBorder="1" applyAlignment="1">
      <alignment horizontal="center" vertical="center"/>
    </xf>
    <xf numFmtId="2" fontId="3" fillId="35" borderId="11" xfId="0" applyNumberFormat="1" applyFont="1" applyFill="1" applyBorder="1" applyAlignment="1">
      <alignment horizontal="center" vertical="center"/>
    </xf>
    <xf numFmtId="2" fontId="3" fillId="35" borderId="17" xfId="0" applyNumberFormat="1" applyFont="1" applyFill="1" applyBorder="1" applyAlignment="1">
      <alignment horizontal="center" vertical="center"/>
    </xf>
    <xf numFmtId="0" fontId="31" fillId="35" borderId="42" xfId="0" applyFont="1" applyFill="1" applyBorder="1" applyAlignment="1">
      <alignment horizontal="center" vertical="distributed" wrapText="1"/>
    </xf>
    <xf numFmtId="0" fontId="31" fillId="35" borderId="43" xfId="0" applyFont="1" applyFill="1" applyBorder="1" applyAlignment="1">
      <alignment horizontal="center" vertical="distributed"/>
    </xf>
    <xf numFmtId="0" fontId="31" fillId="35" borderId="43" xfId="0" applyFont="1" applyFill="1" applyBorder="1" applyAlignment="1">
      <alignment horizontal="center" vertical="distributed" wrapText="1"/>
    </xf>
    <xf numFmtId="0" fontId="31" fillId="35" borderId="44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vertical="center"/>
    </xf>
    <xf numFmtId="10" fontId="35" fillId="35" borderId="16" xfId="60" applyNumberFormat="1" applyFont="1" applyFill="1" applyBorder="1" applyAlignment="1">
      <alignment horizontal="center" vertical="center"/>
    </xf>
    <xf numFmtId="10" fontId="5" fillId="35" borderId="16" xfId="6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172" fontId="3" fillId="35" borderId="0" xfId="0" applyNumberFormat="1" applyFont="1" applyFill="1" applyAlignment="1">
      <alignment horizontal="center"/>
    </xf>
    <xf numFmtId="0" fontId="3" fillId="32" borderId="15" xfId="0" applyFont="1" applyFill="1" applyBorder="1" applyAlignment="1">
      <alignment horizontal="center" vertical="center"/>
    </xf>
    <xf numFmtId="2" fontId="3" fillId="7" borderId="15" xfId="0" applyNumberFormat="1" applyFont="1" applyFill="1" applyBorder="1" applyAlignment="1">
      <alignment horizontal="center" vertical="center" wrapText="1"/>
    </xf>
    <xf numFmtId="2" fontId="3" fillId="4" borderId="15" xfId="0" applyNumberFormat="1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distributed"/>
    </xf>
    <xf numFmtId="0" fontId="3" fillId="34" borderId="14" xfId="0" applyFont="1" applyFill="1" applyBorder="1" applyAlignment="1">
      <alignment horizontal="center" vertical="distributed"/>
    </xf>
    <xf numFmtId="3" fontId="3" fillId="35" borderId="15" xfId="0" applyNumberFormat="1" applyFont="1" applyFill="1" applyBorder="1" applyAlignment="1">
      <alignment horizontal="center"/>
    </xf>
    <xf numFmtId="3" fontId="3" fillId="34" borderId="15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left" vertical="distributed"/>
    </xf>
    <xf numFmtId="0" fontId="69" fillId="34" borderId="30" xfId="0" applyFont="1" applyFill="1" applyBorder="1" applyAlignment="1">
      <alignment horizontal="center" vertical="distributed"/>
    </xf>
    <xf numFmtId="43" fontId="69" fillId="34" borderId="40" xfId="49" applyFont="1" applyFill="1" applyBorder="1" applyAlignment="1">
      <alignment horizontal="center" vertical="distributed"/>
    </xf>
    <xf numFmtId="43" fontId="70" fillId="34" borderId="17" xfId="49" applyFont="1" applyFill="1" applyBorder="1" applyAlignment="1">
      <alignment horizontal="center" vertical="center"/>
    </xf>
    <xf numFmtId="180" fontId="3" fillId="33" borderId="0" xfId="0" applyNumberFormat="1" applyFont="1" applyFill="1" applyBorder="1" applyAlignment="1">
      <alignment horizontal="center"/>
    </xf>
    <xf numFmtId="0" fontId="31" fillId="35" borderId="48" xfId="0" applyFont="1" applyFill="1" applyBorder="1" applyAlignment="1">
      <alignment horizontal="center" vertical="distributed" wrapText="1"/>
    </xf>
    <xf numFmtId="0" fontId="31" fillId="35" borderId="49" xfId="0" applyFont="1" applyFill="1" applyBorder="1" applyAlignment="1">
      <alignment horizontal="center" vertical="distributed"/>
    </xf>
    <xf numFmtId="0" fontId="31" fillId="35" borderId="49" xfId="0" applyFont="1" applyFill="1" applyBorder="1" applyAlignment="1">
      <alignment horizontal="center" vertical="distributed" wrapText="1"/>
    </xf>
    <xf numFmtId="0" fontId="25" fillId="0" borderId="15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214" fontId="3" fillId="0" borderId="0" xfId="49" applyNumberFormat="1" applyFont="1" applyFill="1" applyBorder="1" applyAlignment="1">
      <alignment horizontal="right" vertical="center"/>
    </xf>
    <xf numFmtId="214" fontId="28" fillId="0" borderId="0" xfId="49" applyNumberFormat="1" applyFont="1" applyFill="1" applyBorder="1" applyAlignment="1">
      <alignment horizontal="right" vertical="center"/>
    </xf>
    <xf numFmtId="43" fontId="70" fillId="34" borderId="11" xfId="49" applyFont="1" applyFill="1" applyBorder="1" applyAlignment="1">
      <alignment horizontal="center" vertical="distributed"/>
    </xf>
    <xf numFmtId="43" fontId="70" fillId="34" borderId="30" xfId="49" applyFont="1" applyFill="1" applyBorder="1" applyAlignment="1">
      <alignment horizontal="center" vertical="distributed"/>
    </xf>
    <xf numFmtId="165" fontId="70" fillId="34" borderId="40" xfId="49" applyNumberFormat="1" applyFont="1" applyFill="1" applyBorder="1" applyAlignment="1">
      <alignment horizontal="center" vertical="distributed"/>
    </xf>
    <xf numFmtId="0" fontId="25" fillId="34" borderId="30" xfId="0" applyFont="1" applyFill="1" applyBorder="1" applyAlignment="1">
      <alignment horizontal="center" vertical="distributed"/>
    </xf>
    <xf numFmtId="172" fontId="28" fillId="0" borderId="0" xfId="0" applyNumberFormat="1" applyFont="1" applyAlignment="1">
      <alignment horizontal="right" vertical="center"/>
    </xf>
    <xf numFmtId="3" fontId="3" fillId="35" borderId="15" xfId="49" applyNumberFormat="1" applyFont="1" applyFill="1" applyBorder="1" applyAlignment="1">
      <alignment horizontal="center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16" xfId="0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horizontal="center" vertical="center" wrapText="1"/>
    </xf>
    <xf numFmtId="0" fontId="71" fillId="34" borderId="23" xfId="0" applyFont="1" applyFill="1" applyBorder="1" applyAlignment="1">
      <alignment horizontal="left" vertical="center"/>
    </xf>
    <xf numFmtId="0" fontId="71" fillId="34" borderId="27" xfId="0" applyFont="1" applyFill="1" applyBorder="1" applyAlignment="1">
      <alignment horizontal="left" vertical="center"/>
    </xf>
    <xf numFmtId="0" fontId="71" fillId="34" borderId="25" xfId="0" applyFont="1" applyFill="1" applyBorder="1" applyAlignment="1">
      <alignment horizontal="left" vertical="center"/>
    </xf>
    <xf numFmtId="0" fontId="34" fillId="34" borderId="23" xfId="0" applyFont="1" applyFill="1" applyBorder="1" applyAlignment="1">
      <alignment horizontal="left" vertical="center" wrapText="1"/>
    </xf>
    <xf numFmtId="0" fontId="34" fillId="34" borderId="18" xfId="0" applyFont="1" applyFill="1" applyBorder="1" applyAlignment="1">
      <alignment horizontal="left" vertical="center" wrapText="1"/>
    </xf>
    <xf numFmtId="0" fontId="31" fillId="34" borderId="24" xfId="0" applyFont="1" applyFill="1" applyBorder="1" applyAlignment="1">
      <alignment horizontal="center" vertical="center" wrapText="1"/>
    </xf>
    <xf numFmtId="0" fontId="31" fillId="34" borderId="50" xfId="0" applyFont="1" applyFill="1" applyBorder="1" applyAlignment="1">
      <alignment horizontal="center" vertical="center" wrapText="1"/>
    </xf>
    <xf numFmtId="0" fontId="28" fillId="35" borderId="24" xfId="0" applyFont="1" applyFill="1" applyBorder="1" applyAlignment="1">
      <alignment horizontal="center" vertical="center" wrapText="1"/>
    </xf>
    <xf numFmtId="0" fontId="28" fillId="35" borderId="50" xfId="0" applyFont="1" applyFill="1" applyBorder="1" applyAlignment="1">
      <alignment horizontal="center" vertical="center" wrapText="1"/>
    </xf>
    <xf numFmtId="1" fontId="45" fillId="34" borderId="51" xfId="49" applyNumberFormat="1" applyFont="1" applyFill="1" applyBorder="1" applyAlignment="1">
      <alignment horizontal="center" vertical="center" wrapText="1"/>
    </xf>
    <xf numFmtId="1" fontId="45" fillId="34" borderId="49" xfId="49" applyNumberFormat="1" applyFont="1" applyFill="1" applyBorder="1" applyAlignment="1">
      <alignment horizontal="center" vertical="center" wrapText="1"/>
    </xf>
    <xf numFmtId="1" fontId="45" fillId="34" borderId="14" xfId="49" applyNumberFormat="1" applyFont="1" applyFill="1" applyBorder="1" applyAlignment="1">
      <alignment horizontal="center" vertical="center" wrapText="1"/>
    </xf>
    <xf numFmtId="2" fontId="3" fillId="4" borderId="15" xfId="0" applyNumberFormat="1" applyFont="1" applyFill="1" applyBorder="1" applyAlignment="1">
      <alignment horizontal="center" vertical="center"/>
    </xf>
    <xf numFmtId="2" fontId="3" fillId="13" borderId="15" xfId="0" applyNumberFormat="1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distributed"/>
    </xf>
    <xf numFmtId="0" fontId="28" fillId="0" borderId="16" xfId="0" applyFont="1" applyBorder="1" applyAlignment="1">
      <alignment horizontal="center" vertical="distributed"/>
    </xf>
    <xf numFmtId="0" fontId="28" fillId="0" borderId="17" xfId="0" applyFont="1" applyBorder="1" applyAlignment="1">
      <alignment horizontal="center" vertical="distributed"/>
    </xf>
    <xf numFmtId="0" fontId="31" fillId="34" borderId="24" xfId="0" applyFont="1" applyFill="1" applyBorder="1" applyAlignment="1">
      <alignment horizontal="center" vertical="distributed" wrapText="1"/>
    </xf>
    <xf numFmtId="0" fontId="31" fillId="34" borderId="50" xfId="0" applyFont="1" applyFill="1" applyBorder="1" applyAlignment="1">
      <alignment horizontal="center" vertical="distributed" wrapText="1"/>
    </xf>
    <xf numFmtId="0" fontId="31" fillId="35" borderId="24" xfId="0" applyFont="1" applyFill="1" applyBorder="1" applyAlignment="1">
      <alignment horizontal="center" vertical="center" wrapText="1"/>
    </xf>
    <xf numFmtId="0" fontId="31" fillId="35" borderId="50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5" xfId="54"/>
    <cellStyle name="Currency" xfId="55"/>
    <cellStyle name="Currency [0]" xfId="56"/>
    <cellStyle name="Neutral" xfId="57"/>
    <cellStyle name="Normal 2" xfId="58"/>
    <cellStyle name="Notas" xfId="59"/>
    <cellStyle name="Percent" xfId="60"/>
    <cellStyle name="Porcentaje 2" xfId="61"/>
    <cellStyle name="Porcentaje 3" xfId="62"/>
    <cellStyle name="Porcentaje 4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4"/>
  <sheetViews>
    <sheetView tabSelected="1" zoomScalePageLayoutView="0" workbookViewId="0" topLeftCell="A1">
      <selection activeCell="A1" sqref="A1"/>
    </sheetView>
  </sheetViews>
  <sheetFormatPr defaultColWidth="16.00390625" defaultRowHeight="12.75"/>
  <cols>
    <col min="1" max="1" width="22.7109375" style="2" customWidth="1"/>
    <col min="2" max="2" width="23.421875" style="20" customWidth="1"/>
    <col min="3" max="3" width="15.00390625" style="20" customWidth="1"/>
    <col min="4" max="4" width="15.140625" style="2" customWidth="1"/>
    <col min="5" max="5" width="16.00390625" style="2" customWidth="1"/>
    <col min="6" max="6" width="16.140625" style="2" customWidth="1"/>
    <col min="7" max="7" width="17.140625" style="2" customWidth="1"/>
    <col min="8" max="8" width="15.28125" style="2" customWidth="1"/>
    <col min="9" max="9" width="12.7109375" style="2" customWidth="1"/>
    <col min="10" max="10" width="15.140625" style="2" customWidth="1"/>
    <col min="11" max="11" width="15.28125" style="2" customWidth="1"/>
    <col min="12" max="12" width="23.8515625" style="2" customWidth="1"/>
    <col min="13" max="13" width="25.421875" style="2" customWidth="1"/>
    <col min="14" max="14" width="22.28125" style="2" customWidth="1"/>
    <col min="15" max="15" width="16.7109375" style="2" customWidth="1"/>
    <col min="16" max="16" width="16.00390625" style="2" customWidth="1"/>
    <col min="17" max="17" width="13.8515625" style="2" hidden="1" customWidth="1"/>
    <col min="18" max="18" width="0" style="2" hidden="1" customWidth="1"/>
    <col min="19" max="19" width="34.8515625" style="2" customWidth="1"/>
    <col min="20" max="16384" width="16.00390625" style="2" customWidth="1"/>
  </cols>
  <sheetData>
    <row r="1" spans="19:28" ht="15">
      <c r="S1" s="9"/>
      <c r="T1" s="18"/>
      <c r="U1" s="18"/>
      <c r="V1" s="18"/>
      <c r="W1" s="18"/>
      <c r="X1" s="18"/>
      <c r="Y1" s="18"/>
      <c r="Z1" s="18"/>
      <c r="AA1" s="18"/>
      <c r="AB1" s="18"/>
    </row>
    <row r="2" spans="1:28" ht="12.75" hidden="1">
      <c r="A2" s="194" t="s">
        <v>64</v>
      </c>
      <c r="B2" s="180" t="str">
        <f>A4</f>
        <v>CAMBIOS en diagnóstico de verrugas AG, VARONES 15 a 19 años, seguimiento 5 a 8 años</v>
      </c>
      <c r="C2" s="181"/>
      <c r="D2" s="182"/>
      <c r="E2" s="182"/>
      <c r="F2" s="182"/>
      <c r="G2" s="182"/>
      <c r="O2" s="16"/>
      <c r="P2" s="17"/>
      <c r="Q2" s="1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ht="25.5" hidden="1">
      <c r="A3" s="21" t="s">
        <v>16</v>
      </c>
      <c r="B3" s="236" t="s">
        <v>17</v>
      </c>
      <c r="C3" s="236"/>
      <c r="D3" s="236"/>
      <c r="E3" s="237" t="s">
        <v>18</v>
      </c>
      <c r="F3" s="237"/>
      <c r="G3" s="237"/>
      <c r="H3" s="122" t="s">
        <v>23</v>
      </c>
      <c r="I3" s="238" t="s">
        <v>24</v>
      </c>
      <c r="J3" s="239"/>
      <c r="K3" s="240"/>
      <c r="L3" s="238" t="s">
        <v>25</v>
      </c>
      <c r="M3" s="240"/>
      <c r="N3" s="123" t="s">
        <v>26</v>
      </c>
      <c r="O3" s="17"/>
      <c r="T3" s="18"/>
      <c r="U3" s="18"/>
      <c r="W3" s="18"/>
      <c r="X3" s="18"/>
      <c r="Y3" s="18"/>
      <c r="Z3" s="18"/>
      <c r="AA3" s="18"/>
      <c r="AB3" s="18"/>
    </row>
    <row r="4" spans="1:28" ht="48.75" customHeight="1" hidden="1">
      <c r="A4" s="22" t="s">
        <v>201</v>
      </c>
      <c r="B4" s="198" t="s">
        <v>19</v>
      </c>
      <c r="C4" s="198" t="s">
        <v>20</v>
      </c>
      <c r="D4" s="198" t="s">
        <v>1</v>
      </c>
      <c r="E4" s="197" t="s">
        <v>19</v>
      </c>
      <c r="F4" s="197" t="s">
        <v>20</v>
      </c>
      <c r="G4" s="197" t="s">
        <v>1</v>
      </c>
      <c r="H4" s="124" t="s">
        <v>27</v>
      </c>
      <c r="I4" s="55" t="s">
        <v>14</v>
      </c>
      <c r="J4" s="56" t="s">
        <v>15</v>
      </c>
      <c r="K4" s="55" t="s">
        <v>1</v>
      </c>
      <c r="L4" s="125" t="s">
        <v>14</v>
      </c>
      <c r="M4" s="126" t="s">
        <v>60</v>
      </c>
      <c r="N4" s="54" t="s">
        <v>27</v>
      </c>
      <c r="O4" s="17"/>
      <c r="P4" s="2" t="s">
        <v>10</v>
      </c>
      <c r="Q4" s="2" t="s">
        <v>10</v>
      </c>
      <c r="T4" s="18"/>
      <c r="U4" s="18"/>
      <c r="W4" s="18"/>
      <c r="X4" s="18"/>
      <c r="Y4" s="18"/>
      <c r="Z4" s="18"/>
      <c r="AA4" s="18"/>
      <c r="AB4" s="18"/>
    </row>
    <row r="5" spans="1:28" ht="12.75" hidden="1">
      <c r="A5" s="23" t="s">
        <v>66</v>
      </c>
      <c r="B5" s="26">
        <v>1042</v>
      </c>
      <c r="C5" s="27">
        <f>D5-B5</f>
        <v>1066720</v>
      </c>
      <c r="D5" s="28">
        <v>1067762</v>
      </c>
      <c r="E5" s="26">
        <v>1616</v>
      </c>
      <c r="F5" s="27">
        <f>G5-E5</f>
        <v>1609181</v>
      </c>
      <c r="G5" s="28">
        <v>1610797</v>
      </c>
      <c r="H5" s="173">
        <v>6</v>
      </c>
      <c r="I5" s="128">
        <f aca="true" t="shared" si="0" ref="I5:I12">D5*H5</f>
        <v>6406572</v>
      </c>
      <c r="J5" s="128">
        <f aca="true" t="shared" si="1" ref="J5:J12">G5*H5</f>
        <v>9664782</v>
      </c>
      <c r="K5" s="128">
        <f>I5+J5</f>
        <v>16071354</v>
      </c>
      <c r="L5" s="129">
        <f aca="true" t="shared" si="2" ref="L5:L13">B5/I5</f>
        <v>0.0001626454834192139</v>
      </c>
      <c r="M5" s="129">
        <f aca="true" t="shared" si="3" ref="M5:M13">E5/J5</f>
        <v>0.0001672050130049493</v>
      </c>
      <c r="N5" s="196">
        <v>17.5</v>
      </c>
      <c r="O5" s="57">
        <f>N5*(D5+G5)</f>
        <v>46874782.5</v>
      </c>
      <c r="P5" s="58" t="str">
        <f aca="true" t="shared" si="4" ref="P5:P13">CONCATENATE(B5," ",$P$4," ",D5)</f>
        <v>1042 / 1067762</v>
      </c>
      <c r="Q5" s="58" t="str">
        <f aca="true" t="shared" si="5" ref="Q5:Q13">CONCATENATE(E5," ",$Q$4," ",G5)</f>
        <v>1616 / 1610797</v>
      </c>
      <c r="T5" s="18"/>
      <c r="U5" s="18"/>
      <c r="W5" s="18"/>
      <c r="X5" s="18"/>
      <c r="Y5" s="18"/>
      <c r="Z5" s="18"/>
      <c r="AA5" s="18"/>
      <c r="AB5" s="18"/>
    </row>
    <row r="6" spans="1:28" ht="12.75" hidden="1">
      <c r="A6" s="23" t="s">
        <v>67</v>
      </c>
      <c r="B6" s="26">
        <v>7</v>
      </c>
      <c r="C6" s="27">
        <f aca="true" t="shared" si="6" ref="C6:C12">D6-B6</f>
        <v>349499</v>
      </c>
      <c r="D6" s="28">
        <v>349506</v>
      </c>
      <c r="E6" s="26">
        <v>10</v>
      </c>
      <c r="F6" s="27">
        <f aca="true" t="shared" si="7" ref="F6:F12">G6-E6</f>
        <v>329920</v>
      </c>
      <c r="G6" s="28">
        <v>329930</v>
      </c>
      <c r="H6" s="173">
        <v>7</v>
      </c>
      <c r="I6" s="128">
        <f t="shared" si="0"/>
        <v>2446542</v>
      </c>
      <c r="J6" s="128">
        <f t="shared" si="1"/>
        <v>2309510</v>
      </c>
      <c r="K6" s="128">
        <f aca="true" t="shared" si="8" ref="K6:K12">I6+J6</f>
        <v>4756052</v>
      </c>
      <c r="L6" s="129">
        <f t="shared" si="2"/>
        <v>2.8611812100507572E-06</v>
      </c>
      <c r="M6" s="129">
        <f t="shared" si="3"/>
        <v>4.329922797476521E-06</v>
      </c>
      <c r="N6" s="196">
        <v>17.5</v>
      </c>
      <c r="O6" s="57">
        <f aca="true" t="shared" si="9" ref="O6:O12">N6*(D6+G6)</f>
        <v>11890130</v>
      </c>
      <c r="P6" s="58" t="str">
        <f t="shared" si="4"/>
        <v>7 / 349506</v>
      </c>
      <c r="Q6" s="58" t="str">
        <f t="shared" si="5"/>
        <v>10 / 329930</v>
      </c>
      <c r="T6" s="18"/>
      <c r="U6" s="18"/>
      <c r="W6" s="18"/>
      <c r="X6" s="18"/>
      <c r="Y6" s="18"/>
      <c r="Z6" s="18"/>
      <c r="AA6" s="18"/>
      <c r="AB6" s="18"/>
    </row>
    <row r="7" spans="1:28" ht="12.75" hidden="1">
      <c r="A7" s="23" t="s">
        <v>68</v>
      </c>
      <c r="B7" s="26">
        <v>1192</v>
      </c>
      <c r="C7" s="27">
        <f t="shared" si="6"/>
        <v>608058</v>
      </c>
      <c r="D7" s="28">
        <v>609250</v>
      </c>
      <c r="E7" s="26">
        <v>659</v>
      </c>
      <c r="F7" s="27">
        <f t="shared" si="7"/>
        <v>311971</v>
      </c>
      <c r="G7" s="28">
        <v>312630</v>
      </c>
      <c r="H7" s="173">
        <v>6</v>
      </c>
      <c r="I7" s="128">
        <f t="shared" si="0"/>
        <v>3655500</v>
      </c>
      <c r="J7" s="128">
        <f t="shared" si="1"/>
        <v>1875780</v>
      </c>
      <c r="K7" s="128">
        <f t="shared" si="8"/>
        <v>5531280</v>
      </c>
      <c r="L7" s="129">
        <f t="shared" si="2"/>
        <v>0.0003260839830392559</v>
      </c>
      <c r="M7" s="129">
        <f t="shared" si="3"/>
        <v>0.00035132051733145677</v>
      </c>
      <c r="N7" s="196">
        <v>17.5</v>
      </c>
      <c r="O7" s="57">
        <f t="shared" si="9"/>
        <v>16132900</v>
      </c>
      <c r="P7" s="58" t="str">
        <f t="shared" si="4"/>
        <v>1192 / 609250</v>
      </c>
      <c r="Q7" s="58" t="str">
        <f t="shared" si="5"/>
        <v>659 / 312630</v>
      </c>
      <c r="T7" s="18"/>
      <c r="U7" s="18"/>
      <c r="W7" s="18"/>
      <c r="X7" s="18"/>
      <c r="Y7" s="18"/>
      <c r="Z7" s="18"/>
      <c r="AA7" s="18"/>
      <c r="AB7" s="18"/>
    </row>
    <row r="8" spans="1:28" ht="12.75" hidden="1">
      <c r="A8" s="23" t="s">
        <v>69</v>
      </c>
      <c r="B8" s="26">
        <v>4542</v>
      </c>
      <c r="C8" s="27">
        <f t="shared" si="6"/>
        <v>5720876</v>
      </c>
      <c r="D8" s="28">
        <v>5725418</v>
      </c>
      <c r="E8" s="26">
        <v>876</v>
      </c>
      <c r="F8" s="27">
        <f t="shared" si="7"/>
        <v>1430976</v>
      </c>
      <c r="G8" s="28">
        <v>1431852</v>
      </c>
      <c r="H8" s="173">
        <v>8</v>
      </c>
      <c r="I8" s="128">
        <f t="shared" si="0"/>
        <v>45803344</v>
      </c>
      <c r="J8" s="128">
        <f t="shared" si="1"/>
        <v>11454816</v>
      </c>
      <c r="K8" s="128">
        <f t="shared" si="8"/>
        <v>57258160</v>
      </c>
      <c r="L8" s="129">
        <f t="shared" si="2"/>
        <v>9.916306547399683E-05</v>
      </c>
      <c r="M8" s="129">
        <f t="shared" si="3"/>
        <v>7.647438422406785E-05</v>
      </c>
      <c r="N8" s="196">
        <v>17.5</v>
      </c>
      <c r="O8" s="57">
        <f t="shared" si="9"/>
        <v>125252225</v>
      </c>
      <c r="P8" s="58" t="str">
        <f t="shared" si="4"/>
        <v>4542 / 5725418</v>
      </c>
      <c r="Q8" s="58" t="str">
        <f t="shared" si="5"/>
        <v>876 / 1431852</v>
      </c>
      <c r="T8" s="18"/>
      <c r="U8" s="18"/>
      <c r="W8" s="18"/>
      <c r="X8" s="18"/>
      <c r="Y8" s="18"/>
      <c r="Z8" s="18"/>
      <c r="AA8" s="18"/>
      <c r="AB8" s="18"/>
    </row>
    <row r="9" spans="1:28" ht="12.75" hidden="1">
      <c r="A9" s="23" t="s">
        <v>70</v>
      </c>
      <c r="B9" s="26">
        <v>10</v>
      </c>
      <c r="C9" s="27">
        <f t="shared" si="6"/>
        <v>107330</v>
      </c>
      <c r="D9" s="28">
        <v>107340</v>
      </c>
      <c r="E9" s="26">
        <v>14</v>
      </c>
      <c r="F9" s="27">
        <f t="shared" si="7"/>
        <v>66350</v>
      </c>
      <c r="G9" s="28">
        <v>66364</v>
      </c>
      <c r="H9" s="173">
        <v>6</v>
      </c>
      <c r="I9" s="128">
        <f t="shared" si="0"/>
        <v>644040</v>
      </c>
      <c r="J9" s="128">
        <f t="shared" si="1"/>
        <v>398184</v>
      </c>
      <c r="K9" s="128">
        <f t="shared" si="8"/>
        <v>1042224</v>
      </c>
      <c r="L9" s="129">
        <f t="shared" si="2"/>
        <v>1.55269859014968E-05</v>
      </c>
      <c r="M9" s="129">
        <f t="shared" si="3"/>
        <v>3.515962469612039E-05</v>
      </c>
      <c r="N9" s="196">
        <v>17.5</v>
      </c>
      <c r="O9" s="57">
        <f t="shared" si="9"/>
        <v>3039820</v>
      </c>
      <c r="P9" s="58" t="str">
        <f t="shared" si="4"/>
        <v>10 / 107340</v>
      </c>
      <c r="Q9" s="58" t="str">
        <f t="shared" si="5"/>
        <v>14 / 66364</v>
      </c>
      <c r="T9" s="18"/>
      <c r="U9" s="18"/>
      <c r="W9" s="18"/>
      <c r="X9" s="18"/>
      <c r="Y9" s="18"/>
      <c r="Z9" s="18"/>
      <c r="AA9" s="18"/>
      <c r="AB9" s="18"/>
    </row>
    <row r="10" spans="1:28" ht="12.75" hidden="1">
      <c r="A10" s="23" t="s">
        <v>71</v>
      </c>
      <c r="B10" s="26">
        <v>12</v>
      </c>
      <c r="C10" s="27">
        <f t="shared" si="6"/>
        <v>298</v>
      </c>
      <c r="D10" s="28">
        <v>310</v>
      </c>
      <c r="E10" s="26">
        <v>127</v>
      </c>
      <c r="F10" s="27">
        <f t="shared" si="7"/>
        <v>490</v>
      </c>
      <c r="G10" s="28">
        <v>617</v>
      </c>
      <c r="H10" s="173">
        <v>5</v>
      </c>
      <c r="I10" s="128">
        <f t="shared" si="0"/>
        <v>1550</v>
      </c>
      <c r="J10" s="128">
        <f t="shared" si="1"/>
        <v>3085</v>
      </c>
      <c r="K10" s="128">
        <f t="shared" si="8"/>
        <v>4635</v>
      </c>
      <c r="L10" s="129">
        <f t="shared" si="2"/>
        <v>0.007741935483870968</v>
      </c>
      <c r="M10" s="129">
        <f t="shared" si="3"/>
        <v>0.04116693679092383</v>
      </c>
      <c r="N10" s="196">
        <v>17.5</v>
      </c>
      <c r="O10" s="57">
        <f t="shared" si="9"/>
        <v>16222.5</v>
      </c>
      <c r="P10" s="58" t="str">
        <f t="shared" si="4"/>
        <v>12 / 310</v>
      </c>
      <c r="Q10" s="58" t="str">
        <f t="shared" si="5"/>
        <v>127 / 617</v>
      </c>
      <c r="T10" s="18"/>
      <c r="U10" s="18"/>
      <c r="W10" s="18"/>
      <c r="X10" s="18"/>
      <c r="Y10" s="18"/>
      <c r="Z10" s="18"/>
      <c r="AA10" s="18"/>
      <c r="AB10" s="18"/>
    </row>
    <row r="11" spans="1:28" ht="12.75" hidden="1">
      <c r="A11" s="23" t="s">
        <v>72</v>
      </c>
      <c r="B11" s="26">
        <v>0.01</v>
      </c>
      <c r="C11" s="27">
        <f t="shared" si="6"/>
        <v>4728.99</v>
      </c>
      <c r="D11" s="28">
        <v>4729</v>
      </c>
      <c r="E11" s="26">
        <v>7</v>
      </c>
      <c r="F11" s="27">
        <f t="shared" si="7"/>
        <v>4195</v>
      </c>
      <c r="G11" s="28">
        <v>4202</v>
      </c>
      <c r="H11" s="173">
        <v>8</v>
      </c>
      <c r="I11" s="128">
        <f t="shared" si="0"/>
        <v>37832</v>
      </c>
      <c r="J11" s="128">
        <f t="shared" si="1"/>
        <v>33616</v>
      </c>
      <c r="K11" s="128">
        <f t="shared" si="8"/>
        <v>71448</v>
      </c>
      <c r="L11" s="129">
        <f t="shared" si="2"/>
        <v>2.6432649608796785E-07</v>
      </c>
      <c r="M11" s="129">
        <f t="shared" si="3"/>
        <v>0.0002082341742027606</v>
      </c>
      <c r="N11" s="196">
        <v>17.5</v>
      </c>
      <c r="O11" s="57">
        <f t="shared" si="9"/>
        <v>156292.5</v>
      </c>
      <c r="P11" s="58" t="str">
        <f t="shared" si="4"/>
        <v>0,01 / 4729</v>
      </c>
      <c r="Q11" s="58" t="str">
        <f t="shared" si="5"/>
        <v>7 / 4202</v>
      </c>
      <c r="T11" s="18"/>
      <c r="U11" s="18"/>
      <c r="W11" s="18"/>
      <c r="X11" s="18"/>
      <c r="Y11" s="18"/>
      <c r="Z11" s="18"/>
      <c r="AA11" s="18"/>
      <c r="AB11" s="18"/>
    </row>
    <row r="12" spans="1:28" ht="12.75" hidden="1">
      <c r="A12" s="23" t="s">
        <v>73</v>
      </c>
      <c r="B12" s="26">
        <v>41</v>
      </c>
      <c r="C12" s="27">
        <f t="shared" si="6"/>
        <v>5863</v>
      </c>
      <c r="D12" s="28">
        <v>5904</v>
      </c>
      <c r="E12" s="26">
        <v>160</v>
      </c>
      <c r="F12" s="27">
        <f t="shared" si="7"/>
        <v>2728</v>
      </c>
      <c r="G12" s="28">
        <v>2888</v>
      </c>
      <c r="H12" s="173">
        <v>8</v>
      </c>
      <c r="I12" s="128">
        <f t="shared" si="0"/>
        <v>47232</v>
      </c>
      <c r="J12" s="128">
        <f t="shared" si="1"/>
        <v>23104</v>
      </c>
      <c r="K12" s="128">
        <f t="shared" si="8"/>
        <v>70336</v>
      </c>
      <c r="L12" s="129">
        <f t="shared" si="2"/>
        <v>0.0008680555555555555</v>
      </c>
      <c r="M12" s="129">
        <f t="shared" si="3"/>
        <v>0.006925207756232687</v>
      </c>
      <c r="N12" s="196">
        <v>17.5</v>
      </c>
      <c r="O12" s="57">
        <f t="shared" si="9"/>
        <v>153860</v>
      </c>
      <c r="P12" s="58" t="str">
        <f t="shared" si="4"/>
        <v>41 / 5904</v>
      </c>
      <c r="Q12" s="58" t="str">
        <f t="shared" si="5"/>
        <v>160 / 2888</v>
      </c>
      <c r="T12" s="18"/>
      <c r="U12" s="18"/>
      <c r="W12" s="18"/>
      <c r="X12" s="18"/>
      <c r="Y12" s="18"/>
      <c r="Z12" s="18"/>
      <c r="AA12" s="18"/>
      <c r="AB12" s="18"/>
    </row>
    <row r="13" spans="1:28" ht="12.75" hidden="1">
      <c r="A13" s="131">
        <f>COUNT(D5:D12)</f>
        <v>8</v>
      </c>
      <c r="B13" s="132">
        <f>SUM(B5:B12)</f>
        <v>6846.01</v>
      </c>
      <c r="C13" s="133">
        <v>23009</v>
      </c>
      <c r="D13" s="132">
        <f>SUM(D5:D12)</f>
        <v>7870219</v>
      </c>
      <c r="E13" s="132">
        <f>SUM(E5:E12)</f>
        <v>3469</v>
      </c>
      <c r="F13" s="133">
        <v>28669.98</v>
      </c>
      <c r="G13" s="132">
        <f>SUM(G5:G12)</f>
        <v>3759280</v>
      </c>
      <c r="H13" s="134">
        <f>K13/(D13+G13)</f>
        <v>7.2922736396469015</v>
      </c>
      <c r="I13" s="135">
        <f>SUM(I5:I12)</f>
        <v>59042612</v>
      </c>
      <c r="J13" s="135">
        <f>SUM(J5:J12)</f>
        <v>25762877</v>
      </c>
      <c r="K13" s="135">
        <f>SUM(K5:K12)</f>
        <v>84805489</v>
      </c>
      <c r="L13" s="136">
        <f t="shared" si="2"/>
        <v>0.0001159503241489384</v>
      </c>
      <c r="M13" s="136">
        <f t="shared" si="3"/>
        <v>0.00013465111058830892</v>
      </c>
      <c r="N13" s="137">
        <f>O13/(D13+G13)</f>
        <v>17.5</v>
      </c>
      <c r="O13" s="138">
        <f>SUM(O5:O12)</f>
        <v>203516232.5</v>
      </c>
      <c r="P13" s="59" t="str">
        <f t="shared" si="4"/>
        <v>6846,01 / 7870219</v>
      </c>
      <c r="Q13" s="59" t="str">
        <f t="shared" si="5"/>
        <v>3469 / 3759280</v>
      </c>
      <c r="T13" s="18"/>
      <c r="U13" s="18"/>
      <c r="W13" s="18"/>
      <c r="X13" s="18"/>
      <c r="Y13" s="18"/>
      <c r="Z13" s="18"/>
      <c r="AA13" s="18"/>
      <c r="AB13" s="18"/>
    </row>
    <row r="14" spans="2:28" ht="15.75" hidden="1" thickBot="1">
      <c r="B14" s="2"/>
      <c r="C14" s="2"/>
      <c r="E14" s="3"/>
      <c r="F14" s="25"/>
      <c r="S14" s="9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15.75" hidden="1" thickBot="1">
      <c r="A15" s="18"/>
      <c r="B15" s="29" t="s">
        <v>51</v>
      </c>
      <c r="C15" s="183">
        <v>0.0009819127442923048</v>
      </c>
      <c r="D15" s="241" t="s">
        <v>13</v>
      </c>
      <c r="E15" s="242"/>
      <c r="F15" s="243"/>
      <c r="S15" s="9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26.25" hidden="1" thickBot="1">
      <c r="A16" s="169">
        <f>I46</f>
        <v>0.00013465111058830892</v>
      </c>
      <c r="B16" s="170" t="s">
        <v>52</v>
      </c>
      <c r="C16" s="12"/>
      <c r="D16" s="10" t="s">
        <v>12</v>
      </c>
      <c r="E16" s="11" t="s">
        <v>21</v>
      </c>
      <c r="F16" s="10" t="s">
        <v>22</v>
      </c>
      <c r="S16" s="9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ht="15.75" hidden="1" thickBot="1">
      <c r="A17" s="171">
        <f>E46</f>
        <v>7.2922736396469015</v>
      </c>
      <c r="B17" s="172" t="s">
        <v>53</v>
      </c>
      <c r="C17" s="12"/>
      <c r="D17" s="184">
        <v>0.54</v>
      </c>
      <c r="E17" s="185">
        <v>0.38</v>
      </c>
      <c r="F17" s="186">
        <v>0.77</v>
      </c>
      <c r="G17" s="12"/>
      <c r="S17" s="9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ht="15.75" hidden="1" thickBot="1">
      <c r="A18" s="31"/>
      <c r="B18" s="30"/>
      <c r="C18" s="18"/>
      <c r="D18" s="18"/>
      <c r="E18" s="18"/>
      <c r="F18" s="18"/>
      <c r="G18" s="18"/>
      <c r="S18" s="9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ht="15.75" hidden="1" thickBot="1">
      <c r="A19" s="31"/>
      <c r="B19" s="32"/>
      <c r="C19" s="33"/>
      <c r="D19" s="34">
        <f>C15*D17</f>
        <v>0.0005302328819178446</v>
      </c>
      <c r="E19" s="35">
        <f>C15*E17</f>
        <v>0.0003731268428310758</v>
      </c>
      <c r="F19" s="36">
        <f>C15*F17</f>
        <v>0.0007560728131050747</v>
      </c>
      <c r="G19" s="18"/>
      <c r="S19" s="9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ht="15.75" hidden="1" thickBot="1">
      <c r="A20" s="31"/>
      <c r="B20" s="30"/>
      <c r="C20" s="18"/>
      <c r="D20" s="18"/>
      <c r="E20" s="18"/>
      <c r="F20" s="18"/>
      <c r="G20" s="18"/>
      <c r="S20" s="9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ht="15.75" hidden="1" thickBot="1">
      <c r="A21" s="31"/>
      <c r="B21" s="37"/>
      <c r="C21" s="38" t="s">
        <v>2</v>
      </c>
      <c r="D21" s="39">
        <f>C15-D19</f>
        <v>0.0004516798623744602</v>
      </c>
      <c r="E21" s="40">
        <f>C15-F19</f>
        <v>0.0002258399311872301</v>
      </c>
      <c r="F21" s="41">
        <f>C15-E19</f>
        <v>0.0006087859014612289</v>
      </c>
      <c r="G21" s="18"/>
      <c r="S21" s="9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ht="15.75" hidden="1" thickBot="1">
      <c r="A22" s="31"/>
      <c r="B22" s="42"/>
      <c r="C22" s="43" t="s">
        <v>3</v>
      </c>
      <c r="D22" s="44">
        <f>1/D21</f>
        <v>2213.9574581497745</v>
      </c>
      <c r="E22" s="45">
        <f>1/F21</f>
        <v>1642.613597982091</v>
      </c>
      <c r="F22" s="46">
        <f>1/E21</f>
        <v>4427.914916299549</v>
      </c>
      <c r="G22" s="18"/>
      <c r="S22" s="9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ht="15" hidden="1">
      <c r="A23" s="31"/>
      <c r="B23" s="30"/>
      <c r="C23" s="12"/>
      <c r="D23" s="12"/>
      <c r="E23" s="12"/>
      <c r="F23" s="12"/>
      <c r="G23" s="18"/>
      <c r="S23" s="9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ht="15" hidden="1">
      <c r="A24" s="31"/>
      <c r="B24" s="115" t="s">
        <v>4</v>
      </c>
      <c r="C24" s="116"/>
      <c r="D24" s="116"/>
      <c r="E24" s="117">
        <f>ROUND(D17,2)</f>
        <v>0.54</v>
      </c>
      <c r="F24" s="118">
        <f>ROUND(D21,4)</f>
        <v>0.0005</v>
      </c>
      <c r="G24" s="119">
        <f>ROUND(D22,0)</f>
        <v>2214</v>
      </c>
      <c r="S24" s="9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ht="15" hidden="1">
      <c r="A25" s="31"/>
      <c r="B25" s="47" t="s">
        <v>6</v>
      </c>
      <c r="C25" s="207">
        <f>ROUND(D19,5)</f>
        <v>0.00053</v>
      </c>
      <c r="D25" s="207">
        <f>ROUND(C15,5)</f>
        <v>0.00098</v>
      </c>
      <c r="E25" s="6">
        <f>ROUND(E17,2)</f>
        <v>0.38</v>
      </c>
      <c r="F25" s="7">
        <f>ROUND(E21,4)</f>
        <v>0.0002</v>
      </c>
      <c r="G25" s="8">
        <f>ROUND(E22,0)</f>
        <v>1643</v>
      </c>
      <c r="S25" s="9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ht="15" hidden="1">
      <c r="A26" s="31"/>
      <c r="B26" s="47" t="s">
        <v>5</v>
      </c>
      <c r="C26" s="14"/>
      <c r="D26" s="14"/>
      <c r="E26" s="6">
        <f>ROUND(F17,2)</f>
        <v>0.77</v>
      </c>
      <c r="F26" s="7">
        <f>ROUND(F21,4)</f>
        <v>0.0006</v>
      </c>
      <c r="G26" s="8">
        <f>ROUND(F22,0)</f>
        <v>4428</v>
      </c>
      <c r="S26" s="9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ht="15" hidden="1">
      <c r="A27" s="31"/>
      <c r="B27" s="47" t="s">
        <v>7</v>
      </c>
      <c r="C27" s="120" t="s">
        <v>54</v>
      </c>
      <c r="D27" s="120" t="s">
        <v>11</v>
      </c>
      <c r="E27" s="121" t="s">
        <v>8</v>
      </c>
      <c r="F27" s="121" t="s">
        <v>9</v>
      </c>
      <c r="G27" s="120" t="s">
        <v>3</v>
      </c>
      <c r="S27" s="9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ht="15" hidden="1">
      <c r="A28" s="31"/>
      <c r="B28" s="50" t="s">
        <v>0</v>
      </c>
      <c r="C28" s="120" t="str">
        <f>CONCATENATE(C25*100,B27)</f>
        <v>0,053%</v>
      </c>
      <c r="D28" s="120" t="str">
        <f>CONCATENATE(D25*100,B27)</f>
        <v>0,098%</v>
      </c>
      <c r="E28" s="120" t="str">
        <f>CONCATENATE(E24," ",B24,E25,B25,E26,B26)</f>
        <v>0,54 (0,38-0,77)</v>
      </c>
      <c r="F28" s="120" t="str">
        <f>CONCATENATE(F24*100,B27," ",B24,F25*100,B27," ",B28," ",F26*100,B27,B26)</f>
        <v>0,05% (0,02% a 0,06%)</v>
      </c>
      <c r="G28" s="120" t="str">
        <f>CONCATENATE(G24," ",B24,G25," ",B28," ",G26,B26)</f>
        <v>2214 (1643 a 4428)</v>
      </c>
      <c r="S28" s="9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ht="15" hidden="1">
      <c r="A29" s="51"/>
      <c r="B29" s="4"/>
      <c r="C29" s="19"/>
      <c r="D29" s="19"/>
      <c r="E29" s="19"/>
      <c r="F29" s="19"/>
      <c r="G29" s="19"/>
      <c r="S29" s="9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ht="15.75" hidden="1" thickBot="1">
      <c r="A30" s="169">
        <f>A16*A17</f>
        <v>0.0009819127442923048</v>
      </c>
      <c r="B30" s="170" t="s">
        <v>55</v>
      </c>
      <c r="C30" s="18"/>
      <c r="D30" s="18"/>
      <c r="E30" s="18"/>
      <c r="F30" s="18"/>
      <c r="G30" s="18"/>
      <c r="S30" s="9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ht="15.75" hidden="1" thickBot="1">
      <c r="A31" s="52"/>
      <c r="B31" s="18"/>
      <c r="C31" s="177" t="s">
        <v>56</v>
      </c>
      <c r="D31" s="178" t="s">
        <v>11</v>
      </c>
      <c r="E31" s="178" t="s">
        <v>8</v>
      </c>
      <c r="F31" s="178" t="s">
        <v>2</v>
      </c>
      <c r="G31" s="179" t="s">
        <v>3</v>
      </c>
      <c r="S31" s="9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ht="26.25" hidden="1" thickBot="1">
      <c r="A32" s="53"/>
      <c r="B32" s="15"/>
      <c r="C32" s="174" t="str">
        <f>C28</f>
        <v>0,053%</v>
      </c>
      <c r="D32" s="175" t="str">
        <f>D28</f>
        <v>0,098%</v>
      </c>
      <c r="E32" s="175" t="str">
        <f>E28</f>
        <v>0,54 (0,38-0,77)</v>
      </c>
      <c r="F32" s="175" t="str">
        <f>F28</f>
        <v>0,05% (0,02% a 0,06%)</v>
      </c>
      <c r="G32" s="176" t="str">
        <f>G28</f>
        <v>2214 (1643 a 4428)</v>
      </c>
      <c r="S32" s="9"/>
      <c r="T32" s="18"/>
      <c r="U32" s="18"/>
      <c r="V32" s="18"/>
      <c r="W32" s="18"/>
      <c r="X32" s="18"/>
      <c r="Y32" s="18"/>
      <c r="Z32" s="18"/>
      <c r="AA32" s="18"/>
      <c r="AB32" s="18"/>
    </row>
    <row r="33" spans="2:28" ht="15" hidden="1">
      <c r="B33" s="2"/>
      <c r="C33" s="2"/>
      <c r="E33" s="3"/>
      <c r="F33" s="25"/>
      <c r="S33" s="9"/>
      <c r="T33" s="18"/>
      <c r="U33" s="18"/>
      <c r="V33" s="18"/>
      <c r="W33" s="18"/>
      <c r="X33" s="18"/>
      <c r="Y33" s="18"/>
      <c r="Z33" s="18"/>
      <c r="AA33" s="18"/>
      <c r="AB33" s="18"/>
    </row>
    <row r="34" spans="4:28" ht="15.75" thickBot="1">
      <c r="D34" s="3"/>
      <c r="E34" s="3"/>
      <c r="S34" s="9"/>
      <c r="T34" s="18"/>
      <c r="U34" s="18"/>
      <c r="V34" s="18"/>
      <c r="W34" s="18"/>
      <c r="X34" s="18"/>
      <c r="Y34" s="18"/>
      <c r="Z34" s="18"/>
      <c r="AA34" s="18"/>
      <c r="AB34" s="18"/>
    </row>
    <row r="35" spans="1:21" ht="22.5" customHeight="1" thickBot="1">
      <c r="A35" s="203" t="s">
        <v>197</v>
      </c>
      <c r="B35" s="168" t="str">
        <f>B2</f>
        <v>CAMBIOS en diagnóstico de verrugas AG, VARONES 15 a 19 años, seguimiento 5 a 8 años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7"/>
      <c r="S35" s="9"/>
      <c r="T35" s="18"/>
      <c r="U35" s="18"/>
    </row>
    <row r="36" spans="1:21" ht="36" customHeight="1" thickBot="1">
      <c r="A36" s="229" t="s">
        <v>28</v>
      </c>
      <c r="B36" s="229" t="s">
        <v>29</v>
      </c>
      <c r="C36" s="244" t="s">
        <v>30</v>
      </c>
      <c r="D36" s="246" t="s">
        <v>31</v>
      </c>
      <c r="E36" s="229" t="s">
        <v>32</v>
      </c>
      <c r="F36" s="229" t="s">
        <v>57</v>
      </c>
      <c r="G36" s="229" t="s">
        <v>58</v>
      </c>
      <c r="H36" s="229" t="s">
        <v>61</v>
      </c>
      <c r="I36" s="229" t="s">
        <v>62</v>
      </c>
      <c r="J36" s="229" t="s">
        <v>33</v>
      </c>
      <c r="K36" s="231" t="s">
        <v>34</v>
      </c>
      <c r="L36" s="221" t="s">
        <v>35</v>
      </c>
      <c r="M36" s="222"/>
      <c r="N36" s="222"/>
      <c r="O36" s="223"/>
      <c r="S36" s="9"/>
      <c r="T36" s="18"/>
      <c r="U36" s="18"/>
    </row>
    <row r="37" spans="1:21" ht="43.5" customHeight="1" thickBot="1">
      <c r="A37" s="230"/>
      <c r="B37" s="230"/>
      <c r="C37" s="245"/>
      <c r="D37" s="247"/>
      <c r="E37" s="230"/>
      <c r="F37" s="230"/>
      <c r="G37" s="230"/>
      <c r="H37" s="230"/>
      <c r="I37" s="230"/>
      <c r="J37" s="230"/>
      <c r="K37" s="232"/>
      <c r="L37" s="187" t="s">
        <v>36</v>
      </c>
      <c r="M37" s="188" t="s">
        <v>2</v>
      </c>
      <c r="N37" s="189" t="s">
        <v>3</v>
      </c>
      <c r="O37" s="190" t="s">
        <v>37</v>
      </c>
      <c r="S37" s="9"/>
      <c r="T37" s="18"/>
      <c r="U37" s="18"/>
    </row>
    <row r="38" spans="1:21" ht="15" customHeight="1">
      <c r="A38" s="233">
        <v>8</v>
      </c>
      <c r="B38" s="127" t="str">
        <f>A5</f>
        <v>Guerra 2016, 17,5, 6y</v>
      </c>
      <c r="C38" s="60" t="s">
        <v>38</v>
      </c>
      <c r="D38" s="61"/>
      <c r="E38" s="139">
        <f aca="true" t="shared" si="10" ref="E38:E46">H5</f>
        <v>6</v>
      </c>
      <c r="F38" s="140" t="str">
        <f aca="true" t="shared" si="11" ref="F38:F46">P5</f>
        <v>1042 / 1067762</v>
      </c>
      <c r="G38" s="141">
        <f aca="true" t="shared" si="12" ref="G38:G46">L5</f>
        <v>0.0001626454834192139</v>
      </c>
      <c r="H38" s="140" t="str">
        <f aca="true" t="shared" si="13" ref="H38:H46">Q5</f>
        <v>1616 / 1610797</v>
      </c>
      <c r="I38" s="142">
        <f aca="true" t="shared" si="14" ref="I38:J46">M5</f>
        <v>0.0001672050130049493</v>
      </c>
      <c r="J38" s="143">
        <f t="shared" si="14"/>
        <v>17.5</v>
      </c>
      <c r="K38" s="113">
        <v>0.18195044914124436</v>
      </c>
      <c r="L38" s="199" t="s">
        <v>173</v>
      </c>
      <c r="M38" s="200" t="s">
        <v>174</v>
      </c>
      <c r="N38" s="200" t="s">
        <v>175</v>
      </c>
      <c r="O38" s="144"/>
      <c r="Q38" s="13">
        <v>3</v>
      </c>
      <c r="R38" s="62">
        <f>Q38*K38</f>
        <v>0.5458513474237331</v>
      </c>
      <c r="S38" s="9"/>
      <c r="T38" s="18"/>
      <c r="U38" s="18"/>
    </row>
    <row r="39" spans="1:21" ht="15" customHeight="1">
      <c r="A39" s="234"/>
      <c r="B39" s="127" t="str">
        <f aca="true" t="shared" si="15" ref="B39:B45">A6</f>
        <v>Cocchio2017, 17,5, 7y</v>
      </c>
      <c r="C39" s="60" t="s">
        <v>38</v>
      </c>
      <c r="D39" s="61"/>
      <c r="E39" s="139">
        <f t="shared" si="10"/>
        <v>7</v>
      </c>
      <c r="F39" s="140" t="str">
        <f t="shared" si="11"/>
        <v>7 / 349506</v>
      </c>
      <c r="G39" s="141">
        <f t="shared" si="12"/>
        <v>2.8611812100507572E-06</v>
      </c>
      <c r="H39" s="140" t="str">
        <f t="shared" si="13"/>
        <v>10 / 329930</v>
      </c>
      <c r="I39" s="141">
        <f t="shared" si="14"/>
        <v>4.329922797476521E-06</v>
      </c>
      <c r="J39" s="143">
        <f t="shared" si="14"/>
        <v>17.5</v>
      </c>
      <c r="K39" s="113">
        <v>0.07841425653380456</v>
      </c>
      <c r="L39" s="199" t="s">
        <v>176</v>
      </c>
      <c r="M39" s="200" t="s">
        <v>177</v>
      </c>
      <c r="N39" s="200" t="s">
        <v>178</v>
      </c>
      <c r="O39" s="114"/>
      <c r="Q39" s="13">
        <v>3</v>
      </c>
      <c r="R39" s="62">
        <f aca="true" t="shared" si="16" ref="R39:R45">Q39*K39</f>
        <v>0.23524276960141366</v>
      </c>
      <c r="S39" s="9"/>
      <c r="T39" s="18"/>
      <c r="U39" s="18"/>
    </row>
    <row r="40" spans="1:21" ht="15" customHeight="1">
      <c r="A40" s="234"/>
      <c r="B40" s="127" t="str">
        <f t="shared" si="15"/>
        <v>Herweijer 2018, 17,5, 6y</v>
      </c>
      <c r="C40" s="60" t="s">
        <v>38</v>
      </c>
      <c r="D40" s="61"/>
      <c r="E40" s="139">
        <f t="shared" si="10"/>
        <v>6</v>
      </c>
      <c r="F40" s="140" t="str">
        <f t="shared" si="11"/>
        <v>1192 / 609250</v>
      </c>
      <c r="G40" s="141">
        <f t="shared" si="12"/>
        <v>0.0003260839830392559</v>
      </c>
      <c r="H40" s="140" t="str">
        <f t="shared" si="13"/>
        <v>659 / 312630</v>
      </c>
      <c r="I40" s="141">
        <f t="shared" si="14"/>
        <v>0.00035132051733145677</v>
      </c>
      <c r="J40" s="143">
        <f t="shared" si="14"/>
        <v>17.5</v>
      </c>
      <c r="K40" s="113">
        <v>0.18118242705237655</v>
      </c>
      <c r="L40" s="199" t="s">
        <v>179</v>
      </c>
      <c r="M40" s="200" t="s">
        <v>128</v>
      </c>
      <c r="N40" s="200" t="s">
        <v>180</v>
      </c>
      <c r="O40" s="114"/>
      <c r="Q40" s="13">
        <v>3</v>
      </c>
      <c r="R40" s="62">
        <f t="shared" si="16"/>
        <v>0.5435472811571297</v>
      </c>
      <c r="S40" s="9"/>
      <c r="T40" s="18"/>
      <c r="U40" s="18"/>
    </row>
    <row r="41" spans="1:21" ht="15" customHeight="1">
      <c r="A41" s="234"/>
      <c r="B41" s="127" t="str">
        <f t="shared" si="15"/>
        <v>Flagg 2018, 17,5, 8y</v>
      </c>
      <c r="C41" s="60" t="s">
        <v>38</v>
      </c>
      <c r="D41" s="61"/>
      <c r="E41" s="139">
        <f t="shared" si="10"/>
        <v>8</v>
      </c>
      <c r="F41" s="140" t="str">
        <f t="shared" si="11"/>
        <v>4542 / 5725418</v>
      </c>
      <c r="G41" s="141">
        <f t="shared" si="12"/>
        <v>9.916306547399683E-05</v>
      </c>
      <c r="H41" s="140" t="str">
        <f t="shared" si="13"/>
        <v>876 / 1431852</v>
      </c>
      <c r="I41" s="141">
        <f t="shared" si="14"/>
        <v>7.647438422406785E-05</v>
      </c>
      <c r="J41" s="143">
        <f t="shared" si="14"/>
        <v>17.5</v>
      </c>
      <c r="K41" s="113">
        <v>0.182165880637331</v>
      </c>
      <c r="L41" s="199" t="s">
        <v>181</v>
      </c>
      <c r="M41" s="200" t="s">
        <v>182</v>
      </c>
      <c r="N41" s="200" t="s">
        <v>183</v>
      </c>
      <c r="O41" s="114"/>
      <c r="Q41" s="13">
        <v>3</v>
      </c>
      <c r="R41" s="62">
        <f t="shared" si="16"/>
        <v>0.546497641911993</v>
      </c>
      <c r="S41" s="9"/>
      <c r="T41" s="18"/>
      <c r="U41" s="18"/>
    </row>
    <row r="42" spans="1:21" ht="15" customHeight="1">
      <c r="A42" s="234"/>
      <c r="B42" s="127" t="str">
        <f t="shared" si="15"/>
        <v>Dominiak 2015, 17,5, 6y</v>
      </c>
      <c r="C42" s="60" t="s">
        <v>38</v>
      </c>
      <c r="D42" s="61"/>
      <c r="E42" s="139">
        <f t="shared" si="10"/>
        <v>6</v>
      </c>
      <c r="F42" s="140" t="str">
        <f t="shared" si="11"/>
        <v>10 / 107340</v>
      </c>
      <c r="G42" s="141">
        <f t="shared" si="12"/>
        <v>1.55269859014968E-05</v>
      </c>
      <c r="H42" s="140" t="str">
        <f t="shared" si="13"/>
        <v>14 / 66364</v>
      </c>
      <c r="I42" s="141">
        <f t="shared" si="14"/>
        <v>3.515962469612039E-05</v>
      </c>
      <c r="J42" s="143">
        <f t="shared" si="14"/>
        <v>17.5</v>
      </c>
      <c r="K42" s="113">
        <v>0.09430512661313012</v>
      </c>
      <c r="L42" s="199" t="s">
        <v>184</v>
      </c>
      <c r="M42" s="200" t="s">
        <v>75</v>
      </c>
      <c r="N42" s="200" t="s">
        <v>185</v>
      </c>
      <c r="O42" s="114"/>
      <c r="Q42" s="13">
        <v>3</v>
      </c>
      <c r="R42" s="62">
        <f t="shared" si="16"/>
        <v>0.28291537983939036</v>
      </c>
      <c r="S42" s="9"/>
      <c r="T42" s="18"/>
      <c r="U42" s="18"/>
    </row>
    <row r="43" spans="1:21" ht="15" customHeight="1">
      <c r="A43" s="234"/>
      <c r="B43" s="127" t="str">
        <f t="shared" si="15"/>
        <v>Oliphant 2017, 17,5, 5y</v>
      </c>
      <c r="C43" s="60" t="s">
        <v>38</v>
      </c>
      <c r="D43" s="61"/>
      <c r="E43" s="139">
        <f t="shared" si="10"/>
        <v>5</v>
      </c>
      <c r="F43" s="140" t="str">
        <f t="shared" si="11"/>
        <v>12 / 310</v>
      </c>
      <c r="G43" s="141">
        <f t="shared" si="12"/>
        <v>0.007741935483870968</v>
      </c>
      <c r="H43" s="140" t="str">
        <f t="shared" si="13"/>
        <v>127 / 617</v>
      </c>
      <c r="I43" s="141">
        <f t="shared" si="14"/>
        <v>0.04116693679092383</v>
      </c>
      <c r="J43" s="143">
        <f t="shared" si="14"/>
        <v>17.5</v>
      </c>
      <c r="K43" s="113">
        <v>0.12428479495645937</v>
      </c>
      <c r="L43" s="199" t="s">
        <v>186</v>
      </c>
      <c r="M43" s="200" t="s">
        <v>187</v>
      </c>
      <c r="N43" s="200" t="s">
        <v>188</v>
      </c>
      <c r="O43" s="144"/>
      <c r="Q43" s="13">
        <v>3.5</v>
      </c>
      <c r="R43" s="62">
        <f t="shared" si="16"/>
        <v>0.4349967823476078</v>
      </c>
      <c r="S43" s="9"/>
      <c r="T43" s="18"/>
      <c r="U43" s="18"/>
    </row>
    <row r="44" spans="1:21" ht="15" customHeight="1">
      <c r="A44" s="234"/>
      <c r="B44" s="127" t="str">
        <f t="shared" si="15"/>
        <v>Harrison 2014, 17,5, 8y</v>
      </c>
      <c r="C44" s="60" t="s">
        <v>38</v>
      </c>
      <c r="D44" s="61"/>
      <c r="E44" s="139">
        <f t="shared" si="10"/>
        <v>8</v>
      </c>
      <c r="F44" s="140" t="str">
        <f t="shared" si="11"/>
        <v>0,01 / 4729</v>
      </c>
      <c r="G44" s="141">
        <f t="shared" si="12"/>
        <v>2.6432649608796785E-07</v>
      </c>
      <c r="H44" s="140" t="str">
        <f t="shared" si="13"/>
        <v>7 / 4202</v>
      </c>
      <c r="I44" s="141">
        <f t="shared" si="14"/>
        <v>0.0002082341742027606</v>
      </c>
      <c r="J44" s="143">
        <f t="shared" si="14"/>
        <v>17.5</v>
      </c>
      <c r="K44" s="113">
        <v>0.00033140884528950804</v>
      </c>
      <c r="L44" s="199" t="s">
        <v>189</v>
      </c>
      <c r="M44" s="200" t="s">
        <v>190</v>
      </c>
      <c r="N44" s="200" t="s">
        <v>191</v>
      </c>
      <c r="O44" s="144"/>
      <c r="Q44" s="13">
        <v>3</v>
      </c>
      <c r="R44" s="62">
        <f t="shared" si="16"/>
        <v>0.000994226535868524</v>
      </c>
      <c r="S44" s="9"/>
      <c r="T44" s="18"/>
      <c r="U44" s="18"/>
    </row>
    <row r="45" spans="1:21" ht="15" customHeight="1" thickBot="1">
      <c r="A45" s="235"/>
      <c r="B45" s="127" t="str">
        <f t="shared" si="15"/>
        <v>Callander 2016, 17,5, 8y</v>
      </c>
      <c r="C45" s="60" t="s">
        <v>38</v>
      </c>
      <c r="D45" s="61"/>
      <c r="E45" s="139">
        <f t="shared" si="10"/>
        <v>8</v>
      </c>
      <c r="F45" s="140" t="str">
        <f t="shared" si="11"/>
        <v>41 / 5904</v>
      </c>
      <c r="G45" s="141">
        <f t="shared" si="12"/>
        <v>0.0008680555555555555</v>
      </c>
      <c r="H45" s="140" t="str">
        <f t="shared" si="13"/>
        <v>160 / 2888</v>
      </c>
      <c r="I45" s="141">
        <f t="shared" si="14"/>
        <v>0.006925207756232687</v>
      </c>
      <c r="J45" s="143">
        <f t="shared" si="14"/>
        <v>17.5</v>
      </c>
      <c r="K45" s="113">
        <v>0.15736565622036466</v>
      </c>
      <c r="L45" s="199" t="s">
        <v>192</v>
      </c>
      <c r="M45" s="200" t="s">
        <v>193</v>
      </c>
      <c r="N45" s="200" t="s">
        <v>194</v>
      </c>
      <c r="O45" s="144"/>
      <c r="Q45" s="13">
        <v>3</v>
      </c>
      <c r="R45" s="62">
        <f t="shared" si="16"/>
        <v>0.47209696866109396</v>
      </c>
      <c r="S45" s="9"/>
      <c r="T45" s="18"/>
      <c r="U45" s="18"/>
    </row>
    <row r="46" spans="1:21" ht="30.75" thickBot="1">
      <c r="A46" s="145" t="s">
        <v>39</v>
      </c>
      <c r="B46" s="146">
        <f>COUNT(E38:E45)</f>
        <v>8</v>
      </c>
      <c r="C46" s="147"/>
      <c r="D46" s="63" t="s">
        <v>196</v>
      </c>
      <c r="E46" s="148">
        <f t="shared" si="10"/>
        <v>7.2922736396469015</v>
      </c>
      <c r="F46" s="149" t="str">
        <f t="shared" si="11"/>
        <v>6846,01 / 7870219</v>
      </c>
      <c r="G46" s="150">
        <f t="shared" si="12"/>
        <v>0.0001159503241489384</v>
      </c>
      <c r="H46" s="149" t="str">
        <f t="shared" si="13"/>
        <v>3469 / 3759280</v>
      </c>
      <c r="I46" s="150">
        <f t="shared" si="14"/>
        <v>0.00013465111058830892</v>
      </c>
      <c r="J46" s="148">
        <f t="shared" si="14"/>
        <v>17.5</v>
      </c>
      <c r="K46" s="151">
        <v>0.9999999999999998</v>
      </c>
      <c r="L46" s="107" t="s">
        <v>195</v>
      </c>
      <c r="M46" s="64"/>
      <c r="N46" s="65"/>
      <c r="O46" s="66"/>
      <c r="R46" s="152">
        <f>SUM(R38:R45)</f>
        <v>3.0621423974782305</v>
      </c>
      <c r="S46" s="9"/>
      <c r="T46" s="18"/>
      <c r="U46" s="18"/>
    </row>
    <row r="47" spans="1:15" ht="13.5" thickBot="1">
      <c r="A47" s="67"/>
      <c r="B47" s="67"/>
      <c r="C47" s="68"/>
      <c r="D47" s="69"/>
      <c r="E47" s="70"/>
      <c r="F47" s="71"/>
      <c r="G47" s="72"/>
      <c r="H47" s="71"/>
      <c r="I47" s="73"/>
      <c r="J47" s="74"/>
      <c r="K47" s="75"/>
      <c r="L47" s="64"/>
      <c r="M47" s="65"/>
      <c r="N47" s="65"/>
      <c r="O47" s="75"/>
    </row>
    <row r="48" spans="1:256" ht="48" thickBot="1">
      <c r="A48" s="76"/>
      <c r="B48" s="224" t="s">
        <v>65</v>
      </c>
      <c r="C48" s="225"/>
      <c r="D48" s="225"/>
      <c r="E48" s="225"/>
      <c r="F48" s="225"/>
      <c r="G48" s="225"/>
      <c r="H48" s="225"/>
      <c r="I48" s="226"/>
      <c r="J48" s="77" t="s">
        <v>59</v>
      </c>
      <c r="K48" s="153" t="s">
        <v>63</v>
      </c>
      <c r="L48" s="78" t="s">
        <v>36</v>
      </c>
      <c r="M48" s="79" t="s">
        <v>2</v>
      </c>
      <c r="N48" s="80" t="s">
        <v>3</v>
      </c>
      <c r="O48" s="6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15" ht="31.5">
      <c r="A49" s="227" t="s">
        <v>40</v>
      </c>
      <c r="B49" s="81" t="s">
        <v>41</v>
      </c>
      <c r="C49" s="82">
        <f>I46</f>
        <v>0.00013465111058830892</v>
      </c>
      <c r="D49" s="83" t="s">
        <v>42</v>
      </c>
      <c r="E49" s="83"/>
      <c r="F49" s="83"/>
      <c r="G49" s="83"/>
      <c r="H49" s="84">
        <f>J46</f>
        <v>17.5</v>
      </c>
      <c r="I49" s="85" t="s">
        <v>43</v>
      </c>
      <c r="J49" s="86" t="s">
        <v>211</v>
      </c>
      <c r="K49" s="87" t="s">
        <v>212</v>
      </c>
      <c r="L49" s="108" t="s">
        <v>195</v>
      </c>
      <c r="M49" s="88" t="s">
        <v>205</v>
      </c>
      <c r="N49" s="204" t="s">
        <v>206</v>
      </c>
      <c r="O49" s="89" t="s">
        <v>44</v>
      </c>
    </row>
    <row r="50" spans="1:15" ht="30" customHeight="1" thickBot="1">
      <c r="A50" s="228"/>
      <c r="B50" s="154" t="s">
        <v>41</v>
      </c>
      <c r="C50" s="155">
        <f>I46*E46</f>
        <v>0.0009819127442923048</v>
      </c>
      <c r="D50" s="156" t="s">
        <v>45</v>
      </c>
      <c r="E50" s="157"/>
      <c r="F50" s="158"/>
      <c r="G50" s="159">
        <f>E46</f>
        <v>7.2922736396469015</v>
      </c>
      <c r="H50" s="156" t="s">
        <v>46</v>
      </c>
      <c r="I50" s="160"/>
      <c r="J50" s="161" t="s">
        <v>213</v>
      </c>
      <c r="K50" s="162" t="s">
        <v>214</v>
      </c>
      <c r="L50" s="163" t="s">
        <v>195</v>
      </c>
      <c r="M50" s="164" t="s">
        <v>208</v>
      </c>
      <c r="N50" s="205" t="s">
        <v>209</v>
      </c>
      <c r="O50" s="165" t="s">
        <v>76</v>
      </c>
    </row>
    <row r="51" spans="1:15" ht="19.5" thickBot="1">
      <c r="A51" s="90"/>
      <c r="B51" s="91"/>
      <c r="C51" s="92"/>
      <c r="D51" s="93"/>
      <c r="E51" s="94"/>
      <c r="F51" s="95"/>
      <c r="G51" s="96"/>
      <c r="H51" s="93"/>
      <c r="I51" s="95"/>
      <c r="J51" s="97"/>
      <c r="K51" s="97"/>
      <c r="L51" s="98"/>
      <c r="M51" s="99"/>
      <c r="N51" s="99"/>
      <c r="O51" s="100"/>
    </row>
    <row r="52" spans="1:15" ht="19.5" thickBot="1">
      <c r="A52" s="101"/>
      <c r="B52" s="101"/>
      <c r="C52" s="75"/>
      <c r="D52" s="75"/>
      <c r="E52" s="75"/>
      <c r="F52" s="75"/>
      <c r="G52" s="75"/>
      <c r="H52" s="75"/>
      <c r="I52" s="191"/>
      <c r="J52" s="192"/>
      <c r="K52" s="193" t="s">
        <v>47</v>
      </c>
      <c r="L52" s="206" t="s">
        <v>210</v>
      </c>
      <c r="M52" s="102"/>
      <c r="N52" s="103"/>
      <c r="O52" s="104"/>
    </row>
    <row r="53" spans="1:11" ht="12.75">
      <c r="A53" s="20"/>
      <c r="C53" s="2"/>
      <c r="I53" s="5" t="s">
        <v>48</v>
      </c>
      <c r="J53" s="195">
        <f>G50</f>
        <v>7.2922736396469015</v>
      </c>
      <c r="K53" s="195">
        <f>J53</f>
        <v>7.2922736396469015</v>
      </c>
    </row>
    <row r="54" spans="1:12" ht="12.75">
      <c r="A54" s="20"/>
      <c r="C54" s="2"/>
      <c r="I54" s="13"/>
      <c r="J54" s="130" t="s">
        <v>14</v>
      </c>
      <c r="K54" s="130" t="s">
        <v>15</v>
      </c>
      <c r="L54" s="130" t="s">
        <v>49</v>
      </c>
    </row>
    <row r="55" spans="9:14" ht="17.25">
      <c r="I55" s="105" t="s">
        <v>50</v>
      </c>
      <c r="J55" s="112">
        <f>J49*1000*J53</f>
        <v>0.510459154775283</v>
      </c>
      <c r="K55" s="110">
        <f>K49*1000*K53</f>
        <v>0.947995573154097</v>
      </c>
      <c r="L55" s="111">
        <f>((J55*I13)+(K55*J13))/K13</f>
        <v>0.64337740172642</v>
      </c>
      <c r="M55" s="106"/>
      <c r="N55" s="106"/>
    </row>
    <row r="56" spans="1:7" ht="12.75">
      <c r="A56" s="18"/>
      <c r="B56" s="18"/>
      <c r="C56" s="18"/>
      <c r="D56" s="18"/>
      <c r="E56" s="18"/>
      <c r="F56" s="18"/>
      <c r="G56" s="18"/>
    </row>
    <row r="57" spans="1:7" ht="12.75">
      <c r="A57" s="18"/>
      <c r="B57" s="18"/>
      <c r="C57" s="18"/>
      <c r="D57" s="18"/>
      <c r="E57" s="18"/>
      <c r="F57" s="18"/>
      <c r="G57" s="18"/>
    </row>
    <row r="58" spans="1:7" ht="12.75">
      <c r="A58" s="18"/>
      <c r="B58" s="18"/>
      <c r="C58" s="18"/>
      <c r="D58" s="18"/>
      <c r="E58" s="18"/>
      <c r="F58" s="18"/>
      <c r="G58" s="18"/>
    </row>
    <row r="59" spans="1:7" ht="12.75">
      <c r="A59" s="18"/>
      <c r="B59" s="18"/>
      <c r="C59" s="18"/>
      <c r="D59" s="18"/>
      <c r="E59" s="18"/>
      <c r="F59" s="18"/>
      <c r="G59" s="18"/>
    </row>
    <row r="60" spans="1:7" ht="12.75">
      <c r="A60" s="18"/>
      <c r="B60" s="18"/>
      <c r="C60" s="18"/>
      <c r="D60" s="18"/>
      <c r="E60" s="18"/>
      <c r="F60" s="18"/>
      <c r="G60" s="18"/>
    </row>
    <row r="61" spans="1:7" ht="12.75">
      <c r="A61" s="18"/>
      <c r="B61" s="18"/>
      <c r="C61" s="18"/>
      <c r="D61" s="18"/>
      <c r="E61" s="18"/>
      <c r="F61" s="18"/>
      <c r="G61" s="18"/>
    </row>
    <row r="62" spans="1:7" ht="12.75">
      <c r="A62" s="18"/>
      <c r="B62" s="18"/>
      <c r="C62" s="18"/>
      <c r="D62" s="18"/>
      <c r="E62" s="18"/>
      <c r="F62" s="18"/>
      <c r="G62" s="18"/>
    </row>
    <row r="63" spans="1:7" ht="12.75">
      <c r="A63" s="18"/>
      <c r="B63" s="18"/>
      <c r="C63" s="18"/>
      <c r="D63" s="18"/>
      <c r="E63" s="18"/>
      <c r="F63" s="18"/>
      <c r="G63" s="18"/>
    </row>
    <row r="64" spans="1:7" ht="12.75">
      <c r="A64" s="18"/>
      <c r="B64" s="18"/>
      <c r="C64" s="18"/>
      <c r="D64" s="18"/>
      <c r="E64" s="18"/>
      <c r="F64" s="18"/>
      <c r="G64" s="18"/>
    </row>
    <row r="65" spans="1:7" ht="12.75">
      <c r="A65" s="18"/>
      <c r="B65" s="18"/>
      <c r="C65" s="18"/>
      <c r="D65" s="18"/>
      <c r="E65" s="18"/>
      <c r="F65" s="18"/>
      <c r="G65" s="18"/>
    </row>
    <row r="66" spans="1:7" ht="12.75">
      <c r="A66" s="18"/>
      <c r="B66" s="18"/>
      <c r="C66" s="18"/>
      <c r="D66" s="18"/>
      <c r="E66" s="18"/>
      <c r="F66" s="18"/>
      <c r="G66" s="18"/>
    </row>
    <row r="67" spans="1:7" ht="12.75">
      <c r="A67" s="18"/>
      <c r="B67" s="18"/>
      <c r="C67" s="18"/>
      <c r="D67" s="18"/>
      <c r="E67" s="18"/>
      <c r="F67" s="18"/>
      <c r="G67" s="18"/>
    </row>
    <row r="68" spans="1:7" ht="12.75">
      <c r="A68" s="18"/>
      <c r="B68" s="18"/>
      <c r="C68" s="18"/>
      <c r="D68" s="18"/>
      <c r="E68" s="18"/>
      <c r="F68" s="18"/>
      <c r="G68" s="18"/>
    </row>
    <row r="69" spans="1:7" ht="12.75">
      <c r="A69" s="18"/>
      <c r="B69" s="18"/>
      <c r="C69" s="18"/>
      <c r="D69" s="18"/>
      <c r="E69" s="18"/>
      <c r="F69" s="18"/>
      <c r="G69" s="18"/>
    </row>
    <row r="70" spans="1:7" ht="12.75">
      <c r="A70" s="18"/>
      <c r="B70" s="18"/>
      <c r="C70" s="18"/>
      <c r="D70" s="18"/>
      <c r="E70" s="18"/>
      <c r="F70" s="18"/>
      <c r="G70" s="18"/>
    </row>
    <row r="71" spans="1:7" ht="12.75">
      <c r="A71" s="18"/>
      <c r="B71" s="18"/>
      <c r="C71" s="18"/>
      <c r="D71" s="18"/>
      <c r="E71" s="18"/>
      <c r="F71" s="18"/>
      <c r="G71" s="18"/>
    </row>
    <row r="72" spans="1:7" ht="12.75">
      <c r="A72" s="18"/>
      <c r="B72" s="18"/>
      <c r="C72" s="18"/>
      <c r="D72" s="18"/>
      <c r="E72" s="18"/>
      <c r="F72" s="18"/>
      <c r="G72" s="18"/>
    </row>
    <row r="73" spans="1:7" ht="12.75">
      <c r="A73" s="18"/>
      <c r="B73" s="18"/>
      <c r="C73" s="18"/>
      <c r="D73" s="18"/>
      <c r="E73" s="18"/>
      <c r="F73" s="18"/>
      <c r="G73" s="18"/>
    </row>
    <row r="74" spans="1:7" ht="12.75">
      <c r="A74" s="18"/>
      <c r="B74" s="18"/>
      <c r="C74" s="18"/>
      <c r="D74" s="18"/>
      <c r="E74" s="18"/>
      <c r="F74" s="18"/>
      <c r="G74" s="18"/>
    </row>
  </sheetData>
  <sheetProtection/>
  <mergeCells count="20">
    <mergeCell ref="B3:D3"/>
    <mergeCell ref="E3:G3"/>
    <mergeCell ref="I3:K3"/>
    <mergeCell ref="L3:M3"/>
    <mergeCell ref="D15:F15"/>
    <mergeCell ref="A36:A37"/>
    <mergeCell ref="B36:B37"/>
    <mergeCell ref="C36:C37"/>
    <mergeCell ref="D36:D37"/>
    <mergeCell ref="E36:E37"/>
    <mergeCell ref="L36:O36"/>
    <mergeCell ref="B48:I48"/>
    <mergeCell ref="A49:A50"/>
    <mergeCell ref="F36:F37"/>
    <mergeCell ref="G36:G37"/>
    <mergeCell ref="H36:H37"/>
    <mergeCell ref="I36:I37"/>
    <mergeCell ref="J36:J37"/>
    <mergeCell ref="K36:K37"/>
    <mergeCell ref="A38:A45"/>
  </mergeCells>
  <printOptions/>
  <pageMargins left="0.75" right="0.75" top="1" bottom="1" header="0.5" footer="0.5"/>
  <pageSetup horizontalDpi="300" verticalDpi="300" orientation="portrait" paperSize="9" r:id="rId1"/>
  <ignoredErrors>
    <ignoredError sqref="H13" formula="1"/>
    <ignoredError sqref="J49:K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U74"/>
  <sheetViews>
    <sheetView zoomScalePageLayoutView="0" workbookViewId="0" topLeftCell="A1">
      <selection activeCell="A1" sqref="A1"/>
    </sheetView>
  </sheetViews>
  <sheetFormatPr defaultColWidth="16.00390625" defaultRowHeight="12.75"/>
  <cols>
    <col min="1" max="1" width="21.421875" style="2" customWidth="1"/>
    <col min="2" max="2" width="23.421875" style="20" customWidth="1"/>
    <col min="3" max="3" width="15.00390625" style="20" customWidth="1"/>
    <col min="4" max="4" width="15.140625" style="2" customWidth="1"/>
    <col min="5" max="5" width="16.00390625" style="2" customWidth="1"/>
    <col min="6" max="6" width="16.140625" style="2" customWidth="1"/>
    <col min="7" max="7" width="17.140625" style="2" customWidth="1"/>
    <col min="8" max="8" width="15.28125" style="2" customWidth="1"/>
    <col min="9" max="9" width="12.7109375" style="2" customWidth="1"/>
    <col min="10" max="10" width="15.140625" style="2" customWidth="1"/>
    <col min="11" max="11" width="15.28125" style="2" customWidth="1"/>
    <col min="12" max="12" width="23.8515625" style="2" customWidth="1"/>
    <col min="13" max="13" width="25.421875" style="2" customWidth="1"/>
    <col min="14" max="14" width="21.140625" style="2" customWidth="1"/>
    <col min="15" max="15" width="16.7109375" style="2" customWidth="1"/>
    <col min="16" max="16" width="16.00390625" style="2" customWidth="1"/>
    <col min="17" max="17" width="13.8515625" style="2" customWidth="1"/>
    <col min="18" max="18" width="16.00390625" style="2" customWidth="1"/>
    <col min="19" max="16384" width="16.00390625" style="2" customWidth="1"/>
  </cols>
  <sheetData>
    <row r="1" spans="19:27" ht="12.75">
      <c r="S1" s="18"/>
      <c r="T1" s="18"/>
      <c r="U1" s="18"/>
      <c r="V1" s="18"/>
      <c r="W1" s="18"/>
      <c r="X1" s="18"/>
      <c r="Y1" s="18"/>
      <c r="Z1" s="18"/>
      <c r="AA1" s="18"/>
    </row>
    <row r="2" spans="1:27" ht="12.75" hidden="1">
      <c r="A2" s="194" t="s">
        <v>64</v>
      </c>
      <c r="B2" s="180" t="str">
        <f>A4</f>
        <v>CAMBIOS en diagnóstico de verrugas AG, VARONES 20 a 24 años, seguimiento 5 a 8 años</v>
      </c>
      <c r="C2" s="181"/>
      <c r="D2" s="182"/>
      <c r="E2" s="182"/>
      <c r="F2" s="182"/>
      <c r="G2" s="182"/>
      <c r="O2" s="16"/>
      <c r="P2" s="17"/>
      <c r="Q2" s="1"/>
      <c r="S2" s="18"/>
      <c r="T2" s="18"/>
      <c r="U2" s="18"/>
      <c r="V2" s="18"/>
      <c r="W2" s="18"/>
      <c r="X2" s="18"/>
      <c r="Y2" s="18"/>
      <c r="Z2" s="18"/>
      <c r="AA2" s="18"/>
    </row>
    <row r="3" spans="1:27" ht="25.5" hidden="1">
      <c r="A3" s="21" t="s">
        <v>16</v>
      </c>
      <c r="B3" s="236" t="s">
        <v>17</v>
      </c>
      <c r="C3" s="236"/>
      <c r="D3" s="236"/>
      <c r="E3" s="237" t="s">
        <v>18</v>
      </c>
      <c r="F3" s="237"/>
      <c r="G3" s="237"/>
      <c r="H3" s="122" t="s">
        <v>23</v>
      </c>
      <c r="I3" s="238" t="s">
        <v>24</v>
      </c>
      <c r="J3" s="239"/>
      <c r="K3" s="240"/>
      <c r="L3" s="238" t="s">
        <v>25</v>
      </c>
      <c r="M3" s="240"/>
      <c r="N3" s="123" t="s">
        <v>26</v>
      </c>
      <c r="O3" s="17"/>
      <c r="S3" s="18"/>
      <c r="T3" s="18"/>
      <c r="V3" s="18"/>
      <c r="W3" s="18"/>
      <c r="X3" s="18"/>
      <c r="Y3" s="18"/>
      <c r="Z3" s="18"/>
      <c r="AA3" s="18"/>
    </row>
    <row r="4" spans="1:27" ht="51" hidden="1">
      <c r="A4" s="22" t="s">
        <v>202</v>
      </c>
      <c r="B4" s="198" t="s">
        <v>19</v>
      </c>
      <c r="C4" s="198" t="s">
        <v>20</v>
      </c>
      <c r="D4" s="198" t="s">
        <v>1</v>
      </c>
      <c r="E4" s="197" t="s">
        <v>19</v>
      </c>
      <c r="F4" s="197" t="s">
        <v>20</v>
      </c>
      <c r="G4" s="197" t="s">
        <v>1</v>
      </c>
      <c r="H4" s="124" t="s">
        <v>27</v>
      </c>
      <c r="I4" s="55" t="s">
        <v>14</v>
      </c>
      <c r="J4" s="56" t="s">
        <v>15</v>
      </c>
      <c r="K4" s="55" t="s">
        <v>1</v>
      </c>
      <c r="L4" s="125" t="s">
        <v>14</v>
      </c>
      <c r="M4" s="126" t="s">
        <v>60</v>
      </c>
      <c r="N4" s="54" t="s">
        <v>27</v>
      </c>
      <c r="O4" s="17"/>
      <c r="P4" s="2" t="s">
        <v>10</v>
      </c>
      <c r="Q4" s="2" t="s">
        <v>10</v>
      </c>
      <c r="S4" s="18"/>
      <c r="T4" s="18"/>
      <c r="V4" s="18"/>
      <c r="W4" s="18"/>
      <c r="X4" s="18"/>
      <c r="Y4" s="18"/>
      <c r="Z4" s="18"/>
      <c r="AA4" s="18"/>
    </row>
    <row r="5" spans="1:27" ht="12.75" hidden="1">
      <c r="A5" s="23" t="s">
        <v>77</v>
      </c>
      <c r="B5" s="26">
        <v>1676</v>
      </c>
      <c r="C5" s="27">
        <f>D5-B5</f>
        <v>596248</v>
      </c>
      <c r="D5" s="28">
        <v>597924</v>
      </c>
      <c r="E5" s="26">
        <v>2192</v>
      </c>
      <c r="F5" s="27">
        <f>G5-E5</f>
        <v>802510</v>
      </c>
      <c r="G5" s="28">
        <v>804702</v>
      </c>
      <c r="H5" s="173">
        <v>6</v>
      </c>
      <c r="I5" s="128">
        <f aca="true" t="shared" si="0" ref="I5:I12">D5*H5</f>
        <v>3587544</v>
      </c>
      <c r="J5" s="128">
        <f aca="true" t="shared" si="1" ref="J5:J12">G5*H5</f>
        <v>4828212</v>
      </c>
      <c r="K5" s="128">
        <f>I5+J5</f>
        <v>8415756</v>
      </c>
      <c r="L5" s="129">
        <f aca="true" t="shared" si="2" ref="L5:L13">B5/I5</f>
        <v>0.0004671719705737407</v>
      </c>
      <c r="M5" s="129">
        <f aca="true" t="shared" si="3" ref="M5:M13">E5/J5</f>
        <v>0.00045399829170715783</v>
      </c>
      <c r="N5" s="196">
        <v>22.5</v>
      </c>
      <c r="O5" s="213">
        <f>N5*(D5+G5)</f>
        <v>31559085</v>
      </c>
      <c r="P5" s="58" t="str">
        <f aca="true" t="shared" si="4" ref="P5:P13">CONCATENATE(B5," ",$P$4," ",D5)</f>
        <v>1676 / 597924</v>
      </c>
      <c r="Q5" s="58" t="str">
        <f aca="true" t="shared" si="5" ref="Q5:Q13">CONCATENATE(E5," ",$Q$4," ",G5)</f>
        <v>2192 / 804702</v>
      </c>
      <c r="S5" s="18"/>
      <c r="T5" s="18"/>
      <c r="V5" s="18"/>
      <c r="W5" s="18"/>
      <c r="X5" s="18"/>
      <c r="Y5" s="18"/>
      <c r="Z5" s="18"/>
      <c r="AA5" s="18"/>
    </row>
    <row r="6" spans="1:27" ht="12.75" hidden="1">
      <c r="A6" s="23" t="s">
        <v>83</v>
      </c>
      <c r="B6" s="26">
        <v>72</v>
      </c>
      <c r="C6" s="27">
        <f aca="true" t="shared" si="6" ref="C6:C12">D6-B6</f>
        <v>356414</v>
      </c>
      <c r="D6" s="28">
        <v>356486</v>
      </c>
      <c r="E6" s="26">
        <v>72</v>
      </c>
      <c r="F6" s="27">
        <f aca="true" t="shared" si="7" ref="F6:F12">G6-E6</f>
        <v>347807</v>
      </c>
      <c r="G6" s="28">
        <v>347879</v>
      </c>
      <c r="H6" s="173">
        <v>7</v>
      </c>
      <c r="I6" s="128">
        <f t="shared" si="0"/>
        <v>2495402</v>
      </c>
      <c r="J6" s="128">
        <f t="shared" si="1"/>
        <v>2435153</v>
      </c>
      <c r="K6" s="128">
        <f aca="true" t="shared" si="8" ref="K6:K12">I6+J6</f>
        <v>4930555</v>
      </c>
      <c r="L6" s="129">
        <f t="shared" si="2"/>
        <v>2.8853066560017185E-05</v>
      </c>
      <c r="M6" s="129">
        <f t="shared" si="3"/>
        <v>2.9566930702095515E-05</v>
      </c>
      <c r="N6" s="196">
        <v>22.5</v>
      </c>
      <c r="O6" s="213">
        <f aca="true" t="shared" si="9" ref="O6:O12">N6*(D6+G6)</f>
        <v>15848212.5</v>
      </c>
      <c r="P6" s="58" t="str">
        <f t="shared" si="4"/>
        <v>72 / 356486</v>
      </c>
      <c r="Q6" s="58" t="str">
        <f t="shared" si="5"/>
        <v>72 / 347879</v>
      </c>
      <c r="S6" s="18"/>
      <c r="T6" s="18"/>
      <c r="V6" s="18"/>
      <c r="W6" s="18"/>
      <c r="X6" s="18"/>
      <c r="Y6" s="18"/>
      <c r="Z6" s="18"/>
      <c r="AA6" s="18"/>
    </row>
    <row r="7" spans="1:27" ht="12.75" hidden="1">
      <c r="A7" s="23" t="s">
        <v>78</v>
      </c>
      <c r="B7" s="26">
        <v>6100</v>
      </c>
      <c r="C7" s="27">
        <f t="shared" si="6"/>
        <v>659077</v>
      </c>
      <c r="D7" s="28">
        <v>665177</v>
      </c>
      <c r="E7" s="26">
        <v>2953</v>
      </c>
      <c r="F7" s="27">
        <f t="shared" si="7"/>
        <v>270540</v>
      </c>
      <c r="G7" s="28">
        <v>273493</v>
      </c>
      <c r="H7" s="173">
        <v>6</v>
      </c>
      <c r="I7" s="128">
        <f t="shared" si="0"/>
        <v>3991062</v>
      </c>
      <c r="J7" s="128">
        <f t="shared" si="1"/>
        <v>1640958</v>
      </c>
      <c r="K7" s="128">
        <f t="shared" si="8"/>
        <v>5632020</v>
      </c>
      <c r="L7" s="129">
        <f t="shared" si="2"/>
        <v>0.0015284152438624105</v>
      </c>
      <c r="M7" s="129">
        <f t="shared" si="3"/>
        <v>0.0017995585505540057</v>
      </c>
      <c r="N7" s="196">
        <v>22.5</v>
      </c>
      <c r="O7" s="213">
        <f t="shared" si="9"/>
        <v>21120075</v>
      </c>
      <c r="P7" s="58" t="str">
        <f t="shared" si="4"/>
        <v>6100 / 665177</v>
      </c>
      <c r="Q7" s="58" t="str">
        <f t="shared" si="5"/>
        <v>2953 / 273493</v>
      </c>
      <c r="S7" s="18"/>
      <c r="T7" s="18"/>
      <c r="V7" s="18"/>
      <c r="W7" s="18"/>
      <c r="X7" s="18"/>
      <c r="Y7" s="18"/>
      <c r="Z7" s="18"/>
      <c r="AA7" s="18"/>
    </row>
    <row r="8" spans="1:27" ht="12.75" hidden="1">
      <c r="A8" s="23" t="s">
        <v>79</v>
      </c>
      <c r="B8" s="26">
        <v>21730</v>
      </c>
      <c r="C8" s="27">
        <f t="shared" si="6"/>
        <v>5309021</v>
      </c>
      <c r="D8" s="28">
        <v>5330751</v>
      </c>
      <c r="E8" s="26">
        <v>2379</v>
      </c>
      <c r="F8" s="27">
        <f t="shared" si="7"/>
        <v>845390</v>
      </c>
      <c r="G8" s="28">
        <v>847769</v>
      </c>
      <c r="H8" s="173">
        <v>8</v>
      </c>
      <c r="I8" s="128">
        <f t="shared" si="0"/>
        <v>42646008</v>
      </c>
      <c r="J8" s="128">
        <f t="shared" si="1"/>
        <v>6782152</v>
      </c>
      <c r="K8" s="128">
        <f t="shared" si="8"/>
        <v>49428160</v>
      </c>
      <c r="L8" s="129">
        <f t="shared" si="2"/>
        <v>0.0005095435896368073</v>
      </c>
      <c r="M8" s="129">
        <f t="shared" si="3"/>
        <v>0.0003507736187569963</v>
      </c>
      <c r="N8" s="196">
        <v>22.5</v>
      </c>
      <c r="O8" s="213">
        <f t="shared" si="9"/>
        <v>139016700</v>
      </c>
      <c r="P8" s="58" t="str">
        <f t="shared" si="4"/>
        <v>21730 / 5330751</v>
      </c>
      <c r="Q8" s="58" t="str">
        <f t="shared" si="5"/>
        <v>2379 / 847769</v>
      </c>
      <c r="S8" s="18"/>
      <c r="T8" s="18"/>
      <c r="V8" s="18"/>
      <c r="W8" s="18"/>
      <c r="X8" s="18"/>
      <c r="Y8" s="18"/>
      <c r="Z8" s="18"/>
      <c r="AA8" s="18"/>
    </row>
    <row r="9" spans="1:27" ht="12.75" hidden="1">
      <c r="A9" s="23" t="s">
        <v>80</v>
      </c>
      <c r="B9" s="26">
        <v>93</v>
      </c>
      <c r="C9" s="27">
        <f t="shared" si="6"/>
        <v>137291</v>
      </c>
      <c r="D9" s="28">
        <v>137384</v>
      </c>
      <c r="E9" s="26">
        <v>86</v>
      </c>
      <c r="F9" s="27">
        <f t="shared" si="7"/>
        <v>71539</v>
      </c>
      <c r="G9" s="28">
        <v>71625</v>
      </c>
      <c r="H9" s="173">
        <v>6</v>
      </c>
      <c r="I9" s="128">
        <f t="shared" si="0"/>
        <v>824304</v>
      </c>
      <c r="J9" s="128">
        <f t="shared" si="1"/>
        <v>429750</v>
      </c>
      <c r="K9" s="128">
        <f t="shared" si="8"/>
        <v>1254054</v>
      </c>
      <c r="L9" s="129">
        <f t="shared" si="2"/>
        <v>0.00011282245385197694</v>
      </c>
      <c r="M9" s="129">
        <f t="shared" si="3"/>
        <v>0.00020011634671320534</v>
      </c>
      <c r="N9" s="196">
        <v>22.5</v>
      </c>
      <c r="O9" s="213">
        <f t="shared" si="9"/>
        <v>4702702.5</v>
      </c>
      <c r="P9" s="58" t="str">
        <f t="shared" si="4"/>
        <v>93 / 137384</v>
      </c>
      <c r="Q9" s="58" t="str">
        <f t="shared" si="5"/>
        <v>86 / 71625</v>
      </c>
      <c r="S9" s="18"/>
      <c r="T9" s="18"/>
      <c r="V9" s="18"/>
      <c r="W9" s="18"/>
      <c r="X9" s="18"/>
      <c r="Y9" s="18"/>
      <c r="Z9" s="18"/>
      <c r="AA9" s="18"/>
    </row>
    <row r="10" spans="1:27" ht="12.75" hidden="1">
      <c r="A10" s="23" t="s">
        <v>81</v>
      </c>
      <c r="B10" s="26">
        <v>88</v>
      </c>
      <c r="C10" s="27">
        <f t="shared" si="6"/>
        <v>837</v>
      </c>
      <c r="D10" s="28">
        <v>925</v>
      </c>
      <c r="E10" s="26">
        <v>294</v>
      </c>
      <c r="F10" s="27">
        <f t="shared" si="7"/>
        <v>1127</v>
      </c>
      <c r="G10" s="28">
        <v>1421</v>
      </c>
      <c r="H10" s="173">
        <v>5</v>
      </c>
      <c r="I10" s="128">
        <f t="shared" si="0"/>
        <v>4625</v>
      </c>
      <c r="J10" s="128">
        <f t="shared" si="1"/>
        <v>7105</v>
      </c>
      <c r="K10" s="128">
        <f t="shared" si="8"/>
        <v>11730</v>
      </c>
      <c r="L10" s="129">
        <f t="shared" si="2"/>
        <v>0.01902702702702703</v>
      </c>
      <c r="M10" s="129">
        <f t="shared" si="3"/>
        <v>0.041379310344827586</v>
      </c>
      <c r="N10" s="196">
        <v>22.5</v>
      </c>
      <c r="O10" s="213">
        <f t="shared" si="9"/>
        <v>52785</v>
      </c>
      <c r="P10" s="58" t="str">
        <f t="shared" si="4"/>
        <v>88 / 925</v>
      </c>
      <c r="Q10" s="58" t="str">
        <f t="shared" si="5"/>
        <v>294 / 1421</v>
      </c>
      <c r="S10" s="18"/>
      <c r="T10" s="18"/>
      <c r="V10" s="18"/>
      <c r="W10" s="18"/>
      <c r="X10" s="18"/>
      <c r="Y10" s="18"/>
      <c r="Z10" s="18"/>
      <c r="AA10" s="18"/>
    </row>
    <row r="11" spans="1:27" ht="12.75" hidden="1">
      <c r="A11" s="23" t="s">
        <v>82</v>
      </c>
      <c r="B11" s="26">
        <v>21</v>
      </c>
      <c r="C11" s="27">
        <f t="shared" si="6"/>
        <v>5577</v>
      </c>
      <c r="D11" s="28">
        <v>5598</v>
      </c>
      <c r="E11" s="26">
        <v>39</v>
      </c>
      <c r="F11" s="27">
        <f t="shared" si="7"/>
        <v>5110</v>
      </c>
      <c r="G11" s="28">
        <v>5149</v>
      </c>
      <c r="H11" s="173">
        <v>8</v>
      </c>
      <c r="I11" s="128">
        <f t="shared" si="0"/>
        <v>44784</v>
      </c>
      <c r="J11" s="128">
        <f t="shared" si="1"/>
        <v>41192</v>
      </c>
      <c r="K11" s="128">
        <f t="shared" si="8"/>
        <v>85976</v>
      </c>
      <c r="L11" s="129">
        <f t="shared" si="2"/>
        <v>0.00046891747052518756</v>
      </c>
      <c r="M11" s="129">
        <f t="shared" si="3"/>
        <v>0.0009467857836473101</v>
      </c>
      <c r="N11" s="196">
        <v>22.5</v>
      </c>
      <c r="O11" s="213">
        <f t="shared" si="9"/>
        <v>241807.5</v>
      </c>
      <c r="P11" s="58" t="str">
        <f t="shared" si="4"/>
        <v>21 / 5598</v>
      </c>
      <c r="Q11" s="58" t="str">
        <f t="shared" si="5"/>
        <v>39 / 5149</v>
      </c>
      <c r="S11" s="18"/>
      <c r="T11" s="18"/>
      <c r="V11" s="18"/>
      <c r="W11" s="18"/>
      <c r="X11" s="18"/>
      <c r="Y11" s="18"/>
      <c r="Z11" s="18"/>
      <c r="AA11" s="18"/>
    </row>
    <row r="12" spans="1:27" ht="12.75" hidden="1">
      <c r="A12" s="23" t="s">
        <v>84</v>
      </c>
      <c r="B12" s="26">
        <v>426</v>
      </c>
      <c r="C12" s="27">
        <f t="shared" si="6"/>
        <v>10985</v>
      </c>
      <c r="D12" s="28">
        <v>11411</v>
      </c>
      <c r="E12" s="26">
        <v>1049</v>
      </c>
      <c r="F12" s="27">
        <f t="shared" si="7"/>
        <v>6076</v>
      </c>
      <c r="G12" s="28">
        <v>7125</v>
      </c>
      <c r="H12" s="173">
        <v>8</v>
      </c>
      <c r="I12" s="128">
        <f t="shared" si="0"/>
        <v>91288</v>
      </c>
      <c r="J12" s="128">
        <f t="shared" si="1"/>
        <v>57000</v>
      </c>
      <c r="K12" s="128">
        <f t="shared" si="8"/>
        <v>148288</v>
      </c>
      <c r="L12" s="129">
        <f t="shared" si="2"/>
        <v>0.004666549820348786</v>
      </c>
      <c r="M12" s="129">
        <f t="shared" si="3"/>
        <v>0.018403508771929825</v>
      </c>
      <c r="N12" s="196">
        <v>22.5</v>
      </c>
      <c r="O12" s="213">
        <f t="shared" si="9"/>
        <v>417060</v>
      </c>
      <c r="P12" s="58" t="str">
        <f t="shared" si="4"/>
        <v>426 / 11411</v>
      </c>
      <c r="Q12" s="58" t="str">
        <f t="shared" si="5"/>
        <v>1049 / 7125</v>
      </c>
      <c r="S12" s="18"/>
      <c r="T12" s="18"/>
      <c r="V12" s="18"/>
      <c r="W12" s="18"/>
      <c r="X12" s="18"/>
      <c r="Y12" s="18"/>
      <c r="Z12" s="18"/>
      <c r="AA12" s="18"/>
    </row>
    <row r="13" spans="1:27" ht="12.75" hidden="1">
      <c r="A13" s="131">
        <f>COUNT(D5:D12)</f>
        <v>8</v>
      </c>
      <c r="B13" s="132">
        <f>SUM(B5:B12)</f>
        <v>30206</v>
      </c>
      <c r="C13" s="133">
        <v>23009</v>
      </c>
      <c r="D13" s="132">
        <f>SUM(D5:D12)</f>
        <v>7105656</v>
      </c>
      <c r="E13" s="132">
        <f>SUM(E5:E12)</f>
        <v>9064</v>
      </c>
      <c r="F13" s="133">
        <v>28669.98</v>
      </c>
      <c r="G13" s="132">
        <f>SUM(G5:G12)</f>
        <v>2359163</v>
      </c>
      <c r="H13" s="134">
        <f>K13/(D13+G13)</f>
        <v>7.385935114025952</v>
      </c>
      <c r="I13" s="135">
        <f>SUM(I5:I12)</f>
        <v>53685017</v>
      </c>
      <c r="J13" s="135">
        <f>SUM(J5:J12)</f>
        <v>16221522</v>
      </c>
      <c r="K13" s="135">
        <f>SUM(K5:K12)</f>
        <v>69906539</v>
      </c>
      <c r="L13" s="136">
        <f t="shared" si="2"/>
        <v>0.0005626523318414894</v>
      </c>
      <c r="M13" s="136">
        <f t="shared" si="3"/>
        <v>0.0005587638447243113</v>
      </c>
      <c r="N13" s="137">
        <f>O13/(D13+G13)</f>
        <v>22.5</v>
      </c>
      <c r="O13" s="214">
        <f>SUM(O5:O12)</f>
        <v>212958427.5</v>
      </c>
      <c r="P13" s="59" t="str">
        <f t="shared" si="4"/>
        <v>30206 / 7105656</v>
      </c>
      <c r="Q13" s="59" t="str">
        <f t="shared" si="5"/>
        <v>9064 / 2359163</v>
      </c>
      <c r="S13" s="18"/>
      <c r="T13" s="18"/>
      <c r="V13" s="18"/>
      <c r="W13" s="18"/>
      <c r="X13" s="18"/>
      <c r="Y13" s="18"/>
      <c r="Z13" s="18"/>
      <c r="AA13" s="18"/>
    </row>
    <row r="14" spans="2:27" ht="13.5" hidden="1" thickBot="1">
      <c r="B14" s="2"/>
      <c r="C14" s="2"/>
      <c r="E14" s="3"/>
      <c r="F14" s="25"/>
      <c r="S14" s="18"/>
      <c r="T14" s="18"/>
      <c r="U14" s="18"/>
      <c r="V14" s="18"/>
      <c r="W14" s="18"/>
      <c r="X14" s="18"/>
      <c r="Y14" s="18"/>
      <c r="Z14" s="18"/>
      <c r="AA14" s="18"/>
    </row>
    <row r="15" spans="1:27" ht="13.5" hidden="1" thickBot="1">
      <c r="A15" s="18"/>
      <c r="B15" s="29" t="s">
        <v>51</v>
      </c>
      <c r="C15" s="183">
        <v>0.004126993501197436</v>
      </c>
      <c r="D15" s="241" t="s">
        <v>13</v>
      </c>
      <c r="E15" s="242"/>
      <c r="F15" s="243"/>
      <c r="S15" s="18"/>
      <c r="T15" s="18"/>
      <c r="U15" s="18"/>
      <c r="V15" s="18"/>
      <c r="W15" s="18"/>
      <c r="X15" s="18"/>
      <c r="Y15" s="18"/>
      <c r="Z15" s="18"/>
      <c r="AA15" s="18"/>
    </row>
    <row r="16" spans="1:27" ht="26.25" hidden="1" thickBot="1">
      <c r="A16" s="169">
        <f>I46</f>
        <v>0.0005587638447243113</v>
      </c>
      <c r="B16" s="170" t="s">
        <v>52</v>
      </c>
      <c r="C16" s="12"/>
      <c r="D16" s="10" t="s">
        <v>12</v>
      </c>
      <c r="E16" s="11" t="s">
        <v>21</v>
      </c>
      <c r="F16" s="10" t="s">
        <v>22</v>
      </c>
      <c r="S16" s="18"/>
      <c r="T16" s="18"/>
      <c r="U16" s="18"/>
      <c r="V16" s="18"/>
      <c r="W16" s="18"/>
      <c r="X16" s="18"/>
      <c r="Y16" s="18"/>
      <c r="Z16" s="18"/>
      <c r="AA16" s="18"/>
    </row>
    <row r="17" spans="1:27" ht="13.5" hidden="1" thickBot="1">
      <c r="A17" s="171">
        <f>E46</f>
        <v>7.385935114025952</v>
      </c>
      <c r="B17" s="172" t="s">
        <v>53</v>
      </c>
      <c r="C17" s="12"/>
      <c r="D17" s="184">
        <v>0.68</v>
      </c>
      <c r="E17" s="185">
        <v>0.47</v>
      </c>
      <c r="F17" s="186">
        <v>0.98</v>
      </c>
      <c r="G17" s="12"/>
      <c r="S17" s="18"/>
      <c r="T17" s="18"/>
      <c r="U17" s="18"/>
      <c r="V17" s="18"/>
      <c r="W17" s="18"/>
      <c r="X17" s="18"/>
      <c r="Y17" s="18"/>
      <c r="Z17" s="18"/>
      <c r="AA17" s="18"/>
    </row>
    <row r="18" spans="1:27" ht="12.75" hidden="1">
      <c r="A18" s="31"/>
      <c r="B18" s="30"/>
      <c r="C18" s="18"/>
      <c r="D18" s="18"/>
      <c r="E18" s="18"/>
      <c r="F18" s="18"/>
      <c r="G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ht="13.5" hidden="1" thickBot="1">
      <c r="A19" s="31"/>
      <c r="B19" s="32"/>
      <c r="C19" s="33"/>
      <c r="D19" s="34">
        <f>C15*D17</f>
        <v>0.0028063555808142565</v>
      </c>
      <c r="E19" s="35">
        <f>C15*E17</f>
        <v>0.0019396869455627947</v>
      </c>
      <c r="F19" s="36">
        <f>C15*F17</f>
        <v>0.004044453631173487</v>
      </c>
      <c r="G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ht="12.75" hidden="1">
      <c r="A20" s="31"/>
      <c r="B20" s="30"/>
      <c r="C20" s="18"/>
      <c r="D20" s="18"/>
      <c r="E20" s="18"/>
      <c r="F20" s="18"/>
      <c r="G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3.5" hidden="1" thickBot="1">
      <c r="A21" s="31"/>
      <c r="B21" s="37"/>
      <c r="C21" s="38" t="s">
        <v>2</v>
      </c>
      <c r="D21" s="39">
        <f>C15-D19</f>
        <v>0.0013206379203831793</v>
      </c>
      <c r="E21" s="40">
        <f>C15-F19</f>
        <v>8.253987002394911E-05</v>
      </c>
      <c r="F21" s="41">
        <f>C15-E19</f>
        <v>0.002187306555634641</v>
      </c>
      <c r="G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13.5" hidden="1" thickBot="1">
      <c r="A22" s="31"/>
      <c r="B22" s="42"/>
      <c r="C22" s="43" t="s">
        <v>3</v>
      </c>
      <c r="D22" s="44">
        <f>1/D21</f>
        <v>757.2098185018441</v>
      </c>
      <c r="E22" s="45">
        <f>1/F21</f>
        <v>457.18328664262276</v>
      </c>
      <c r="F22" s="46">
        <f>1/E21</f>
        <v>12115.357096029446</v>
      </c>
      <c r="G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ht="12.75" hidden="1">
      <c r="A23" s="31"/>
      <c r="B23" s="30"/>
      <c r="C23" s="12"/>
      <c r="D23" s="12"/>
      <c r="E23" s="12"/>
      <c r="F23" s="12"/>
      <c r="G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ht="12.75" hidden="1">
      <c r="A24" s="31"/>
      <c r="B24" s="115" t="s">
        <v>4</v>
      </c>
      <c r="C24" s="116"/>
      <c r="D24" s="116"/>
      <c r="E24" s="117">
        <f>ROUND(D17,2)</f>
        <v>0.68</v>
      </c>
      <c r="F24" s="118">
        <f>ROUND(D21,4)</f>
        <v>0.0013</v>
      </c>
      <c r="G24" s="119">
        <f>ROUND(D22,0)</f>
        <v>757</v>
      </c>
      <c r="S24" s="18"/>
      <c r="T24" s="18"/>
      <c r="U24" s="18"/>
      <c r="V24" s="18"/>
      <c r="W24" s="18"/>
      <c r="X24" s="18"/>
      <c r="Y24" s="18"/>
      <c r="Z24" s="18"/>
      <c r="AA24" s="18"/>
    </row>
    <row r="25" spans="1:27" ht="12.75" hidden="1">
      <c r="A25" s="31"/>
      <c r="B25" s="47" t="s">
        <v>6</v>
      </c>
      <c r="C25" s="48">
        <f>ROUND(D19,4)</f>
        <v>0.0028</v>
      </c>
      <c r="D25" s="49">
        <f>ROUND(C15,4)</f>
        <v>0.0041</v>
      </c>
      <c r="E25" s="6">
        <f>ROUND(E17,2)</f>
        <v>0.47</v>
      </c>
      <c r="F25" s="7">
        <f>ROUND(E21,4)</f>
        <v>0.0001</v>
      </c>
      <c r="G25" s="8">
        <f>ROUND(E22,0)</f>
        <v>457</v>
      </c>
      <c r="S25" s="18"/>
      <c r="T25" s="18"/>
      <c r="U25" s="18"/>
      <c r="V25" s="18"/>
      <c r="W25" s="18"/>
      <c r="X25" s="18"/>
      <c r="Y25" s="18"/>
      <c r="Z25" s="18"/>
      <c r="AA25" s="18"/>
    </row>
    <row r="26" spans="1:27" ht="12.75" hidden="1">
      <c r="A26" s="31"/>
      <c r="B26" s="47" t="s">
        <v>5</v>
      </c>
      <c r="C26" s="14"/>
      <c r="D26" s="14"/>
      <c r="E26" s="6">
        <f>ROUND(F17,2)</f>
        <v>0.98</v>
      </c>
      <c r="F26" s="7">
        <f>ROUND(F21,4)</f>
        <v>0.0022</v>
      </c>
      <c r="G26" s="8">
        <f>ROUND(F22,0)</f>
        <v>12115</v>
      </c>
      <c r="S26" s="18"/>
      <c r="T26" s="18"/>
      <c r="U26" s="18"/>
      <c r="V26" s="18"/>
      <c r="W26" s="18"/>
      <c r="X26" s="18"/>
      <c r="Y26" s="18"/>
      <c r="Z26" s="18"/>
      <c r="AA26" s="18"/>
    </row>
    <row r="27" spans="1:27" ht="12.75" hidden="1">
      <c r="A27" s="31"/>
      <c r="B27" s="47" t="s">
        <v>7</v>
      </c>
      <c r="C27" s="120" t="s">
        <v>54</v>
      </c>
      <c r="D27" s="120" t="s">
        <v>11</v>
      </c>
      <c r="E27" s="121" t="s">
        <v>8</v>
      </c>
      <c r="F27" s="121" t="s">
        <v>9</v>
      </c>
      <c r="G27" s="120" t="s">
        <v>3</v>
      </c>
      <c r="S27" s="18"/>
      <c r="T27" s="18"/>
      <c r="U27" s="18"/>
      <c r="V27" s="18"/>
      <c r="W27" s="18"/>
      <c r="X27" s="18"/>
      <c r="Y27" s="18"/>
      <c r="Z27" s="18"/>
      <c r="AA27" s="18"/>
    </row>
    <row r="28" spans="1:27" ht="12.75" hidden="1">
      <c r="A28" s="31"/>
      <c r="B28" s="50" t="s">
        <v>0</v>
      </c>
      <c r="C28" s="120" t="str">
        <f>CONCATENATE(C25*100,B27)</f>
        <v>0,28%</v>
      </c>
      <c r="D28" s="120" t="str">
        <f>CONCATENATE(D25*100,B27)</f>
        <v>0,41%</v>
      </c>
      <c r="E28" s="120" t="str">
        <f>CONCATENATE(E24," ",B24,E25,B25,E26,B26)</f>
        <v>0,68 (0,47-0,98)</v>
      </c>
      <c r="F28" s="120" t="str">
        <f>CONCATENATE(F24*100,B27," ",B24,F25*100,B27," ",B28," ",F26*100,B27,B26)</f>
        <v>0,13% (0,01% a 0,22%)</v>
      </c>
      <c r="G28" s="120" t="str">
        <f>CONCATENATE(G24," ",B24,G25," ",B28," ",G26,B26)</f>
        <v>757 (457 a 12115)</v>
      </c>
      <c r="S28" s="18"/>
      <c r="T28" s="18"/>
      <c r="U28" s="18"/>
      <c r="V28" s="18"/>
      <c r="W28" s="18"/>
      <c r="X28" s="18"/>
      <c r="Y28" s="18"/>
      <c r="Z28" s="18"/>
      <c r="AA28" s="18"/>
    </row>
    <row r="29" spans="1:27" ht="12.75" hidden="1">
      <c r="A29" s="51"/>
      <c r="B29" s="4"/>
      <c r="C29" s="19"/>
      <c r="D29" s="19"/>
      <c r="E29" s="19"/>
      <c r="F29" s="19"/>
      <c r="G29" s="19"/>
      <c r="S29" s="18"/>
      <c r="T29" s="18"/>
      <c r="U29" s="18"/>
      <c r="V29" s="18"/>
      <c r="W29" s="18"/>
      <c r="X29" s="18"/>
      <c r="Y29" s="18"/>
      <c r="Z29" s="18"/>
      <c r="AA29" s="18"/>
    </row>
    <row r="30" spans="1:27" ht="13.5" hidden="1" thickBot="1">
      <c r="A30" s="169">
        <f>A16*A17</f>
        <v>0.004126993501197436</v>
      </c>
      <c r="B30" s="170" t="s">
        <v>55</v>
      </c>
      <c r="C30" s="18"/>
      <c r="D30" s="18"/>
      <c r="E30" s="18"/>
      <c r="F30" s="18"/>
      <c r="G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ht="13.5" hidden="1" thickBot="1">
      <c r="A31" s="52"/>
      <c r="B31" s="18"/>
      <c r="C31" s="177" t="s">
        <v>56</v>
      </c>
      <c r="D31" s="178" t="s">
        <v>11</v>
      </c>
      <c r="E31" s="178" t="s">
        <v>8</v>
      </c>
      <c r="F31" s="178" t="s">
        <v>2</v>
      </c>
      <c r="G31" s="179" t="s">
        <v>3</v>
      </c>
      <c r="S31" s="18"/>
      <c r="T31" s="18"/>
      <c r="U31" s="18"/>
      <c r="V31" s="18"/>
      <c r="W31" s="18"/>
      <c r="X31" s="18"/>
      <c r="Y31" s="18"/>
      <c r="Z31" s="18"/>
      <c r="AA31" s="18"/>
    </row>
    <row r="32" spans="1:27" ht="26.25" hidden="1" thickBot="1">
      <c r="A32" s="53"/>
      <c r="B32" s="15"/>
      <c r="C32" s="174" t="str">
        <f>C28</f>
        <v>0,28%</v>
      </c>
      <c r="D32" s="175" t="str">
        <f>D28</f>
        <v>0,41%</v>
      </c>
      <c r="E32" s="175" t="str">
        <f>E28</f>
        <v>0,68 (0,47-0,98)</v>
      </c>
      <c r="F32" s="175" t="str">
        <f>F28</f>
        <v>0,13% (0,01% a 0,22%)</v>
      </c>
      <c r="G32" s="176" t="str">
        <f>G28</f>
        <v>757 (457 a 12115)</v>
      </c>
      <c r="S32" s="18"/>
      <c r="T32" s="18"/>
      <c r="U32" s="18"/>
      <c r="V32" s="18"/>
      <c r="W32" s="18"/>
      <c r="X32" s="18"/>
      <c r="Y32" s="18"/>
      <c r="Z32" s="18"/>
      <c r="AA32" s="18"/>
    </row>
    <row r="33" spans="2:27" ht="12.75" hidden="1">
      <c r="B33" s="2"/>
      <c r="C33" s="2"/>
      <c r="E33" s="3"/>
      <c r="F33" s="25"/>
      <c r="S33" s="18"/>
      <c r="T33" s="18"/>
      <c r="U33" s="18"/>
      <c r="V33" s="18"/>
      <c r="W33" s="18"/>
      <c r="X33" s="18"/>
      <c r="Y33" s="18"/>
      <c r="Z33" s="18"/>
      <c r="AA33" s="18"/>
    </row>
    <row r="34" spans="4:27" ht="13.5" thickBot="1">
      <c r="D34" s="3"/>
      <c r="E34" s="3"/>
      <c r="S34" s="18"/>
      <c r="T34" s="18"/>
      <c r="U34" s="18"/>
      <c r="V34" s="18"/>
      <c r="W34" s="18"/>
      <c r="X34" s="18"/>
      <c r="Y34" s="18"/>
      <c r="Z34" s="18"/>
      <c r="AA34" s="18"/>
    </row>
    <row r="35" spans="1:20" ht="22.5" customHeight="1" thickBot="1">
      <c r="A35" s="203" t="s">
        <v>198</v>
      </c>
      <c r="B35" s="168" t="str">
        <f>B2</f>
        <v>CAMBIOS en diagnóstico de verrugas AG, VARONES 20 a 24 años, seguimiento 5 a 8 años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7"/>
      <c r="S35" s="18"/>
      <c r="T35" s="18"/>
    </row>
    <row r="36" spans="1:20" ht="36" customHeight="1" thickBot="1">
      <c r="A36" s="229" t="s">
        <v>28</v>
      </c>
      <c r="B36" s="229" t="s">
        <v>29</v>
      </c>
      <c r="C36" s="244" t="s">
        <v>30</v>
      </c>
      <c r="D36" s="246" t="s">
        <v>31</v>
      </c>
      <c r="E36" s="229" t="s">
        <v>32</v>
      </c>
      <c r="F36" s="229" t="s">
        <v>57</v>
      </c>
      <c r="G36" s="229" t="s">
        <v>58</v>
      </c>
      <c r="H36" s="229" t="s">
        <v>61</v>
      </c>
      <c r="I36" s="229" t="s">
        <v>62</v>
      </c>
      <c r="J36" s="229" t="s">
        <v>33</v>
      </c>
      <c r="K36" s="231" t="s">
        <v>34</v>
      </c>
      <c r="L36" s="221" t="s">
        <v>35</v>
      </c>
      <c r="M36" s="222"/>
      <c r="N36" s="222"/>
      <c r="O36" s="223"/>
      <c r="S36" s="18"/>
      <c r="T36" s="18"/>
    </row>
    <row r="37" spans="1:20" ht="43.5" customHeight="1" thickBot="1">
      <c r="A37" s="230"/>
      <c r="B37" s="230"/>
      <c r="C37" s="245"/>
      <c r="D37" s="247"/>
      <c r="E37" s="230"/>
      <c r="F37" s="230"/>
      <c r="G37" s="230"/>
      <c r="H37" s="230"/>
      <c r="I37" s="230"/>
      <c r="J37" s="230"/>
      <c r="K37" s="232"/>
      <c r="L37" s="208" t="s">
        <v>36</v>
      </c>
      <c r="M37" s="209" t="s">
        <v>2</v>
      </c>
      <c r="N37" s="210" t="s">
        <v>3</v>
      </c>
      <c r="O37" s="190" t="s">
        <v>37</v>
      </c>
      <c r="S37" s="18"/>
      <c r="T37" s="18"/>
    </row>
    <row r="38" spans="1:20" ht="15" customHeight="1">
      <c r="A38" s="233">
        <v>8</v>
      </c>
      <c r="B38" s="127" t="str">
        <f>A5</f>
        <v>Guerra 2016, 22,5, 6y</v>
      </c>
      <c r="C38" s="60" t="s">
        <v>38</v>
      </c>
      <c r="D38" s="61"/>
      <c r="E38" s="139">
        <f aca="true" t="shared" si="10" ref="E38:E46">H5</f>
        <v>6</v>
      </c>
      <c r="F38" s="140" t="str">
        <f aca="true" t="shared" si="11" ref="F38:F46">P5</f>
        <v>1676 / 597924</v>
      </c>
      <c r="G38" s="141">
        <f aca="true" t="shared" si="12" ref="G38:G46">L5</f>
        <v>0.0004671719705737407</v>
      </c>
      <c r="H38" s="140" t="str">
        <f aca="true" t="shared" si="13" ref="H38:H46">Q5</f>
        <v>2192 / 804702</v>
      </c>
      <c r="I38" s="142">
        <f aca="true" t="shared" si="14" ref="I38:I46">M5</f>
        <v>0.00045399829170715783</v>
      </c>
      <c r="J38" s="143">
        <v>22.5</v>
      </c>
      <c r="K38" s="24">
        <v>0.13200850526317032</v>
      </c>
      <c r="L38" s="211" t="s">
        <v>102</v>
      </c>
      <c r="M38" s="211" t="s">
        <v>103</v>
      </c>
      <c r="N38" s="211" t="s">
        <v>104</v>
      </c>
      <c r="O38" s="144"/>
      <c r="S38" s="18"/>
      <c r="T38" s="18"/>
    </row>
    <row r="39" spans="1:20" ht="15" customHeight="1">
      <c r="A39" s="234"/>
      <c r="B39" s="127" t="str">
        <f aca="true" t="shared" si="15" ref="B39:B45">A6</f>
        <v>Cocchio2017, 22,5, 7y</v>
      </c>
      <c r="C39" s="60" t="s">
        <v>38</v>
      </c>
      <c r="D39" s="61"/>
      <c r="E39" s="139">
        <f t="shared" si="10"/>
        <v>7</v>
      </c>
      <c r="F39" s="140" t="str">
        <f t="shared" si="11"/>
        <v>72 / 356486</v>
      </c>
      <c r="G39" s="141">
        <f t="shared" si="12"/>
        <v>2.8853066560017185E-05</v>
      </c>
      <c r="H39" s="140" t="str">
        <f t="shared" si="13"/>
        <v>72 / 347879</v>
      </c>
      <c r="I39" s="141">
        <f t="shared" si="14"/>
        <v>2.9566930702095515E-05</v>
      </c>
      <c r="J39" s="143">
        <v>22.5</v>
      </c>
      <c r="K39" s="24">
        <v>0.11994416061020118</v>
      </c>
      <c r="L39" s="211" t="s">
        <v>105</v>
      </c>
      <c r="M39" s="211" t="s">
        <v>106</v>
      </c>
      <c r="N39" s="211" t="s">
        <v>107</v>
      </c>
      <c r="O39" s="114"/>
      <c r="S39" s="18"/>
      <c r="T39" s="18"/>
    </row>
    <row r="40" spans="1:20" ht="15" customHeight="1">
      <c r="A40" s="234"/>
      <c r="B40" s="127" t="str">
        <f t="shared" si="15"/>
        <v>Herweijer 2018, 22,5, 6y</v>
      </c>
      <c r="C40" s="60" t="s">
        <v>38</v>
      </c>
      <c r="D40" s="61"/>
      <c r="E40" s="139">
        <f t="shared" si="10"/>
        <v>6</v>
      </c>
      <c r="F40" s="140" t="str">
        <f t="shared" si="11"/>
        <v>6100 / 665177</v>
      </c>
      <c r="G40" s="141">
        <f t="shared" si="12"/>
        <v>0.0015284152438624105</v>
      </c>
      <c r="H40" s="140" t="str">
        <f t="shared" si="13"/>
        <v>2953 / 273493</v>
      </c>
      <c r="I40" s="141">
        <f t="shared" si="14"/>
        <v>0.0017995585505540057</v>
      </c>
      <c r="J40" s="143">
        <v>22.5</v>
      </c>
      <c r="K40" s="24">
        <v>0.13228362312591183</v>
      </c>
      <c r="L40" s="211" t="s">
        <v>108</v>
      </c>
      <c r="M40" s="211" t="s">
        <v>109</v>
      </c>
      <c r="N40" s="211" t="s">
        <v>110</v>
      </c>
      <c r="O40" s="114"/>
      <c r="S40" s="18"/>
      <c r="T40" s="18"/>
    </row>
    <row r="41" spans="1:20" ht="15" customHeight="1">
      <c r="A41" s="234"/>
      <c r="B41" s="127" t="str">
        <f t="shared" si="15"/>
        <v>Flagg 2018, 22,5, 8y</v>
      </c>
      <c r="C41" s="60" t="s">
        <v>38</v>
      </c>
      <c r="D41" s="61"/>
      <c r="E41" s="139">
        <f t="shared" si="10"/>
        <v>8</v>
      </c>
      <c r="F41" s="140" t="str">
        <f t="shared" si="11"/>
        <v>21730 / 5330751</v>
      </c>
      <c r="G41" s="141">
        <f t="shared" si="12"/>
        <v>0.0005095435896368073</v>
      </c>
      <c r="H41" s="140" t="str">
        <f t="shared" si="13"/>
        <v>2379 / 847769</v>
      </c>
      <c r="I41" s="141">
        <f t="shared" si="14"/>
        <v>0.0003507736187569963</v>
      </c>
      <c r="J41" s="143">
        <v>22.5</v>
      </c>
      <c r="K41" s="24">
        <v>0.13229979954941784</v>
      </c>
      <c r="L41" s="211" t="s">
        <v>111</v>
      </c>
      <c r="M41" s="211" t="s">
        <v>112</v>
      </c>
      <c r="N41" s="211" t="s">
        <v>113</v>
      </c>
      <c r="O41" s="114"/>
      <c r="S41" s="18"/>
      <c r="T41" s="18"/>
    </row>
    <row r="42" spans="1:20" ht="15" customHeight="1">
      <c r="A42" s="234"/>
      <c r="B42" s="127" t="str">
        <f t="shared" si="15"/>
        <v>Dominiak 2015, 22,5, 6y</v>
      </c>
      <c r="C42" s="60" t="s">
        <v>38</v>
      </c>
      <c r="D42" s="61"/>
      <c r="E42" s="139">
        <f t="shared" si="10"/>
        <v>6</v>
      </c>
      <c r="F42" s="140" t="str">
        <f t="shared" si="11"/>
        <v>93 / 137384</v>
      </c>
      <c r="G42" s="141">
        <f t="shared" si="12"/>
        <v>0.00011282245385197694</v>
      </c>
      <c r="H42" s="140" t="str">
        <f t="shared" si="13"/>
        <v>86 / 71625</v>
      </c>
      <c r="I42" s="141">
        <f t="shared" si="14"/>
        <v>0.00020011634671320534</v>
      </c>
      <c r="J42" s="143">
        <v>22.5</v>
      </c>
      <c r="K42" s="24">
        <v>0.12220641725361345</v>
      </c>
      <c r="L42" s="211" t="s">
        <v>114</v>
      </c>
      <c r="M42" s="211" t="s">
        <v>115</v>
      </c>
      <c r="N42" s="211" t="s">
        <v>116</v>
      </c>
      <c r="O42" s="114"/>
      <c r="S42" s="18"/>
      <c r="T42" s="18"/>
    </row>
    <row r="43" spans="1:20" ht="15" customHeight="1">
      <c r="A43" s="234"/>
      <c r="B43" s="127" t="str">
        <f t="shared" si="15"/>
        <v>Oliphant 2017, 22,5, 5y</v>
      </c>
      <c r="C43" s="60" t="s">
        <v>38</v>
      </c>
      <c r="D43" s="61"/>
      <c r="E43" s="139">
        <f t="shared" si="10"/>
        <v>5</v>
      </c>
      <c r="F43" s="140" t="str">
        <f t="shared" si="11"/>
        <v>88 / 925</v>
      </c>
      <c r="G43" s="141">
        <f t="shared" si="12"/>
        <v>0.01902702702702703</v>
      </c>
      <c r="H43" s="140" t="str">
        <f t="shared" si="13"/>
        <v>294 / 1421</v>
      </c>
      <c r="I43" s="141">
        <f t="shared" si="14"/>
        <v>0.041379310344827586</v>
      </c>
      <c r="J43" s="143">
        <v>22.5</v>
      </c>
      <c r="K43" s="24">
        <v>0.1263353180340247</v>
      </c>
      <c r="L43" s="211" t="s">
        <v>117</v>
      </c>
      <c r="M43" s="211" t="s">
        <v>118</v>
      </c>
      <c r="N43" s="211" t="s">
        <v>119</v>
      </c>
      <c r="O43" s="144"/>
      <c r="S43" s="18"/>
      <c r="T43" s="18"/>
    </row>
    <row r="44" spans="1:20" ht="15" customHeight="1">
      <c r="A44" s="234"/>
      <c r="B44" s="127" t="str">
        <f t="shared" si="15"/>
        <v>Harrison 2014, 22,5, 8y</v>
      </c>
      <c r="C44" s="60" t="s">
        <v>38</v>
      </c>
      <c r="D44" s="61"/>
      <c r="E44" s="139">
        <f t="shared" si="10"/>
        <v>8</v>
      </c>
      <c r="F44" s="140" t="str">
        <f t="shared" si="11"/>
        <v>21 / 5598</v>
      </c>
      <c r="G44" s="141">
        <f t="shared" si="12"/>
        <v>0.00046891747052518756</v>
      </c>
      <c r="H44" s="140" t="str">
        <f t="shared" si="13"/>
        <v>39 / 5149</v>
      </c>
      <c r="I44" s="141">
        <f t="shared" si="14"/>
        <v>0.0009467857836473101</v>
      </c>
      <c r="J44" s="143">
        <v>22.5</v>
      </c>
      <c r="K44" s="24">
        <v>0.10391116013531274</v>
      </c>
      <c r="L44" s="211" t="s">
        <v>120</v>
      </c>
      <c r="M44" s="211" t="s">
        <v>121</v>
      </c>
      <c r="N44" s="211" t="s">
        <v>122</v>
      </c>
      <c r="O44" s="144"/>
      <c r="S44" s="18"/>
      <c r="T44" s="18"/>
    </row>
    <row r="45" spans="1:20" ht="15" customHeight="1" thickBot="1">
      <c r="A45" s="235"/>
      <c r="B45" s="127" t="str">
        <f t="shared" si="15"/>
        <v>Callander 2016, 22,5, 8y</v>
      </c>
      <c r="C45" s="60" t="s">
        <v>38</v>
      </c>
      <c r="D45" s="61"/>
      <c r="E45" s="139">
        <f t="shared" si="10"/>
        <v>8</v>
      </c>
      <c r="F45" s="140" t="str">
        <f t="shared" si="11"/>
        <v>426 / 11411</v>
      </c>
      <c r="G45" s="141">
        <f t="shared" si="12"/>
        <v>0.004666549820348786</v>
      </c>
      <c r="H45" s="140" t="str">
        <f t="shared" si="13"/>
        <v>1049 / 7125</v>
      </c>
      <c r="I45" s="141">
        <f t="shared" si="14"/>
        <v>0.018403508771929825</v>
      </c>
      <c r="J45" s="143">
        <v>22.5</v>
      </c>
      <c r="K45" s="24">
        <v>0.13101101602834794</v>
      </c>
      <c r="L45" s="212" t="s">
        <v>123</v>
      </c>
      <c r="M45" s="211" t="s">
        <v>124</v>
      </c>
      <c r="N45" s="211" t="s">
        <v>125</v>
      </c>
      <c r="O45" s="144"/>
      <c r="S45" s="18"/>
      <c r="T45" s="18"/>
    </row>
    <row r="46" spans="1:20" ht="21.75" thickBot="1">
      <c r="A46" s="145" t="s">
        <v>39</v>
      </c>
      <c r="B46" s="146">
        <f>COUNT(E38:E45)</f>
        <v>8</v>
      </c>
      <c r="C46" s="147"/>
      <c r="D46" s="63" t="s">
        <v>74</v>
      </c>
      <c r="E46" s="148">
        <f t="shared" si="10"/>
        <v>7.385935114025952</v>
      </c>
      <c r="F46" s="149" t="str">
        <f t="shared" si="11"/>
        <v>30206 / 7105656</v>
      </c>
      <c r="G46" s="150">
        <f t="shared" si="12"/>
        <v>0.0005626523318414894</v>
      </c>
      <c r="H46" s="149" t="str">
        <f t="shared" si="13"/>
        <v>9064 / 2359163</v>
      </c>
      <c r="I46" s="150">
        <f t="shared" si="14"/>
        <v>0.0005587638447243113</v>
      </c>
      <c r="J46" s="148">
        <v>22.5</v>
      </c>
      <c r="K46" s="151">
        <v>0.9999999999999998</v>
      </c>
      <c r="L46" s="107" t="s">
        <v>126</v>
      </c>
      <c r="M46" s="64"/>
      <c r="N46" s="65"/>
      <c r="O46" s="66"/>
      <c r="S46" s="18"/>
      <c r="T46" s="18"/>
    </row>
    <row r="47" spans="1:15" ht="13.5" thickBot="1">
      <c r="A47" s="67"/>
      <c r="B47" s="67"/>
      <c r="C47" s="68"/>
      <c r="D47" s="69"/>
      <c r="E47" s="70"/>
      <c r="F47" s="71"/>
      <c r="G47" s="72"/>
      <c r="H47" s="71"/>
      <c r="I47" s="73"/>
      <c r="J47" s="74"/>
      <c r="K47" s="75"/>
      <c r="L47" s="64"/>
      <c r="M47" s="65"/>
      <c r="N47" s="65"/>
      <c r="O47" s="75"/>
    </row>
    <row r="48" spans="1:255" ht="48" thickBot="1">
      <c r="A48" s="76"/>
      <c r="B48" s="224" t="s">
        <v>65</v>
      </c>
      <c r="C48" s="225"/>
      <c r="D48" s="225"/>
      <c r="E48" s="225"/>
      <c r="F48" s="225"/>
      <c r="G48" s="225"/>
      <c r="H48" s="225"/>
      <c r="I48" s="226"/>
      <c r="J48" s="77" t="s">
        <v>59</v>
      </c>
      <c r="K48" s="153" t="s">
        <v>63</v>
      </c>
      <c r="L48" s="78" t="s">
        <v>36</v>
      </c>
      <c r="M48" s="79" t="s">
        <v>2</v>
      </c>
      <c r="N48" s="80" t="s">
        <v>3</v>
      </c>
      <c r="O48" s="6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15" ht="18.75">
      <c r="A49" s="227" t="s">
        <v>40</v>
      </c>
      <c r="B49" s="81" t="s">
        <v>41</v>
      </c>
      <c r="C49" s="82">
        <f>I46</f>
        <v>0.0005587638447243113</v>
      </c>
      <c r="D49" s="83" t="s">
        <v>42</v>
      </c>
      <c r="E49" s="83"/>
      <c r="F49" s="83"/>
      <c r="G49" s="83"/>
      <c r="H49" s="84">
        <f>J46</f>
        <v>22.5</v>
      </c>
      <c r="I49" s="85" t="s">
        <v>43</v>
      </c>
      <c r="J49" s="86" t="s">
        <v>215</v>
      </c>
      <c r="K49" s="87" t="s">
        <v>216</v>
      </c>
      <c r="L49" s="108" t="s">
        <v>126</v>
      </c>
      <c r="M49" s="88" t="s">
        <v>128</v>
      </c>
      <c r="N49" s="204" t="s">
        <v>217</v>
      </c>
      <c r="O49" s="89" t="s">
        <v>44</v>
      </c>
    </row>
    <row r="50" spans="1:15" ht="19.5" thickBot="1">
      <c r="A50" s="228"/>
      <c r="B50" s="154" t="s">
        <v>41</v>
      </c>
      <c r="C50" s="155">
        <f>I46*E46</f>
        <v>0.004126993501197436</v>
      </c>
      <c r="D50" s="156" t="s">
        <v>45</v>
      </c>
      <c r="E50" s="157"/>
      <c r="F50" s="158"/>
      <c r="G50" s="159">
        <f>E46</f>
        <v>7.385935114025952</v>
      </c>
      <c r="H50" s="156" t="s">
        <v>46</v>
      </c>
      <c r="I50" s="160"/>
      <c r="J50" s="161" t="s">
        <v>219</v>
      </c>
      <c r="K50" s="162" t="s">
        <v>220</v>
      </c>
      <c r="L50" s="163" t="s">
        <v>126</v>
      </c>
      <c r="M50" s="164" t="s">
        <v>221</v>
      </c>
      <c r="N50" s="205" t="s">
        <v>222</v>
      </c>
      <c r="O50" s="165" t="s">
        <v>218</v>
      </c>
    </row>
    <row r="51" spans="1:15" ht="11.25" customHeight="1" thickBot="1">
      <c r="A51" s="90"/>
      <c r="B51" s="91"/>
      <c r="C51" s="92"/>
      <c r="D51" s="93"/>
      <c r="E51" s="94"/>
      <c r="F51" s="95"/>
      <c r="G51" s="96"/>
      <c r="H51" s="93"/>
      <c r="I51" s="95"/>
      <c r="J51" s="97"/>
      <c r="K51" s="97"/>
      <c r="L51" s="98"/>
      <c r="M51" s="99"/>
      <c r="N51" s="99"/>
      <c r="O51" s="100"/>
    </row>
    <row r="52" spans="1:15" ht="19.5" customHeight="1" thickBot="1">
      <c r="A52" s="101"/>
      <c r="B52" s="101"/>
      <c r="C52" s="75"/>
      <c r="D52" s="75"/>
      <c r="E52" s="75"/>
      <c r="F52" s="75"/>
      <c r="G52" s="75"/>
      <c r="H52" s="75"/>
      <c r="I52" s="191"/>
      <c r="J52" s="192"/>
      <c r="K52" s="193" t="s">
        <v>47</v>
      </c>
      <c r="L52" s="206" t="s">
        <v>223</v>
      </c>
      <c r="M52" s="102"/>
      <c r="N52" s="103"/>
      <c r="O52" s="104"/>
    </row>
    <row r="53" spans="1:11" ht="12.75">
      <c r="A53" s="20"/>
      <c r="C53" s="2"/>
      <c r="I53" s="5" t="s">
        <v>48</v>
      </c>
      <c r="J53" s="195">
        <f>G50</f>
        <v>7.385935114025952</v>
      </c>
      <c r="K53" s="195">
        <f>J53</f>
        <v>7.385935114025952</v>
      </c>
    </row>
    <row r="54" spans="1:12" ht="12.75">
      <c r="A54" s="20"/>
      <c r="C54" s="2"/>
      <c r="I54" s="13"/>
      <c r="J54" s="130" t="s">
        <v>14</v>
      </c>
      <c r="K54" s="130" t="s">
        <v>15</v>
      </c>
      <c r="L54" s="130" t="s">
        <v>49</v>
      </c>
    </row>
    <row r="55" spans="9:14" ht="17.25">
      <c r="I55" s="105" t="s">
        <v>50</v>
      </c>
      <c r="J55" s="112">
        <f>J49*1000*J53</f>
        <v>2.954374045610381</v>
      </c>
      <c r="K55" s="110">
        <f>K49*1000*K53</f>
        <v>4.431561068415571</v>
      </c>
      <c r="L55" s="111">
        <f>((J55*I13)+(K55*J13))/K13</f>
        <v>3.297149158372706</v>
      </c>
      <c r="M55" s="106"/>
      <c r="N55" s="106"/>
    </row>
    <row r="56" spans="1:7" ht="12.75">
      <c r="A56" s="18"/>
      <c r="B56" s="18"/>
      <c r="C56" s="18"/>
      <c r="D56" s="18"/>
      <c r="E56" s="18"/>
      <c r="F56" s="18"/>
      <c r="G56" s="18"/>
    </row>
    <row r="57" spans="1:7" ht="12.75">
      <c r="A57" s="18"/>
      <c r="B57" s="18"/>
      <c r="C57" s="18"/>
      <c r="D57" s="18"/>
      <c r="E57" s="18"/>
      <c r="F57" s="18"/>
      <c r="G57" s="18"/>
    </row>
    <row r="58" spans="1:7" ht="12.75">
      <c r="A58" s="18"/>
      <c r="B58" s="18"/>
      <c r="C58" s="18"/>
      <c r="D58" s="18"/>
      <c r="E58" s="18"/>
      <c r="F58" s="18"/>
      <c r="G58" s="18"/>
    </row>
    <row r="59" spans="1:7" ht="12.75">
      <c r="A59" s="18"/>
      <c r="B59" s="18"/>
      <c r="C59" s="18"/>
      <c r="D59" s="18"/>
      <c r="E59" s="18"/>
      <c r="F59" s="18"/>
      <c r="G59" s="18"/>
    </row>
    <row r="60" spans="1:7" ht="12.75">
      <c r="A60" s="18"/>
      <c r="B60" s="18"/>
      <c r="C60" s="18"/>
      <c r="D60" s="18"/>
      <c r="E60" s="18"/>
      <c r="F60" s="18"/>
      <c r="G60" s="18"/>
    </row>
    <row r="61" spans="1:7" ht="12.75">
      <c r="A61" s="18"/>
      <c r="B61" s="18"/>
      <c r="C61" s="18"/>
      <c r="D61" s="18"/>
      <c r="E61" s="18"/>
      <c r="F61" s="18"/>
      <c r="G61" s="18"/>
    </row>
    <row r="62" spans="1:7" ht="12.75">
      <c r="A62" s="18"/>
      <c r="B62" s="18"/>
      <c r="C62" s="18"/>
      <c r="D62" s="18"/>
      <c r="E62" s="18"/>
      <c r="F62" s="18"/>
      <c r="G62" s="18"/>
    </row>
    <row r="63" spans="1:7" ht="12.75">
      <c r="A63" s="18"/>
      <c r="B63" s="18"/>
      <c r="C63" s="18"/>
      <c r="D63" s="18"/>
      <c r="E63" s="18"/>
      <c r="F63" s="18"/>
      <c r="G63" s="18"/>
    </row>
    <row r="64" spans="1:7" ht="12.75">
      <c r="A64" s="18"/>
      <c r="B64" s="18"/>
      <c r="C64" s="18"/>
      <c r="D64" s="18"/>
      <c r="E64" s="18"/>
      <c r="F64" s="18"/>
      <c r="G64" s="18"/>
    </row>
    <row r="65" spans="1:7" ht="12.75">
      <c r="A65" s="18"/>
      <c r="B65" s="18"/>
      <c r="C65" s="18"/>
      <c r="D65" s="18"/>
      <c r="E65" s="18"/>
      <c r="F65" s="18"/>
      <c r="G65" s="18"/>
    </row>
    <row r="66" spans="1:7" ht="12.75">
      <c r="A66" s="18"/>
      <c r="B66" s="18"/>
      <c r="C66" s="18"/>
      <c r="D66" s="18"/>
      <c r="E66" s="18"/>
      <c r="F66" s="18"/>
      <c r="G66" s="18"/>
    </row>
    <row r="67" spans="1:7" ht="12.75">
      <c r="A67" s="18"/>
      <c r="B67" s="18"/>
      <c r="C67" s="18"/>
      <c r="D67" s="18"/>
      <c r="E67" s="18"/>
      <c r="F67" s="18"/>
      <c r="G67" s="18"/>
    </row>
    <row r="68" spans="1:7" ht="12.75">
      <c r="A68" s="18"/>
      <c r="B68" s="18"/>
      <c r="C68" s="18"/>
      <c r="D68" s="18"/>
      <c r="E68" s="18"/>
      <c r="F68" s="18"/>
      <c r="G68" s="18"/>
    </row>
    <row r="69" spans="1:7" ht="12.75">
      <c r="A69" s="18"/>
      <c r="B69" s="18"/>
      <c r="C69" s="18"/>
      <c r="D69" s="18"/>
      <c r="E69" s="18"/>
      <c r="F69" s="18"/>
      <c r="G69" s="18"/>
    </row>
    <row r="70" spans="1:7" ht="12.75">
      <c r="A70" s="18"/>
      <c r="B70" s="18"/>
      <c r="C70" s="18"/>
      <c r="D70" s="18"/>
      <c r="E70" s="18"/>
      <c r="F70" s="18"/>
      <c r="G70" s="18"/>
    </row>
    <row r="71" spans="1:7" ht="12.75">
      <c r="A71" s="18"/>
      <c r="B71" s="18"/>
      <c r="C71" s="18"/>
      <c r="D71" s="18"/>
      <c r="E71" s="18"/>
      <c r="F71" s="18"/>
      <c r="G71" s="18"/>
    </row>
    <row r="72" spans="1:7" ht="12.75">
      <c r="A72" s="18"/>
      <c r="B72" s="18"/>
      <c r="C72" s="18"/>
      <c r="D72" s="18"/>
      <c r="E72" s="18"/>
      <c r="F72" s="18"/>
      <c r="G72" s="18"/>
    </row>
    <row r="73" spans="1:7" ht="12.75">
      <c r="A73" s="18"/>
      <c r="B73" s="18"/>
      <c r="C73" s="18"/>
      <c r="D73" s="18"/>
      <c r="E73" s="18"/>
      <c r="F73" s="18"/>
      <c r="G73" s="18"/>
    </row>
    <row r="74" spans="1:7" ht="12.75">
      <c r="A74" s="18"/>
      <c r="B74" s="18"/>
      <c r="C74" s="18"/>
      <c r="D74" s="18"/>
      <c r="E74" s="18"/>
      <c r="F74" s="18"/>
      <c r="G74" s="18"/>
    </row>
  </sheetData>
  <sheetProtection/>
  <mergeCells count="20">
    <mergeCell ref="B3:D3"/>
    <mergeCell ref="E3:G3"/>
    <mergeCell ref="I3:K3"/>
    <mergeCell ref="L3:M3"/>
    <mergeCell ref="D15:F15"/>
    <mergeCell ref="A36:A37"/>
    <mergeCell ref="B36:B37"/>
    <mergeCell ref="C36:C37"/>
    <mergeCell ref="D36:D37"/>
    <mergeCell ref="E36:E37"/>
    <mergeCell ref="L36:O36"/>
    <mergeCell ref="B48:I48"/>
    <mergeCell ref="A49:A50"/>
    <mergeCell ref="F36:F37"/>
    <mergeCell ref="G36:G37"/>
    <mergeCell ref="H36:H37"/>
    <mergeCell ref="I36:I37"/>
    <mergeCell ref="J36:J37"/>
    <mergeCell ref="K36:K37"/>
    <mergeCell ref="A38:A45"/>
  </mergeCells>
  <printOptions/>
  <pageMargins left="0.75" right="0.75" top="1" bottom="1" header="0.5" footer="0.5"/>
  <pageSetup orientation="portrait" paperSize="9"/>
  <ignoredErrors>
    <ignoredError sqref="H13" formula="1"/>
    <ignoredError sqref="J49:K5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4"/>
  <sheetViews>
    <sheetView zoomScalePageLayoutView="0" workbookViewId="0" topLeftCell="A1">
      <selection activeCell="A1" sqref="A1"/>
    </sheetView>
  </sheetViews>
  <sheetFormatPr defaultColWidth="16.00390625" defaultRowHeight="12.75"/>
  <cols>
    <col min="1" max="1" width="21.421875" style="2" customWidth="1"/>
    <col min="2" max="2" width="23.421875" style="20" customWidth="1"/>
    <col min="3" max="3" width="15.00390625" style="20" customWidth="1"/>
    <col min="4" max="4" width="15.140625" style="2" customWidth="1"/>
    <col min="5" max="5" width="16.00390625" style="2" customWidth="1"/>
    <col min="6" max="6" width="16.140625" style="2" customWidth="1"/>
    <col min="7" max="7" width="17.140625" style="2" customWidth="1"/>
    <col min="8" max="8" width="15.28125" style="2" customWidth="1"/>
    <col min="9" max="9" width="12.7109375" style="2" customWidth="1"/>
    <col min="10" max="10" width="15.140625" style="2" customWidth="1"/>
    <col min="11" max="11" width="15.28125" style="2" customWidth="1"/>
    <col min="12" max="12" width="23.8515625" style="2" customWidth="1"/>
    <col min="13" max="13" width="25.421875" style="2" customWidth="1"/>
    <col min="14" max="14" width="20.421875" style="2" customWidth="1"/>
    <col min="15" max="15" width="16.7109375" style="2" customWidth="1"/>
    <col min="16" max="16" width="16.00390625" style="2" customWidth="1"/>
    <col min="17" max="17" width="13.8515625" style="2" hidden="1" customWidth="1"/>
    <col min="18" max="18" width="0" style="2" hidden="1" customWidth="1"/>
    <col min="19" max="19" width="34.8515625" style="2" customWidth="1"/>
    <col min="20" max="16384" width="16.00390625" style="2" customWidth="1"/>
  </cols>
  <sheetData>
    <row r="1" spans="19:28" ht="15">
      <c r="S1" s="9"/>
      <c r="T1" s="18"/>
      <c r="U1" s="18"/>
      <c r="V1" s="18"/>
      <c r="W1" s="18"/>
      <c r="X1" s="18"/>
      <c r="Y1" s="18"/>
      <c r="Z1" s="18"/>
      <c r="AA1" s="18"/>
      <c r="AB1" s="18"/>
    </row>
    <row r="2" spans="1:28" ht="12.75" hidden="1">
      <c r="A2" s="194" t="s">
        <v>64</v>
      </c>
      <c r="B2" s="180" t="str">
        <f>A4</f>
        <v>CAMBIOS en diagnóstico de verrugas AG, VARONES 25 a 29 años, seguimiento 5 a 8 años</v>
      </c>
      <c r="C2" s="181"/>
      <c r="D2" s="182"/>
      <c r="E2" s="182"/>
      <c r="F2" s="182"/>
      <c r="G2" s="182"/>
      <c r="O2" s="16"/>
      <c r="P2" s="17"/>
      <c r="Q2" s="1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ht="25.5" hidden="1">
      <c r="A3" s="21" t="s">
        <v>16</v>
      </c>
      <c r="B3" s="236" t="s">
        <v>17</v>
      </c>
      <c r="C3" s="236"/>
      <c r="D3" s="236"/>
      <c r="E3" s="237" t="s">
        <v>18</v>
      </c>
      <c r="F3" s="237"/>
      <c r="G3" s="237"/>
      <c r="H3" s="122" t="s">
        <v>23</v>
      </c>
      <c r="I3" s="238" t="s">
        <v>24</v>
      </c>
      <c r="J3" s="239"/>
      <c r="K3" s="240"/>
      <c r="L3" s="238" t="s">
        <v>25</v>
      </c>
      <c r="M3" s="240"/>
      <c r="N3" s="123" t="s">
        <v>26</v>
      </c>
      <c r="O3" s="17"/>
      <c r="T3" s="18"/>
      <c r="U3" s="18"/>
      <c r="W3" s="18"/>
      <c r="X3" s="18"/>
      <c r="Y3" s="18"/>
      <c r="Z3" s="18"/>
      <c r="AA3" s="18"/>
      <c r="AB3" s="18"/>
    </row>
    <row r="4" spans="1:28" ht="51" hidden="1">
      <c r="A4" s="22" t="s">
        <v>203</v>
      </c>
      <c r="B4" s="198" t="s">
        <v>19</v>
      </c>
      <c r="C4" s="198" t="s">
        <v>20</v>
      </c>
      <c r="D4" s="198" t="s">
        <v>1</v>
      </c>
      <c r="E4" s="197" t="s">
        <v>19</v>
      </c>
      <c r="F4" s="197" t="s">
        <v>20</v>
      </c>
      <c r="G4" s="197" t="s">
        <v>1</v>
      </c>
      <c r="H4" s="124" t="s">
        <v>27</v>
      </c>
      <c r="I4" s="55" t="s">
        <v>14</v>
      </c>
      <c r="J4" s="56" t="s">
        <v>15</v>
      </c>
      <c r="K4" s="55" t="s">
        <v>1</v>
      </c>
      <c r="L4" s="125" t="s">
        <v>14</v>
      </c>
      <c r="M4" s="126" t="s">
        <v>60</v>
      </c>
      <c r="N4" s="54" t="s">
        <v>27</v>
      </c>
      <c r="O4" s="17"/>
      <c r="P4" s="2" t="s">
        <v>10</v>
      </c>
      <c r="Q4" s="2" t="s">
        <v>10</v>
      </c>
      <c r="T4" s="18"/>
      <c r="U4" s="18"/>
      <c r="W4" s="18"/>
      <c r="X4" s="18"/>
      <c r="Y4" s="18"/>
      <c r="Z4" s="18"/>
      <c r="AA4" s="18"/>
      <c r="AB4" s="18"/>
    </row>
    <row r="5" spans="1:28" ht="12.75" hidden="1">
      <c r="A5" s="23" t="s">
        <v>85</v>
      </c>
      <c r="B5" s="26">
        <v>1502</v>
      </c>
      <c r="C5" s="27">
        <f>D5-B5</f>
        <v>581153</v>
      </c>
      <c r="D5" s="28">
        <v>582655</v>
      </c>
      <c r="E5" s="26">
        <v>2091</v>
      </c>
      <c r="F5" s="27">
        <f>G5-E5</f>
        <v>762906</v>
      </c>
      <c r="G5" s="28">
        <v>764997</v>
      </c>
      <c r="H5" s="173">
        <v>6</v>
      </c>
      <c r="I5" s="128">
        <f aca="true" t="shared" si="0" ref="I5:I12">D5*H5</f>
        <v>3495930</v>
      </c>
      <c r="J5" s="128">
        <f aca="true" t="shared" si="1" ref="J5:J12">G5*H5</f>
        <v>4589982</v>
      </c>
      <c r="K5" s="128">
        <f>I5+J5</f>
        <v>8085912</v>
      </c>
      <c r="L5" s="129">
        <f aca="true" t="shared" si="2" ref="L5:L13">B5/I5</f>
        <v>0.0004296424699579225</v>
      </c>
      <c r="M5" s="129">
        <f aca="true" t="shared" si="3" ref="M5:M13">E5/J5</f>
        <v>0.0004555573420549362</v>
      </c>
      <c r="N5" s="196">
        <v>27.5</v>
      </c>
      <c r="O5" s="213">
        <f>N5*(D5+G5)</f>
        <v>37060430</v>
      </c>
      <c r="P5" s="58" t="str">
        <f aca="true" t="shared" si="4" ref="P5:P13">CONCATENATE(B5," ",$P$4," ",D5)</f>
        <v>1502 / 582655</v>
      </c>
      <c r="Q5" s="58" t="str">
        <f aca="true" t="shared" si="5" ref="Q5:Q13">CONCATENATE(E5," ",$Q$4," ",G5)</f>
        <v>2091 / 764997</v>
      </c>
      <c r="T5" s="18"/>
      <c r="U5" s="18"/>
      <c r="W5" s="18"/>
      <c r="X5" s="18"/>
      <c r="Y5" s="18"/>
      <c r="Z5" s="18"/>
      <c r="AA5" s="18"/>
      <c r="AB5" s="18"/>
    </row>
    <row r="6" spans="1:28" ht="12.75" hidden="1">
      <c r="A6" s="23" t="s">
        <v>86</v>
      </c>
      <c r="B6" s="26">
        <v>116</v>
      </c>
      <c r="C6" s="27">
        <f aca="true" t="shared" si="6" ref="C6:C12">D6-B6</f>
        <v>372005</v>
      </c>
      <c r="D6" s="28">
        <v>372121</v>
      </c>
      <c r="E6" s="26">
        <v>88</v>
      </c>
      <c r="F6" s="27">
        <f aca="true" t="shared" si="7" ref="F6:F12">G6-E6</f>
        <v>444577</v>
      </c>
      <c r="G6" s="28">
        <v>444665</v>
      </c>
      <c r="H6" s="173">
        <v>7</v>
      </c>
      <c r="I6" s="128">
        <f t="shared" si="0"/>
        <v>2604847</v>
      </c>
      <c r="J6" s="128">
        <f t="shared" si="1"/>
        <v>3112655</v>
      </c>
      <c r="K6" s="128">
        <f aca="true" t="shared" si="8" ref="K6:K12">I6+J6</f>
        <v>5717502</v>
      </c>
      <c r="L6" s="129">
        <f t="shared" si="2"/>
        <v>4.453236600844503E-05</v>
      </c>
      <c r="M6" s="129">
        <f t="shared" si="3"/>
        <v>2.8271684462299868E-05</v>
      </c>
      <c r="N6" s="196">
        <v>27.5</v>
      </c>
      <c r="O6" s="213">
        <f aca="true" t="shared" si="9" ref="O6:O12">N6*(D6+G6)</f>
        <v>22461615</v>
      </c>
      <c r="P6" s="58" t="str">
        <f t="shared" si="4"/>
        <v>116 / 372121</v>
      </c>
      <c r="Q6" s="58" t="str">
        <f t="shared" si="5"/>
        <v>88 / 444665</v>
      </c>
      <c r="T6" s="18"/>
      <c r="U6" s="18"/>
      <c r="W6" s="18"/>
      <c r="X6" s="18"/>
      <c r="Y6" s="18"/>
      <c r="Z6" s="18"/>
      <c r="AA6" s="18"/>
      <c r="AB6" s="18"/>
    </row>
    <row r="7" spans="1:28" ht="12.75" hidden="1">
      <c r="A7" s="23" t="s">
        <v>87</v>
      </c>
      <c r="B7" s="26">
        <v>5069</v>
      </c>
      <c r="C7" s="27">
        <f t="shared" si="6"/>
        <v>606392</v>
      </c>
      <c r="D7" s="28">
        <v>611461</v>
      </c>
      <c r="E7" s="26">
        <v>2419</v>
      </c>
      <c r="F7" s="27">
        <f t="shared" si="7"/>
        <v>275757</v>
      </c>
      <c r="G7" s="28">
        <v>278176</v>
      </c>
      <c r="H7" s="173">
        <v>6</v>
      </c>
      <c r="I7" s="128">
        <f t="shared" si="0"/>
        <v>3668766</v>
      </c>
      <c r="J7" s="128">
        <f t="shared" si="1"/>
        <v>1669056</v>
      </c>
      <c r="K7" s="128">
        <f t="shared" si="8"/>
        <v>5337822</v>
      </c>
      <c r="L7" s="129">
        <f t="shared" si="2"/>
        <v>0.001381663480309183</v>
      </c>
      <c r="M7" s="129">
        <f t="shared" si="3"/>
        <v>0.0014493222516200775</v>
      </c>
      <c r="N7" s="196">
        <v>27.5</v>
      </c>
      <c r="O7" s="213">
        <f t="shared" si="9"/>
        <v>24465017.5</v>
      </c>
      <c r="P7" s="58" t="str">
        <f t="shared" si="4"/>
        <v>5069 / 611461</v>
      </c>
      <c r="Q7" s="58" t="str">
        <f t="shared" si="5"/>
        <v>2419 / 278176</v>
      </c>
      <c r="T7" s="18"/>
      <c r="U7" s="18"/>
      <c r="W7" s="18"/>
      <c r="X7" s="18"/>
      <c r="Y7" s="18"/>
      <c r="Z7" s="18"/>
      <c r="AA7" s="18"/>
      <c r="AB7" s="18"/>
    </row>
    <row r="8" spans="1:28" ht="12.75" hidden="1">
      <c r="A8" s="23" t="s">
        <v>88</v>
      </c>
      <c r="B8" s="26">
        <v>19830</v>
      </c>
      <c r="C8" s="27">
        <f t="shared" si="6"/>
        <v>3531797</v>
      </c>
      <c r="D8" s="28">
        <v>3551627</v>
      </c>
      <c r="E8" s="26">
        <v>2685</v>
      </c>
      <c r="F8" s="27">
        <f t="shared" si="7"/>
        <v>856230</v>
      </c>
      <c r="G8" s="28">
        <v>858915</v>
      </c>
      <c r="H8" s="173">
        <v>8</v>
      </c>
      <c r="I8" s="128">
        <f t="shared" si="0"/>
        <v>28413016</v>
      </c>
      <c r="J8" s="128">
        <f t="shared" si="1"/>
        <v>6871320</v>
      </c>
      <c r="K8" s="128">
        <f t="shared" si="8"/>
        <v>35284336</v>
      </c>
      <c r="L8" s="129">
        <f t="shared" si="2"/>
        <v>0.0006979195731984242</v>
      </c>
      <c r="M8" s="129">
        <f t="shared" si="3"/>
        <v>0.00039075461483383103</v>
      </c>
      <c r="N8" s="196">
        <v>27.5</v>
      </c>
      <c r="O8" s="213">
        <f t="shared" si="9"/>
        <v>121289905</v>
      </c>
      <c r="P8" s="58" t="str">
        <f t="shared" si="4"/>
        <v>19830 / 3551627</v>
      </c>
      <c r="Q8" s="58" t="str">
        <f t="shared" si="5"/>
        <v>2685 / 858915</v>
      </c>
      <c r="T8" s="18"/>
      <c r="U8" s="18"/>
      <c r="W8" s="18"/>
      <c r="X8" s="18"/>
      <c r="Y8" s="18"/>
      <c r="Z8" s="18"/>
      <c r="AA8" s="18"/>
      <c r="AB8" s="18"/>
    </row>
    <row r="9" spans="1:28" ht="12.75" hidden="1">
      <c r="A9" s="23" t="s">
        <v>89</v>
      </c>
      <c r="B9" s="26">
        <v>183</v>
      </c>
      <c r="C9" s="27">
        <f t="shared" si="6"/>
        <v>136530</v>
      </c>
      <c r="D9" s="28">
        <v>136713</v>
      </c>
      <c r="E9" s="26">
        <v>145</v>
      </c>
      <c r="F9" s="27">
        <f t="shared" si="7"/>
        <v>99728</v>
      </c>
      <c r="G9" s="28">
        <v>99873</v>
      </c>
      <c r="H9" s="173">
        <v>6</v>
      </c>
      <c r="I9" s="128">
        <f t="shared" si="0"/>
        <v>820278</v>
      </c>
      <c r="J9" s="128">
        <f t="shared" si="1"/>
        <v>599238</v>
      </c>
      <c r="K9" s="128">
        <f t="shared" si="8"/>
        <v>1419516</v>
      </c>
      <c r="L9" s="129">
        <f t="shared" si="2"/>
        <v>0.00022309509702808072</v>
      </c>
      <c r="M9" s="129">
        <f t="shared" si="3"/>
        <v>0.00024197397361315538</v>
      </c>
      <c r="N9" s="196">
        <v>27.5</v>
      </c>
      <c r="O9" s="213">
        <f t="shared" si="9"/>
        <v>6506115</v>
      </c>
      <c r="P9" s="58" t="str">
        <f t="shared" si="4"/>
        <v>183 / 136713</v>
      </c>
      <c r="Q9" s="58" t="str">
        <f t="shared" si="5"/>
        <v>145 / 99873</v>
      </c>
      <c r="T9" s="18"/>
      <c r="U9" s="18"/>
      <c r="W9" s="18"/>
      <c r="X9" s="18"/>
      <c r="Y9" s="18"/>
      <c r="Z9" s="18"/>
      <c r="AA9" s="18"/>
      <c r="AB9" s="18"/>
    </row>
    <row r="10" spans="1:28" ht="12.75" hidden="1">
      <c r="A10" s="23" t="s">
        <v>90</v>
      </c>
      <c r="B10" s="26">
        <v>105</v>
      </c>
      <c r="C10" s="27">
        <f t="shared" si="6"/>
        <v>772</v>
      </c>
      <c r="D10" s="28">
        <v>877</v>
      </c>
      <c r="E10" s="26">
        <v>220</v>
      </c>
      <c r="F10" s="27">
        <f t="shared" si="7"/>
        <v>996</v>
      </c>
      <c r="G10" s="28">
        <v>1216</v>
      </c>
      <c r="H10" s="173">
        <v>5</v>
      </c>
      <c r="I10" s="128">
        <f t="shared" si="0"/>
        <v>4385</v>
      </c>
      <c r="J10" s="128">
        <f t="shared" si="1"/>
        <v>6080</v>
      </c>
      <c r="K10" s="128">
        <f t="shared" si="8"/>
        <v>10465</v>
      </c>
      <c r="L10" s="129">
        <f t="shared" si="2"/>
        <v>0.02394526795895097</v>
      </c>
      <c r="M10" s="129">
        <f t="shared" si="3"/>
        <v>0.03618421052631579</v>
      </c>
      <c r="N10" s="196">
        <v>27.5</v>
      </c>
      <c r="O10" s="213">
        <f t="shared" si="9"/>
        <v>57557.5</v>
      </c>
      <c r="P10" s="58" t="str">
        <f t="shared" si="4"/>
        <v>105 / 877</v>
      </c>
      <c r="Q10" s="58" t="str">
        <f t="shared" si="5"/>
        <v>220 / 1216</v>
      </c>
      <c r="T10" s="18"/>
      <c r="U10" s="18"/>
      <c r="W10" s="18"/>
      <c r="X10" s="18"/>
      <c r="Y10" s="18"/>
      <c r="Z10" s="18"/>
      <c r="AA10" s="18"/>
      <c r="AB10" s="18"/>
    </row>
    <row r="11" spans="1:28" ht="12.75" hidden="1">
      <c r="A11" s="23" t="s">
        <v>91</v>
      </c>
      <c r="B11" s="26">
        <v>24</v>
      </c>
      <c r="C11" s="27">
        <f t="shared" si="6"/>
        <v>6172</v>
      </c>
      <c r="D11" s="28">
        <v>6196</v>
      </c>
      <c r="E11" s="26">
        <v>24</v>
      </c>
      <c r="F11" s="27">
        <f t="shared" si="7"/>
        <v>5220</v>
      </c>
      <c r="G11" s="28">
        <v>5244</v>
      </c>
      <c r="H11" s="173">
        <v>8</v>
      </c>
      <c r="I11" s="128">
        <f t="shared" si="0"/>
        <v>49568</v>
      </c>
      <c r="J11" s="128">
        <f t="shared" si="1"/>
        <v>41952</v>
      </c>
      <c r="K11" s="128">
        <f t="shared" si="8"/>
        <v>91520</v>
      </c>
      <c r="L11" s="129">
        <f t="shared" si="2"/>
        <v>0.0004841833440929632</v>
      </c>
      <c r="M11" s="129">
        <f t="shared" si="3"/>
        <v>0.0005720823798627002</v>
      </c>
      <c r="N11" s="196">
        <v>27.5</v>
      </c>
      <c r="O11" s="213">
        <f t="shared" si="9"/>
        <v>314600</v>
      </c>
      <c r="P11" s="58" t="str">
        <f t="shared" si="4"/>
        <v>24 / 6196</v>
      </c>
      <c r="Q11" s="58" t="str">
        <f t="shared" si="5"/>
        <v>24 / 5244</v>
      </c>
      <c r="T11" s="18"/>
      <c r="U11" s="18"/>
      <c r="W11" s="18"/>
      <c r="X11" s="18"/>
      <c r="Y11" s="18"/>
      <c r="Z11" s="18"/>
      <c r="AA11" s="18"/>
      <c r="AB11" s="18"/>
    </row>
    <row r="12" spans="1:28" ht="12.75" hidden="1">
      <c r="A12" s="23" t="s">
        <v>92</v>
      </c>
      <c r="B12" s="26">
        <v>606</v>
      </c>
      <c r="C12" s="27">
        <f t="shared" si="6"/>
        <v>8299</v>
      </c>
      <c r="D12" s="28">
        <v>8905</v>
      </c>
      <c r="E12" s="26">
        <v>891</v>
      </c>
      <c r="F12" s="27">
        <f t="shared" si="7"/>
        <v>4931</v>
      </c>
      <c r="G12" s="28">
        <v>5822</v>
      </c>
      <c r="H12" s="173">
        <v>8</v>
      </c>
      <c r="I12" s="128">
        <f t="shared" si="0"/>
        <v>71240</v>
      </c>
      <c r="J12" s="128">
        <f t="shared" si="1"/>
        <v>46576</v>
      </c>
      <c r="K12" s="128">
        <f t="shared" si="8"/>
        <v>117816</v>
      </c>
      <c r="L12" s="129">
        <f t="shared" si="2"/>
        <v>0.008506457046603032</v>
      </c>
      <c r="M12" s="129">
        <f t="shared" si="3"/>
        <v>0.01913002404671934</v>
      </c>
      <c r="N12" s="196">
        <v>27.5</v>
      </c>
      <c r="O12" s="213">
        <f t="shared" si="9"/>
        <v>404992.5</v>
      </c>
      <c r="P12" s="58" t="str">
        <f t="shared" si="4"/>
        <v>606 / 8905</v>
      </c>
      <c r="Q12" s="58" t="str">
        <f t="shared" si="5"/>
        <v>891 / 5822</v>
      </c>
      <c r="T12" s="18"/>
      <c r="U12" s="18"/>
      <c r="W12" s="18"/>
      <c r="X12" s="18"/>
      <c r="Y12" s="18"/>
      <c r="Z12" s="18"/>
      <c r="AA12" s="18"/>
      <c r="AB12" s="18"/>
    </row>
    <row r="13" spans="1:28" ht="12.75" hidden="1">
      <c r="A13" s="131">
        <f>COUNT(D5:D12)</f>
        <v>8</v>
      </c>
      <c r="B13" s="132">
        <f>SUM(B5:B12)</f>
        <v>27435</v>
      </c>
      <c r="C13" s="133">
        <v>23009</v>
      </c>
      <c r="D13" s="132">
        <f>SUM(D5:D12)</f>
        <v>5270555</v>
      </c>
      <c r="E13" s="132">
        <f>SUM(E5:E12)</f>
        <v>8563</v>
      </c>
      <c r="F13" s="133">
        <v>28669.98</v>
      </c>
      <c r="G13" s="132">
        <f>SUM(G5:G12)</f>
        <v>2458908</v>
      </c>
      <c r="H13" s="134">
        <f>K13/(D13+G13)</f>
        <v>7.2534002685568195</v>
      </c>
      <c r="I13" s="135">
        <f>SUM(I5:I12)</f>
        <v>39128030</v>
      </c>
      <c r="J13" s="135">
        <f>SUM(J5:J12)</f>
        <v>16936859</v>
      </c>
      <c r="K13" s="135">
        <f>SUM(K5:K12)</f>
        <v>56064889</v>
      </c>
      <c r="L13" s="136">
        <f t="shared" si="2"/>
        <v>0.0007011597568290558</v>
      </c>
      <c r="M13" s="136">
        <f t="shared" si="3"/>
        <v>0.0005055837094705695</v>
      </c>
      <c r="N13" s="137">
        <f>O13/(D13+G13)</f>
        <v>27.5</v>
      </c>
      <c r="O13" s="214">
        <f>SUM(O5:O12)</f>
        <v>212560232.5</v>
      </c>
      <c r="P13" s="59" t="str">
        <f t="shared" si="4"/>
        <v>27435 / 5270555</v>
      </c>
      <c r="Q13" s="59" t="str">
        <f t="shared" si="5"/>
        <v>8563 / 2458908</v>
      </c>
      <c r="T13" s="18"/>
      <c r="U13" s="18"/>
      <c r="W13" s="18"/>
      <c r="X13" s="18"/>
      <c r="Y13" s="18"/>
      <c r="Z13" s="18"/>
      <c r="AA13" s="18"/>
      <c r="AB13" s="18"/>
    </row>
    <row r="14" spans="2:28" ht="15.75" hidden="1" thickBot="1">
      <c r="B14" s="2"/>
      <c r="C14" s="2"/>
      <c r="E14" s="3"/>
      <c r="F14" s="25"/>
      <c r="S14" s="9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15.75" hidden="1" thickBot="1">
      <c r="A15" s="18"/>
      <c r="B15" s="29" t="s">
        <v>51</v>
      </c>
      <c r="C15" s="183">
        <v>0.003667201014051782</v>
      </c>
      <c r="D15" s="241" t="s">
        <v>13</v>
      </c>
      <c r="E15" s="242"/>
      <c r="F15" s="243"/>
      <c r="S15" s="9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26.25" hidden="1" thickBot="1">
      <c r="A16" s="169">
        <f>I46</f>
        <v>0.0005055837094705695</v>
      </c>
      <c r="B16" s="170" t="s">
        <v>52</v>
      </c>
      <c r="C16" s="12"/>
      <c r="D16" s="10" t="s">
        <v>12</v>
      </c>
      <c r="E16" s="11" t="s">
        <v>21</v>
      </c>
      <c r="F16" s="10" t="s">
        <v>22</v>
      </c>
      <c r="S16" s="9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ht="15.75" hidden="1" thickBot="1">
      <c r="A17" s="219">
        <f>E46</f>
        <v>7.2534002685568195</v>
      </c>
      <c r="B17" s="172" t="s">
        <v>53</v>
      </c>
      <c r="C17" s="12"/>
      <c r="D17" s="184">
        <v>0.94</v>
      </c>
      <c r="E17" s="185">
        <v>0.66</v>
      </c>
      <c r="F17" s="186">
        <v>1.33</v>
      </c>
      <c r="G17" s="12"/>
      <c r="S17" s="9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ht="15.75" hidden="1" thickBot="1">
      <c r="A18" s="31"/>
      <c r="B18" s="30"/>
      <c r="C18" s="18"/>
      <c r="D18" s="18"/>
      <c r="E18" s="18"/>
      <c r="F18" s="18"/>
      <c r="G18" s="18"/>
      <c r="S18" s="9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ht="15.75" hidden="1" thickBot="1">
      <c r="A19" s="31"/>
      <c r="B19" s="32"/>
      <c r="C19" s="33"/>
      <c r="D19" s="34">
        <f>C15*D17</f>
        <v>0.0034471689532086748</v>
      </c>
      <c r="E19" s="35">
        <f>C15*E17</f>
        <v>0.002420352669274176</v>
      </c>
      <c r="F19" s="36">
        <f>C15*F17</f>
        <v>0.004877377348688871</v>
      </c>
      <c r="G19" s="18"/>
      <c r="S19" s="9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ht="15.75" hidden="1" thickBot="1">
      <c r="A20" s="31"/>
      <c r="B20" s="30"/>
      <c r="C20" s="18"/>
      <c r="D20" s="18"/>
      <c r="E20" s="18"/>
      <c r="F20" s="18"/>
      <c r="G20" s="18"/>
      <c r="S20" s="9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ht="15.75" hidden="1" thickBot="1">
      <c r="A21" s="31"/>
      <c r="B21" s="37"/>
      <c r="C21" s="38" t="s">
        <v>2</v>
      </c>
      <c r="D21" s="39">
        <f>C15-D19</f>
        <v>0.00022003206084310724</v>
      </c>
      <c r="E21" s="40">
        <f>C15-F19</f>
        <v>-0.0012101763346370887</v>
      </c>
      <c r="F21" s="41">
        <f>C15-E19</f>
        <v>0.0012468483447776058</v>
      </c>
      <c r="G21" s="18"/>
      <c r="S21" s="9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ht="15.75" hidden="1" thickBot="1">
      <c r="A22" s="31"/>
      <c r="B22" s="42"/>
      <c r="C22" s="43" t="s">
        <v>3</v>
      </c>
      <c r="D22" s="44">
        <f>1/D21</f>
        <v>4544.792227861034</v>
      </c>
      <c r="E22" s="45">
        <f>1/F21</f>
        <v>802.0221578578307</v>
      </c>
      <c r="F22" s="46">
        <f>1/E21</f>
        <v>-826.3258596110978</v>
      </c>
      <c r="G22" s="18"/>
      <c r="S22" s="9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ht="15" hidden="1">
      <c r="A23" s="31"/>
      <c r="B23" s="30"/>
      <c r="C23" s="12"/>
      <c r="D23" s="12"/>
      <c r="E23" s="12"/>
      <c r="F23" s="12"/>
      <c r="G23" s="18"/>
      <c r="S23" s="9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ht="15" hidden="1">
      <c r="A24" s="31"/>
      <c r="B24" s="115" t="s">
        <v>4</v>
      </c>
      <c r="C24" s="116"/>
      <c r="D24" s="116"/>
      <c r="E24" s="117">
        <f>ROUND(D17,2)</f>
        <v>0.94</v>
      </c>
      <c r="F24" s="118">
        <f>ROUND(D21,4)</f>
        <v>0.0002</v>
      </c>
      <c r="G24" s="119">
        <f>ROUND(D22,0)</f>
        <v>4545</v>
      </c>
      <c r="S24" s="9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ht="15" hidden="1">
      <c r="A25" s="31"/>
      <c r="B25" s="47" t="s">
        <v>6</v>
      </c>
      <c r="C25" s="48">
        <f>ROUND(D19,4)</f>
        <v>0.0034</v>
      </c>
      <c r="D25" s="49">
        <f>ROUND(C15,4)</f>
        <v>0.0037</v>
      </c>
      <c r="E25" s="6">
        <f>ROUND(E17,2)</f>
        <v>0.66</v>
      </c>
      <c r="F25" s="7">
        <f>ROUND(E21,4)</f>
        <v>-0.0012</v>
      </c>
      <c r="G25" s="8">
        <f>ROUND(E22,0)</f>
        <v>802</v>
      </c>
      <c r="S25" s="9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ht="15" hidden="1">
      <c r="A26" s="31"/>
      <c r="B26" s="47" t="s">
        <v>5</v>
      </c>
      <c r="C26" s="14"/>
      <c r="D26" s="14"/>
      <c r="E26" s="6">
        <f>ROUND(F17,2)</f>
        <v>1.33</v>
      </c>
      <c r="F26" s="7">
        <f>ROUND(F21,4)</f>
        <v>0.0012</v>
      </c>
      <c r="G26" s="8">
        <f>ROUND(F22,0)</f>
        <v>-826</v>
      </c>
      <c r="S26" s="9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ht="15" hidden="1">
      <c r="A27" s="31"/>
      <c r="B27" s="47" t="s">
        <v>7</v>
      </c>
      <c r="C27" s="120" t="s">
        <v>54</v>
      </c>
      <c r="D27" s="120" t="s">
        <v>11</v>
      </c>
      <c r="E27" s="121" t="s">
        <v>8</v>
      </c>
      <c r="F27" s="121" t="s">
        <v>9</v>
      </c>
      <c r="G27" s="120" t="s">
        <v>3</v>
      </c>
      <c r="S27" s="9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ht="15" hidden="1">
      <c r="A28" s="31"/>
      <c r="B28" s="50" t="s">
        <v>0</v>
      </c>
      <c r="C28" s="120" t="str">
        <f>CONCATENATE(C25*100,B27)</f>
        <v>0,34%</v>
      </c>
      <c r="D28" s="120" t="str">
        <f>CONCATENATE(D25*100,B27)</f>
        <v>0,37%</v>
      </c>
      <c r="E28" s="120" t="str">
        <f>CONCATENATE(E24," ",B24,E25,B25,E26,B26)</f>
        <v>0,94 (0,66-1,33)</v>
      </c>
      <c r="F28" s="120" t="str">
        <f>CONCATENATE(F24*100,B27," ",B24,F25*100,B27," ",B28," ",F26*100,B27,B26)</f>
        <v>0,02% (-0,12% a 0,12%)</v>
      </c>
      <c r="G28" s="120" t="str">
        <f>CONCATENATE(G24," ",B24,G25," ",B28," ",G26,B26)</f>
        <v>4545 (802 a -826)</v>
      </c>
      <c r="S28" s="9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ht="15" hidden="1">
      <c r="A29" s="51"/>
      <c r="B29" s="4"/>
      <c r="C29" s="19"/>
      <c r="D29" s="19"/>
      <c r="E29" s="19"/>
      <c r="F29" s="19"/>
      <c r="G29" s="19"/>
      <c r="S29" s="9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ht="15.75" hidden="1" thickBot="1">
      <c r="A30" s="169">
        <f>A16*A17</f>
        <v>0.003667201014051782</v>
      </c>
      <c r="B30" s="170" t="s">
        <v>55</v>
      </c>
      <c r="C30" s="18"/>
      <c r="D30" s="18"/>
      <c r="E30" s="18"/>
      <c r="F30" s="18"/>
      <c r="G30" s="18"/>
      <c r="S30" s="9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ht="15.75" hidden="1" thickBot="1">
      <c r="A31" s="52"/>
      <c r="B31" s="18"/>
      <c r="C31" s="177" t="s">
        <v>56</v>
      </c>
      <c r="D31" s="178" t="s">
        <v>11</v>
      </c>
      <c r="E31" s="178" t="s">
        <v>8</v>
      </c>
      <c r="F31" s="178" t="s">
        <v>2</v>
      </c>
      <c r="G31" s="179" t="s">
        <v>3</v>
      </c>
      <c r="S31" s="9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ht="26.25" hidden="1" thickBot="1">
      <c r="A32" s="53"/>
      <c r="B32" s="15"/>
      <c r="C32" s="174" t="str">
        <f>C28</f>
        <v>0,34%</v>
      </c>
      <c r="D32" s="175" t="str">
        <f>D28</f>
        <v>0,37%</v>
      </c>
      <c r="E32" s="175" t="str">
        <f>E28</f>
        <v>0,94 (0,66-1,33)</v>
      </c>
      <c r="F32" s="175" t="str">
        <f>F28</f>
        <v>0,02% (-0,12% a 0,12%)</v>
      </c>
      <c r="G32" s="176" t="str">
        <f>G28</f>
        <v>4545 (802 a -826)</v>
      </c>
      <c r="S32" s="9"/>
      <c r="T32" s="18"/>
      <c r="U32" s="18"/>
      <c r="V32" s="18"/>
      <c r="W32" s="18"/>
      <c r="X32" s="18"/>
      <c r="Y32" s="18"/>
      <c r="Z32" s="18"/>
      <c r="AA32" s="18"/>
      <c r="AB32" s="18"/>
    </row>
    <row r="33" spans="2:28" ht="15" hidden="1">
      <c r="B33" s="2"/>
      <c r="C33" s="2"/>
      <c r="E33" s="3"/>
      <c r="F33" s="25"/>
      <c r="S33" s="9"/>
      <c r="T33" s="18"/>
      <c r="U33" s="18"/>
      <c r="V33" s="18"/>
      <c r="W33" s="18"/>
      <c r="X33" s="18"/>
      <c r="Y33" s="18"/>
      <c r="Z33" s="18"/>
      <c r="AA33" s="18"/>
      <c r="AB33" s="18"/>
    </row>
    <row r="34" spans="4:28" ht="15.75" thickBot="1">
      <c r="D34" s="3"/>
      <c r="E34" s="3"/>
      <c r="S34" s="9"/>
      <c r="T34" s="18"/>
      <c r="U34" s="18"/>
      <c r="V34" s="18"/>
      <c r="W34" s="18"/>
      <c r="X34" s="18"/>
      <c r="Y34" s="18"/>
      <c r="Z34" s="18"/>
      <c r="AA34" s="18"/>
      <c r="AB34" s="18"/>
    </row>
    <row r="35" spans="1:21" ht="22.5" customHeight="1" thickBot="1">
      <c r="A35" s="203" t="s">
        <v>199</v>
      </c>
      <c r="B35" s="168" t="str">
        <f>B2</f>
        <v>CAMBIOS en diagnóstico de verrugas AG, VARONES 25 a 29 años, seguimiento 5 a 8 años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7"/>
      <c r="S35" s="9"/>
      <c r="T35" s="18"/>
      <c r="U35" s="18"/>
    </row>
    <row r="36" spans="1:21" ht="36" customHeight="1" thickBot="1">
      <c r="A36" s="229" t="s">
        <v>28</v>
      </c>
      <c r="B36" s="229" t="s">
        <v>29</v>
      </c>
      <c r="C36" s="244" t="s">
        <v>30</v>
      </c>
      <c r="D36" s="246" t="s">
        <v>31</v>
      </c>
      <c r="E36" s="229" t="s">
        <v>32</v>
      </c>
      <c r="F36" s="229" t="s">
        <v>57</v>
      </c>
      <c r="G36" s="229" t="s">
        <v>58</v>
      </c>
      <c r="H36" s="229" t="s">
        <v>61</v>
      </c>
      <c r="I36" s="229" t="s">
        <v>62</v>
      </c>
      <c r="J36" s="229" t="s">
        <v>33</v>
      </c>
      <c r="K36" s="231" t="s">
        <v>34</v>
      </c>
      <c r="L36" s="221" t="s">
        <v>35</v>
      </c>
      <c r="M36" s="222"/>
      <c r="N36" s="222"/>
      <c r="O36" s="223"/>
      <c r="S36" s="9"/>
      <c r="T36" s="18"/>
      <c r="U36" s="18"/>
    </row>
    <row r="37" spans="1:21" ht="43.5" customHeight="1" thickBot="1">
      <c r="A37" s="230"/>
      <c r="B37" s="230"/>
      <c r="C37" s="245"/>
      <c r="D37" s="247"/>
      <c r="E37" s="230"/>
      <c r="F37" s="230"/>
      <c r="G37" s="230"/>
      <c r="H37" s="230"/>
      <c r="I37" s="230"/>
      <c r="J37" s="230"/>
      <c r="K37" s="232"/>
      <c r="L37" s="187" t="s">
        <v>36</v>
      </c>
      <c r="M37" s="188" t="s">
        <v>2</v>
      </c>
      <c r="N37" s="189" t="s">
        <v>3</v>
      </c>
      <c r="O37" s="190" t="s">
        <v>37</v>
      </c>
      <c r="S37" s="9"/>
      <c r="T37" s="18"/>
      <c r="U37" s="18"/>
    </row>
    <row r="38" spans="1:21" ht="15" customHeight="1">
      <c r="A38" s="233">
        <v>8</v>
      </c>
      <c r="B38" s="127" t="str">
        <f>A5</f>
        <v>Guerra 2016, 27,5, 6y</v>
      </c>
      <c r="C38" s="60" t="s">
        <v>38</v>
      </c>
      <c r="D38" s="61"/>
      <c r="E38" s="139">
        <f aca="true" t="shared" si="10" ref="E38:E46">H5</f>
        <v>6</v>
      </c>
      <c r="F38" s="140" t="str">
        <f aca="true" t="shared" si="11" ref="F38:F46">P5</f>
        <v>1502 / 582655</v>
      </c>
      <c r="G38" s="141">
        <f aca="true" t="shared" si="12" ref="G38:G46">L5</f>
        <v>0.0004296424699579225</v>
      </c>
      <c r="H38" s="140" t="str">
        <f aca="true" t="shared" si="13" ref="H38:H46">Q5</f>
        <v>2091 / 764997</v>
      </c>
      <c r="I38" s="142">
        <f aca="true" t="shared" si="14" ref="I38:I46">M5</f>
        <v>0.0004555573420549362</v>
      </c>
      <c r="J38" s="143">
        <v>27.5</v>
      </c>
      <c r="K38" s="113">
        <v>0.13171191177624195</v>
      </c>
      <c r="L38" s="199" t="s">
        <v>127</v>
      </c>
      <c r="M38" s="200" t="s">
        <v>128</v>
      </c>
      <c r="N38" s="200" t="s">
        <v>129</v>
      </c>
      <c r="O38" s="144"/>
      <c r="Q38" s="13">
        <v>3</v>
      </c>
      <c r="R38" s="62">
        <f>Q38*K38</f>
        <v>0.3951357353287258</v>
      </c>
      <c r="S38" s="9"/>
      <c r="T38" s="18"/>
      <c r="U38" s="18"/>
    </row>
    <row r="39" spans="1:21" ht="15" customHeight="1">
      <c r="A39" s="234"/>
      <c r="B39" s="127" t="str">
        <f aca="true" t="shared" si="15" ref="B39:B45">A6</f>
        <v>Cocchio2017, 27,5, 7y</v>
      </c>
      <c r="C39" s="60" t="s">
        <v>38</v>
      </c>
      <c r="D39" s="61"/>
      <c r="E39" s="139">
        <f t="shared" si="10"/>
        <v>7</v>
      </c>
      <c r="F39" s="140" t="str">
        <f t="shared" si="11"/>
        <v>116 / 372121</v>
      </c>
      <c r="G39" s="141">
        <f t="shared" si="12"/>
        <v>4.453236600844503E-05</v>
      </c>
      <c r="H39" s="140" t="str">
        <f t="shared" si="13"/>
        <v>88 / 444665</v>
      </c>
      <c r="I39" s="141">
        <f t="shared" si="14"/>
        <v>2.8271684462299868E-05</v>
      </c>
      <c r="J39" s="143">
        <v>27.5</v>
      </c>
      <c r="K39" s="113">
        <v>0.12233410880609119</v>
      </c>
      <c r="L39" s="199" t="s">
        <v>130</v>
      </c>
      <c r="M39" s="200" t="s">
        <v>131</v>
      </c>
      <c r="N39" s="200" t="s">
        <v>132</v>
      </c>
      <c r="O39" s="114"/>
      <c r="Q39" s="13">
        <v>3</v>
      </c>
      <c r="R39" s="62">
        <f aca="true" t="shared" si="16" ref="R39:R45">Q39*K39</f>
        <v>0.3670023264182736</v>
      </c>
      <c r="S39" s="9"/>
      <c r="T39" s="18"/>
      <c r="U39" s="18"/>
    </row>
    <row r="40" spans="1:21" ht="15" customHeight="1">
      <c r="A40" s="234"/>
      <c r="B40" s="127" t="str">
        <f t="shared" si="15"/>
        <v>Herweijer 2018, 27,5, 6y</v>
      </c>
      <c r="C40" s="60" t="s">
        <v>38</v>
      </c>
      <c r="D40" s="61"/>
      <c r="E40" s="139">
        <f t="shared" si="10"/>
        <v>6</v>
      </c>
      <c r="F40" s="140" t="str">
        <f t="shared" si="11"/>
        <v>5069 / 611461</v>
      </c>
      <c r="G40" s="141">
        <f t="shared" si="12"/>
        <v>0.001381663480309183</v>
      </c>
      <c r="H40" s="140" t="str">
        <f t="shared" si="13"/>
        <v>2419 / 278176</v>
      </c>
      <c r="I40" s="141">
        <f t="shared" si="14"/>
        <v>0.0014493222516200775</v>
      </c>
      <c r="J40" s="143">
        <v>27.5</v>
      </c>
      <c r="K40" s="113">
        <v>0.13199957590329478</v>
      </c>
      <c r="L40" s="199" t="s">
        <v>133</v>
      </c>
      <c r="M40" s="200" t="s">
        <v>134</v>
      </c>
      <c r="N40" s="200" t="s">
        <v>135</v>
      </c>
      <c r="O40" s="114"/>
      <c r="Q40" s="13">
        <v>3</v>
      </c>
      <c r="R40" s="62">
        <f t="shared" si="16"/>
        <v>0.3959987277098843</v>
      </c>
      <c r="S40" s="9"/>
      <c r="T40" s="18"/>
      <c r="U40" s="18"/>
    </row>
    <row r="41" spans="1:21" ht="15" customHeight="1">
      <c r="A41" s="234"/>
      <c r="B41" s="127" t="str">
        <f t="shared" si="15"/>
        <v>Flagg 2018, 27,5, 8y</v>
      </c>
      <c r="C41" s="60" t="s">
        <v>38</v>
      </c>
      <c r="D41" s="61"/>
      <c r="E41" s="139">
        <f t="shared" si="10"/>
        <v>8</v>
      </c>
      <c r="F41" s="140" t="str">
        <f t="shared" si="11"/>
        <v>19830 / 3551627</v>
      </c>
      <c r="G41" s="141">
        <f t="shared" si="12"/>
        <v>0.0006979195731984242</v>
      </c>
      <c r="H41" s="140" t="str">
        <f t="shared" si="13"/>
        <v>2685 / 858915</v>
      </c>
      <c r="I41" s="141">
        <f t="shared" si="14"/>
        <v>0.00039075461483383103</v>
      </c>
      <c r="J41" s="143">
        <v>27.5</v>
      </c>
      <c r="K41" s="113">
        <v>0.1320987089112098</v>
      </c>
      <c r="L41" s="199" t="s">
        <v>136</v>
      </c>
      <c r="M41" s="200" t="s">
        <v>137</v>
      </c>
      <c r="N41" s="200" t="s">
        <v>138</v>
      </c>
      <c r="O41" s="114"/>
      <c r="Q41" s="13">
        <v>3</v>
      </c>
      <c r="R41" s="62">
        <f t="shared" si="16"/>
        <v>0.39629612673362946</v>
      </c>
      <c r="S41" s="9"/>
      <c r="T41" s="18"/>
      <c r="U41" s="18"/>
    </row>
    <row r="42" spans="1:21" ht="15" customHeight="1">
      <c r="A42" s="234"/>
      <c r="B42" s="127" t="str">
        <f t="shared" si="15"/>
        <v>Dominiak 2015, 27,5, 6y</v>
      </c>
      <c r="C42" s="60" t="s">
        <v>38</v>
      </c>
      <c r="D42" s="61"/>
      <c r="E42" s="139">
        <f t="shared" si="10"/>
        <v>6</v>
      </c>
      <c r="F42" s="140" t="str">
        <f t="shared" si="11"/>
        <v>183 / 136713</v>
      </c>
      <c r="G42" s="141">
        <f t="shared" si="12"/>
        <v>0.00022309509702808072</v>
      </c>
      <c r="H42" s="140" t="str">
        <f t="shared" si="13"/>
        <v>145 / 99873</v>
      </c>
      <c r="I42" s="141">
        <f t="shared" si="14"/>
        <v>0.00024197397361315538</v>
      </c>
      <c r="J42" s="143">
        <v>27.5</v>
      </c>
      <c r="K42" s="113">
        <v>0.12596945173961174</v>
      </c>
      <c r="L42" s="199" t="s">
        <v>139</v>
      </c>
      <c r="M42" s="200" t="s">
        <v>140</v>
      </c>
      <c r="N42" s="200" t="s">
        <v>141</v>
      </c>
      <c r="O42" s="114"/>
      <c r="Q42" s="13">
        <v>3</v>
      </c>
      <c r="R42" s="62">
        <f t="shared" si="16"/>
        <v>0.37790835521883526</v>
      </c>
      <c r="S42" s="9"/>
      <c r="T42" s="18"/>
      <c r="U42" s="18"/>
    </row>
    <row r="43" spans="1:21" ht="15" customHeight="1">
      <c r="A43" s="234"/>
      <c r="B43" s="127" t="str">
        <f t="shared" si="15"/>
        <v>Oliphant 2017, 27,5, 5y</v>
      </c>
      <c r="C43" s="60" t="s">
        <v>38</v>
      </c>
      <c r="D43" s="61"/>
      <c r="E43" s="139">
        <f t="shared" si="10"/>
        <v>5</v>
      </c>
      <c r="F43" s="140" t="str">
        <f t="shared" si="11"/>
        <v>105 / 877</v>
      </c>
      <c r="G43" s="141">
        <f t="shared" si="12"/>
        <v>0.02394526795895097</v>
      </c>
      <c r="H43" s="140" t="str">
        <f t="shared" si="13"/>
        <v>220 / 1216</v>
      </c>
      <c r="I43" s="141">
        <f t="shared" si="14"/>
        <v>0.03618421052631579</v>
      </c>
      <c r="J43" s="143">
        <v>27.5</v>
      </c>
      <c r="K43" s="113">
        <v>0.12608577729470105</v>
      </c>
      <c r="L43" s="199" t="s">
        <v>142</v>
      </c>
      <c r="M43" s="200" t="s">
        <v>143</v>
      </c>
      <c r="N43" s="200" t="s">
        <v>144</v>
      </c>
      <c r="O43" s="144"/>
      <c r="Q43" s="13">
        <v>3.5</v>
      </c>
      <c r="R43" s="62">
        <f t="shared" si="16"/>
        <v>0.4413002205314537</v>
      </c>
      <c r="S43" s="9"/>
      <c r="T43" s="18"/>
      <c r="U43" s="18"/>
    </row>
    <row r="44" spans="1:21" ht="15" customHeight="1">
      <c r="A44" s="234"/>
      <c r="B44" s="127" t="str">
        <f t="shared" si="15"/>
        <v>Harrison 2014, 27,5, 8y</v>
      </c>
      <c r="C44" s="60" t="s">
        <v>38</v>
      </c>
      <c r="D44" s="61"/>
      <c r="E44" s="139">
        <f t="shared" si="10"/>
        <v>8</v>
      </c>
      <c r="F44" s="140" t="str">
        <f t="shared" si="11"/>
        <v>24 / 6196</v>
      </c>
      <c r="G44" s="141">
        <f t="shared" si="12"/>
        <v>0.0004841833440929632</v>
      </c>
      <c r="H44" s="140" t="str">
        <f t="shared" si="13"/>
        <v>24 / 5244</v>
      </c>
      <c r="I44" s="141">
        <f t="shared" si="14"/>
        <v>0.0005720823798627002</v>
      </c>
      <c r="J44" s="143">
        <v>27.5</v>
      </c>
      <c r="K44" s="113">
        <v>0.09880679623963849</v>
      </c>
      <c r="L44" s="199" t="s">
        <v>145</v>
      </c>
      <c r="M44" s="200" t="s">
        <v>146</v>
      </c>
      <c r="N44" s="200" t="s">
        <v>147</v>
      </c>
      <c r="O44" s="144"/>
      <c r="Q44" s="13">
        <v>3</v>
      </c>
      <c r="R44" s="62">
        <f t="shared" si="16"/>
        <v>0.29642038871891546</v>
      </c>
      <c r="S44" s="9"/>
      <c r="T44" s="18"/>
      <c r="U44" s="18"/>
    </row>
    <row r="45" spans="1:21" ht="15" customHeight="1" thickBot="1">
      <c r="A45" s="235"/>
      <c r="B45" s="127" t="str">
        <f t="shared" si="15"/>
        <v>Callander 2016, 27,5, 8y</v>
      </c>
      <c r="C45" s="60" t="s">
        <v>38</v>
      </c>
      <c r="D45" s="61"/>
      <c r="E45" s="139">
        <f t="shared" si="10"/>
        <v>8</v>
      </c>
      <c r="F45" s="140" t="str">
        <f t="shared" si="11"/>
        <v>606 / 8905</v>
      </c>
      <c r="G45" s="141">
        <f t="shared" si="12"/>
        <v>0.008506457046603032</v>
      </c>
      <c r="H45" s="140" t="str">
        <f t="shared" si="13"/>
        <v>891 / 5822</v>
      </c>
      <c r="I45" s="141">
        <f t="shared" si="14"/>
        <v>0.01913002404671934</v>
      </c>
      <c r="J45" s="143">
        <v>27.5</v>
      </c>
      <c r="K45" s="113">
        <v>0.13099366932921086</v>
      </c>
      <c r="L45" s="199" t="s">
        <v>148</v>
      </c>
      <c r="M45" s="200" t="s">
        <v>149</v>
      </c>
      <c r="N45" s="200" t="s">
        <v>150</v>
      </c>
      <c r="O45" s="144"/>
      <c r="Q45" s="13">
        <v>3</v>
      </c>
      <c r="R45" s="62">
        <f t="shared" si="16"/>
        <v>0.3929810079876326</v>
      </c>
      <c r="S45" s="9"/>
      <c r="T45" s="18"/>
      <c r="U45" s="18"/>
    </row>
    <row r="46" spans="1:21" ht="21.75" thickBot="1">
      <c r="A46" s="145" t="s">
        <v>39</v>
      </c>
      <c r="B46" s="146">
        <f>COUNT(E38:E45)</f>
        <v>8</v>
      </c>
      <c r="C46" s="147"/>
      <c r="D46" s="63" t="s">
        <v>74</v>
      </c>
      <c r="E46" s="148">
        <f t="shared" si="10"/>
        <v>7.2534002685568195</v>
      </c>
      <c r="F46" s="149" t="str">
        <f t="shared" si="11"/>
        <v>27435 / 5270555</v>
      </c>
      <c r="G46" s="150">
        <f t="shared" si="12"/>
        <v>0.0007011597568290558</v>
      </c>
      <c r="H46" s="149" t="str">
        <f t="shared" si="13"/>
        <v>8563 / 2458908</v>
      </c>
      <c r="I46" s="150">
        <f t="shared" si="14"/>
        <v>0.0005055837094705695</v>
      </c>
      <c r="J46" s="148">
        <v>27.5</v>
      </c>
      <c r="K46" s="151">
        <v>0.9999999999999998</v>
      </c>
      <c r="L46" s="215" t="s">
        <v>151</v>
      </c>
      <c r="M46" s="64"/>
      <c r="N46" s="65"/>
      <c r="O46" s="66"/>
      <c r="R46" s="152">
        <f>SUM(R38:R45)</f>
        <v>3.06304288864735</v>
      </c>
      <c r="S46" s="9"/>
      <c r="T46" s="18"/>
      <c r="U46" s="18"/>
    </row>
    <row r="47" spans="1:15" ht="13.5" thickBot="1">
      <c r="A47" s="67"/>
      <c r="B47" s="67"/>
      <c r="C47" s="68"/>
      <c r="D47" s="69"/>
      <c r="E47" s="70"/>
      <c r="F47" s="71"/>
      <c r="G47" s="72"/>
      <c r="H47" s="71"/>
      <c r="I47" s="73"/>
      <c r="J47" s="74"/>
      <c r="K47" s="75"/>
      <c r="L47" s="64"/>
      <c r="M47" s="65"/>
      <c r="N47" s="65"/>
      <c r="O47" s="75"/>
    </row>
    <row r="48" spans="1:256" ht="48" thickBot="1">
      <c r="A48" s="76"/>
      <c r="B48" s="224" t="s">
        <v>65</v>
      </c>
      <c r="C48" s="225"/>
      <c r="D48" s="225"/>
      <c r="E48" s="225"/>
      <c r="F48" s="225"/>
      <c r="G48" s="225"/>
      <c r="H48" s="225"/>
      <c r="I48" s="226"/>
      <c r="J48" s="77" t="s">
        <v>59</v>
      </c>
      <c r="K48" s="153" t="s">
        <v>63</v>
      </c>
      <c r="L48" s="78" t="s">
        <v>36</v>
      </c>
      <c r="M48" s="79" t="s">
        <v>2</v>
      </c>
      <c r="N48" s="80" t="s">
        <v>3</v>
      </c>
      <c r="O48" s="6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15" ht="23.25" customHeight="1">
      <c r="A49" s="227" t="s">
        <v>40</v>
      </c>
      <c r="B49" s="81" t="s">
        <v>41</v>
      </c>
      <c r="C49" s="82">
        <f>I46</f>
        <v>0.0005055837094705695</v>
      </c>
      <c r="D49" s="83" t="s">
        <v>42</v>
      </c>
      <c r="E49" s="83"/>
      <c r="F49" s="83"/>
      <c r="G49" s="83"/>
      <c r="H49" s="84">
        <f>J46</f>
        <v>27.5</v>
      </c>
      <c r="I49" s="85" t="s">
        <v>43</v>
      </c>
      <c r="J49" s="86" t="s">
        <v>207</v>
      </c>
      <c r="K49" s="87" t="s">
        <v>207</v>
      </c>
      <c r="L49" s="216" t="s">
        <v>151</v>
      </c>
      <c r="M49" s="88" t="s">
        <v>101</v>
      </c>
      <c r="N49" s="218" t="s">
        <v>224</v>
      </c>
      <c r="O49" s="89" t="s">
        <v>44</v>
      </c>
    </row>
    <row r="50" spans="1:15" ht="23.25" customHeight="1" thickBot="1">
      <c r="A50" s="228"/>
      <c r="B50" s="154" t="s">
        <v>41</v>
      </c>
      <c r="C50" s="155">
        <f>I46*E46</f>
        <v>0.003667201014051782</v>
      </c>
      <c r="D50" s="156" t="s">
        <v>45</v>
      </c>
      <c r="E50" s="157"/>
      <c r="F50" s="158"/>
      <c r="G50" s="159">
        <f>E46</f>
        <v>7.2534002685568195</v>
      </c>
      <c r="H50" s="156" t="s">
        <v>46</v>
      </c>
      <c r="I50" s="160"/>
      <c r="J50" s="161" t="s">
        <v>225</v>
      </c>
      <c r="K50" s="162" t="s">
        <v>226</v>
      </c>
      <c r="L50" s="217" t="s">
        <v>151</v>
      </c>
      <c r="M50" s="164" t="s">
        <v>227</v>
      </c>
      <c r="N50" s="164" t="s">
        <v>228</v>
      </c>
      <c r="O50" s="165" t="s">
        <v>76</v>
      </c>
    </row>
    <row r="51" spans="1:15" ht="14.25" customHeight="1" thickBot="1">
      <c r="A51" s="90"/>
      <c r="B51" s="91"/>
      <c r="C51" s="92"/>
      <c r="D51" s="93"/>
      <c r="E51" s="94"/>
      <c r="F51" s="95"/>
      <c r="G51" s="96"/>
      <c r="H51" s="93"/>
      <c r="I51" s="95"/>
      <c r="J51" s="97"/>
      <c r="K51" s="97"/>
      <c r="L51" s="98"/>
      <c r="M51" s="99"/>
      <c r="N51" s="99"/>
      <c r="O51" s="100"/>
    </row>
    <row r="52" spans="1:15" ht="21.75" customHeight="1" thickBot="1">
      <c r="A52" s="101"/>
      <c r="B52" s="101"/>
      <c r="C52" s="75"/>
      <c r="D52" s="75"/>
      <c r="E52" s="75"/>
      <c r="F52" s="75"/>
      <c r="G52" s="75"/>
      <c r="H52" s="75"/>
      <c r="I52" s="191"/>
      <c r="J52" s="192"/>
      <c r="K52" s="193" t="s">
        <v>47</v>
      </c>
      <c r="L52" s="109" t="s">
        <v>229</v>
      </c>
      <c r="M52" s="102"/>
      <c r="N52" s="103"/>
      <c r="O52" s="104"/>
    </row>
    <row r="53" spans="1:11" ht="14.25" customHeight="1">
      <c r="A53" s="20"/>
      <c r="C53" s="2"/>
      <c r="I53" s="5" t="s">
        <v>48</v>
      </c>
      <c r="J53" s="195">
        <f>G50</f>
        <v>7.2534002685568195</v>
      </c>
      <c r="K53" s="195">
        <f>J53</f>
        <v>7.2534002685568195</v>
      </c>
    </row>
    <row r="54" spans="1:12" ht="12.75">
      <c r="A54" s="20"/>
      <c r="C54" s="2"/>
      <c r="I54" s="13"/>
      <c r="J54" s="130" t="s">
        <v>14</v>
      </c>
      <c r="K54" s="130" t="s">
        <v>15</v>
      </c>
      <c r="L54" s="130" t="s">
        <v>49</v>
      </c>
    </row>
    <row r="55" spans="9:14" ht="17.25">
      <c r="I55" s="105" t="s">
        <v>50</v>
      </c>
      <c r="J55" s="112">
        <f>J49*1000*J53</f>
        <v>3.6267001342784098</v>
      </c>
      <c r="K55" s="110">
        <f>K49*1000*K53</f>
        <v>3.6267001342784098</v>
      </c>
      <c r="L55" s="111">
        <f>((J55*I13)+(K55*J13))/K13</f>
        <v>3.6267001342784098</v>
      </c>
      <c r="M55" s="106"/>
      <c r="N55" s="106"/>
    </row>
    <row r="56" spans="1:7" ht="12.75">
      <c r="A56" s="18"/>
      <c r="B56" s="18"/>
      <c r="C56" s="18"/>
      <c r="D56" s="18"/>
      <c r="E56" s="18"/>
      <c r="F56" s="18"/>
      <c r="G56" s="18"/>
    </row>
    <row r="57" spans="1:7" ht="12.75">
      <c r="A57" s="18"/>
      <c r="B57" s="18"/>
      <c r="C57" s="18"/>
      <c r="D57" s="18"/>
      <c r="E57" s="18"/>
      <c r="F57" s="18"/>
      <c r="G57" s="18"/>
    </row>
    <row r="58" spans="1:7" ht="12.75">
      <c r="A58" s="18"/>
      <c r="B58" s="18"/>
      <c r="C58" s="18"/>
      <c r="D58" s="18"/>
      <c r="E58" s="18"/>
      <c r="F58" s="18"/>
      <c r="G58" s="18"/>
    </row>
    <row r="59" spans="1:7" ht="12.75">
      <c r="A59" s="18"/>
      <c r="B59" s="18"/>
      <c r="C59" s="18"/>
      <c r="D59" s="18"/>
      <c r="E59" s="18"/>
      <c r="F59" s="18"/>
      <c r="G59" s="18"/>
    </row>
    <row r="60" spans="1:7" ht="12.75">
      <c r="A60" s="18"/>
      <c r="B60" s="18"/>
      <c r="C60" s="18"/>
      <c r="D60" s="18"/>
      <c r="E60" s="18"/>
      <c r="F60" s="18"/>
      <c r="G60" s="18"/>
    </row>
    <row r="61" spans="1:7" ht="12.75">
      <c r="A61" s="18"/>
      <c r="B61" s="18"/>
      <c r="C61" s="18"/>
      <c r="D61" s="18"/>
      <c r="E61" s="18"/>
      <c r="F61" s="18"/>
      <c r="G61" s="18"/>
    </row>
    <row r="62" spans="1:7" ht="12.75">
      <c r="A62" s="18"/>
      <c r="B62" s="18"/>
      <c r="C62" s="18"/>
      <c r="D62" s="18"/>
      <c r="E62" s="18"/>
      <c r="F62" s="18"/>
      <c r="G62" s="18"/>
    </row>
    <row r="63" spans="1:7" ht="12.75">
      <c r="A63" s="18"/>
      <c r="B63" s="18"/>
      <c r="C63" s="18"/>
      <c r="D63" s="18"/>
      <c r="E63" s="18"/>
      <c r="F63" s="18"/>
      <c r="G63" s="18"/>
    </row>
    <row r="64" spans="1:7" ht="12.75">
      <c r="A64" s="18"/>
      <c r="B64" s="18"/>
      <c r="C64" s="18"/>
      <c r="D64" s="18"/>
      <c r="E64" s="18"/>
      <c r="F64" s="18"/>
      <c r="G64" s="18"/>
    </row>
    <row r="65" spans="1:7" ht="12.75">
      <c r="A65" s="18"/>
      <c r="B65" s="18"/>
      <c r="C65" s="18"/>
      <c r="D65" s="18"/>
      <c r="E65" s="18"/>
      <c r="F65" s="18"/>
      <c r="G65" s="18"/>
    </row>
    <row r="66" spans="1:7" ht="12.75">
      <c r="A66" s="18"/>
      <c r="B66" s="18"/>
      <c r="C66" s="18"/>
      <c r="D66" s="18"/>
      <c r="E66" s="18"/>
      <c r="F66" s="18"/>
      <c r="G66" s="18"/>
    </row>
    <row r="67" spans="1:7" ht="12.75">
      <c r="A67" s="18"/>
      <c r="B67" s="18"/>
      <c r="C67" s="18"/>
      <c r="D67" s="18"/>
      <c r="E67" s="18"/>
      <c r="F67" s="18"/>
      <c r="G67" s="18"/>
    </row>
    <row r="68" spans="1:7" ht="12.75">
      <c r="A68" s="18"/>
      <c r="B68" s="18"/>
      <c r="C68" s="18"/>
      <c r="D68" s="18"/>
      <c r="E68" s="18"/>
      <c r="F68" s="18"/>
      <c r="G68" s="18"/>
    </row>
    <row r="69" spans="1:7" ht="12.75">
      <c r="A69" s="18"/>
      <c r="B69" s="18"/>
      <c r="C69" s="18"/>
      <c r="D69" s="18"/>
      <c r="E69" s="18"/>
      <c r="F69" s="18"/>
      <c r="G69" s="18"/>
    </row>
    <row r="70" spans="1:7" ht="12.75">
      <c r="A70" s="18"/>
      <c r="B70" s="18"/>
      <c r="C70" s="18"/>
      <c r="D70" s="18"/>
      <c r="E70" s="18"/>
      <c r="F70" s="18"/>
      <c r="G70" s="18"/>
    </row>
    <row r="71" spans="1:7" ht="12.75">
      <c r="A71" s="18"/>
      <c r="B71" s="18"/>
      <c r="C71" s="18"/>
      <c r="D71" s="18"/>
      <c r="E71" s="18"/>
      <c r="F71" s="18"/>
      <c r="G71" s="18"/>
    </row>
    <row r="72" spans="1:7" ht="12.75">
      <c r="A72" s="18"/>
      <c r="B72" s="18"/>
      <c r="C72" s="18"/>
      <c r="D72" s="18"/>
      <c r="E72" s="18"/>
      <c r="F72" s="18"/>
      <c r="G72" s="18"/>
    </row>
    <row r="73" spans="1:7" ht="12.75">
      <c r="A73" s="18"/>
      <c r="B73" s="18"/>
      <c r="C73" s="18"/>
      <c r="D73" s="18"/>
      <c r="E73" s="18"/>
      <c r="F73" s="18"/>
      <c r="G73" s="18"/>
    </row>
    <row r="74" spans="1:7" ht="12.75">
      <c r="A74" s="18"/>
      <c r="B74" s="18"/>
      <c r="C74" s="18"/>
      <c r="D74" s="18"/>
      <c r="E74" s="18"/>
      <c r="F74" s="18"/>
      <c r="G74" s="18"/>
    </row>
  </sheetData>
  <sheetProtection/>
  <mergeCells count="20">
    <mergeCell ref="L36:O36"/>
    <mergeCell ref="B48:I48"/>
    <mergeCell ref="A49:A50"/>
    <mergeCell ref="F36:F37"/>
    <mergeCell ref="G36:G37"/>
    <mergeCell ref="H36:H37"/>
    <mergeCell ref="I36:I37"/>
    <mergeCell ref="J36:J37"/>
    <mergeCell ref="K36:K37"/>
    <mergeCell ref="A38:A45"/>
    <mergeCell ref="B3:D3"/>
    <mergeCell ref="E3:G3"/>
    <mergeCell ref="I3:K3"/>
    <mergeCell ref="L3:M3"/>
    <mergeCell ref="D15:F15"/>
    <mergeCell ref="A36:A37"/>
    <mergeCell ref="B36:B37"/>
    <mergeCell ref="C36:C37"/>
    <mergeCell ref="D36:D37"/>
    <mergeCell ref="E36:E37"/>
  </mergeCells>
  <printOptions/>
  <pageMargins left="0.75" right="0.75" top="1" bottom="1" header="0.5" footer="0.5"/>
  <pageSetup orientation="portrait" paperSize="9"/>
  <ignoredErrors>
    <ignoredError sqref="H13" formula="1"/>
    <ignoredError sqref="J49:K5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U72"/>
  <sheetViews>
    <sheetView zoomScalePageLayoutView="0" workbookViewId="0" topLeftCell="A1">
      <selection activeCell="A1" sqref="A1"/>
    </sheetView>
  </sheetViews>
  <sheetFormatPr defaultColWidth="16.00390625" defaultRowHeight="12.75"/>
  <cols>
    <col min="1" max="1" width="21.421875" style="2" customWidth="1"/>
    <col min="2" max="2" width="23.421875" style="20" customWidth="1"/>
    <col min="3" max="3" width="15.00390625" style="20" customWidth="1"/>
    <col min="4" max="4" width="15.140625" style="2" customWidth="1"/>
    <col min="5" max="5" width="16.00390625" style="2" customWidth="1"/>
    <col min="6" max="6" width="16.140625" style="2" customWidth="1"/>
    <col min="7" max="7" width="17.140625" style="2" customWidth="1"/>
    <col min="8" max="8" width="15.28125" style="2" customWidth="1"/>
    <col min="9" max="9" width="12.7109375" style="2" customWidth="1"/>
    <col min="10" max="10" width="15.140625" style="2" customWidth="1"/>
    <col min="11" max="11" width="15.28125" style="2" customWidth="1"/>
    <col min="12" max="12" width="23.8515625" style="2" customWidth="1"/>
    <col min="13" max="13" width="25.421875" style="2" customWidth="1"/>
    <col min="14" max="14" width="20.421875" style="2" customWidth="1"/>
    <col min="15" max="15" width="16.7109375" style="2" customWidth="1"/>
    <col min="16" max="16" width="16.00390625" style="2" customWidth="1"/>
    <col min="17" max="17" width="13.8515625" style="2" customWidth="1"/>
    <col min="18" max="18" width="16.00390625" style="2" customWidth="1"/>
    <col min="19" max="16384" width="16.00390625" style="2" customWidth="1"/>
  </cols>
  <sheetData>
    <row r="1" spans="19:27" ht="12.75">
      <c r="S1" s="18"/>
      <c r="T1" s="18"/>
      <c r="U1" s="18"/>
      <c r="V1" s="18"/>
      <c r="W1" s="18"/>
      <c r="X1" s="18"/>
      <c r="Y1" s="18"/>
      <c r="Z1" s="18"/>
      <c r="AA1" s="18"/>
    </row>
    <row r="2" spans="1:27" ht="12.75" hidden="1">
      <c r="A2" s="194" t="s">
        <v>64</v>
      </c>
      <c r="B2" s="180" t="str">
        <f>A4</f>
        <v>CAMBIOS en diagnóstico de verrugas AG, VARONES 30 a 39 años, seguimiento 5 a 8 años</v>
      </c>
      <c r="C2" s="181"/>
      <c r="D2" s="182"/>
      <c r="E2" s="182"/>
      <c r="F2" s="182"/>
      <c r="G2" s="182"/>
      <c r="O2" s="16"/>
      <c r="P2" s="17"/>
      <c r="Q2" s="1"/>
      <c r="S2" s="18"/>
      <c r="T2" s="18"/>
      <c r="U2" s="18"/>
      <c r="V2" s="18"/>
      <c r="W2" s="18"/>
      <c r="X2" s="18"/>
      <c r="Y2" s="18"/>
      <c r="Z2" s="18"/>
      <c r="AA2" s="18"/>
    </row>
    <row r="3" spans="1:27" ht="25.5" hidden="1">
      <c r="A3" s="21" t="s">
        <v>16</v>
      </c>
      <c r="B3" s="236" t="s">
        <v>17</v>
      </c>
      <c r="C3" s="236"/>
      <c r="D3" s="236"/>
      <c r="E3" s="237" t="s">
        <v>18</v>
      </c>
      <c r="F3" s="237"/>
      <c r="G3" s="237"/>
      <c r="H3" s="122" t="s">
        <v>23</v>
      </c>
      <c r="I3" s="238" t="s">
        <v>24</v>
      </c>
      <c r="J3" s="239"/>
      <c r="K3" s="240"/>
      <c r="L3" s="238" t="s">
        <v>25</v>
      </c>
      <c r="M3" s="240"/>
      <c r="N3" s="123" t="s">
        <v>26</v>
      </c>
      <c r="O3" s="17"/>
      <c r="S3" s="18"/>
      <c r="T3" s="18"/>
      <c r="V3" s="18"/>
      <c r="W3" s="18"/>
      <c r="X3" s="18"/>
      <c r="Y3" s="18"/>
      <c r="Z3" s="18"/>
      <c r="AA3" s="18"/>
    </row>
    <row r="4" spans="1:27" ht="51" hidden="1">
      <c r="A4" s="22" t="s">
        <v>204</v>
      </c>
      <c r="B4" s="198" t="s">
        <v>19</v>
      </c>
      <c r="C4" s="198" t="s">
        <v>20</v>
      </c>
      <c r="D4" s="198" t="s">
        <v>1</v>
      </c>
      <c r="E4" s="197" t="s">
        <v>19</v>
      </c>
      <c r="F4" s="197" t="s">
        <v>20</v>
      </c>
      <c r="G4" s="197" t="s">
        <v>1</v>
      </c>
      <c r="H4" s="124" t="s">
        <v>27</v>
      </c>
      <c r="I4" s="55" t="s">
        <v>14</v>
      </c>
      <c r="J4" s="56" t="s">
        <v>15</v>
      </c>
      <c r="K4" s="55" t="s">
        <v>1</v>
      </c>
      <c r="L4" s="125" t="s">
        <v>14</v>
      </c>
      <c r="M4" s="126" t="s">
        <v>60</v>
      </c>
      <c r="N4" s="54" t="s">
        <v>27</v>
      </c>
      <c r="O4" s="17"/>
      <c r="P4" s="2" t="s">
        <v>10</v>
      </c>
      <c r="Q4" s="2" t="s">
        <v>10</v>
      </c>
      <c r="S4" s="18"/>
      <c r="T4" s="18"/>
      <c r="V4" s="18"/>
      <c r="W4" s="18"/>
      <c r="X4" s="18"/>
      <c r="Y4" s="18"/>
      <c r="Z4" s="18"/>
      <c r="AA4" s="18"/>
    </row>
    <row r="5" spans="1:27" ht="12.75" hidden="1">
      <c r="A5" s="23" t="s">
        <v>93</v>
      </c>
      <c r="B5" s="201">
        <v>161</v>
      </c>
      <c r="C5" s="202">
        <f>D5-B5</f>
        <v>976648</v>
      </c>
      <c r="D5" s="220">
        <v>976809</v>
      </c>
      <c r="E5" s="201">
        <v>154</v>
      </c>
      <c r="F5" s="202">
        <f>G5-E5</f>
        <v>122493</v>
      </c>
      <c r="G5" s="220">
        <v>122647</v>
      </c>
      <c r="H5" s="173">
        <v>6</v>
      </c>
      <c r="I5" s="128">
        <f aca="true" t="shared" si="0" ref="I5:I11">D5*H5</f>
        <v>5860854</v>
      </c>
      <c r="J5" s="128">
        <f aca="true" t="shared" si="1" ref="J5:J11">G5*H5</f>
        <v>735882</v>
      </c>
      <c r="K5" s="128">
        <f>I5+J5</f>
        <v>6596736</v>
      </c>
      <c r="L5" s="129">
        <f aca="true" t="shared" si="2" ref="L5:L12">B5/I5</f>
        <v>2.7470399365007216E-05</v>
      </c>
      <c r="M5" s="129">
        <f aca="true" t="shared" si="3" ref="M5:M12">E5/J5</f>
        <v>0.00020927268230504348</v>
      </c>
      <c r="N5" s="196">
        <v>34.5</v>
      </c>
      <c r="O5" s="57">
        <f>N5*(D5+G5)</f>
        <v>37931232</v>
      </c>
      <c r="P5" s="58" t="str">
        <f aca="true" t="shared" si="4" ref="P5:P12">CONCATENATE(B5," ",$P$4," ",D5)</f>
        <v>161 / 976809</v>
      </c>
      <c r="Q5" s="58" t="str">
        <f aca="true" t="shared" si="5" ref="Q5:Q12">CONCATENATE(E5," ",$Q$4," ",G5)</f>
        <v>154 / 122647</v>
      </c>
      <c r="S5" s="18"/>
      <c r="T5" s="18"/>
      <c r="V5" s="18"/>
      <c r="W5" s="18"/>
      <c r="X5" s="18"/>
      <c r="Y5" s="18"/>
      <c r="Z5" s="18"/>
      <c r="AA5" s="18"/>
    </row>
    <row r="6" spans="1:27" ht="12.75" hidden="1">
      <c r="A6" s="23" t="s">
        <v>94</v>
      </c>
      <c r="B6" s="201">
        <v>4646</v>
      </c>
      <c r="C6" s="202">
        <f aca="true" t="shared" si="6" ref="C6:C11">D6-B6</f>
        <v>1230159</v>
      </c>
      <c r="D6" s="220">
        <v>1234805</v>
      </c>
      <c r="E6" s="201">
        <v>1939</v>
      </c>
      <c r="F6" s="202">
        <f aca="true" t="shared" si="7" ref="F6:F11">G6-E6</f>
        <v>629680</v>
      </c>
      <c r="G6" s="220">
        <v>631619</v>
      </c>
      <c r="H6" s="173">
        <v>7</v>
      </c>
      <c r="I6" s="128">
        <f t="shared" si="0"/>
        <v>8643635</v>
      </c>
      <c r="J6" s="128">
        <f t="shared" si="1"/>
        <v>4421333</v>
      </c>
      <c r="K6" s="128">
        <f aca="true" t="shared" si="8" ref="K6:K11">I6+J6</f>
        <v>13064968</v>
      </c>
      <c r="L6" s="129">
        <f t="shared" si="2"/>
        <v>0.000537505343527347</v>
      </c>
      <c r="M6" s="129">
        <f t="shared" si="3"/>
        <v>0.0004385555216040049</v>
      </c>
      <c r="N6" s="196">
        <v>34.5</v>
      </c>
      <c r="O6" s="57">
        <f aca="true" t="shared" si="9" ref="O6:O11">N6*(D6+G6)</f>
        <v>64391628</v>
      </c>
      <c r="P6" s="58" t="str">
        <f t="shared" si="4"/>
        <v>4646 / 1234805</v>
      </c>
      <c r="Q6" s="58" t="str">
        <f t="shared" si="5"/>
        <v>1939 / 631619</v>
      </c>
      <c r="S6" s="18"/>
      <c r="T6" s="18"/>
      <c r="V6" s="18"/>
      <c r="W6" s="18"/>
      <c r="X6" s="18"/>
      <c r="Y6" s="18"/>
      <c r="Z6" s="18"/>
      <c r="AA6" s="18"/>
    </row>
    <row r="7" spans="1:27" ht="12.75" hidden="1">
      <c r="A7" s="23" t="s">
        <v>95</v>
      </c>
      <c r="B7" s="201">
        <v>36030</v>
      </c>
      <c r="C7" s="202">
        <f t="shared" si="6"/>
        <v>9350131</v>
      </c>
      <c r="D7" s="220">
        <v>9386161</v>
      </c>
      <c r="E7" s="201">
        <v>5419</v>
      </c>
      <c r="F7" s="202">
        <f t="shared" si="7"/>
        <v>2525546</v>
      </c>
      <c r="G7" s="220">
        <v>2530965</v>
      </c>
      <c r="H7" s="173">
        <v>6</v>
      </c>
      <c r="I7" s="128">
        <f t="shared" si="0"/>
        <v>56316966</v>
      </c>
      <c r="J7" s="128">
        <f t="shared" si="1"/>
        <v>15185790</v>
      </c>
      <c r="K7" s="128">
        <f t="shared" si="8"/>
        <v>71502756</v>
      </c>
      <c r="L7" s="129">
        <f t="shared" si="2"/>
        <v>0.0006397716808820987</v>
      </c>
      <c r="M7" s="129">
        <f t="shared" si="3"/>
        <v>0.00035684676266430656</v>
      </c>
      <c r="N7" s="196">
        <v>34.5</v>
      </c>
      <c r="O7" s="57">
        <f t="shared" si="9"/>
        <v>411140847</v>
      </c>
      <c r="P7" s="58" t="str">
        <f t="shared" si="4"/>
        <v>36030 / 9386161</v>
      </c>
      <c r="Q7" s="58" t="str">
        <f t="shared" si="5"/>
        <v>5419 / 2530965</v>
      </c>
      <c r="S7" s="18"/>
      <c r="T7" s="18"/>
      <c r="V7" s="18"/>
      <c r="W7" s="18"/>
      <c r="X7" s="18"/>
      <c r="Y7" s="18"/>
      <c r="Z7" s="18"/>
      <c r="AA7" s="18"/>
    </row>
    <row r="8" spans="1:27" ht="12.75" hidden="1">
      <c r="A8" s="23" t="s">
        <v>96</v>
      </c>
      <c r="B8" s="201">
        <v>315</v>
      </c>
      <c r="C8" s="202">
        <f t="shared" si="6"/>
        <v>296821</v>
      </c>
      <c r="D8" s="220">
        <v>297136</v>
      </c>
      <c r="E8" s="201">
        <v>231</v>
      </c>
      <c r="F8" s="202">
        <f t="shared" si="7"/>
        <v>253307</v>
      </c>
      <c r="G8" s="220">
        <v>253538</v>
      </c>
      <c r="H8" s="173">
        <v>8</v>
      </c>
      <c r="I8" s="128">
        <f t="shared" si="0"/>
        <v>2377088</v>
      </c>
      <c r="J8" s="128">
        <f t="shared" si="1"/>
        <v>2028304</v>
      </c>
      <c r="K8" s="128">
        <f t="shared" si="8"/>
        <v>4405392</v>
      </c>
      <c r="L8" s="129">
        <f t="shared" si="2"/>
        <v>0.00013251507727101396</v>
      </c>
      <c r="M8" s="129">
        <f t="shared" si="3"/>
        <v>0.00011388825343735456</v>
      </c>
      <c r="N8" s="196">
        <v>34.5</v>
      </c>
      <c r="O8" s="57">
        <f t="shared" si="9"/>
        <v>18998253</v>
      </c>
      <c r="P8" s="58" t="str">
        <f t="shared" si="4"/>
        <v>315 / 297136</v>
      </c>
      <c r="Q8" s="58" t="str">
        <f t="shared" si="5"/>
        <v>231 / 253538</v>
      </c>
      <c r="S8" s="18"/>
      <c r="T8" s="18"/>
      <c r="V8" s="18"/>
      <c r="W8" s="18"/>
      <c r="X8" s="18"/>
      <c r="Y8" s="18"/>
      <c r="Z8" s="18"/>
      <c r="AA8" s="18"/>
    </row>
    <row r="9" spans="1:27" ht="12.75" hidden="1">
      <c r="A9" s="23" t="s">
        <v>97</v>
      </c>
      <c r="B9" s="201">
        <v>94</v>
      </c>
      <c r="C9" s="202">
        <f t="shared" si="6"/>
        <v>769</v>
      </c>
      <c r="D9" s="220">
        <v>863</v>
      </c>
      <c r="E9" s="201">
        <v>238</v>
      </c>
      <c r="F9" s="202">
        <f t="shared" si="7"/>
        <v>1435</v>
      </c>
      <c r="G9" s="220">
        <v>1673</v>
      </c>
      <c r="H9" s="173">
        <v>6</v>
      </c>
      <c r="I9" s="128">
        <f t="shared" si="0"/>
        <v>5178</v>
      </c>
      <c r="J9" s="128">
        <f t="shared" si="1"/>
        <v>10038</v>
      </c>
      <c r="K9" s="128">
        <f t="shared" si="8"/>
        <v>15216</v>
      </c>
      <c r="L9" s="129">
        <f t="shared" si="2"/>
        <v>0.018153727307840865</v>
      </c>
      <c r="M9" s="129">
        <f t="shared" si="3"/>
        <v>0.023709902370990237</v>
      </c>
      <c r="N9" s="196">
        <v>34.5</v>
      </c>
      <c r="O9" s="57">
        <f t="shared" si="9"/>
        <v>87492</v>
      </c>
      <c r="P9" s="58" t="str">
        <f t="shared" si="4"/>
        <v>94 / 863</v>
      </c>
      <c r="Q9" s="58" t="str">
        <f t="shared" si="5"/>
        <v>238 / 1673</v>
      </c>
      <c r="S9" s="18"/>
      <c r="T9" s="18"/>
      <c r="V9" s="18"/>
      <c r="W9" s="18"/>
      <c r="X9" s="18"/>
      <c r="Y9" s="18"/>
      <c r="Z9" s="18"/>
      <c r="AA9" s="18"/>
    </row>
    <row r="10" spans="1:27" ht="12.75" hidden="1">
      <c r="A10" s="23" t="s">
        <v>99</v>
      </c>
      <c r="B10" s="201">
        <v>34</v>
      </c>
      <c r="C10" s="202">
        <f t="shared" si="6"/>
        <v>14243</v>
      </c>
      <c r="D10" s="220">
        <v>14277</v>
      </c>
      <c r="E10" s="201">
        <v>42</v>
      </c>
      <c r="F10" s="202">
        <f t="shared" si="7"/>
        <v>12342</v>
      </c>
      <c r="G10" s="220">
        <v>12384</v>
      </c>
      <c r="H10" s="173">
        <v>5</v>
      </c>
      <c r="I10" s="128">
        <f t="shared" si="0"/>
        <v>71385</v>
      </c>
      <c r="J10" s="128">
        <f t="shared" si="1"/>
        <v>61920</v>
      </c>
      <c r="K10" s="128">
        <f t="shared" si="8"/>
        <v>133305</v>
      </c>
      <c r="L10" s="129">
        <f t="shared" si="2"/>
        <v>0.0004762905372277089</v>
      </c>
      <c r="M10" s="129">
        <f t="shared" si="3"/>
        <v>0.0006782945736434108</v>
      </c>
      <c r="N10" s="196">
        <v>34.5</v>
      </c>
      <c r="O10" s="57">
        <f t="shared" si="9"/>
        <v>919804.5</v>
      </c>
      <c r="P10" s="58" t="str">
        <f t="shared" si="4"/>
        <v>34 / 14277</v>
      </c>
      <c r="Q10" s="58" t="str">
        <f t="shared" si="5"/>
        <v>42 / 12384</v>
      </c>
      <c r="S10" s="18"/>
      <c r="T10" s="18"/>
      <c r="V10" s="18"/>
      <c r="W10" s="18"/>
      <c r="X10" s="18"/>
      <c r="Y10" s="18"/>
      <c r="Z10" s="18"/>
      <c r="AA10" s="18"/>
    </row>
    <row r="11" spans="1:27" ht="12.75" hidden="1">
      <c r="A11" s="23" t="s">
        <v>98</v>
      </c>
      <c r="B11" s="201">
        <v>764</v>
      </c>
      <c r="C11" s="202">
        <f t="shared" si="6"/>
        <v>8077</v>
      </c>
      <c r="D11" s="220">
        <v>8841</v>
      </c>
      <c r="E11" s="201">
        <v>996</v>
      </c>
      <c r="F11" s="202">
        <f t="shared" si="7"/>
        <v>6651</v>
      </c>
      <c r="G11" s="220">
        <v>7647</v>
      </c>
      <c r="H11" s="173">
        <v>8</v>
      </c>
      <c r="I11" s="128">
        <f t="shared" si="0"/>
        <v>70728</v>
      </c>
      <c r="J11" s="128">
        <f t="shared" si="1"/>
        <v>61176</v>
      </c>
      <c r="K11" s="128">
        <f t="shared" si="8"/>
        <v>131904</v>
      </c>
      <c r="L11" s="129">
        <f t="shared" si="2"/>
        <v>0.010801945481280398</v>
      </c>
      <c r="M11" s="129">
        <f t="shared" si="3"/>
        <v>0.016280894468418988</v>
      </c>
      <c r="N11" s="196">
        <v>3.5</v>
      </c>
      <c r="O11" s="57">
        <f t="shared" si="9"/>
        <v>57708</v>
      </c>
      <c r="P11" s="58" t="str">
        <f t="shared" si="4"/>
        <v>764 / 8841</v>
      </c>
      <c r="Q11" s="58" t="str">
        <f t="shared" si="5"/>
        <v>996 / 7647</v>
      </c>
      <c r="S11" s="18"/>
      <c r="T11" s="18"/>
      <c r="V11" s="18"/>
      <c r="W11" s="18"/>
      <c r="X11" s="18"/>
      <c r="Y11" s="18"/>
      <c r="Z11" s="18"/>
      <c r="AA11" s="18"/>
    </row>
    <row r="12" spans="1:27" ht="12.75" hidden="1">
      <c r="A12" s="131">
        <f>COUNT(D5:D11)</f>
        <v>7</v>
      </c>
      <c r="B12" s="132">
        <f>SUM(B5:B11)</f>
        <v>42044</v>
      </c>
      <c r="C12" s="133">
        <v>23009</v>
      </c>
      <c r="D12" s="132">
        <f>SUM(D5:D11)</f>
        <v>11918892</v>
      </c>
      <c r="E12" s="132">
        <f>SUM(E5:E11)</f>
        <v>9019</v>
      </c>
      <c r="F12" s="133">
        <v>28669.98</v>
      </c>
      <c r="G12" s="132">
        <f>SUM(G5:G11)</f>
        <v>3560473</v>
      </c>
      <c r="H12" s="134">
        <f>K12/(D12+G12)</f>
        <v>6.192132364602812</v>
      </c>
      <c r="I12" s="135">
        <f>SUM(I5:I11)</f>
        <v>73345834</v>
      </c>
      <c r="J12" s="135">
        <f>SUM(J5:J11)</f>
        <v>22504443</v>
      </c>
      <c r="K12" s="135">
        <f>SUM(K5:K11)</f>
        <v>95850277</v>
      </c>
      <c r="L12" s="136">
        <f t="shared" si="2"/>
        <v>0.0005732295579323564</v>
      </c>
      <c r="M12" s="136">
        <f t="shared" si="3"/>
        <v>0.0004007653066552236</v>
      </c>
      <c r="N12" s="137">
        <f>O12/(D12+G12)</f>
        <v>34.46698004084793</v>
      </c>
      <c r="O12" s="138">
        <f>SUM(O5:O11)</f>
        <v>533526964.5</v>
      </c>
      <c r="P12" s="59" t="str">
        <f t="shared" si="4"/>
        <v>42044 / 11918892</v>
      </c>
      <c r="Q12" s="59" t="str">
        <f t="shared" si="5"/>
        <v>9019 / 3560473</v>
      </c>
      <c r="S12" s="18"/>
      <c r="T12" s="18"/>
      <c r="V12" s="18"/>
      <c r="W12" s="18"/>
      <c r="X12" s="18"/>
      <c r="Y12" s="18"/>
      <c r="Z12" s="18"/>
      <c r="AA12" s="18"/>
    </row>
    <row r="13" spans="2:27" ht="13.5" hidden="1" thickBot="1">
      <c r="B13" s="2"/>
      <c r="C13" s="2"/>
      <c r="E13" s="3"/>
      <c r="F13" s="25"/>
      <c r="S13" s="18"/>
      <c r="T13" s="18"/>
      <c r="U13" s="18"/>
      <c r="V13" s="18"/>
      <c r="W13" s="18"/>
      <c r="X13" s="18"/>
      <c r="Y13" s="18"/>
      <c r="Z13" s="18"/>
      <c r="AA13" s="18"/>
    </row>
    <row r="14" spans="1:27" ht="13.5" hidden="1" thickBot="1">
      <c r="A14" s="18"/>
      <c r="B14" s="29" t="s">
        <v>51</v>
      </c>
      <c r="C14" s="183">
        <v>0.002481591825949781</v>
      </c>
      <c r="D14" s="241" t="s">
        <v>13</v>
      </c>
      <c r="E14" s="242"/>
      <c r="F14" s="243"/>
      <c r="S14" s="18"/>
      <c r="T14" s="18"/>
      <c r="U14" s="18"/>
      <c r="V14" s="18"/>
      <c r="W14" s="18"/>
      <c r="X14" s="18"/>
      <c r="Y14" s="18"/>
      <c r="Z14" s="18"/>
      <c r="AA14" s="18"/>
    </row>
    <row r="15" spans="1:27" ht="26.25" hidden="1" thickBot="1">
      <c r="A15" s="169">
        <f>I44</f>
        <v>0.0004007653066552236</v>
      </c>
      <c r="B15" s="170" t="s">
        <v>52</v>
      </c>
      <c r="C15" s="12"/>
      <c r="D15" s="10" t="s">
        <v>12</v>
      </c>
      <c r="E15" s="11" t="s">
        <v>21</v>
      </c>
      <c r="F15" s="10" t="s">
        <v>22</v>
      </c>
      <c r="S15" s="18"/>
      <c r="T15" s="18"/>
      <c r="U15" s="18"/>
      <c r="V15" s="18"/>
      <c r="W15" s="18"/>
      <c r="X15" s="18"/>
      <c r="Y15" s="18"/>
      <c r="Z15" s="18"/>
      <c r="AA15" s="18"/>
    </row>
    <row r="16" spans="1:27" ht="13.5" hidden="1" thickBot="1">
      <c r="A16" s="171">
        <f>E44</f>
        <v>6.192132364602812</v>
      </c>
      <c r="B16" s="172" t="s">
        <v>53</v>
      </c>
      <c r="C16" s="12"/>
      <c r="D16" s="184">
        <v>0.75</v>
      </c>
      <c r="E16" s="185">
        <v>0.49</v>
      </c>
      <c r="F16" s="186">
        <v>1.14</v>
      </c>
      <c r="G16" s="12"/>
      <c r="S16" s="18"/>
      <c r="T16" s="18"/>
      <c r="U16" s="18"/>
      <c r="V16" s="18"/>
      <c r="W16" s="18"/>
      <c r="X16" s="18"/>
      <c r="Y16" s="18"/>
      <c r="Z16" s="18"/>
      <c r="AA16" s="18"/>
    </row>
    <row r="17" spans="1:27" ht="12.75" hidden="1">
      <c r="A17" s="31"/>
      <c r="B17" s="30"/>
      <c r="C17" s="18"/>
      <c r="D17" s="18"/>
      <c r="E17" s="18"/>
      <c r="F17" s="18"/>
      <c r="G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ht="13.5" hidden="1" thickBot="1">
      <c r="A18" s="31"/>
      <c r="B18" s="32"/>
      <c r="C18" s="33"/>
      <c r="D18" s="34">
        <f>C14*D16</f>
        <v>0.0018611938694623356</v>
      </c>
      <c r="E18" s="35">
        <f>C14*E16</f>
        <v>0.0012159799947153926</v>
      </c>
      <c r="F18" s="36">
        <f>C14*F16</f>
        <v>0.00282901468158275</v>
      </c>
      <c r="G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ht="12.75" hidden="1">
      <c r="A19" s="31"/>
      <c r="B19" s="30"/>
      <c r="C19" s="18"/>
      <c r="D19" s="18"/>
      <c r="E19" s="18"/>
      <c r="F19" s="18"/>
      <c r="G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ht="13.5" hidden="1" thickBot="1">
      <c r="A20" s="31"/>
      <c r="B20" s="37"/>
      <c r="C20" s="38" t="s">
        <v>2</v>
      </c>
      <c r="D20" s="39">
        <f>C14-D18</f>
        <v>0.0006203979564874452</v>
      </c>
      <c r="E20" s="40">
        <f>C14-F18</f>
        <v>-0.000347422855632969</v>
      </c>
      <c r="F20" s="41">
        <f>C14-E18</f>
        <v>0.0012656118312343882</v>
      </c>
      <c r="G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ht="13.5" hidden="1" thickBot="1">
      <c r="A21" s="31"/>
      <c r="B21" s="42"/>
      <c r="C21" s="43" t="s">
        <v>3</v>
      </c>
      <c r="D21" s="44">
        <f>1/D20</f>
        <v>1611.8686232652617</v>
      </c>
      <c r="E21" s="45">
        <f>1/F20</f>
        <v>790.1316780712067</v>
      </c>
      <c r="F21" s="46">
        <f>1/E20</f>
        <v>-2878.3368272593984</v>
      </c>
      <c r="G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ht="12.75" hidden="1">
      <c r="A22" s="31"/>
      <c r="B22" s="30"/>
      <c r="C22" s="12"/>
      <c r="D22" s="12"/>
      <c r="E22" s="12"/>
      <c r="F22" s="12"/>
      <c r="G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ht="12.75" hidden="1">
      <c r="A23" s="31"/>
      <c r="B23" s="115" t="s">
        <v>4</v>
      </c>
      <c r="C23" s="116"/>
      <c r="D23" s="116"/>
      <c r="E23" s="117">
        <f>ROUND(D16,2)</f>
        <v>0.75</v>
      </c>
      <c r="F23" s="118">
        <f>ROUND(D20,4)</f>
        <v>0.0006</v>
      </c>
      <c r="G23" s="119">
        <f>ROUND(D21,0)</f>
        <v>1612</v>
      </c>
      <c r="S23" s="18"/>
      <c r="T23" s="18"/>
      <c r="U23" s="18"/>
      <c r="V23" s="18"/>
      <c r="W23" s="18"/>
      <c r="X23" s="18"/>
      <c r="Y23" s="18"/>
      <c r="Z23" s="18"/>
      <c r="AA23" s="18"/>
    </row>
    <row r="24" spans="1:27" ht="12.75" hidden="1">
      <c r="A24" s="31"/>
      <c r="B24" s="47" t="s">
        <v>6</v>
      </c>
      <c r="C24" s="48">
        <f>ROUND(D18,4)</f>
        <v>0.0019</v>
      </c>
      <c r="D24" s="49">
        <f>ROUND(C14,4)</f>
        <v>0.0025</v>
      </c>
      <c r="E24" s="6">
        <f>ROUND(E16,2)</f>
        <v>0.49</v>
      </c>
      <c r="F24" s="7">
        <f>ROUND(E20,4)</f>
        <v>-0.0003</v>
      </c>
      <c r="G24" s="8">
        <f>ROUND(E21,0)</f>
        <v>790</v>
      </c>
      <c r="S24" s="18"/>
      <c r="T24" s="18"/>
      <c r="U24" s="18"/>
      <c r="V24" s="18"/>
      <c r="W24" s="18"/>
      <c r="X24" s="18"/>
      <c r="Y24" s="18"/>
      <c r="Z24" s="18"/>
      <c r="AA24" s="18"/>
    </row>
    <row r="25" spans="1:27" ht="12.75" hidden="1">
      <c r="A25" s="31"/>
      <c r="B25" s="47" t="s">
        <v>5</v>
      </c>
      <c r="C25" s="14"/>
      <c r="D25" s="14"/>
      <c r="E25" s="6">
        <f>ROUND(F16,2)</f>
        <v>1.14</v>
      </c>
      <c r="F25" s="7">
        <f>ROUND(F20,4)</f>
        <v>0.0013</v>
      </c>
      <c r="G25" s="8">
        <f>ROUND(F21,0)</f>
        <v>-2878</v>
      </c>
      <c r="S25" s="18"/>
      <c r="T25" s="18"/>
      <c r="U25" s="18"/>
      <c r="V25" s="18"/>
      <c r="W25" s="18"/>
      <c r="X25" s="18"/>
      <c r="Y25" s="18"/>
      <c r="Z25" s="18"/>
      <c r="AA25" s="18"/>
    </row>
    <row r="26" spans="1:27" ht="12.75" hidden="1">
      <c r="A26" s="31"/>
      <c r="B26" s="47" t="s">
        <v>7</v>
      </c>
      <c r="C26" s="120" t="s">
        <v>54</v>
      </c>
      <c r="D26" s="120" t="s">
        <v>11</v>
      </c>
      <c r="E26" s="121" t="s">
        <v>8</v>
      </c>
      <c r="F26" s="121" t="s">
        <v>9</v>
      </c>
      <c r="G26" s="120" t="s">
        <v>3</v>
      </c>
      <c r="S26" s="18"/>
      <c r="T26" s="18"/>
      <c r="U26" s="18"/>
      <c r="V26" s="18"/>
      <c r="W26" s="18"/>
      <c r="X26" s="18"/>
      <c r="Y26" s="18"/>
      <c r="Z26" s="18"/>
      <c r="AA26" s="18"/>
    </row>
    <row r="27" spans="1:27" ht="12.75" hidden="1">
      <c r="A27" s="31"/>
      <c r="B27" s="50" t="s">
        <v>0</v>
      </c>
      <c r="C27" s="120" t="str">
        <f>CONCATENATE(C24*100,B26)</f>
        <v>0,19%</v>
      </c>
      <c r="D27" s="120" t="str">
        <f>CONCATENATE(D24*100,B26)</f>
        <v>0,25%</v>
      </c>
      <c r="E27" s="120" t="str">
        <f>CONCATENATE(E23," ",B23,E24,B24,E25,B25)</f>
        <v>0,75 (0,49-1,14)</v>
      </c>
      <c r="F27" s="120" t="str">
        <f>CONCATENATE(F23*100,B26," ",B23,F24*100,B26," ",B27," ",F25*100,B26,B25)</f>
        <v>0,06% (-0,03% a 0,13%)</v>
      </c>
      <c r="G27" s="120" t="str">
        <f>CONCATENATE(G23," ",B23,G24," ",B27," ",G25,B25)</f>
        <v>1612 (790 a -2878)</v>
      </c>
      <c r="S27" s="18"/>
      <c r="T27" s="18"/>
      <c r="U27" s="18"/>
      <c r="V27" s="18"/>
      <c r="W27" s="18"/>
      <c r="X27" s="18"/>
      <c r="Y27" s="18"/>
      <c r="Z27" s="18"/>
      <c r="AA27" s="18"/>
    </row>
    <row r="28" spans="1:27" ht="12.75" hidden="1">
      <c r="A28" s="51"/>
      <c r="B28" s="4"/>
      <c r="C28" s="19"/>
      <c r="D28" s="19"/>
      <c r="E28" s="19"/>
      <c r="F28" s="19"/>
      <c r="G28" s="19"/>
      <c r="S28" s="18"/>
      <c r="T28" s="18"/>
      <c r="U28" s="18"/>
      <c r="V28" s="18"/>
      <c r="W28" s="18"/>
      <c r="X28" s="18"/>
      <c r="Y28" s="18"/>
      <c r="Z28" s="18"/>
      <c r="AA28" s="18"/>
    </row>
    <row r="29" spans="1:27" ht="13.5" hidden="1" thickBot="1">
      <c r="A29" s="169">
        <f>A15*A16</f>
        <v>0.002481591825949781</v>
      </c>
      <c r="B29" s="170" t="s">
        <v>55</v>
      </c>
      <c r="C29" s="18"/>
      <c r="D29" s="18"/>
      <c r="E29" s="18"/>
      <c r="F29" s="18"/>
      <c r="G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ht="13.5" hidden="1" thickBot="1">
      <c r="A30" s="52"/>
      <c r="B30" s="18"/>
      <c r="C30" s="177" t="s">
        <v>56</v>
      </c>
      <c r="D30" s="178" t="s">
        <v>11</v>
      </c>
      <c r="E30" s="178" t="s">
        <v>8</v>
      </c>
      <c r="F30" s="178" t="s">
        <v>2</v>
      </c>
      <c r="G30" s="179" t="s">
        <v>3</v>
      </c>
      <c r="S30" s="18"/>
      <c r="T30" s="18"/>
      <c r="U30" s="18"/>
      <c r="V30" s="18"/>
      <c r="W30" s="18"/>
      <c r="X30" s="18"/>
      <c r="Y30" s="18"/>
      <c r="Z30" s="18"/>
      <c r="AA30" s="18"/>
    </row>
    <row r="31" spans="1:27" ht="26.25" hidden="1" thickBot="1">
      <c r="A31" s="53"/>
      <c r="B31" s="15"/>
      <c r="C31" s="174" t="str">
        <f>C27</f>
        <v>0,19%</v>
      </c>
      <c r="D31" s="175" t="str">
        <f>D27</f>
        <v>0,25%</v>
      </c>
      <c r="E31" s="175" t="str">
        <f>E27</f>
        <v>0,75 (0,49-1,14)</v>
      </c>
      <c r="F31" s="175" t="str">
        <f>F27</f>
        <v>0,06% (-0,03% a 0,13%)</v>
      </c>
      <c r="G31" s="176" t="str">
        <f>G27</f>
        <v>1612 (790 a -2878)</v>
      </c>
      <c r="S31" s="18"/>
      <c r="T31" s="18"/>
      <c r="U31" s="18"/>
      <c r="V31" s="18"/>
      <c r="W31" s="18"/>
      <c r="X31" s="18"/>
      <c r="Y31" s="18"/>
      <c r="Z31" s="18"/>
      <c r="AA31" s="18"/>
    </row>
    <row r="32" spans="2:27" ht="12.75" hidden="1">
      <c r="B32" s="2"/>
      <c r="C32" s="2"/>
      <c r="E32" s="3"/>
      <c r="F32" s="25"/>
      <c r="S32" s="18"/>
      <c r="T32" s="18"/>
      <c r="U32" s="18"/>
      <c r="V32" s="18"/>
      <c r="W32" s="18"/>
      <c r="X32" s="18"/>
      <c r="Y32" s="18"/>
      <c r="Z32" s="18"/>
      <c r="AA32" s="18"/>
    </row>
    <row r="33" spans="4:27" ht="13.5" thickBot="1">
      <c r="D33" s="3"/>
      <c r="E33" s="3"/>
      <c r="S33" s="18"/>
      <c r="T33" s="18"/>
      <c r="U33" s="18"/>
      <c r="V33" s="18"/>
      <c r="W33" s="18"/>
      <c r="X33" s="18"/>
      <c r="Y33" s="18"/>
      <c r="Z33" s="18"/>
      <c r="AA33" s="18"/>
    </row>
    <row r="34" spans="1:20" ht="22.5" customHeight="1" thickBot="1">
      <c r="A34" s="203" t="s">
        <v>200</v>
      </c>
      <c r="B34" s="168" t="str">
        <f>B2</f>
        <v>CAMBIOS en diagnóstico de verrugas AG, VARONES 30 a 39 años, seguimiento 5 a 8 años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7"/>
      <c r="S34" s="18"/>
      <c r="T34" s="18"/>
    </row>
    <row r="35" spans="1:20" ht="36" customHeight="1" thickBot="1">
      <c r="A35" s="229" t="s">
        <v>28</v>
      </c>
      <c r="B35" s="229" t="s">
        <v>29</v>
      </c>
      <c r="C35" s="244" t="s">
        <v>30</v>
      </c>
      <c r="D35" s="246" t="s">
        <v>31</v>
      </c>
      <c r="E35" s="229" t="s">
        <v>32</v>
      </c>
      <c r="F35" s="229" t="s">
        <v>57</v>
      </c>
      <c r="G35" s="229" t="s">
        <v>58</v>
      </c>
      <c r="H35" s="229" t="s">
        <v>61</v>
      </c>
      <c r="I35" s="229" t="s">
        <v>62</v>
      </c>
      <c r="J35" s="229" t="s">
        <v>33</v>
      </c>
      <c r="K35" s="231" t="s">
        <v>34</v>
      </c>
      <c r="L35" s="221" t="s">
        <v>35</v>
      </c>
      <c r="M35" s="222"/>
      <c r="N35" s="222"/>
      <c r="O35" s="223"/>
      <c r="S35" s="18"/>
      <c r="T35" s="18"/>
    </row>
    <row r="36" spans="1:20" ht="43.5" customHeight="1" thickBot="1">
      <c r="A36" s="230"/>
      <c r="B36" s="230"/>
      <c r="C36" s="245"/>
      <c r="D36" s="247"/>
      <c r="E36" s="230"/>
      <c r="F36" s="230"/>
      <c r="G36" s="230"/>
      <c r="H36" s="230"/>
      <c r="I36" s="230"/>
      <c r="J36" s="230"/>
      <c r="K36" s="232"/>
      <c r="L36" s="187" t="s">
        <v>36</v>
      </c>
      <c r="M36" s="188" t="s">
        <v>2</v>
      </c>
      <c r="N36" s="189" t="s">
        <v>3</v>
      </c>
      <c r="O36" s="190" t="s">
        <v>37</v>
      </c>
      <c r="S36" s="18"/>
      <c r="T36" s="18"/>
    </row>
    <row r="37" spans="1:20" ht="15" customHeight="1">
      <c r="A37" s="233">
        <v>8</v>
      </c>
      <c r="B37" s="127" t="str">
        <f aca="true" t="shared" si="10" ref="B37:B43">A5</f>
        <v>Cocchio 2017, 34,5, 7y</v>
      </c>
      <c r="C37" s="60" t="s">
        <v>38</v>
      </c>
      <c r="D37" s="61"/>
      <c r="E37" s="139">
        <f aca="true" t="shared" si="11" ref="E37:E44">H5</f>
        <v>6</v>
      </c>
      <c r="F37" s="140" t="str">
        <f aca="true" t="shared" si="12" ref="F37:F44">P5</f>
        <v>161 / 976809</v>
      </c>
      <c r="G37" s="141">
        <f aca="true" t="shared" si="13" ref="G37:G44">L5</f>
        <v>2.7470399365007216E-05</v>
      </c>
      <c r="H37" s="140" t="str">
        <f aca="true" t="shared" si="14" ref="H37:H44">Q5</f>
        <v>154 / 122647</v>
      </c>
      <c r="I37" s="142">
        <f aca="true" t="shared" si="15" ref="I37:I44">M5</f>
        <v>0.00020927268230504348</v>
      </c>
      <c r="J37" s="143">
        <v>34.5</v>
      </c>
      <c r="K37" s="113">
        <v>0.14252014860965728</v>
      </c>
      <c r="L37" s="199" t="s">
        <v>152</v>
      </c>
      <c r="M37" s="200" t="s">
        <v>153</v>
      </c>
      <c r="N37" s="200" t="s">
        <v>154</v>
      </c>
      <c r="O37" s="144"/>
      <c r="S37" s="18"/>
      <c r="T37" s="18"/>
    </row>
    <row r="38" spans="1:20" ht="15" customHeight="1">
      <c r="A38" s="234"/>
      <c r="B38" s="127" t="str">
        <f t="shared" si="10"/>
        <v>Herweijer 2018, 34,5, 6y</v>
      </c>
      <c r="C38" s="60" t="s">
        <v>38</v>
      </c>
      <c r="D38" s="61"/>
      <c r="E38" s="139">
        <f t="shared" si="11"/>
        <v>7</v>
      </c>
      <c r="F38" s="140" t="str">
        <f t="shared" si="12"/>
        <v>4646 / 1234805</v>
      </c>
      <c r="G38" s="141">
        <f t="shared" si="13"/>
        <v>0.000537505343527347</v>
      </c>
      <c r="H38" s="140" t="str">
        <f t="shared" si="14"/>
        <v>1939 / 631619</v>
      </c>
      <c r="I38" s="141">
        <f t="shared" si="15"/>
        <v>0.0004385555216040049</v>
      </c>
      <c r="J38" s="143">
        <v>34.5</v>
      </c>
      <c r="K38" s="113">
        <v>0.1479706799555123</v>
      </c>
      <c r="L38" s="199" t="s">
        <v>155</v>
      </c>
      <c r="M38" s="200" t="s">
        <v>156</v>
      </c>
      <c r="N38" s="200" t="s">
        <v>157</v>
      </c>
      <c r="O38" s="114"/>
      <c r="S38" s="18"/>
      <c r="T38" s="18"/>
    </row>
    <row r="39" spans="1:20" ht="15" customHeight="1">
      <c r="A39" s="234"/>
      <c r="B39" s="127" t="str">
        <f t="shared" si="10"/>
        <v>Flagg 2018, 34,5, 6y</v>
      </c>
      <c r="C39" s="60" t="s">
        <v>38</v>
      </c>
      <c r="D39" s="61"/>
      <c r="E39" s="139">
        <f t="shared" si="11"/>
        <v>6</v>
      </c>
      <c r="F39" s="140" t="str">
        <f t="shared" si="12"/>
        <v>36030 / 9386161</v>
      </c>
      <c r="G39" s="141">
        <f t="shared" si="13"/>
        <v>0.0006397716808820987</v>
      </c>
      <c r="H39" s="140" t="str">
        <f t="shared" si="14"/>
        <v>5419 / 2530965</v>
      </c>
      <c r="I39" s="141">
        <f t="shared" si="15"/>
        <v>0.00035684676266430656</v>
      </c>
      <c r="J39" s="143">
        <v>34.5</v>
      </c>
      <c r="K39" s="113">
        <v>0.14821546480545333</v>
      </c>
      <c r="L39" s="199" t="s">
        <v>158</v>
      </c>
      <c r="M39" s="200" t="s">
        <v>159</v>
      </c>
      <c r="N39" s="200" t="s">
        <v>160</v>
      </c>
      <c r="O39" s="114"/>
      <c r="S39" s="18"/>
      <c r="T39" s="18"/>
    </row>
    <row r="40" spans="1:20" ht="15" customHeight="1">
      <c r="A40" s="234"/>
      <c r="B40" s="127" t="str">
        <f t="shared" si="10"/>
        <v>Dominiak 2015, 34,5, 6y</v>
      </c>
      <c r="C40" s="60" t="s">
        <v>38</v>
      </c>
      <c r="D40" s="61"/>
      <c r="E40" s="139">
        <f t="shared" si="11"/>
        <v>8</v>
      </c>
      <c r="F40" s="140" t="str">
        <f t="shared" si="12"/>
        <v>315 / 297136</v>
      </c>
      <c r="G40" s="141">
        <f t="shared" si="13"/>
        <v>0.00013251507727101396</v>
      </c>
      <c r="H40" s="140" t="str">
        <f t="shared" si="14"/>
        <v>231 / 253538</v>
      </c>
      <c r="I40" s="141">
        <f t="shared" si="15"/>
        <v>0.00011388825343735456</v>
      </c>
      <c r="J40" s="143">
        <v>34.5</v>
      </c>
      <c r="K40" s="113">
        <v>0.1448380797467106</v>
      </c>
      <c r="L40" s="199" t="s">
        <v>161</v>
      </c>
      <c r="M40" s="200" t="s">
        <v>100</v>
      </c>
      <c r="N40" s="200" t="s">
        <v>162</v>
      </c>
      <c r="O40" s="114"/>
      <c r="S40" s="18"/>
      <c r="T40" s="18"/>
    </row>
    <row r="41" spans="1:20" ht="15" customHeight="1">
      <c r="A41" s="234"/>
      <c r="B41" s="127" t="str">
        <f t="shared" si="10"/>
        <v>Oliphant 2017, 34,5, 5y</v>
      </c>
      <c r="C41" s="60" t="s">
        <v>38</v>
      </c>
      <c r="D41" s="61"/>
      <c r="E41" s="139">
        <f t="shared" si="11"/>
        <v>6</v>
      </c>
      <c r="F41" s="140" t="str">
        <f t="shared" si="12"/>
        <v>94 / 863</v>
      </c>
      <c r="G41" s="141">
        <f t="shared" si="13"/>
        <v>0.018153727307840865</v>
      </c>
      <c r="H41" s="140" t="str">
        <f t="shared" si="14"/>
        <v>238 / 1673</v>
      </c>
      <c r="I41" s="141">
        <f t="shared" si="15"/>
        <v>0.023709902370990237</v>
      </c>
      <c r="J41" s="143">
        <v>34.5</v>
      </c>
      <c r="K41" s="113">
        <v>0.14235014390974104</v>
      </c>
      <c r="L41" s="199" t="s">
        <v>163</v>
      </c>
      <c r="M41" s="200" t="s">
        <v>164</v>
      </c>
      <c r="N41" s="200" t="s">
        <v>165</v>
      </c>
      <c r="O41" s="114"/>
      <c r="S41" s="18"/>
      <c r="T41" s="18"/>
    </row>
    <row r="42" spans="1:20" ht="15" customHeight="1">
      <c r="A42" s="234"/>
      <c r="B42" s="127" t="str">
        <f t="shared" si="10"/>
        <v>Harrison 2014,34,5 8y</v>
      </c>
      <c r="C42" s="60" t="s">
        <v>38</v>
      </c>
      <c r="D42" s="61"/>
      <c r="E42" s="139">
        <f t="shared" si="11"/>
        <v>5</v>
      </c>
      <c r="F42" s="140" t="str">
        <f t="shared" si="12"/>
        <v>34 / 14277</v>
      </c>
      <c r="G42" s="141">
        <f t="shared" si="13"/>
        <v>0.0004762905372277089</v>
      </c>
      <c r="H42" s="140" t="str">
        <f t="shared" si="14"/>
        <v>42 / 12384</v>
      </c>
      <c r="I42" s="141">
        <f t="shared" si="15"/>
        <v>0.0006782945736434108</v>
      </c>
      <c r="J42" s="143">
        <v>34.5</v>
      </c>
      <c r="K42" s="113">
        <v>0.1267659829519645</v>
      </c>
      <c r="L42" s="199" t="s">
        <v>166</v>
      </c>
      <c r="M42" s="200" t="s">
        <v>167</v>
      </c>
      <c r="N42" s="200" t="s">
        <v>168</v>
      </c>
      <c r="O42" s="144"/>
      <c r="S42" s="18"/>
      <c r="T42" s="18"/>
    </row>
    <row r="43" spans="1:20" ht="15" customHeight="1" thickBot="1">
      <c r="A43" s="235"/>
      <c r="B43" s="127" t="str">
        <f t="shared" si="10"/>
        <v>Callander 2016, 34,5, 8y</v>
      </c>
      <c r="C43" s="60" t="s">
        <v>38</v>
      </c>
      <c r="D43" s="61"/>
      <c r="E43" s="139">
        <f t="shared" si="11"/>
        <v>8</v>
      </c>
      <c r="F43" s="140" t="str">
        <f t="shared" si="12"/>
        <v>764 / 8841</v>
      </c>
      <c r="G43" s="141">
        <f t="shared" si="13"/>
        <v>0.010801945481280398</v>
      </c>
      <c r="H43" s="140" t="str">
        <f t="shared" si="14"/>
        <v>996 / 7647</v>
      </c>
      <c r="I43" s="141">
        <f t="shared" si="15"/>
        <v>0.016280894468418988</v>
      </c>
      <c r="J43" s="143">
        <v>34.5</v>
      </c>
      <c r="K43" s="113">
        <v>0.14733950002096083</v>
      </c>
      <c r="L43" s="199" t="s">
        <v>169</v>
      </c>
      <c r="M43" s="200" t="s">
        <v>170</v>
      </c>
      <c r="N43" s="200" t="s">
        <v>171</v>
      </c>
      <c r="O43" s="144"/>
      <c r="S43" s="18"/>
      <c r="T43" s="18"/>
    </row>
    <row r="44" spans="1:20" ht="21.75" thickBot="1">
      <c r="A44" s="145" t="s">
        <v>39</v>
      </c>
      <c r="B44" s="146">
        <f>COUNT(E37:E43)</f>
        <v>7</v>
      </c>
      <c r="C44" s="147"/>
      <c r="D44" s="63" t="s">
        <v>74</v>
      </c>
      <c r="E44" s="148">
        <f t="shared" si="11"/>
        <v>6.192132364602812</v>
      </c>
      <c r="F44" s="149" t="str">
        <f t="shared" si="12"/>
        <v>42044 / 11918892</v>
      </c>
      <c r="G44" s="150">
        <f t="shared" si="13"/>
        <v>0.0005732295579323564</v>
      </c>
      <c r="H44" s="149" t="str">
        <f t="shared" si="14"/>
        <v>9019 / 3560473</v>
      </c>
      <c r="I44" s="150">
        <f t="shared" si="15"/>
        <v>0.0004007653066552236</v>
      </c>
      <c r="J44" s="148">
        <v>34.5</v>
      </c>
      <c r="K44" s="151">
        <v>0.9999999999999998</v>
      </c>
      <c r="L44" s="215" t="s">
        <v>172</v>
      </c>
      <c r="M44" s="64"/>
      <c r="N44" s="65"/>
      <c r="O44" s="66"/>
      <c r="S44" s="18"/>
      <c r="T44" s="18"/>
    </row>
    <row r="45" spans="1:15" ht="13.5" thickBot="1">
      <c r="A45" s="67"/>
      <c r="B45" s="67"/>
      <c r="C45" s="68"/>
      <c r="D45" s="69"/>
      <c r="E45" s="70"/>
      <c r="F45" s="71"/>
      <c r="G45" s="72"/>
      <c r="H45" s="71"/>
      <c r="I45" s="73"/>
      <c r="J45" s="74"/>
      <c r="K45" s="75"/>
      <c r="L45" s="64"/>
      <c r="M45" s="65"/>
      <c r="N45" s="65"/>
      <c r="O45" s="75"/>
    </row>
    <row r="46" spans="1:255" ht="48" thickBot="1">
      <c r="A46" s="76"/>
      <c r="B46" s="224" t="s">
        <v>65</v>
      </c>
      <c r="C46" s="225"/>
      <c r="D46" s="225"/>
      <c r="E46" s="225"/>
      <c r="F46" s="225"/>
      <c r="G46" s="225"/>
      <c r="H46" s="225"/>
      <c r="I46" s="226"/>
      <c r="J46" s="77" t="s">
        <v>59</v>
      </c>
      <c r="K46" s="153" t="s">
        <v>63</v>
      </c>
      <c r="L46" s="78" t="s">
        <v>36</v>
      </c>
      <c r="M46" s="79" t="s">
        <v>2</v>
      </c>
      <c r="N46" s="80" t="s">
        <v>3</v>
      </c>
      <c r="O46" s="65"/>
      <c r="P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15" ht="22.5" customHeight="1">
      <c r="A47" s="227" t="s">
        <v>40</v>
      </c>
      <c r="B47" s="81" t="s">
        <v>41</v>
      </c>
      <c r="C47" s="82">
        <f>I44</f>
        <v>0.0004007653066552236</v>
      </c>
      <c r="D47" s="83" t="s">
        <v>42</v>
      </c>
      <c r="E47" s="83"/>
      <c r="F47" s="83"/>
      <c r="G47" s="83"/>
      <c r="H47" s="84">
        <f>J44</f>
        <v>34.5</v>
      </c>
      <c r="I47" s="85" t="s">
        <v>43</v>
      </c>
      <c r="J47" s="86">
        <v>0.0003</v>
      </c>
      <c r="K47" s="87">
        <v>0.0004</v>
      </c>
      <c r="L47" s="216" t="s">
        <v>172</v>
      </c>
      <c r="M47" s="88" t="s">
        <v>230</v>
      </c>
      <c r="N47" s="218" t="s">
        <v>231</v>
      </c>
      <c r="O47" s="89" t="s">
        <v>44</v>
      </c>
    </row>
    <row r="48" spans="1:15" ht="22.5" customHeight="1" thickBot="1">
      <c r="A48" s="228"/>
      <c r="B48" s="154" t="s">
        <v>41</v>
      </c>
      <c r="C48" s="155">
        <f>I44*E44</f>
        <v>0.002481591825949781</v>
      </c>
      <c r="D48" s="156" t="s">
        <v>45</v>
      </c>
      <c r="E48" s="157"/>
      <c r="F48" s="158"/>
      <c r="G48" s="159">
        <f>E44</f>
        <v>6.192132364602812</v>
      </c>
      <c r="H48" s="156" t="s">
        <v>46</v>
      </c>
      <c r="I48" s="160"/>
      <c r="J48" s="161">
        <v>0.0019</v>
      </c>
      <c r="K48" s="162">
        <v>0.0025</v>
      </c>
      <c r="L48" s="217" t="s">
        <v>172</v>
      </c>
      <c r="M48" s="164" t="s">
        <v>232</v>
      </c>
      <c r="N48" s="164" t="s">
        <v>233</v>
      </c>
      <c r="O48" s="165" t="s">
        <v>234</v>
      </c>
    </row>
    <row r="49" spans="1:15" ht="19.5" thickBot="1">
      <c r="A49" s="90"/>
      <c r="B49" s="91"/>
      <c r="C49" s="92"/>
      <c r="D49" s="93"/>
      <c r="E49" s="94"/>
      <c r="F49" s="95"/>
      <c r="G49" s="96"/>
      <c r="H49" s="93"/>
      <c r="I49" s="95"/>
      <c r="J49" s="97"/>
      <c r="K49" s="97"/>
      <c r="L49" s="98"/>
      <c r="M49" s="99"/>
      <c r="N49" s="99"/>
      <c r="O49" s="100"/>
    </row>
    <row r="50" spans="1:15" ht="19.5" thickBot="1">
      <c r="A50" s="101"/>
      <c r="B50" s="101"/>
      <c r="C50" s="75"/>
      <c r="D50" s="75"/>
      <c r="E50" s="75"/>
      <c r="F50" s="75"/>
      <c r="G50" s="75"/>
      <c r="H50" s="75"/>
      <c r="I50" s="191"/>
      <c r="J50" s="192"/>
      <c r="K50" s="193" t="s">
        <v>47</v>
      </c>
      <c r="L50" s="206" t="s">
        <v>235</v>
      </c>
      <c r="M50" s="102"/>
      <c r="N50" s="103"/>
      <c r="O50" s="104"/>
    </row>
    <row r="51" spans="1:11" ht="12.75">
      <c r="A51" s="20"/>
      <c r="C51" s="2"/>
      <c r="I51" s="5" t="s">
        <v>48</v>
      </c>
      <c r="J51" s="195">
        <f>G48</f>
        <v>6.192132364602812</v>
      </c>
      <c r="K51" s="195">
        <f>J51</f>
        <v>6.192132364602812</v>
      </c>
    </row>
    <row r="52" spans="1:12" ht="12.75">
      <c r="A52" s="20"/>
      <c r="C52" s="2"/>
      <c r="I52" s="13"/>
      <c r="J52" s="130" t="s">
        <v>14</v>
      </c>
      <c r="K52" s="130" t="s">
        <v>15</v>
      </c>
      <c r="L52" s="130" t="s">
        <v>49</v>
      </c>
    </row>
    <row r="53" spans="9:14" ht="17.25">
      <c r="I53" s="105" t="s">
        <v>50</v>
      </c>
      <c r="J53" s="112">
        <f>J47*1000*J51</f>
        <v>1.8576397093808434</v>
      </c>
      <c r="K53" s="110">
        <f>K47*1000*K51</f>
        <v>2.476852945841125</v>
      </c>
      <c r="L53" s="111">
        <f>((J53*I12)+(K53*J12))/K12</f>
        <v>2.003023211869479</v>
      </c>
      <c r="M53" s="106"/>
      <c r="N53" s="106"/>
    </row>
    <row r="54" spans="1:7" ht="12.75">
      <c r="A54" s="18"/>
      <c r="B54" s="18"/>
      <c r="C54" s="18"/>
      <c r="D54" s="18"/>
      <c r="E54" s="18"/>
      <c r="F54" s="18"/>
      <c r="G54" s="18"/>
    </row>
    <row r="55" spans="1:7" ht="12.75">
      <c r="A55" s="18"/>
      <c r="B55" s="18"/>
      <c r="C55" s="18"/>
      <c r="D55" s="18"/>
      <c r="E55" s="18"/>
      <c r="F55" s="18"/>
      <c r="G55" s="18"/>
    </row>
    <row r="56" spans="1:7" ht="12.75">
      <c r="A56" s="18"/>
      <c r="B56" s="18"/>
      <c r="C56" s="18"/>
      <c r="D56" s="18"/>
      <c r="E56" s="18"/>
      <c r="F56" s="18"/>
      <c r="G56" s="18"/>
    </row>
    <row r="57" spans="1:7" ht="12.75">
      <c r="A57" s="18"/>
      <c r="B57" s="18"/>
      <c r="C57" s="18"/>
      <c r="D57" s="18"/>
      <c r="E57" s="18"/>
      <c r="F57" s="18"/>
      <c r="G57" s="18"/>
    </row>
    <row r="58" spans="1:7" ht="12.75">
      <c r="A58" s="18"/>
      <c r="B58" s="18"/>
      <c r="C58" s="18"/>
      <c r="D58" s="18"/>
      <c r="E58" s="18"/>
      <c r="F58" s="18"/>
      <c r="G58" s="18"/>
    </row>
    <row r="59" spans="1:7" ht="12.75">
      <c r="A59" s="18"/>
      <c r="B59" s="18"/>
      <c r="C59" s="18"/>
      <c r="D59" s="18"/>
      <c r="E59" s="18"/>
      <c r="F59" s="18"/>
      <c r="G59" s="18"/>
    </row>
    <row r="60" spans="1:7" ht="12.75">
      <c r="A60" s="18"/>
      <c r="B60" s="18"/>
      <c r="C60" s="18"/>
      <c r="D60" s="18"/>
      <c r="E60" s="18"/>
      <c r="F60" s="18"/>
      <c r="G60" s="18"/>
    </row>
    <row r="61" spans="1:7" ht="12.75">
      <c r="A61" s="18"/>
      <c r="B61" s="18"/>
      <c r="C61" s="18"/>
      <c r="D61" s="18"/>
      <c r="E61" s="18"/>
      <c r="F61" s="18"/>
      <c r="G61" s="18"/>
    </row>
    <row r="62" spans="1:7" ht="12.75">
      <c r="A62" s="18"/>
      <c r="B62" s="18"/>
      <c r="C62" s="18"/>
      <c r="D62" s="18"/>
      <c r="E62" s="18"/>
      <c r="F62" s="18"/>
      <c r="G62" s="18"/>
    </row>
    <row r="63" spans="1:7" ht="12.75">
      <c r="A63" s="18"/>
      <c r="B63" s="18"/>
      <c r="C63" s="18"/>
      <c r="D63" s="18"/>
      <c r="E63" s="18"/>
      <c r="F63" s="18"/>
      <c r="G63" s="18"/>
    </row>
    <row r="64" spans="1:7" ht="12.75">
      <c r="A64" s="18"/>
      <c r="B64" s="18"/>
      <c r="C64" s="18"/>
      <c r="D64" s="18"/>
      <c r="E64" s="18"/>
      <c r="F64" s="18"/>
      <c r="G64" s="18"/>
    </row>
    <row r="65" spans="1:7" ht="12.75">
      <c r="A65" s="18"/>
      <c r="B65" s="18"/>
      <c r="C65" s="18"/>
      <c r="D65" s="18"/>
      <c r="E65" s="18"/>
      <c r="F65" s="18"/>
      <c r="G65" s="18"/>
    </row>
    <row r="66" spans="1:7" ht="12.75">
      <c r="A66" s="18"/>
      <c r="B66" s="18"/>
      <c r="C66" s="18"/>
      <c r="D66" s="18"/>
      <c r="E66" s="18"/>
      <c r="F66" s="18"/>
      <c r="G66" s="18"/>
    </row>
    <row r="67" spans="1:7" ht="12.75">
      <c r="A67" s="18"/>
      <c r="B67" s="18"/>
      <c r="C67" s="18"/>
      <c r="D67" s="18"/>
      <c r="E67" s="18"/>
      <c r="F67" s="18"/>
      <c r="G67" s="18"/>
    </row>
    <row r="68" spans="1:7" ht="12.75">
      <c r="A68" s="18"/>
      <c r="B68" s="18"/>
      <c r="C68" s="18"/>
      <c r="D68" s="18"/>
      <c r="E68" s="18"/>
      <c r="F68" s="18"/>
      <c r="G68" s="18"/>
    </row>
    <row r="69" spans="1:7" ht="12.75">
      <c r="A69" s="18"/>
      <c r="B69" s="18"/>
      <c r="C69" s="18"/>
      <c r="D69" s="18"/>
      <c r="E69" s="18"/>
      <c r="F69" s="18"/>
      <c r="G69" s="18"/>
    </row>
    <row r="70" spans="1:7" ht="12.75">
      <c r="A70" s="18"/>
      <c r="B70" s="18"/>
      <c r="C70" s="18"/>
      <c r="D70" s="18"/>
      <c r="E70" s="18"/>
      <c r="F70" s="18"/>
      <c r="G70" s="18"/>
    </row>
    <row r="71" spans="1:7" ht="12.75">
      <c r="A71" s="18"/>
      <c r="B71" s="18"/>
      <c r="C71" s="18"/>
      <c r="D71" s="18"/>
      <c r="E71" s="18"/>
      <c r="F71" s="18"/>
      <c r="G71" s="18"/>
    </row>
    <row r="72" spans="1:7" ht="12.75">
      <c r="A72" s="18"/>
      <c r="B72" s="18"/>
      <c r="C72" s="18"/>
      <c r="D72" s="18"/>
      <c r="E72" s="18"/>
      <c r="F72" s="18"/>
      <c r="G72" s="18"/>
    </row>
  </sheetData>
  <sheetProtection/>
  <mergeCells count="20">
    <mergeCell ref="L35:O35"/>
    <mergeCell ref="B46:I46"/>
    <mergeCell ref="A47:A48"/>
    <mergeCell ref="F35:F36"/>
    <mergeCell ref="G35:G36"/>
    <mergeCell ref="H35:H36"/>
    <mergeCell ref="I35:I36"/>
    <mergeCell ref="J35:J36"/>
    <mergeCell ref="K35:K36"/>
    <mergeCell ref="A37:A43"/>
    <mergeCell ref="B3:D3"/>
    <mergeCell ref="E3:G3"/>
    <mergeCell ref="I3:K3"/>
    <mergeCell ref="L3:M3"/>
    <mergeCell ref="D14:F14"/>
    <mergeCell ref="A35:A36"/>
    <mergeCell ref="B35:B36"/>
    <mergeCell ref="C35:C36"/>
    <mergeCell ref="D35:D36"/>
    <mergeCell ref="E35:E36"/>
  </mergeCells>
  <printOptions/>
  <pageMargins left="0.75" right="0.75" top="1" bottom="1" header="0.5" footer="0.5"/>
  <pageSetup orientation="portrait" paperSize="9"/>
  <ignoredErrors>
    <ignoredError sqref="H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gasanchez</dc:creator>
  <cp:keywords/>
  <dc:description/>
  <cp:lastModifiedBy>Galo</cp:lastModifiedBy>
  <cp:lastPrinted>2014-05-23T10:57:58Z</cp:lastPrinted>
  <dcterms:created xsi:type="dcterms:W3CDTF">2009-05-28T14:19:22Z</dcterms:created>
  <dcterms:modified xsi:type="dcterms:W3CDTF">2019-07-08T09:55:57Z</dcterms:modified>
  <cp:category/>
  <cp:version/>
  <cp:contentType/>
  <cp:contentStatus/>
</cp:coreProperties>
</file>