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7140" activeTab="0"/>
  </bookViews>
  <sheets>
    <sheet name="desde HR" sheetId="1" r:id="rId1"/>
    <sheet name="IncAcum" sheetId="2" r:id="rId2"/>
    <sheet name="Size por HR" sheetId="3" r:id="rId3"/>
  </sheets>
  <definedNames/>
  <calcPr fullCalcOnLoad="1"/>
</workbook>
</file>

<file path=xl/sharedStrings.xml><?xml version="1.0" encoding="utf-8"?>
<sst xmlns="http://schemas.openxmlformats.org/spreadsheetml/2006/main" count="512" uniqueCount="439">
  <si>
    <t>Límite inferior del IC</t>
  </si>
  <si>
    <t>Límite superior del IC</t>
  </si>
  <si>
    <t>Sin eventos</t>
  </si>
  <si>
    <t>Con eventos</t>
  </si>
  <si>
    <t>RR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</si>
  <si>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</si>
  <si>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</si>
  <si>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</si>
  <si>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</si>
  <si>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</si>
  <si>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</si>
  <si>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</si>
  <si>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</si>
  <si>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</si>
  <si>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</si>
  <si>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</si>
  <si>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</si>
  <si>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</si>
  <si>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</si>
  <si>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</si>
  <si>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</si>
  <si>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</si>
  <si>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</si>
  <si>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</si>
  <si>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</si>
  <si>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</si>
  <si>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</si>
  <si>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</si>
  <si>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</si>
  <si>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</si>
  <si>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</si>
  <si>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</si>
  <si>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</si>
  <si>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</si>
  <si>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</si>
  <si>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</si>
  <si>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</si>
  <si>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</si>
  <si>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</si>
  <si>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</si>
  <si>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</si>
  <si>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</si>
  <si>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</si>
  <si>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</si>
  <si>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n (cada grupo) =</t>
  </si>
  <si>
    <t>2n (total) =</t>
  </si>
  <si>
    <t>DETERMINACIÓN DEL TAMAÑO DE MUESTRA EN CADA GRUPO DE ESTUDIO PARA LA COMPARACIÓN DE DOS PROPORCIONES.</t>
  </si>
  <si>
    <t xml:space="preserve">Siguendo en mismo razonamiento que antes: </t>
  </si>
  <si>
    <t>La proporción que debe usarse no es ni pA ni pB, sino la llamada porporción media (pM) = pA+pB/2, y así=&gt;</t>
  </si>
  <si>
    <t>qA</t>
  </si>
  <si>
    <t>qB</t>
  </si>
  <si>
    <t>qM</t>
  </si>
  <si>
    <t>=&gt; z α/2 =</t>
  </si>
  <si>
    <t>=&gt; zβ =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</si>
  <si>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</si>
  <si>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</si>
  <si>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</si>
  <si>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</si>
  <si>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</si>
  <si>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</si>
  <si>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</si>
  <si>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</si>
  <si>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</si>
  <si>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</si>
  <si>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</si>
  <si>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% Eventos interv = complementario:</t>
  </si>
  <si>
    <t>NNT</t>
  </si>
  <si>
    <t>/</t>
  </si>
  <si>
    <t>años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</si>
  <si>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</si>
  <si>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</si>
  <si>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</si>
  <si>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</si>
  <si>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</si>
  <si>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</si>
  <si>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</si>
  <si>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</si>
  <si>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</si>
  <si>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</si>
  <si>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</si>
  <si>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</si>
  <si>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</si>
  <si>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</si>
  <si>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</si>
  <si>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</si>
  <si>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</si>
  <si>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</si>
  <si>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</si>
  <si>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</si>
  <si>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t>pM (=proporción Media)</t>
  </si>
  <si>
    <t>Cálculo del tamaño necesario de la muestra</t>
  </si>
  <si>
    <t>CÁLCULO DEL TAMAÑO DE MUESTRA PARA UNA DIFERENCIA DE DOS PROPORCIONES</t>
  </si>
  <si>
    <t>% RA intervención</t>
  </si>
  <si>
    <t>Numerador</t>
  </si>
  <si>
    <t>Denominador</t>
  </si>
  <si>
    <t>% RA control =</t>
  </si>
  <si>
    <t>Estimación puntual</t>
  </si>
  <si>
    <t>100% - % RA control =</t>
  </si>
  <si>
    <t>Cálculo de RAR y NNT a partir del HR y el % RA en el grupo control</t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</si>
  <si>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</si>
  <si>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</si>
  <si>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</si>
  <si>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Según estos cálculos ¿cuándo debería pararse el estudio?</t>
  </si>
  <si>
    <t>Nº eventos esperados en el grupo control</t>
  </si>
  <si>
    <t>Suma de los eventos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</si>
  <si>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</si>
  <si>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Límite inferior del IC 95%</t>
  </si>
  <si>
    <t>Límite superior del IC 95%</t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</si>
  <si>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</si>
  <si>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</si>
  <si>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</si>
  <si>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</si>
  <si>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</si>
  <si>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=&gt; Total =</t>
  </si>
  <si>
    <t>Nº eventos esperados en el grupo intervención</t>
  </si>
  <si>
    <t xml:space="preserve">Si espero pérdidas del </t>
  </si>
  <si>
    <t>Intervención</t>
  </si>
  <si>
    <t>Control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</si>
  <si>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</si>
  <si>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</si>
  <si>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</si>
  <si>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</si>
  <si>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=&gt;</t>
  </si>
  <si>
    <r>
      <t xml:space="preserve">1 -β =  p (rechazar Ho </t>
    </r>
    <r>
      <rPr>
        <sz val="10"/>
        <rFont val="Calibri"/>
        <family val="2"/>
      </rPr>
      <t>│ Ho falsa)</t>
    </r>
  </si>
  <si>
    <t>1 -β =  potencia estadística resultante =  p de detectar una diferencia entre ambos, en caso de que exista</t>
  </si>
  <si>
    <t>Potencia de contraste</t>
  </si>
  <si>
    <t>DM: diferencia de proporciones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</si>
  <si>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</si>
  <si>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α = probab de que la diferencia detectada entre ambos sea debida al azar, en caso de que no exista</t>
  </si>
  <si>
    <r>
      <t xml:space="preserve">1-α =  p (no rechazar Ho </t>
    </r>
    <r>
      <rPr>
        <sz val="10"/>
        <rFont val="Calibri"/>
        <family val="2"/>
      </rPr>
      <t>│ Ho verdadera)</t>
    </r>
  </si>
  <si>
    <t>1-α = nivel e confianza =  p (no rechazar Ho │ Ho verdadera)</t>
  </si>
  <si>
    <t xml:space="preserve"> p (no rechazar Ho │ Ho verdadera)</t>
  </si>
  <si>
    <t xml:space="preserve"> β =&gt; probabilidad de no detectar una diferencia que sí exista.</t>
  </si>
  <si>
    <t>β =  probabilidad de no detectar una diferencia que sí exista =  p (no rechazar Ho │ Ho falsa)</t>
  </si>
  <si>
    <t>Dif Proporc =  RAR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</si>
  <si>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</si>
  <si>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</si>
  <si>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</si>
  <si>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t>Chi cuadrado de Pearson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</si>
  <si>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Error alfa</t>
    </r>
    <r>
      <rPr>
        <sz val="10"/>
        <rFont val="Calibri"/>
        <family val="2"/>
      </rPr>
      <t xml:space="preserve">: significación estadística; </t>
    </r>
    <r>
      <rPr>
        <b/>
        <sz val="10"/>
        <rFont val="Calibri"/>
        <family val="2"/>
      </rPr>
      <t>Potencia estadística</t>
    </r>
    <r>
      <rPr>
        <sz val="10"/>
        <rFont val="Calibri"/>
        <family val="2"/>
      </rPr>
      <t xml:space="preserve"> = 1 - Error beta; </t>
    </r>
    <r>
      <rPr>
        <b/>
        <sz val="10"/>
        <rFont val="Calibri"/>
        <family val="2"/>
      </rPr>
      <t>n</t>
    </r>
    <r>
      <rPr>
        <sz val="10"/>
        <rFont val="Calibri"/>
        <family val="2"/>
      </rPr>
      <t>: número de pacientes necesario de cada uno de los grupos</t>
    </r>
  </si>
  <si>
    <r>
      <t>S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= S</t>
    </r>
    <r>
      <rPr>
        <vertAlign val="subscript"/>
        <sz val="11"/>
        <rFont val="Calibri"/>
        <family val="2"/>
      </rPr>
      <t>c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=&gt;</t>
    </r>
  </si>
  <si>
    <r>
      <t>1-RA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=&gt;</t>
    </r>
  </si>
  <si>
    <r>
      <t>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</si>
  <si>
    <r>
      <t>si se espera un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/año =</t>
    </r>
  </si>
  <si>
    <t>durante</t>
  </si>
  <si>
    <r>
      <t xml:space="preserve"> =&gt; que se espera un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=</t>
    </r>
  </si>
  <si>
    <t>y se espera un HR =</t>
  </si>
  <si>
    <r>
      <t>entonces 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=</t>
    </r>
  </si>
  <si>
    <r>
      <t>n = 2pq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(z</t>
    </r>
    <r>
      <rPr>
        <b/>
        <vertAlign val="subscript"/>
        <sz val="11"/>
        <rFont val="Calibri"/>
        <family val="2"/>
      </rPr>
      <t>α/2</t>
    </r>
    <r>
      <rPr>
        <b/>
        <sz val="11"/>
        <rFont val="Calibri"/>
        <family val="2"/>
      </rPr>
      <t xml:space="preserve"> + z</t>
    </r>
    <r>
      <rPr>
        <b/>
        <vertAlign val="subscript"/>
        <sz val="11"/>
        <rFont val="Calibri"/>
        <family val="2"/>
      </rPr>
      <t>β</t>
    </r>
    <r>
      <rPr>
        <b/>
        <sz val="11"/>
        <rFont val="Calibri"/>
        <family val="2"/>
      </rPr>
      <t>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</si>
  <si>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r>
      <t>n = 2* (pM * qM) * (z α/2 + zβ)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</si>
  <si>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por grupo</t>
  </si>
  <si>
    <r>
      <t>En excel procédase así: HR = LOG(S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</si>
  <si>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</si>
  <si>
    <r>
      <t>En excell procédase así: S</t>
    </r>
    <r>
      <rPr>
        <vertAlign val="subscript"/>
        <sz val="10"/>
        <rFont val="Calibri"/>
        <family val="2"/>
      </rPr>
      <t xml:space="preserve">c </t>
    </r>
    <r>
      <rPr>
        <sz val="10"/>
        <rFont val="Calibri"/>
        <family val="2"/>
      </rPr>
      <t>= Potencia(S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;1/HR)</t>
    </r>
  </si>
  <si>
    <r>
      <t xml:space="preserve">Log 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</si>
  <si>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t>Para un error alfa 2 colas</t>
  </si>
  <si>
    <t>Para un error beta 1 cola</t>
  </si>
  <si>
    <t>IC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</si>
  <si>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</si>
  <si>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</si>
  <si>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</si>
  <si>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</si>
  <si>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</si>
  <si>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</si>
  <si>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</si>
  <si>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</si>
  <si>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</si>
  <si>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</si>
  <si>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</si>
  <si>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</si>
  <si>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</si>
  <si>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</si>
  <si>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</si>
  <si>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</si>
  <si>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NND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</si>
  <si>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</si>
  <si>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</si>
  <si>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</si>
  <si>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</si>
  <si>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</si>
  <si>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t>% Interv (Fact Box)</t>
  </si>
  <si>
    <r>
      <t>1-RA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</si>
  <si>
    <r>
      <t>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= 1-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</t>
    </r>
  </si>
  <si>
    <r>
      <t>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  S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</si>
  <si>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t>Muerte por causa cardiovascular</t>
  </si>
  <si>
    <t>Hospitalización por Insuficiencia cardíaca</t>
  </si>
  <si>
    <t>RAR (IC 95%)  por año</t>
  </si>
  <si>
    <t>NNT (IC 95%) por año</t>
  </si>
  <si>
    <t>ECA REWIND, seguimiento 5,4 años</t>
  </si>
  <si>
    <t>Nº eventos (%), Grupo Dulaglutida, n= 4949</t>
  </si>
  <si>
    <t>Nº eventos (%), Grupo Placebo n= 4952</t>
  </si>
  <si>
    <t>RAR (IC 95%) en 5,4 años</t>
  </si>
  <si>
    <t>NNT (IC 95%) en 5,4 años</t>
  </si>
  <si>
    <t>IAM fatal</t>
  </si>
  <si>
    <t>IAM no fatal</t>
  </si>
  <si>
    <t>Mortalidad por todas las causas</t>
  </si>
  <si>
    <t>Hospitalización por angina inestable</t>
  </si>
  <si>
    <t>594/4949 (12%)</t>
  </si>
  <si>
    <t>663/4952 (13,39%)</t>
  </si>
  <si>
    <t>0,9 (0,81-0,99)</t>
  </si>
  <si>
    <t>1,39% (0,07% a 2,7%)</t>
  </si>
  <si>
    <t>72 (1353 a 37)</t>
  </si>
  <si>
    <t>223/4949 (4,51%)</t>
  </si>
  <si>
    <t>231/4952 (4,66%)</t>
  </si>
  <si>
    <t>0,97 (0,81-1,16)</t>
  </si>
  <si>
    <t>0,16% (-0,67% a 0,99%)</t>
  </si>
  <si>
    <t>630 (-150 a 102)</t>
  </si>
  <si>
    <t>5,68%</t>
  </si>
  <si>
    <t>205/4949 (4,14%)</t>
  </si>
  <si>
    <t>212/4952 (4,28%)</t>
  </si>
  <si>
    <t>0,97 (0,8-1,17)</t>
  </si>
  <si>
    <t>0,14% (-0,66% a 0,93%)</t>
  </si>
  <si>
    <t>720 (-153 a 107)</t>
  </si>
  <si>
    <t>5,3%</t>
  </si>
  <si>
    <t>26/4949 (0,53%)</t>
  </si>
  <si>
    <t>20/4952 (0,4%)</t>
  </si>
  <si>
    <t>1,3 (0,73-2,33)</t>
  </si>
  <si>
    <t>-0,12% (-0,4% a 0,16%)</t>
  </si>
  <si>
    <t>-823 (-252 a 624)</t>
  </si>
  <si>
    <t>158/4949 (3,19%)</t>
  </si>
  <si>
    <t>205/4952 (4,14%)</t>
  </si>
  <si>
    <t>0,77 (0,63-0,95)</t>
  </si>
  <si>
    <t>0,95% (0,2% a 1,69%)</t>
  </si>
  <si>
    <t>106 (497 a 59)</t>
  </si>
  <si>
    <t>70,8%</t>
  </si>
  <si>
    <t>135/4949 (2,73%)</t>
  </si>
  <si>
    <t>175/4952 (3,53%)</t>
  </si>
  <si>
    <t>0,77 (0,62-0,96)</t>
  </si>
  <si>
    <t>0,81% (0,11% a 1,49%)</t>
  </si>
  <si>
    <t>124 (878 a 67)</t>
  </si>
  <si>
    <t>23/4949 (0,46%)</t>
  </si>
  <si>
    <t>33/4952 (0,67%)</t>
  </si>
  <si>
    <t>0,7 (0,41-1,19)</t>
  </si>
  <si>
    <t>0,2% (-0,11% a 0,5%)</t>
  </si>
  <si>
    <t>496 (-927 a 199)</t>
  </si>
  <si>
    <t>317/4949 (6,41%)</t>
  </si>
  <si>
    <t>346/4952 (6,99%)</t>
  </si>
  <si>
    <t>0,92 (0,79-1,06)</t>
  </si>
  <si>
    <t>0,58% (-0,41% a 1,57%)</t>
  </si>
  <si>
    <t>172 (-247 a 64)</t>
  </si>
  <si>
    <t>21,13%</t>
  </si>
  <si>
    <t>536/4949 (10,83%)</t>
  </si>
  <si>
    <t>592/4952 (11,95%)</t>
  </si>
  <si>
    <t>0,91 (0,81-1,01)</t>
  </si>
  <si>
    <t>1,12% (-0,13% a 2,38%)</t>
  </si>
  <si>
    <t>89 (-779 a 42)</t>
  </si>
  <si>
    <t>42,1%</t>
  </si>
  <si>
    <t>213/4949 (4,3%)</t>
  </si>
  <si>
    <t>226/4952 (4,56%)</t>
  </si>
  <si>
    <t>0,94 (0,79-1,13)</t>
  </si>
  <si>
    <t>0,26% (-0,55% a 1,07%)</t>
  </si>
  <si>
    <t>385 (-180 a 93)</t>
  </si>
  <si>
    <t>9,15%</t>
  </si>
  <si>
    <t>88/4949 (1,78%)</t>
  </si>
  <si>
    <t>77/4952 (1,55%)</t>
  </si>
  <si>
    <t>1,14 (0,84-1,55)</t>
  </si>
  <si>
    <t>-0,22% (-0,73% a 0,29%)</t>
  </si>
  <si>
    <t>-448 (-137 a 347)</t>
  </si>
  <si>
    <t>13,73%</t>
  </si>
  <si>
    <t>Variable renal: [Nueva microalbuminuria, Declinación sostenida de la FGe &gt;30% desde el inicio, o Terapia de reemplazo renal]</t>
  </si>
  <si>
    <t>95/4949 (1,92%)</t>
  </si>
  <si>
    <t>76/4952 (1,53%)</t>
  </si>
  <si>
    <t>1,25 (0,93-1,69)</t>
  </si>
  <si>
    <t>-0,38% (-0,9% a 0,14%)</t>
  </si>
  <si>
    <t>-260 (-111 a 734)</t>
  </si>
  <si>
    <t>31,2%</t>
  </si>
  <si>
    <t>848/4949 (17,13%)</t>
  </si>
  <si>
    <t>970/4952 (19,59%)</t>
  </si>
  <si>
    <t>0,87 (0,8-0,95)</t>
  </si>
  <si>
    <t>2,45% (0,93% a 3,98%)</t>
  </si>
  <si>
    <t>41 (108 a 25)</t>
  </si>
  <si>
    <t>88,35%</t>
  </si>
  <si>
    <t>Nº eventos crudos (%), Grupo Dulaglutida, n= 4949</t>
  </si>
  <si>
    <t>Nº eventos crudos (%), Grupo Placebo n= 4952</t>
  </si>
  <si>
    <t>ECA REWIND, seguimiento 5 años</t>
  </si>
  <si>
    <t>NNT (IC 95%) en 5 años</t>
  </si>
  <si>
    <t>RAR (IC 95%) en 5 años</t>
  </si>
  <si>
    <t>0,88 (0,79-0,99)</t>
  </si>
  <si>
    <t>0,32% (0,03% a 0,55%)</t>
  </si>
  <si>
    <t>317 (181 a 3810)</t>
  </si>
  <si>
    <t>67 (38 a 808)</t>
  </si>
  <si>
    <t>0,96 (0,79-1,15)</t>
  </si>
  <si>
    <t>0,04% (-0,14% a 0,19%)</t>
  </si>
  <si>
    <t>2759 (525 a -736)</t>
  </si>
  <si>
    <t>562 (107 a -151)</t>
  </si>
  <si>
    <t>0,03% (-0,13% a 0,18%)</t>
  </si>
  <si>
    <t>2988 (569 a -798)</t>
  </si>
  <si>
    <t>608 (115 a -163)</t>
  </si>
  <si>
    <t>0,96 (0,79-1,16)</t>
  </si>
  <si>
    <t>0% (-0,01% a 0,02%)</t>
  </si>
  <si>
    <t>31262 (5954 a -7816)</t>
  </si>
  <si>
    <t>6262 (1192 a -1566)</t>
  </si>
  <si>
    <t>0,76 (0,62-0,94)</t>
  </si>
  <si>
    <t>0,19% (0,05% a 0,31%)</t>
  </si>
  <si>
    <t>516 (326 a 2065)</t>
  </si>
  <si>
    <t>105 (66 a 420)</t>
  </si>
  <si>
    <t>0,76 (0,61-0,95)</t>
  </si>
  <si>
    <t>0,17% (0,03% a 0,27%)</t>
  </si>
  <si>
    <t>605 (372 a 2908)</t>
  </si>
  <si>
    <t>122 (75 a 589)</t>
  </si>
  <si>
    <t>0,78 (0,47-1,3)</t>
  </si>
  <si>
    <t>0,03% (-0,04% a 0,07%)</t>
  </si>
  <si>
    <t>3498 (1452 a -2566)</t>
  </si>
  <si>
    <t>701 (291 a -515)</t>
  </si>
  <si>
    <t>0,91 (0,78-1,06)</t>
  </si>
  <si>
    <t>0,09% (-0,06% a 0,21%)</t>
  </si>
  <si>
    <t>1175 (480 a -1763)</t>
  </si>
  <si>
    <t>239 (98 a -360)</t>
  </si>
  <si>
    <t>0,9 (0,8-1,01)</t>
  </si>
  <si>
    <t>0,23% (-0,02% a 0,45%)</t>
  </si>
  <si>
    <t>441 (220 a -4418)</t>
  </si>
  <si>
    <t>92 (46 a -929)</t>
  </si>
  <si>
    <t>0,93 (0,77-1,12)</t>
  </si>
  <si>
    <t>0,06% (-0,11% a 0,2%)</t>
  </si>
  <si>
    <t>1612 (490 a -941)</t>
  </si>
  <si>
    <t>328 (99 a -192)</t>
  </si>
  <si>
    <t>1,14 (0,84-1,54)</t>
  </si>
  <si>
    <t>-0,04% (-0,16% a 0,05%)</t>
  </si>
  <si>
    <t>-2385 (2086 a -619)</t>
  </si>
  <si>
    <t>-480 (419 a -125)</t>
  </si>
  <si>
    <t>1,24 (0,92-1,68)</t>
  </si>
  <si>
    <t>-0,07% (-0,2% a 0,02%)</t>
  </si>
  <si>
    <t>-1391 (4172 a -491)</t>
  </si>
  <si>
    <t>-280 (839 a -99)</t>
  </si>
  <si>
    <t>0,85 (0,77-0,93)</t>
  </si>
  <si>
    <t>0,6% (0,28% a 0,92%)</t>
  </si>
  <si>
    <t>167 (109 a 358)</t>
  </si>
  <si>
    <t>36 (23 a 78)</t>
  </si>
  <si>
    <t>0,74 (0,56-0,99)</t>
  </si>
  <si>
    <t>0,11% (0% a 0,19%)</t>
  </si>
  <si>
    <t>896 (529 a 23305)</t>
  </si>
  <si>
    <t>180 (106 a 4702)</t>
  </si>
  <si>
    <t>82/4949 (1,66%)</t>
  </si>
  <si>
    <t>109/4952 (2,2%)</t>
  </si>
  <si>
    <t>0,54% (-0,01% a 1,09%)</t>
  </si>
  <si>
    <t>184 (-17645 a 92)</t>
  </si>
  <si>
    <t>0,75 (0,57-0,999)</t>
  </si>
  <si>
    <r>
      <rPr>
        <b/>
        <sz val="12"/>
        <color indexed="60"/>
        <rFont val="Calibri"/>
        <family val="2"/>
      </rPr>
      <t xml:space="preserve">Tabla 1: </t>
    </r>
    <r>
      <rPr>
        <b/>
        <sz val="12"/>
        <rFont val="Calibri"/>
        <family val="2"/>
      </rPr>
      <t>Pacientes de 66 años (DE 7), con DM2 de 10 años de duración, con Enfermedad Cardiovascular en 1 de cada 3 participantes en el estudio.</t>
    </r>
  </si>
  <si>
    <r>
      <t xml:space="preserve">Tabla 1: </t>
    </r>
    <r>
      <rPr>
        <b/>
        <sz val="12"/>
        <rFont val="Calibri"/>
        <family val="2"/>
      </rPr>
      <t>Pacientes de 66 años (DE 7), con DM2 de 10 años de duración, con Enfermedad Cardiovascular en 1 de cada 3 participantes en el estudio.</t>
    </r>
  </si>
  <si>
    <t>Hoja información al usuario</t>
  </si>
  <si>
    <r>
      <t>Nº de pacientes con evento en</t>
    </r>
    <r>
      <rPr>
        <b/>
        <sz val="10"/>
        <rFont val="Calibri"/>
        <family val="2"/>
      </rPr>
      <t xml:space="preserve"> 5 años </t>
    </r>
    <r>
      <rPr>
        <sz val="10"/>
        <rFont val="Calibri"/>
        <family val="2"/>
      </rPr>
      <t>por cada 100 tratados con</t>
    </r>
  </si>
  <si>
    <t>Variable ocular: [Fotocoagulación, terapia con anti-factor de crecimiento endotelial vascular, o vitectromía]</t>
  </si>
  <si>
    <r>
      <rPr>
        <u val="single"/>
        <sz val="9"/>
        <rFont val="Calibri"/>
        <family val="2"/>
      </rPr>
      <t>Abreviaturas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 xml:space="preserve">ACV: </t>
    </r>
    <r>
      <rPr>
        <sz val="9"/>
        <rFont val="Calibri"/>
        <family val="2"/>
      </rPr>
      <t xml:space="preserve">accidente cerebrovascular; </t>
    </r>
    <r>
      <rPr>
        <b/>
        <sz val="9"/>
        <rFont val="Calibri"/>
        <family val="2"/>
      </rPr>
      <t xml:space="preserve">CV: </t>
    </r>
    <r>
      <rPr>
        <sz val="9"/>
        <rFont val="Calibri"/>
        <family val="2"/>
      </rPr>
      <t xml:space="preserve">cardiovascular; </t>
    </r>
    <r>
      <rPr>
        <b/>
        <sz val="9"/>
        <rFont val="Calibri"/>
        <family val="2"/>
      </rPr>
      <t>DM2:</t>
    </r>
    <r>
      <rPr>
        <sz val="9"/>
        <rFont val="Calibri"/>
        <family val="2"/>
      </rPr>
      <t xml:space="preserve"> diabetes mellitus tipo 2; </t>
    </r>
    <r>
      <rPr>
        <b/>
        <sz val="9"/>
        <rFont val="Calibri"/>
        <family val="2"/>
      </rPr>
      <t xml:space="preserve">FGe: </t>
    </r>
    <r>
      <rPr>
        <sz val="9"/>
        <rFont val="Calibri"/>
        <family val="2"/>
      </rPr>
      <t xml:space="preserve">filtración glomerular estimada en ml/ minuto/ 1,73 m2 de superficie corporal; </t>
    </r>
    <r>
      <rPr>
        <b/>
        <sz val="9"/>
        <rFont val="Calibri"/>
        <family val="2"/>
      </rPr>
      <t xml:space="preserve">Hosp: </t>
    </r>
    <r>
      <rPr>
        <sz val="9"/>
        <rFont val="Calibri"/>
        <family val="2"/>
      </rPr>
      <t xml:space="preserve">hospitalización; </t>
    </r>
    <r>
      <rPr>
        <b/>
        <sz val="9"/>
        <rFont val="Calibri"/>
        <family val="2"/>
      </rPr>
      <t xml:space="preserve">HR: </t>
    </r>
    <r>
      <rPr>
        <sz val="9"/>
        <rFont val="Calibri"/>
        <family val="2"/>
      </rPr>
      <t xml:space="preserve">hazard ratio; </t>
    </r>
    <r>
      <rPr>
        <b/>
        <sz val="9"/>
        <rFont val="Calibri"/>
        <family val="2"/>
      </rPr>
      <t xml:space="preserve">IAM: </t>
    </r>
    <r>
      <rPr>
        <sz val="9"/>
        <rFont val="Calibri"/>
        <family val="2"/>
      </rPr>
      <t xml:space="preserve">infarto agudo de miocardio; </t>
    </r>
    <r>
      <rPr>
        <b/>
        <sz val="9"/>
        <rFont val="Calibri"/>
        <family val="2"/>
      </rPr>
      <t xml:space="preserve">IC: </t>
    </r>
    <r>
      <rPr>
        <sz val="9"/>
        <rFont val="Calibri"/>
        <family val="2"/>
      </rPr>
      <t xml:space="preserve">intervalo de confianza; </t>
    </r>
    <r>
      <rPr>
        <b/>
        <sz val="9"/>
        <rFont val="Calibri"/>
        <family val="2"/>
      </rPr>
      <t xml:space="preserve">Mort: </t>
    </r>
    <r>
      <rPr>
        <sz val="9"/>
        <rFont val="Calibri"/>
        <family val="2"/>
      </rPr>
      <t xml:space="preserve">mortalidad por todas las causas; </t>
    </r>
    <r>
      <rPr>
        <b/>
        <sz val="9"/>
        <rFont val="Calibri"/>
        <family val="2"/>
      </rPr>
      <t>Mort CV:</t>
    </r>
    <r>
      <rPr>
        <sz val="9"/>
        <rFont val="Calibri"/>
        <family val="2"/>
      </rPr>
      <t xml:space="preserve"> mortalidad por causa cardiovascular; </t>
    </r>
    <r>
      <rPr>
        <b/>
        <sz val="9"/>
        <rFont val="Calibri"/>
        <family val="2"/>
      </rPr>
      <t xml:space="preserve">NNT: </t>
    </r>
    <r>
      <rPr>
        <sz val="9"/>
        <rFont val="Calibri"/>
        <family val="2"/>
      </rPr>
      <t xml:space="preserve">número necesario a tratar para proteger a 1 paciente más que sin tratar; </t>
    </r>
    <r>
      <rPr>
        <b/>
        <sz val="9"/>
        <rFont val="Calibri"/>
        <family val="2"/>
      </rPr>
      <t xml:space="preserve">RAR: </t>
    </r>
    <r>
      <rPr>
        <sz val="9"/>
        <rFont val="Calibri"/>
        <family val="2"/>
      </rPr>
      <t xml:space="preserve">reducción absoluta del riesgo; </t>
    </r>
    <r>
      <rPr>
        <b/>
        <sz val="9"/>
        <rFont val="Calibri"/>
        <family val="2"/>
      </rPr>
      <t xml:space="preserve">RR: </t>
    </r>
    <r>
      <rPr>
        <sz val="9"/>
        <rFont val="Calibri"/>
        <family val="2"/>
      </rPr>
      <t>riesgo relativo (obtenido por incidencias acumuladas).</t>
    </r>
  </si>
  <si>
    <t>Dulaglutida</t>
  </si>
  <si>
    <t>Placebo</t>
  </si>
  <si>
    <t>Infartos de miocardio totales</t>
  </si>
  <si>
    <t>53/4949 (1,07%)</t>
  </si>
  <si>
    <t>66/4952 (1,33%)</t>
  </si>
  <si>
    <t>0,8 (0,56-1,15)</t>
  </si>
  <si>
    <t>0,26% (-0,18% a 0,69%)</t>
  </si>
  <si>
    <t>382 (-567 a 144)</t>
  </si>
  <si>
    <t>ACV totales</t>
  </si>
  <si>
    <t xml:space="preserve">        ACV fatal</t>
  </si>
  <si>
    <t xml:space="preserve">        ACV no fatal</t>
  </si>
  <si>
    <t>ACV no fatal y discapacitante</t>
  </si>
  <si>
    <t>ACV no fatal y no discapacitante</t>
  </si>
  <si>
    <t>Muerte Cardiovascular, IAM o ACV</t>
  </si>
  <si>
    <t>Muerte CV, IAM o ACV</t>
  </si>
  <si>
    <t xml:space="preserve">       ACV fatal</t>
  </si>
  <si>
    <t xml:space="preserve">       ACV no fatal</t>
  </si>
  <si>
    <t>229/4949 (4,63%)</t>
  </si>
  <si>
    <t>260/4952 (5,25%)</t>
  </si>
  <si>
    <t>0,88 (0,74-1,05)</t>
  </si>
  <si>
    <t>0,62% (-0,23% a 1,48%)</t>
  </si>
  <si>
    <t>160 (-427 a 68)</t>
  </si>
  <si>
    <t>25/4949 (0,51%)</t>
  </si>
  <si>
    <t>40/4952 (0,81%)</t>
  </si>
  <si>
    <t>0,63 (0,38-1,03)</t>
  </si>
  <si>
    <t>0,3% (-0,03% a 0,62%)</t>
  </si>
  <si>
    <t>330 (-3316 a 160)</t>
  </si>
  <si>
    <t>120/4949 (2,42%)</t>
  </si>
  <si>
    <t>127/4952 (2,56%)</t>
  </si>
  <si>
    <t>0,95 (0,74-1,21)</t>
  </si>
  <si>
    <t>0,14% (-0,48% a 0,76%)</t>
  </si>
  <si>
    <t>715 (-209 a 132)</t>
  </si>
  <si>
    <t>84/4949 (1,7%)</t>
  </si>
  <si>
    <t>93/4952 (1,88%)</t>
  </si>
  <si>
    <t>0,9 (0,67-1,21)</t>
  </si>
  <si>
    <t>0,18% (-0,35% a 0,71%)</t>
  </si>
  <si>
    <t>553 (-288 a 142)</t>
  </si>
  <si>
    <t>Pancreatitis aguda</t>
  </si>
  <si>
    <t>13/4952 (0,26%)</t>
  </si>
  <si>
    <t>1,77 (0,9-3,49)</t>
  </si>
  <si>
    <t>-0,2% (-0,44% a 0,05%)</t>
  </si>
  <si>
    <t>-495 (-225 a 1857)</t>
  </si>
  <si>
    <t>64/4949 (1,29%)</t>
  </si>
  <si>
    <t>74/4952 (1,49%)</t>
  </si>
  <si>
    <t>0,87 (0,62-1,21)</t>
  </si>
  <si>
    <t>0,2% (-0,27% a 0,67%)</t>
  </si>
  <si>
    <t>497 (-373 a 150)</t>
  </si>
  <si>
    <t>Cancer Medular Tiroides</t>
  </si>
  <si>
    <t>1/4949 (0,02%)</t>
  </si>
  <si>
    <t>0/4952 (0%)</t>
  </si>
  <si>
    <t>-0,02% (-0,1% a 0,07%)</t>
  </si>
  <si>
    <t>-4949 (-1005 a 1352)</t>
  </si>
  <si>
    <t>Cancer Tiroides</t>
  </si>
  <si>
    <t>7/4949 (0,14%)</t>
  </si>
  <si>
    <t>3/4952 (0,06%)</t>
  </si>
  <si>
    <t>2,33 (0,6-9,02)</t>
  </si>
  <si>
    <t>-0,08% (-0,22% a 0,07%)</t>
  </si>
  <si>
    <t>-1237 (-457 a 1340)</t>
  </si>
  <si>
    <t>Cancer de Pancreas</t>
  </si>
  <si>
    <t>19/4949 (0,38%)</t>
  </si>
  <si>
    <t>12/4952 (0,24%)</t>
  </si>
  <si>
    <t>1,58 (0,77-3,26)</t>
  </si>
  <si>
    <t>-0,14% (-0,37% a 0,1%)</t>
  </si>
  <si>
    <t>-706 (-271 a 1030)</t>
  </si>
  <si>
    <t>Reacción Inmunologica</t>
  </si>
  <si>
    <t>8/4949 (0,16%)</t>
  </si>
  <si>
    <t>0,4 (0,18-0,91)</t>
  </si>
  <si>
    <t>0,24% (0,01% a 0,45%)</t>
  </si>
  <si>
    <t>413 (11083 a 220)</t>
  </si>
  <si>
    <t>216/4949 (4,36%)</t>
  </si>
  <si>
    <t>192/4952 (3,88%)</t>
  </si>
  <si>
    <t>1,13 (0,93-1,36)</t>
  </si>
  <si>
    <t>-0,49% (-1,27% a 0,3%)</t>
  </si>
  <si>
    <t>-205 (-79 a 334)</t>
  </si>
  <si>
    <t>Hipoglucemia grave</t>
  </si>
  <si>
    <t>451/4949 (9,11%)</t>
  </si>
  <si>
    <t>310/4952 (6,26%)</t>
  </si>
  <si>
    <t>1,46 (1,27-1,67)</t>
  </si>
  <si>
    <t>-2,85% (-3,9% a -1,8%)</t>
  </si>
  <si>
    <t>-35 (-26 a -56)</t>
  </si>
  <si>
    <t>99,96%</t>
  </si>
  <si>
    <t>Abandono del tratamiento por EA</t>
  </si>
  <si>
    <t>2047/4949 (41,36%)</t>
  </si>
  <si>
    <t>1687/4952 (34,07%)</t>
  </si>
  <si>
    <t>1,21 (1,15-1,28)</t>
  </si>
  <si>
    <t>-7,29% (-9,2% a -5,4%)</t>
  </si>
  <si>
    <t>-14 (-11 a -19)</t>
  </si>
  <si>
    <t>100%</t>
  </si>
  <si>
    <t>EA Gastrointestinal</t>
  </si>
  <si>
    <t>EA Gastrointestinal Grave</t>
  </si>
  <si>
    <t>EA Hepatico Grave</t>
  </si>
  <si>
    <t>EA Renal o Urinario Grave</t>
  </si>
  <si>
    <t>Arritimia (Taquicardia supraventricular)</t>
  </si>
  <si>
    <t>--------</t>
  </si>
  <si>
    <r>
      <rPr>
        <b/>
        <sz val="12"/>
        <color indexed="60"/>
        <rFont val="Calibri"/>
        <family val="2"/>
      </rPr>
      <t xml:space="preserve">Tabla 3: </t>
    </r>
    <r>
      <rPr>
        <b/>
        <sz val="12"/>
        <rFont val="Calibri"/>
        <family val="2"/>
      </rPr>
      <t>Efectos adversos (EA)</t>
    </r>
  </si>
  <si>
    <t>EA que amenaza la vida o el funcionamiento del paciente ("serious")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</si>
</sst>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</numFmts>
  <fonts count="12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0"/>
      <name val="Calibri"/>
      <family val="2"/>
    </font>
    <font>
      <sz val="12"/>
      <color indexed="12"/>
      <name val="Trebuchet MS"/>
      <family val="2"/>
    </font>
    <font>
      <vertAlign val="subscript"/>
      <sz val="11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indexed="60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sz val="10"/>
      <color indexed="50"/>
      <name val="Calibri"/>
      <family val="2"/>
    </font>
    <font>
      <sz val="10"/>
      <color indexed="12"/>
      <name val="Calibri"/>
      <family val="2"/>
    </font>
    <font>
      <sz val="10"/>
      <color indexed="52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b/>
      <sz val="10"/>
      <color indexed="57"/>
      <name val="Calibri"/>
      <family val="2"/>
    </font>
    <font>
      <sz val="10"/>
      <color indexed="63"/>
      <name val="Calibri"/>
      <family val="2"/>
    </font>
    <font>
      <sz val="10"/>
      <color indexed="20"/>
      <name val="Calibri"/>
      <family val="2"/>
    </font>
    <font>
      <sz val="10"/>
      <color indexed="14"/>
      <name val="Calibri"/>
      <family val="2"/>
    </font>
    <font>
      <sz val="12"/>
      <name val="Calibri"/>
      <family val="2"/>
    </font>
    <font>
      <sz val="10"/>
      <color indexed="61"/>
      <name val="Calibri"/>
      <family val="2"/>
    </font>
    <font>
      <b/>
      <sz val="23"/>
      <name val="Calibri"/>
      <family val="2"/>
    </font>
    <font>
      <b/>
      <sz val="10"/>
      <color indexed="14"/>
      <name val="Calibri"/>
      <family val="2"/>
    </font>
    <font>
      <b/>
      <sz val="24"/>
      <name val="Calibri"/>
      <family val="2"/>
    </font>
    <font>
      <b/>
      <sz val="10"/>
      <color indexed="63"/>
      <name val="Calibri"/>
      <family val="2"/>
    </font>
    <font>
      <b/>
      <u val="single"/>
      <sz val="11"/>
      <name val="Calibri"/>
      <family val="2"/>
    </font>
    <font>
      <sz val="11"/>
      <color indexed="51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sz val="12"/>
      <color indexed="16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sz val="10"/>
      <color indexed="17"/>
      <name val="Calibri"/>
      <family val="2"/>
    </font>
    <font>
      <sz val="8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17"/>
      <name val="Calibri"/>
      <family val="2"/>
    </font>
    <font>
      <b/>
      <sz val="8"/>
      <color indexed="10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6"/>
      <color indexed="52"/>
      <name val="Calibri"/>
      <family val="2"/>
    </font>
    <font>
      <b/>
      <sz val="6"/>
      <color indexed="17"/>
      <name val="Calibri"/>
      <family val="2"/>
    </font>
    <font>
      <b/>
      <sz val="6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color indexed="52"/>
      <name val="Calibri"/>
      <family val="2"/>
    </font>
    <font>
      <b/>
      <sz val="14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1"/>
      <color rgb="FFFFC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9900"/>
      <name val="Calibri"/>
      <family val="2"/>
    </font>
    <font>
      <sz val="8"/>
      <color rgb="FF009900"/>
      <name val="Calibri"/>
      <family val="2"/>
    </font>
    <font>
      <b/>
      <sz val="10"/>
      <color rgb="FFFF9900"/>
      <name val="Calibri"/>
      <family val="2"/>
    </font>
    <font>
      <b/>
      <sz val="10"/>
      <color rgb="FFFF0000"/>
      <name val="Calibri"/>
      <family val="2"/>
    </font>
    <font>
      <b/>
      <sz val="10"/>
      <color rgb="FF009900"/>
      <name val="Calibri"/>
      <family val="2"/>
    </font>
    <font>
      <b/>
      <sz val="8"/>
      <color rgb="FFFF9900"/>
      <name val="Calibri"/>
      <family val="2"/>
    </font>
    <font>
      <b/>
      <sz val="8"/>
      <color rgb="FF009900"/>
      <name val="Calibri"/>
      <family val="2"/>
    </font>
    <font>
      <b/>
      <sz val="8"/>
      <color rgb="FFFF0000"/>
      <name val="Calibri"/>
      <family val="2"/>
    </font>
    <font>
      <b/>
      <i/>
      <sz val="10"/>
      <color rgb="FF009900"/>
      <name val="Calibri"/>
      <family val="2"/>
    </font>
    <font>
      <b/>
      <i/>
      <sz val="10"/>
      <color rgb="FFFF0000"/>
      <name val="Calibri"/>
      <family val="2"/>
    </font>
    <font>
      <b/>
      <sz val="6"/>
      <color rgb="FFFF9900"/>
      <name val="Calibri"/>
      <family val="2"/>
    </font>
    <font>
      <b/>
      <sz val="6"/>
      <color rgb="FF009900"/>
      <name val="Calibri"/>
      <family val="2"/>
    </font>
    <font>
      <b/>
      <sz val="6"/>
      <color rgb="FFFF0000"/>
      <name val="Calibri"/>
      <family val="2"/>
    </font>
    <font>
      <sz val="10"/>
      <color rgb="FFFF0000"/>
      <name val="Calibri"/>
      <family val="2"/>
    </font>
    <font>
      <b/>
      <i/>
      <sz val="10"/>
      <color rgb="FFFF99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6" fillId="21" borderId="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92" fillId="0" borderId="8" applyNumberFormat="0" applyFill="0" applyAlignment="0" applyProtection="0"/>
    <xf numFmtId="0" fontId="101" fillId="0" borderId="9" applyNumberFormat="0" applyFill="0" applyAlignment="0" applyProtection="0"/>
  </cellStyleXfs>
  <cellXfs count="608">
    <xf numFmtId="0" fontId="0" fillId="0" borderId="0" xfId="0" applyAlignment="1">
      <alignment/>
    </xf>
    <xf numFmtId="164" fontId="4" fillId="0" borderId="0" xfId="49" applyNumberFormat="1" applyFont="1" applyFill="1" applyBorder="1" applyAlignment="1">
      <alignment/>
    </xf>
    <xf numFmtId="164" fontId="43" fillId="0" borderId="0" xfId="49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0" fontId="44" fillId="0" borderId="0" xfId="55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0" fontId="5" fillId="0" borderId="0" xfId="55" applyNumberFormat="1" applyFont="1" applyBorder="1" applyAlignment="1">
      <alignment horizontal="center"/>
    </xf>
    <xf numFmtId="0" fontId="46" fillId="0" borderId="0" xfId="0" applyFont="1" applyFill="1" applyBorder="1" applyAlignment="1">
      <alignment vertical="distributed"/>
    </xf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43" fontId="5" fillId="0" borderId="0" xfId="49" applyFont="1" applyFill="1" applyAlignment="1">
      <alignment horizontal="center"/>
    </xf>
    <xf numFmtId="43" fontId="5" fillId="0" borderId="0" xfId="0" applyNumberFormat="1" applyFont="1" applyAlignment="1">
      <alignment/>
    </xf>
    <xf numFmtId="43" fontId="47" fillId="0" borderId="0" xfId="49" applyFont="1" applyFill="1" applyBorder="1" applyAlignment="1">
      <alignment horizontal="center"/>
    </xf>
    <xf numFmtId="43" fontId="5" fillId="0" borderId="0" xfId="49" applyFont="1" applyFill="1" applyAlignment="1">
      <alignment/>
    </xf>
    <xf numFmtId="0" fontId="48" fillId="0" borderId="0" xfId="0" applyFont="1" applyFill="1" applyAlignment="1">
      <alignment/>
    </xf>
    <xf numFmtId="0" fontId="5" fillId="0" borderId="0" xfId="0" applyFont="1" applyBorder="1" applyAlignment="1">
      <alignment/>
    </xf>
    <xf numFmtId="43" fontId="5" fillId="0" borderId="0" xfId="49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5" fillId="0" borderId="0" xfId="55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49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/>
    </xf>
    <xf numFmtId="10" fontId="5" fillId="0" borderId="0" xfId="55" applyNumberFormat="1" applyFont="1" applyFill="1" applyBorder="1" applyAlignment="1">
      <alignment horizontal="center"/>
    </xf>
    <xf numFmtId="43" fontId="50" fillId="0" borderId="0" xfId="49" applyFont="1" applyFill="1" applyBorder="1" applyAlignment="1">
      <alignment/>
    </xf>
    <xf numFmtId="0" fontId="4" fillId="0" borderId="0" xfId="0" applyFont="1" applyFill="1" applyAlignment="1">
      <alignment horizontal="center"/>
    </xf>
    <xf numFmtId="43" fontId="50" fillId="0" borderId="0" xfId="49" applyFont="1" applyFill="1" applyAlignment="1">
      <alignment horizontal="right"/>
    </xf>
    <xf numFmtId="0" fontId="50" fillId="0" borderId="0" xfId="0" applyFont="1" applyFill="1" applyBorder="1" applyAlignment="1">
      <alignment/>
    </xf>
    <xf numFmtId="43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3" fontId="5" fillId="0" borderId="0" xfId="49" applyFont="1" applyFill="1" applyBorder="1" applyAlignment="1">
      <alignment horizontal="center"/>
    </xf>
    <xf numFmtId="169" fontId="5" fillId="0" borderId="0" xfId="49" applyNumberFormat="1" applyFont="1" applyFill="1" applyBorder="1" applyAlignment="1">
      <alignment horizontal="center"/>
    </xf>
    <xf numFmtId="43" fontId="4" fillId="0" borderId="0" xfId="49" applyFont="1" applyFill="1" applyBorder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horizontal="left"/>
    </xf>
    <xf numFmtId="169" fontId="5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10" fontId="5" fillId="0" borderId="0" xfId="55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/>
    </xf>
    <xf numFmtId="10" fontId="45" fillId="0" borderId="0" xfId="55" applyNumberFormat="1" applyFont="1" applyFill="1" applyBorder="1" applyAlignment="1">
      <alignment horizontal="center"/>
    </xf>
    <xf numFmtId="164" fontId="45" fillId="0" borderId="0" xfId="49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49" fontId="44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4" fillId="0" borderId="0" xfId="49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4" fillId="0" borderId="14" xfId="49" applyNumberFormat="1" applyFont="1" applyFill="1" applyBorder="1" applyAlignment="1">
      <alignment/>
    </xf>
    <xf numFmtId="164" fontId="46" fillId="0" borderId="14" xfId="49" applyNumberFormat="1" applyFont="1" applyFill="1" applyBorder="1" applyAlignment="1">
      <alignment/>
    </xf>
    <xf numFmtId="164" fontId="44" fillId="0" borderId="0" xfId="49" applyNumberFormat="1" applyFont="1" applyFill="1" applyBorder="1" applyAlignment="1">
      <alignment/>
    </xf>
    <xf numFmtId="164" fontId="46" fillId="0" borderId="0" xfId="49" applyNumberFormat="1" applyFont="1" applyFill="1" applyBorder="1" applyAlignment="1">
      <alignment/>
    </xf>
    <xf numFmtId="43" fontId="53" fillId="0" borderId="14" xfId="49" applyFont="1" applyBorder="1" applyAlignment="1">
      <alignment/>
    </xf>
    <xf numFmtId="0" fontId="46" fillId="0" borderId="0" xfId="0" applyFont="1" applyBorder="1" applyAlignment="1">
      <alignment horizontal="right"/>
    </xf>
    <xf numFmtId="43" fontId="5" fillId="0" borderId="0" xfId="49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distributed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3" fontId="25" fillId="0" borderId="0" xfId="49" applyFont="1" applyFill="1" applyBorder="1" applyAlignment="1">
      <alignment horizontal="right"/>
    </xf>
    <xf numFmtId="166" fontId="5" fillId="0" borderId="0" xfId="49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65" fontId="4" fillId="0" borderId="0" xfId="49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0" fontId="4" fillId="0" borderId="0" xfId="55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3" fontId="47" fillId="0" borderId="0" xfId="49" applyFont="1" applyFill="1" applyBorder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5" fillId="0" borderId="0" xfId="49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18" fontId="5" fillId="0" borderId="0" xfId="49" applyNumberFormat="1" applyFont="1" applyBorder="1" applyAlignment="1">
      <alignment horizontal="center"/>
    </xf>
    <xf numFmtId="0" fontId="57" fillId="0" borderId="14" xfId="0" applyFont="1" applyBorder="1" applyAlignment="1">
      <alignment horizontal="right"/>
    </xf>
    <xf numFmtId="171" fontId="4" fillId="0" borderId="10" xfId="49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167" fontId="6" fillId="33" borderId="14" xfId="0" applyNumberFormat="1" applyFont="1" applyFill="1" applyBorder="1" applyAlignment="1">
      <alignment horizontal="center" vertical="center"/>
    </xf>
    <xf numFmtId="176" fontId="7" fillId="34" borderId="14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170" fontId="6" fillId="0" borderId="20" xfId="0" applyNumberFormat="1" applyFont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70" fontId="6" fillId="0" borderId="14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176" fontId="7" fillId="34" borderId="23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0" fontId="5" fillId="33" borderId="26" xfId="55" applyNumberFormat="1" applyFont="1" applyFill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0" fontId="5" fillId="0" borderId="26" xfId="55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1" fontId="6" fillId="0" borderId="0" xfId="0" applyNumberFormat="1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164" fontId="5" fillId="33" borderId="14" xfId="0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33" borderId="14" xfId="49" applyNumberFormat="1" applyFont="1" applyFill="1" applyBorder="1" applyAlignment="1">
      <alignment vertical="center"/>
    </xf>
    <xf numFmtId="2" fontId="5" fillId="0" borderId="14" xfId="49" applyNumberFormat="1" applyFont="1" applyBorder="1" applyAlignment="1">
      <alignment horizontal="center" vertical="center" wrapText="1"/>
    </xf>
    <xf numFmtId="2" fontId="5" fillId="0" borderId="14" xfId="49" applyNumberFormat="1" applyFont="1" applyFill="1" applyBorder="1" applyAlignment="1">
      <alignment horizontal="center" vertical="center" wrapText="1"/>
    </xf>
    <xf numFmtId="2" fontId="5" fillId="0" borderId="18" xfId="49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9" fontId="5" fillId="0" borderId="31" xfId="49" applyNumberFormat="1" applyFont="1" applyFill="1" applyBorder="1" applyAlignment="1">
      <alignment horizontal="center"/>
    </xf>
    <xf numFmtId="43" fontId="5" fillId="0" borderId="31" xfId="49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4" fillId="0" borderId="29" xfId="49" applyFont="1" applyFill="1" applyBorder="1" applyAlignment="1">
      <alignment/>
    </xf>
    <xf numFmtId="0" fontId="5" fillId="0" borderId="32" xfId="0" applyFont="1" applyBorder="1" applyAlignment="1">
      <alignment/>
    </xf>
    <xf numFmtId="170" fontId="5" fillId="0" borderId="32" xfId="0" applyNumberFormat="1" applyFont="1" applyBorder="1" applyAlignment="1">
      <alignment/>
    </xf>
    <xf numFmtId="43" fontId="5" fillId="0" borderId="32" xfId="49" applyFont="1" applyFill="1" applyBorder="1" applyAlignment="1">
      <alignment horizontal="center"/>
    </xf>
    <xf numFmtId="43" fontId="4" fillId="0" borderId="32" xfId="49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43" fontId="5" fillId="0" borderId="0" xfId="49" applyFont="1" applyFill="1" applyBorder="1" applyAlignment="1">
      <alignment/>
    </xf>
    <xf numFmtId="0" fontId="47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43" fontId="25" fillId="0" borderId="31" xfId="49" applyFont="1" applyFill="1" applyBorder="1" applyAlignment="1">
      <alignment horizontal="right"/>
    </xf>
    <xf numFmtId="0" fontId="5" fillId="0" borderId="31" xfId="0" applyFont="1" applyFill="1" applyBorder="1" applyAlignment="1">
      <alignment horizontal="left"/>
    </xf>
    <xf numFmtId="177" fontId="5" fillId="0" borderId="33" xfId="0" applyNumberFormat="1" applyFont="1" applyBorder="1" applyAlignment="1">
      <alignment/>
    </xf>
    <xf numFmtId="165" fontId="4" fillId="0" borderId="33" xfId="49" applyNumberFormat="1" applyFont="1" applyFill="1" applyBorder="1" applyAlignment="1">
      <alignment/>
    </xf>
    <xf numFmtId="166" fontId="5" fillId="36" borderId="33" xfId="49" applyNumberFormat="1" applyFont="1" applyFill="1" applyBorder="1" applyAlignment="1">
      <alignment/>
    </xf>
    <xf numFmtId="10" fontId="55" fillId="0" borderId="33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0" fontId="5" fillId="0" borderId="33" xfId="55" applyNumberFormat="1" applyFont="1" applyFill="1" applyBorder="1" applyAlignment="1">
      <alignment/>
    </xf>
    <xf numFmtId="0" fontId="5" fillId="0" borderId="31" xfId="0" applyFont="1" applyFill="1" applyBorder="1" applyAlignment="1">
      <alignment horizontal="right"/>
    </xf>
    <xf numFmtId="190" fontId="5" fillId="0" borderId="31" xfId="49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/>
    </xf>
    <xf numFmtId="43" fontId="4" fillId="0" borderId="31" xfId="49" applyFont="1" applyFill="1" applyBorder="1" applyAlignment="1">
      <alignment/>
    </xf>
    <xf numFmtId="43" fontId="4" fillId="0" borderId="17" xfId="49" applyFont="1" applyFill="1" applyBorder="1" applyAlignment="1">
      <alignment/>
    </xf>
    <xf numFmtId="0" fontId="51" fillId="0" borderId="32" xfId="0" applyFont="1" applyBorder="1" applyAlignment="1">
      <alignment/>
    </xf>
    <xf numFmtId="43" fontId="4" fillId="0" borderId="14" xfId="0" applyNumberFormat="1" applyFont="1" applyBorder="1" applyAlignment="1">
      <alignment/>
    </xf>
    <xf numFmtId="165" fontId="4" fillId="34" borderId="14" xfId="49" applyNumberFormat="1" applyFont="1" applyFill="1" applyBorder="1" applyAlignment="1">
      <alignment/>
    </xf>
    <xf numFmtId="0" fontId="18" fillId="0" borderId="0" xfId="0" applyFont="1" applyBorder="1" applyAlignment="1">
      <alignment horizontal="left" vertical="distributed"/>
    </xf>
    <xf numFmtId="0" fontId="6" fillId="0" borderId="34" xfId="0" applyFont="1" applyFill="1" applyBorder="1" applyAlignment="1">
      <alignment horizontal="right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right" vertical="center"/>
    </xf>
    <xf numFmtId="167" fontId="6" fillId="33" borderId="14" xfId="0" applyNumberFormat="1" applyFont="1" applyFill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7" fontId="6" fillId="34" borderId="20" xfId="55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43" fontId="6" fillId="33" borderId="14" xfId="49" applyFont="1" applyFill="1" applyBorder="1" applyAlignment="1">
      <alignment horizontal="center" vertical="center"/>
    </xf>
    <xf numFmtId="0" fontId="6" fillId="0" borderId="38" xfId="0" applyFont="1" applyBorder="1" applyAlignment="1">
      <alignment horizontal="right"/>
    </xf>
    <xf numFmtId="167" fontId="6" fillId="34" borderId="23" xfId="55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0" fontId="6" fillId="37" borderId="13" xfId="55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70" fontId="6" fillId="0" borderId="40" xfId="0" applyNumberFormat="1" applyFont="1" applyBorder="1" applyAlignment="1">
      <alignment horizontal="right" vertical="center"/>
    </xf>
    <xf numFmtId="10" fontId="6" fillId="37" borderId="14" xfId="55" applyNumberFormat="1" applyFont="1" applyFill="1" applyBorder="1" applyAlignment="1">
      <alignment horizontal="right" vertical="center"/>
    </xf>
    <xf numFmtId="9" fontId="6" fillId="33" borderId="14" xfId="55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vertical="center"/>
    </xf>
    <xf numFmtId="10" fontId="6" fillId="38" borderId="14" xfId="55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vertical="center"/>
    </xf>
    <xf numFmtId="206" fontId="6" fillId="0" borderId="14" xfId="0" applyNumberFormat="1" applyFont="1" applyBorder="1" applyAlignment="1">
      <alignment horizontal="right" vertical="center"/>
    </xf>
    <xf numFmtId="206" fontId="6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2" fillId="0" borderId="0" xfId="0" applyFont="1" applyAlignment="1">
      <alignment horizontal="right"/>
    </xf>
    <xf numFmtId="0" fontId="102" fillId="0" borderId="0" xfId="0" applyFont="1" applyAlignment="1">
      <alignment/>
    </xf>
    <xf numFmtId="43" fontId="20" fillId="0" borderId="0" xfId="49" applyFont="1" applyFill="1" applyBorder="1" applyAlignment="1">
      <alignment horizontal="center" vertical="distributed"/>
    </xf>
    <xf numFmtId="0" fontId="20" fillId="0" borderId="0" xfId="0" applyFont="1" applyFill="1" applyBorder="1" applyAlignment="1">
      <alignment horizontal="center" vertical="distributed"/>
    </xf>
    <xf numFmtId="0" fontId="21" fillId="0" borderId="0" xfId="0" applyFont="1" applyFill="1" applyBorder="1" applyAlignment="1">
      <alignment horizontal="center" vertical="distributed"/>
    </xf>
    <xf numFmtId="10" fontId="0" fillId="0" borderId="0" xfId="55" applyNumberFormat="1" applyFont="1" applyAlignment="1">
      <alignment/>
    </xf>
    <xf numFmtId="43" fontId="20" fillId="0" borderId="0" xfId="49" applyFont="1" applyFill="1" applyBorder="1" applyAlignment="1">
      <alignment/>
    </xf>
    <xf numFmtId="43" fontId="20" fillId="0" borderId="0" xfId="0" applyNumberFormat="1" applyFon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10" fontId="21" fillId="0" borderId="0" xfId="55" applyNumberFormat="1" applyFont="1" applyFill="1" applyBorder="1" applyAlignment="1">
      <alignment/>
    </xf>
    <xf numFmtId="43" fontId="0" fillId="0" borderId="0" xfId="49" applyFont="1" applyAlignment="1">
      <alignment/>
    </xf>
    <xf numFmtId="167" fontId="5" fillId="0" borderId="0" xfId="55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49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43" fontId="5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43" fontId="5" fillId="0" borderId="0" xfId="49" applyFont="1" applyFill="1" applyBorder="1" applyAlignment="1">
      <alignment horizontal="center" vertical="center"/>
    </xf>
    <xf numFmtId="10" fontId="5" fillId="0" borderId="0" xfId="55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10" fontId="5" fillId="0" borderId="0" xfId="55" applyNumberFormat="1" applyFont="1" applyFill="1" applyBorder="1" applyAlignment="1">
      <alignment horizontal="center" vertical="center" wrapText="1"/>
    </xf>
    <xf numFmtId="43" fontId="4" fillId="0" borderId="11" xfId="49" applyFont="1" applyFill="1" applyBorder="1" applyAlignment="1">
      <alignment horizontal="center" vertical="center" wrapText="1"/>
    </xf>
    <xf numFmtId="43" fontId="4" fillId="0" borderId="11" xfId="49" applyFont="1" applyBorder="1" applyAlignment="1">
      <alignment horizontal="center" vertical="center" wrapText="1"/>
    </xf>
    <xf numFmtId="167" fontId="4" fillId="0" borderId="14" xfId="55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2" fontId="5" fillId="0" borderId="33" xfId="49" applyNumberFormat="1" applyFont="1" applyFill="1" applyBorder="1" applyAlignment="1">
      <alignment horizontal="center" vertical="center" wrapText="1"/>
    </xf>
    <xf numFmtId="167" fontId="5" fillId="0" borderId="33" xfId="55" applyNumberFormat="1" applyFont="1" applyFill="1" applyBorder="1" applyAlignment="1">
      <alignment horizontal="center" vertical="center" wrapText="1"/>
    </xf>
    <xf numFmtId="185" fontId="5" fillId="0" borderId="33" xfId="0" applyNumberFormat="1" applyFont="1" applyFill="1" applyBorder="1" applyAlignment="1">
      <alignment horizontal="center" vertical="center" wrapText="1"/>
    </xf>
    <xf numFmtId="167" fontId="5" fillId="0" borderId="0" xfId="55" applyNumberFormat="1" applyFont="1" applyAlignment="1">
      <alignment horizontal="center" vertical="center" wrapText="1"/>
    </xf>
    <xf numFmtId="10" fontId="5" fillId="34" borderId="33" xfId="55" applyNumberFormat="1" applyFont="1" applyFill="1" applyBorder="1" applyAlignment="1">
      <alignment horizontal="center" vertical="center" wrapText="1"/>
    </xf>
    <xf numFmtId="10" fontId="5" fillId="0" borderId="12" xfId="55" applyNumberFormat="1" applyFont="1" applyBorder="1" applyAlignment="1">
      <alignment horizontal="center" vertical="center" wrapText="1"/>
    </xf>
    <xf numFmtId="164" fontId="5" fillId="0" borderId="0" xfId="49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4" fillId="0" borderId="33" xfId="49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3" fontId="47" fillId="0" borderId="0" xfId="49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3" fontId="5" fillId="0" borderId="14" xfId="49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9" fontId="5" fillId="0" borderId="0" xfId="55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8" fontId="5" fillId="0" borderId="0" xfId="49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43" fontId="4" fillId="0" borderId="0" xfId="49" applyFont="1" applyAlignment="1">
      <alignment horizontal="center" vertical="center" wrapText="1"/>
    </xf>
    <xf numFmtId="43" fontId="5" fillId="34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10" fontId="5" fillId="0" borderId="0" xfId="55" applyNumberFormat="1" applyFont="1" applyAlignment="1">
      <alignment horizontal="center" vertical="center"/>
    </xf>
    <xf numFmtId="10" fontId="44" fillId="0" borderId="0" xfId="55" applyNumberFormat="1" applyFont="1" applyFill="1" applyBorder="1" applyAlignment="1">
      <alignment horizontal="center" vertical="center"/>
    </xf>
    <xf numFmtId="164" fontId="5" fillId="0" borderId="0" xfId="49" applyNumberFormat="1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85" fontId="5" fillId="0" borderId="14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0" fontId="6" fillId="0" borderId="0" xfId="55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43" fontId="52" fillId="0" borderId="0" xfId="49" applyFont="1" applyAlignment="1">
      <alignment horizontal="center"/>
    </xf>
    <xf numFmtId="43" fontId="52" fillId="0" borderId="0" xfId="0" applyNumberFormat="1" applyFont="1" applyAlignment="1">
      <alignment horizontal="center"/>
    </xf>
    <xf numFmtId="0" fontId="63" fillId="0" borderId="18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195" fontId="52" fillId="0" borderId="41" xfId="0" applyNumberFormat="1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196" fontId="64" fillId="0" borderId="13" xfId="0" applyNumberFormat="1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43" fontId="52" fillId="0" borderId="41" xfId="0" applyNumberFormat="1" applyFont="1" applyBorder="1" applyAlignment="1">
      <alignment vertical="center"/>
    </xf>
    <xf numFmtId="196" fontId="64" fillId="0" borderId="14" xfId="0" applyNumberFormat="1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196" fontId="63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distributed"/>
    </xf>
    <xf numFmtId="9" fontId="5" fillId="38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198" fontId="5" fillId="0" borderId="14" xfId="49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0" fontId="5" fillId="36" borderId="14" xfId="55" applyNumberFormat="1" applyFont="1" applyFill="1" applyBorder="1" applyAlignment="1">
      <alignment horizontal="center"/>
    </xf>
    <xf numFmtId="43" fontId="5" fillId="0" borderId="0" xfId="49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9" fontId="5" fillId="0" borderId="0" xfId="49" applyNumberFormat="1" applyFont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0" fontId="8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0" fontId="4" fillId="0" borderId="14" xfId="55" applyNumberFormat="1" applyFont="1" applyBorder="1" applyAlignment="1">
      <alignment horizontal="center"/>
    </xf>
    <xf numFmtId="43" fontId="4" fillId="0" borderId="14" xfId="49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0" fontId="4" fillId="39" borderId="14" xfId="55" applyNumberFormat="1" applyFont="1" applyFill="1" applyBorder="1" applyAlignment="1">
      <alignment/>
    </xf>
    <xf numFmtId="10" fontId="5" fillId="40" borderId="14" xfId="55" applyNumberFormat="1" applyFont="1" applyFill="1" applyBorder="1" applyAlignment="1">
      <alignment horizontal="center"/>
    </xf>
    <xf numFmtId="10" fontId="5" fillId="41" borderId="14" xfId="55" applyNumberFormat="1" applyFont="1" applyFill="1" applyBorder="1" applyAlignment="1">
      <alignment horizontal="center"/>
    </xf>
    <xf numFmtId="1" fontId="5" fillId="36" borderId="14" xfId="0" applyNumberFormat="1" applyFont="1" applyFill="1" applyBorder="1" applyAlignment="1">
      <alignment horizontal="center"/>
    </xf>
    <xf numFmtId="1" fontId="5" fillId="40" borderId="14" xfId="0" applyNumberFormat="1" applyFont="1" applyFill="1" applyBorder="1" applyAlignment="1">
      <alignment horizontal="center"/>
    </xf>
    <xf numFmtId="1" fontId="5" fillId="41" borderId="14" xfId="0" applyNumberFormat="1" applyFont="1" applyFill="1" applyBorder="1" applyAlignment="1">
      <alignment horizontal="center"/>
    </xf>
    <xf numFmtId="10" fontId="45" fillId="0" borderId="0" xfId="55" applyNumberFormat="1" applyFont="1" applyFill="1" applyBorder="1" applyAlignment="1">
      <alignment horizontal="right"/>
    </xf>
    <xf numFmtId="0" fontId="103" fillId="0" borderId="0" xfId="0" applyFont="1" applyBorder="1" applyAlignment="1">
      <alignment horizontal="right" vertical="center"/>
    </xf>
    <xf numFmtId="0" fontId="103" fillId="0" borderId="0" xfId="0" applyFont="1" applyBorder="1" applyAlignment="1">
      <alignment horizontal="right"/>
    </xf>
    <xf numFmtId="49" fontId="104" fillId="0" borderId="0" xfId="49" applyNumberFormat="1" applyFont="1" applyBorder="1" applyAlignment="1">
      <alignment horizontal="right"/>
    </xf>
    <xf numFmtId="1" fontId="104" fillId="0" borderId="0" xfId="0" applyNumberFormat="1" applyFont="1" applyFill="1" applyBorder="1" applyAlignment="1">
      <alignment horizontal="center"/>
    </xf>
    <xf numFmtId="0" fontId="103" fillId="42" borderId="0" xfId="0" applyFont="1" applyFill="1" applyBorder="1" applyAlignment="1">
      <alignment horizontal="center" vertical="center" wrapText="1"/>
    </xf>
    <xf numFmtId="0" fontId="103" fillId="42" borderId="0" xfId="0" applyFont="1" applyFill="1" applyBorder="1" applyAlignment="1">
      <alignment/>
    </xf>
    <xf numFmtId="0" fontId="103" fillId="42" borderId="0" xfId="0" applyFont="1" applyFill="1" applyBorder="1" applyAlignment="1">
      <alignment horizontal="right"/>
    </xf>
    <xf numFmtId="1" fontId="103" fillId="42" borderId="0" xfId="0" applyNumberFormat="1" applyFont="1" applyFill="1" applyBorder="1" applyAlignment="1">
      <alignment horizontal="center" vertical="distributed"/>
    </xf>
    <xf numFmtId="0" fontId="103" fillId="43" borderId="0" xfId="0" applyFont="1" applyFill="1" applyBorder="1" applyAlignment="1">
      <alignment horizontal="center" vertical="center" wrapText="1"/>
    </xf>
    <xf numFmtId="0" fontId="103" fillId="43" borderId="0" xfId="0" applyFont="1" applyFill="1" applyBorder="1" applyAlignment="1">
      <alignment/>
    </xf>
    <xf numFmtId="0" fontId="103" fillId="43" borderId="0" xfId="0" applyFont="1" applyFill="1" applyBorder="1" applyAlignment="1">
      <alignment horizontal="right"/>
    </xf>
    <xf numFmtId="1" fontId="103" fillId="43" borderId="0" xfId="0" applyNumberFormat="1" applyFont="1" applyFill="1" applyBorder="1" applyAlignment="1">
      <alignment horizontal="center" vertical="distributed"/>
    </xf>
    <xf numFmtId="164" fontId="103" fillId="44" borderId="0" xfId="0" applyNumberFormat="1" applyFont="1" applyFill="1" applyBorder="1" applyAlignment="1">
      <alignment horizontal="center" vertical="center" wrapText="1"/>
    </xf>
    <xf numFmtId="43" fontId="105" fillId="44" borderId="0" xfId="49" applyFont="1" applyFill="1" applyBorder="1" applyAlignment="1">
      <alignment/>
    </xf>
    <xf numFmtId="43" fontId="103" fillId="44" borderId="0" xfId="49" applyFont="1" applyFill="1" applyBorder="1" applyAlignment="1">
      <alignment horizontal="right"/>
    </xf>
    <xf numFmtId="1" fontId="103" fillId="44" borderId="0" xfId="0" applyNumberFormat="1" applyFont="1" applyFill="1" applyBorder="1" applyAlignment="1">
      <alignment horizontal="center" vertical="distributed"/>
    </xf>
    <xf numFmtId="49" fontId="103" fillId="0" borderId="0" xfId="0" applyNumberFormat="1" applyFont="1" applyFill="1" applyBorder="1" applyAlignment="1">
      <alignment horizontal="center" vertical="center" wrapText="1"/>
    </xf>
    <xf numFmtId="49" fontId="103" fillId="0" borderId="0" xfId="0" applyNumberFormat="1" applyFont="1" applyFill="1" applyBorder="1" applyAlignment="1">
      <alignment/>
    </xf>
    <xf numFmtId="1" fontId="103" fillId="0" borderId="0" xfId="0" applyNumberFormat="1" applyFont="1" applyBorder="1" applyAlignment="1">
      <alignment horizontal="center"/>
    </xf>
    <xf numFmtId="0" fontId="103" fillId="0" borderId="0" xfId="0" applyFont="1" applyFill="1" applyBorder="1" applyAlignment="1">
      <alignment horizontal="right" vertical="center"/>
    </xf>
    <xf numFmtId="49" fontId="103" fillId="0" borderId="0" xfId="49" applyNumberFormat="1" applyFont="1" applyBorder="1" applyAlignment="1">
      <alignment horizontal="right"/>
    </xf>
    <xf numFmtId="1" fontId="103" fillId="0" borderId="0" xfId="0" applyNumberFormat="1" applyFont="1" applyFill="1" applyBorder="1" applyAlignment="1">
      <alignment horizontal="center"/>
    </xf>
    <xf numFmtId="0" fontId="103" fillId="41" borderId="0" xfId="0" applyFont="1" applyFill="1" applyBorder="1" applyAlignment="1">
      <alignment horizontal="center" vertical="center" wrapText="1"/>
    </xf>
    <xf numFmtId="0" fontId="103" fillId="41" borderId="0" xfId="0" applyFont="1" applyFill="1" applyBorder="1" applyAlignment="1">
      <alignment/>
    </xf>
    <xf numFmtId="0" fontId="103" fillId="41" borderId="0" xfId="0" applyFont="1" applyFill="1" applyBorder="1" applyAlignment="1">
      <alignment horizontal="right"/>
    </xf>
    <xf numFmtId="1" fontId="103" fillId="41" borderId="0" xfId="0" applyNumberFormat="1" applyFont="1" applyFill="1" applyBorder="1" applyAlignment="1">
      <alignment horizontal="center" vertical="distributed"/>
    </xf>
    <xf numFmtId="0" fontId="6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2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5" fillId="0" borderId="14" xfId="55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0" fontId="5" fillId="0" borderId="14" xfId="55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0" fontId="5" fillId="0" borderId="14" xfId="55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41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5" fillId="0" borderId="14" xfId="4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1" fontId="5" fillId="0" borderId="42" xfId="0" applyNumberFormat="1" applyFont="1" applyFill="1" applyBorder="1" applyAlignment="1">
      <alignment horizontal="center"/>
    </xf>
    <xf numFmtId="43" fontId="47" fillId="0" borderId="13" xfId="49" applyFont="1" applyFill="1" applyBorder="1" applyAlignment="1">
      <alignment/>
    </xf>
    <xf numFmtId="0" fontId="5" fillId="0" borderId="31" xfId="0" applyFont="1" applyFill="1" applyBorder="1" applyAlignment="1">
      <alignment/>
    </xf>
    <xf numFmtId="2" fontId="5" fillId="0" borderId="31" xfId="0" applyNumberFormat="1" applyFont="1" applyFill="1" applyBorder="1" applyAlignment="1">
      <alignment horizontal="center"/>
    </xf>
    <xf numFmtId="10" fontId="5" fillId="0" borderId="31" xfId="55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4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47" fillId="0" borderId="45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48" xfId="0" applyFont="1" applyFill="1" applyBorder="1" applyAlignment="1">
      <alignment horizontal="center" vertical="center"/>
    </xf>
    <xf numFmtId="0" fontId="5" fillId="37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0" fontId="5" fillId="0" borderId="5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0" borderId="48" xfId="0" applyNumberFormat="1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10" fontId="47" fillId="0" borderId="48" xfId="0" applyNumberFormat="1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 wrapText="1"/>
    </xf>
    <xf numFmtId="2" fontId="5" fillId="0" borderId="0" xfId="49" applyNumberFormat="1" applyFont="1" applyAlignment="1">
      <alignment horizontal="center" vertical="center" wrapText="1"/>
    </xf>
    <xf numFmtId="167" fontId="5" fillId="0" borderId="0" xfId="55" applyNumberFormat="1" applyFont="1" applyFill="1" applyAlignment="1">
      <alignment horizontal="center" vertical="center"/>
    </xf>
    <xf numFmtId="10" fontId="5" fillId="0" borderId="50" xfId="0" applyNumberFormat="1" applyFont="1" applyFill="1" applyBorder="1" applyAlignment="1">
      <alignment horizontal="center" vertical="center"/>
    </xf>
    <xf numFmtId="10" fontId="5" fillId="0" borderId="23" xfId="0" applyNumberFormat="1" applyFont="1" applyFill="1" applyBorder="1" applyAlignment="1">
      <alignment horizontal="center" vertical="center"/>
    </xf>
    <xf numFmtId="10" fontId="47" fillId="0" borderId="50" xfId="0" applyNumberFormat="1" applyFont="1" applyFill="1" applyBorder="1" applyAlignment="1">
      <alignment horizontal="center" vertical="center"/>
    </xf>
    <xf numFmtId="10" fontId="47" fillId="0" borderId="23" xfId="0" applyNumberFormat="1" applyFont="1" applyFill="1" applyBorder="1" applyAlignment="1">
      <alignment horizontal="center" vertical="center"/>
    </xf>
    <xf numFmtId="167" fontId="47" fillId="0" borderId="0" xfId="55" applyNumberFormat="1" applyFont="1" applyFill="1" applyAlignment="1">
      <alignment horizontal="center" vertical="center"/>
    </xf>
    <xf numFmtId="0" fontId="4" fillId="37" borderId="46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106" fillId="38" borderId="50" xfId="0" applyFont="1" applyFill="1" applyBorder="1" applyAlignment="1">
      <alignment horizontal="center" vertical="center"/>
    </xf>
    <xf numFmtId="0" fontId="106" fillId="38" borderId="14" xfId="0" applyFont="1" applyFill="1" applyBorder="1" applyAlignment="1">
      <alignment horizontal="center" vertical="center"/>
    </xf>
    <xf numFmtId="0" fontId="107" fillId="38" borderId="23" xfId="0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167" fontId="106" fillId="0" borderId="0" xfId="55" applyNumberFormat="1" applyFont="1" applyFill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/>
    </xf>
    <xf numFmtId="0" fontId="5" fillId="37" borderId="53" xfId="0" applyFont="1" applyFill="1" applyBorder="1" applyAlignment="1">
      <alignment horizontal="center" vertical="center"/>
    </xf>
    <xf numFmtId="0" fontId="106" fillId="38" borderId="52" xfId="0" applyFont="1" applyFill="1" applyBorder="1" applyAlignment="1">
      <alignment horizontal="center" vertical="center"/>
    </xf>
    <xf numFmtId="0" fontId="106" fillId="38" borderId="53" xfId="0" applyFont="1" applyFill="1" applyBorder="1" applyAlignment="1">
      <alignment horizontal="center" vertical="center"/>
    </xf>
    <xf numFmtId="0" fontId="107" fillId="38" borderId="49" xfId="0" applyFont="1" applyFill="1" applyBorder="1" applyAlignment="1">
      <alignment horizontal="center" vertical="center"/>
    </xf>
    <xf numFmtId="0" fontId="5" fillId="37" borderId="51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106" fillId="38" borderId="51" xfId="0" applyFont="1" applyFill="1" applyBorder="1" applyAlignment="1">
      <alignment horizontal="center" vertical="center"/>
    </xf>
    <xf numFmtId="0" fontId="106" fillId="38" borderId="20" xfId="0" applyFont="1" applyFill="1" applyBorder="1" applyAlignment="1">
      <alignment horizontal="center" vertical="center"/>
    </xf>
    <xf numFmtId="0" fontId="107" fillId="38" borderId="48" xfId="0" applyFont="1" applyFill="1" applyBorder="1" applyAlignment="1">
      <alignment horizontal="center" vertical="center"/>
    </xf>
    <xf numFmtId="167" fontId="8" fillId="0" borderId="0" xfId="55" applyNumberFormat="1" applyFont="1" applyFill="1" applyAlignment="1">
      <alignment horizontal="left" vertical="center"/>
    </xf>
    <xf numFmtId="167" fontId="8" fillId="0" borderId="0" xfId="55" applyNumberFormat="1" applyFont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" fontId="108" fillId="0" borderId="14" xfId="0" applyNumberFormat="1" applyFont="1" applyFill="1" applyBorder="1" applyAlignment="1">
      <alignment horizontal="center" vertical="center"/>
    </xf>
    <xf numFmtId="1" fontId="109" fillId="0" borderId="14" xfId="0" applyNumberFormat="1" applyFont="1" applyFill="1" applyBorder="1" applyAlignment="1">
      <alignment horizontal="center" vertical="center"/>
    </xf>
    <xf numFmtId="172" fontId="108" fillId="0" borderId="14" xfId="0" applyNumberFormat="1" applyFont="1" applyFill="1" applyBorder="1" applyAlignment="1">
      <alignment horizontal="center" vertical="center"/>
    </xf>
    <xf numFmtId="1" fontId="110" fillId="0" borderId="14" xfId="0" applyNumberFormat="1" applyFont="1" applyFill="1" applyBorder="1" applyAlignment="1">
      <alignment horizontal="center" vertical="center"/>
    </xf>
    <xf numFmtId="1" fontId="111" fillId="0" borderId="14" xfId="0" applyNumberFormat="1" applyFont="1" applyFill="1" applyBorder="1" applyAlignment="1">
      <alignment horizontal="center" vertical="center"/>
    </xf>
    <xf numFmtId="1" fontId="112" fillId="0" borderId="14" xfId="0" applyNumberFormat="1" applyFont="1" applyFill="1" applyBorder="1" applyAlignment="1">
      <alignment horizontal="center" vertical="center"/>
    </xf>
    <xf numFmtId="1" fontId="113" fillId="0" borderId="14" xfId="0" applyNumberFormat="1" applyFont="1" applyFill="1" applyBorder="1" applyAlignment="1">
      <alignment horizontal="center" vertical="center"/>
    </xf>
    <xf numFmtId="172" fontId="114" fillId="0" borderId="14" xfId="0" applyNumberFormat="1" applyFont="1" applyFill="1" applyBorder="1" applyAlignment="1">
      <alignment horizontal="left" vertical="center"/>
    </xf>
    <xf numFmtId="172" fontId="115" fillId="0" borderId="14" xfId="0" applyNumberFormat="1" applyFont="1" applyFill="1" applyBorder="1" applyAlignment="1">
      <alignment horizontal="left" vertical="center"/>
    </xf>
    <xf numFmtId="172" fontId="110" fillId="0" borderId="14" xfId="0" applyNumberFormat="1" applyFont="1" applyFill="1" applyBorder="1" applyAlignment="1">
      <alignment horizontal="center" vertical="center"/>
    </xf>
    <xf numFmtId="172" fontId="109" fillId="0" borderId="14" xfId="0" applyNumberFormat="1" applyFont="1" applyFill="1" applyBorder="1" applyAlignment="1">
      <alignment horizontal="center" vertical="center"/>
    </xf>
    <xf numFmtId="1" fontId="116" fillId="0" borderId="14" xfId="0" applyNumberFormat="1" applyFont="1" applyFill="1" applyBorder="1" applyAlignment="1">
      <alignment horizontal="center" vertical="center"/>
    </xf>
    <xf numFmtId="1" fontId="117" fillId="0" borderId="14" xfId="0" applyNumberFormat="1" applyFont="1" applyFill="1" applyBorder="1" applyAlignment="1">
      <alignment horizontal="center" vertical="center"/>
    </xf>
    <xf numFmtId="1" fontId="118" fillId="0" borderId="14" xfId="0" applyNumberFormat="1" applyFont="1" applyFill="1" applyBorder="1" applyAlignment="1">
      <alignment horizontal="center" vertical="center"/>
    </xf>
    <xf numFmtId="0" fontId="47" fillId="37" borderId="0" xfId="0" applyFont="1" applyFill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 wrapText="1"/>
    </xf>
    <xf numFmtId="10" fontId="47" fillId="0" borderId="20" xfId="0" applyNumberFormat="1" applyFont="1" applyFill="1" applyBorder="1" applyAlignment="1">
      <alignment horizontal="center" vertical="center"/>
    </xf>
    <xf numFmtId="170" fontId="5" fillId="0" borderId="0" xfId="0" applyNumberFormat="1" applyFont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0" fontId="8" fillId="0" borderId="2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10" fontId="8" fillId="0" borderId="48" xfId="0" applyNumberFormat="1" applyFont="1" applyBorder="1" applyAlignment="1">
      <alignment horizontal="center"/>
    </xf>
    <xf numFmtId="0" fontId="8" fillId="0" borderId="22" xfId="0" applyFont="1" applyBorder="1" applyAlignment="1">
      <alignment horizontal="right" vertical="center" wrapText="1"/>
    </xf>
    <xf numFmtId="0" fontId="106" fillId="38" borderId="48" xfId="0" applyFont="1" applyFill="1" applyBorder="1" applyAlignment="1">
      <alignment horizontal="center" vertical="center"/>
    </xf>
    <xf numFmtId="0" fontId="106" fillId="38" borderId="49" xfId="0" applyFont="1" applyFill="1" applyBorder="1" applyAlignment="1">
      <alignment horizontal="center" vertical="center"/>
    </xf>
    <xf numFmtId="9" fontId="44" fillId="0" borderId="0" xfId="55" applyFont="1" applyBorder="1" applyAlignment="1">
      <alignment vertical="center" wrapText="1"/>
    </xf>
    <xf numFmtId="0" fontId="13" fillId="37" borderId="34" xfId="0" applyFont="1" applyFill="1" applyBorder="1" applyAlignment="1">
      <alignment horizontal="left" vertical="center"/>
    </xf>
    <xf numFmtId="0" fontId="13" fillId="37" borderId="35" xfId="0" applyFont="1" applyFill="1" applyBorder="1" applyAlignment="1">
      <alignment horizontal="left" vertical="center"/>
    </xf>
    <xf numFmtId="0" fontId="13" fillId="37" borderId="36" xfId="0" applyFont="1" applyFill="1" applyBorder="1" applyAlignment="1">
      <alignment horizontal="left" vertical="center"/>
    </xf>
    <xf numFmtId="0" fontId="5" fillId="37" borderId="43" xfId="0" applyFont="1" applyFill="1" applyBorder="1" applyAlignment="1">
      <alignment horizontal="left" vertical="center" wrapText="1"/>
    </xf>
    <xf numFmtId="49" fontId="4" fillId="37" borderId="44" xfId="0" applyNumberFormat="1" applyFont="1" applyFill="1" applyBorder="1" applyAlignment="1">
      <alignment horizontal="center" vertical="center" wrapText="1"/>
    </xf>
    <xf numFmtId="49" fontId="4" fillId="37" borderId="46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center" vertical="center"/>
    </xf>
    <xf numFmtId="10" fontId="5" fillId="37" borderId="14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 vertical="center"/>
    </xf>
    <xf numFmtId="0" fontId="119" fillId="38" borderId="14" xfId="0" applyFont="1" applyFill="1" applyBorder="1" applyAlignment="1">
      <alignment horizontal="center" vertical="center"/>
    </xf>
    <xf numFmtId="1" fontId="106" fillId="0" borderId="14" xfId="0" applyNumberFormat="1" applyFont="1" applyFill="1" applyBorder="1" applyAlignment="1">
      <alignment horizontal="center" vertical="center"/>
    </xf>
    <xf numFmtId="172" fontId="112" fillId="0" borderId="14" xfId="0" applyNumberFormat="1" applyFont="1" applyFill="1" applyBorder="1" applyAlignment="1">
      <alignment horizontal="center" vertical="center"/>
    </xf>
    <xf numFmtId="172" fontId="113" fillId="0" borderId="14" xfId="0" applyNumberFormat="1" applyFont="1" applyFill="1" applyBorder="1" applyAlignment="1">
      <alignment horizontal="center" vertical="center"/>
    </xf>
    <xf numFmtId="0" fontId="107" fillId="38" borderId="52" xfId="0" applyFont="1" applyFill="1" applyBorder="1" applyAlignment="1">
      <alignment horizontal="center" vertical="center"/>
    </xf>
    <xf numFmtId="0" fontId="47" fillId="37" borderId="53" xfId="0" applyFont="1" applyFill="1" applyBorder="1" applyAlignment="1">
      <alignment horizontal="center" vertical="center"/>
    </xf>
    <xf numFmtId="10" fontId="47" fillId="0" borderId="14" xfId="0" applyNumberFormat="1" applyFont="1" applyFill="1" applyBorder="1" applyAlignment="1">
      <alignment horizontal="center" vertical="center"/>
    </xf>
    <xf numFmtId="0" fontId="107" fillId="38" borderId="51" xfId="0" applyFont="1" applyFill="1" applyBorder="1" applyAlignment="1">
      <alignment horizontal="center" vertical="center"/>
    </xf>
    <xf numFmtId="0" fontId="47" fillId="37" borderId="20" xfId="0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/>
    </xf>
    <xf numFmtId="165" fontId="5" fillId="0" borderId="0" xfId="49" applyNumberFormat="1" applyFont="1" applyBorder="1" applyAlignment="1">
      <alignment horizontal="left" vertical="center" wrapText="1"/>
    </xf>
    <xf numFmtId="165" fontId="5" fillId="0" borderId="52" xfId="49" applyNumberFormat="1" applyFont="1" applyFill="1" applyBorder="1" applyAlignment="1">
      <alignment horizontal="center" vertical="center"/>
    </xf>
    <xf numFmtId="165" fontId="5" fillId="0" borderId="49" xfId="49" applyNumberFormat="1" applyFont="1" applyFill="1" applyBorder="1" applyAlignment="1">
      <alignment horizontal="center" vertical="center"/>
    </xf>
    <xf numFmtId="172" fontId="120" fillId="0" borderId="14" xfId="0" applyNumberFormat="1" applyFont="1" applyFill="1" applyBorder="1" applyAlignment="1">
      <alignment horizontal="left" vertical="center"/>
    </xf>
    <xf numFmtId="165" fontId="5" fillId="0" borderId="14" xfId="49" applyNumberFormat="1" applyFont="1" applyFill="1" applyBorder="1" applyAlignment="1">
      <alignment horizontal="center" vertical="center"/>
    </xf>
    <xf numFmtId="165" fontId="8" fillId="0" borderId="14" xfId="49" applyNumberFormat="1" applyFont="1" applyFill="1" applyBorder="1" applyAlignment="1">
      <alignment horizontal="center" vertical="center"/>
    </xf>
    <xf numFmtId="165" fontId="8" fillId="0" borderId="14" xfId="49" applyNumberFormat="1" applyFont="1" applyBorder="1" applyAlignment="1">
      <alignment horizontal="center"/>
    </xf>
    <xf numFmtId="165" fontId="47" fillId="0" borderId="14" xfId="49" applyNumberFormat="1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left" vertical="center" wrapText="1"/>
    </xf>
    <xf numFmtId="0" fontId="24" fillId="37" borderId="41" xfId="0" applyFont="1" applyFill="1" applyBorder="1" applyAlignment="1">
      <alignment horizontal="left" vertical="center" wrapText="1"/>
    </xf>
    <xf numFmtId="0" fontId="24" fillId="37" borderId="42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distributed"/>
    </xf>
    <xf numFmtId="0" fontId="13" fillId="0" borderId="27" xfId="0" applyFont="1" applyBorder="1" applyAlignment="1">
      <alignment horizontal="center" vertical="distributed"/>
    </xf>
    <xf numFmtId="0" fontId="13" fillId="0" borderId="26" xfId="0" applyFont="1" applyBorder="1" applyAlignment="1">
      <alignment horizontal="center" vertical="distributed"/>
    </xf>
    <xf numFmtId="0" fontId="13" fillId="0" borderId="16" xfId="0" applyFont="1" applyBorder="1" applyAlignment="1">
      <alignment horizontal="left" vertical="distributed"/>
    </xf>
    <xf numFmtId="0" fontId="13" fillId="0" borderId="27" xfId="0" applyFont="1" applyBorder="1" applyAlignment="1">
      <alignment horizontal="left" vertical="distributed"/>
    </xf>
    <xf numFmtId="0" fontId="13" fillId="0" borderId="26" xfId="0" applyFont="1" applyBorder="1" applyAlignment="1">
      <alignment horizontal="left" vertical="distributed"/>
    </xf>
    <xf numFmtId="0" fontId="44" fillId="0" borderId="1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13" fillId="0" borderId="1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84" fillId="0" borderId="43" xfId="0" applyFont="1" applyBorder="1" applyAlignment="1">
      <alignment horizontal="left" vertical="center"/>
    </xf>
    <xf numFmtId="0" fontId="84" fillId="0" borderId="44" xfId="0" applyFont="1" applyBorder="1" applyAlignment="1">
      <alignment horizontal="left" vertical="center"/>
    </xf>
    <xf numFmtId="0" fontId="84" fillId="0" borderId="4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" name="Line 48"/>
        <xdr:cNvSpPr>
          <a:spLocks/>
        </xdr:cNvSpPr>
      </xdr:nvSpPr>
      <xdr:spPr>
        <a:xfrm>
          <a:off x="417195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" name="Line 48"/>
        <xdr:cNvSpPr>
          <a:spLocks/>
        </xdr:cNvSpPr>
      </xdr:nvSpPr>
      <xdr:spPr>
        <a:xfrm>
          <a:off x="417195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1019175</xdr:colOff>
      <xdr:row>60</xdr:row>
      <xdr:rowOff>38100</xdr:rowOff>
    </xdr:from>
    <xdr:to>
      <xdr:col>13</xdr:col>
      <xdr:colOff>628650</xdr:colOff>
      <xdr:row>88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8505825"/>
          <a:ext cx="757237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</xdr:row>
      <xdr:rowOff>38100</xdr:rowOff>
    </xdr:from>
    <xdr:to>
      <xdr:col>5</xdr:col>
      <xdr:colOff>847725</xdr:colOff>
      <xdr:row>88</xdr:row>
      <xdr:rowOff>47625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05825"/>
          <a:ext cx="74295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89</xdr:row>
      <xdr:rowOff>28575</xdr:rowOff>
    </xdr:from>
    <xdr:to>
      <xdr:col>5</xdr:col>
      <xdr:colOff>866775</xdr:colOff>
      <xdr:row>114</xdr:row>
      <xdr:rowOff>38100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3192125"/>
          <a:ext cx="74580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8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8515625" style="4" customWidth="1"/>
    <col min="2" max="2" width="31.140625" style="4" customWidth="1"/>
    <col min="3" max="3" width="17.57421875" style="4" customWidth="1"/>
    <col min="4" max="4" width="17.421875" style="4" customWidth="1"/>
    <col min="5" max="5" width="20.7109375" style="4" customWidth="1"/>
    <col min="6" max="6" width="23.8515625" style="4" customWidth="1"/>
    <col min="7" max="7" width="18.8515625" style="4" customWidth="1"/>
    <col min="8" max="8" width="3.00390625" style="4" customWidth="1"/>
    <col min="9" max="9" width="17.140625" style="4" customWidth="1"/>
    <col min="10" max="10" width="16.8515625" style="16" customWidth="1"/>
    <col min="11" max="11" width="12.7109375" style="16" customWidth="1"/>
    <col min="12" max="12" width="15.57421875" style="4" customWidth="1"/>
    <col min="13" max="13" width="11.421875" style="4" customWidth="1"/>
    <col min="14" max="14" width="13.8515625" style="4" customWidth="1"/>
    <col min="15" max="15" width="14.7109375" style="4" customWidth="1"/>
    <col min="16" max="17" width="11.421875" style="16" customWidth="1"/>
    <col min="18" max="16384" width="11.421875" style="4" customWidth="1"/>
  </cols>
  <sheetData>
    <row r="1" ht="9" customHeight="1" thickBot="1"/>
    <row r="2" spans="1:18" s="11" customFormat="1" ht="20.25" customHeight="1" thickBot="1">
      <c r="A2" s="587" t="s">
        <v>98</v>
      </c>
      <c r="B2" s="588"/>
      <c r="C2" s="588"/>
      <c r="D2" s="588"/>
      <c r="E2" s="588"/>
      <c r="F2" s="588"/>
      <c r="G2" s="589"/>
      <c r="H2" s="33"/>
      <c r="K2" s="8"/>
      <c r="L2" s="8"/>
      <c r="M2" s="8"/>
      <c r="N2" s="8"/>
      <c r="O2" s="8"/>
      <c r="P2" s="8"/>
      <c r="Q2" s="8"/>
      <c r="R2" s="8"/>
    </row>
    <row r="3" spans="1:12" s="16" customFormat="1" ht="31.5" customHeight="1">
      <c r="A3" s="590" t="s">
        <v>105</v>
      </c>
      <c r="B3" s="590"/>
      <c r="C3" s="590"/>
      <c r="D3" s="590"/>
      <c r="E3" s="590"/>
      <c r="F3" s="590"/>
      <c r="G3" s="590"/>
      <c r="H3" s="41"/>
      <c r="I3" s="41"/>
      <c r="L3" s="84"/>
    </row>
    <row r="4" spans="1:12" s="16" customFormat="1" ht="16.5" customHeight="1" thickBot="1">
      <c r="A4" s="91"/>
      <c r="B4" s="4"/>
      <c r="C4" s="4"/>
      <c r="D4" s="4"/>
      <c r="E4" s="4"/>
      <c r="F4" s="4"/>
      <c r="G4" s="4"/>
      <c r="H4" s="41"/>
      <c r="I4" s="41"/>
      <c r="J4" s="109" t="s">
        <v>152</v>
      </c>
      <c r="K4" s="346" t="s">
        <v>154</v>
      </c>
      <c r="L4" s="109" t="s">
        <v>151</v>
      </c>
    </row>
    <row r="5" spans="1:24" ht="19.5" customHeight="1" thickBot="1">
      <c r="A5" s="110"/>
      <c r="B5" s="155" t="s">
        <v>95</v>
      </c>
      <c r="C5" s="150">
        <v>0.0345</v>
      </c>
      <c r="D5" s="151" t="s">
        <v>99</v>
      </c>
      <c r="E5" s="152" t="s">
        <v>97</v>
      </c>
      <c r="F5" s="153">
        <f>1-C5</f>
        <v>0.9655</v>
      </c>
      <c r="G5" s="112"/>
      <c r="H5" s="320"/>
      <c r="I5" s="270"/>
      <c r="J5" s="109" t="s">
        <v>181</v>
      </c>
      <c r="K5" s="8"/>
      <c r="L5" s="84"/>
      <c r="M5" s="16"/>
      <c r="N5" s="16"/>
      <c r="O5" s="46"/>
      <c r="P5" s="46"/>
      <c r="Q5" s="46"/>
      <c r="R5" s="16"/>
      <c r="S5" s="16"/>
      <c r="T5" s="16"/>
      <c r="U5" s="16"/>
      <c r="V5" s="16"/>
      <c r="W5" s="16"/>
      <c r="X5" s="16"/>
    </row>
    <row r="6" spans="1:26" ht="15.75" thickBot="1">
      <c r="A6" s="253"/>
      <c r="B6" s="112"/>
      <c r="C6" s="112"/>
      <c r="G6" s="112"/>
      <c r="H6" s="271"/>
      <c r="I6" s="269"/>
      <c r="J6" s="110" t="s">
        <v>182</v>
      </c>
      <c r="L6" s="30"/>
      <c r="M6" s="16"/>
      <c r="N6" s="16"/>
      <c r="U6" s="48"/>
      <c r="V6" s="48"/>
      <c r="W6" s="48"/>
      <c r="X6" s="48"/>
      <c r="Y6" s="48"/>
      <c r="Z6" s="48"/>
    </row>
    <row r="7" spans="1:34" ht="21" customHeight="1" thickBot="1">
      <c r="A7" s="253"/>
      <c r="B7" s="243"/>
      <c r="C7" s="112"/>
      <c r="D7" s="584" t="s">
        <v>64</v>
      </c>
      <c r="E7" s="585"/>
      <c r="F7" s="586"/>
      <c r="G7" s="112"/>
      <c r="H7" s="267"/>
      <c r="I7" s="269"/>
      <c r="J7" s="109" t="s">
        <v>183</v>
      </c>
      <c r="K7" s="110" t="s">
        <v>153</v>
      </c>
      <c r="N7" s="54"/>
      <c r="O7" s="46"/>
      <c r="P7" s="46"/>
      <c r="Q7" s="46"/>
      <c r="R7" s="11"/>
      <c r="S7" s="11"/>
      <c r="T7" s="92"/>
      <c r="U7" s="50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9.5" customHeight="1" thickBot="1">
      <c r="A8" s="253"/>
      <c r="B8" s="319"/>
      <c r="C8" s="112"/>
      <c r="D8" s="86" t="s">
        <v>96</v>
      </c>
      <c r="E8" s="87" t="s">
        <v>106</v>
      </c>
      <c r="F8" s="86" t="s">
        <v>107</v>
      </c>
      <c r="G8" s="248"/>
      <c r="H8" s="250"/>
      <c r="I8" s="249"/>
      <c r="K8" s="11"/>
      <c r="L8" s="8"/>
      <c r="M8" s="45"/>
      <c r="N8" s="44"/>
      <c r="O8" s="46"/>
      <c r="P8" s="46"/>
      <c r="Q8" s="46"/>
      <c r="R8" s="11"/>
      <c r="S8" s="93"/>
      <c r="T8" s="11"/>
      <c r="U8" s="8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9.5" customHeight="1" thickBot="1">
      <c r="A9" s="253"/>
      <c r="B9" s="112"/>
      <c r="C9" s="112"/>
      <c r="D9" s="103">
        <v>0.76</v>
      </c>
      <c r="E9" s="104">
        <v>0.61</v>
      </c>
      <c r="F9" s="104">
        <v>0.95</v>
      </c>
      <c r="G9" s="248"/>
      <c r="H9" s="251"/>
      <c r="I9" s="252"/>
      <c r="J9" s="110"/>
      <c r="K9" s="11"/>
      <c r="L9" s="11"/>
      <c r="M9" s="11"/>
      <c r="N9" s="11"/>
      <c r="O9" s="11"/>
      <c r="P9" s="11"/>
      <c r="Q9" s="11"/>
      <c r="R9" s="11"/>
      <c r="S9" s="94"/>
      <c r="T9" s="5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6.5" customHeight="1" hidden="1" thickBot="1">
      <c r="A10" s="318"/>
      <c r="B10" s="96"/>
      <c r="C10" s="431" t="s">
        <v>100</v>
      </c>
      <c r="D10" s="432">
        <f>F5^D9</f>
        <v>0.9736698706741861</v>
      </c>
      <c r="E10" s="432">
        <f>F5^E9</f>
        <v>0.9788111088306469</v>
      </c>
      <c r="F10" s="432">
        <f>F5^F9</f>
        <v>0.9671963840557277</v>
      </c>
      <c r="H10" s="49"/>
      <c r="I10" s="11"/>
      <c r="K10" s="11"/>
      <c r="L10" s="8"/>
      <c r="M10" s="45"/>
      <c r="N10" s="44"/>
      <c r="O10" s="46"/>
      <c r="P10" s="46"/>
      <c r="Q10" s="11"/>
      <c r="R10" s="11"/>
      <c r="S10" s="95"/>
      <c r="T10" s="11"/>
      <c r="U10" s="8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2.75" customHeight="1" hidden="1">
      <c r="A11" s="318"/>
      <c r="B11" s="96"/>
      <c r="C11" s="97" t="s">
        <v>65</v>
      </c>
      <c r="D11" s="12">
        <f>1-D10</f>
        <v>0.02633012932581391</v>
      </c>
      <c r="E11" s="12">
        <f>1-E10</f>
        <v>0.021188891169353075</v>
      </c>
      <c r="F11" s="12">
        <f>1-F10</f>
        <v>0.03280361594427228</v>
      </c>
      <c r="H11" s="49"/>
      <c r="I11" s="11"/>
      <c r="J11" s="33"/>
      <c r="K11" s="11"/>
      <c r="L11" s="11"/>
      <c r="M11" s="11"/>
      <c r="N11" s="11"/>
      <c r="O11" s="11"/>
      <c r="P11" s="11"/>
      <c r="Q11" s="46"/>
      <c r="R11" s="11"/>
      <c r="S11" s="93"/>
      <c r="T11" s="4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2.75" customHeight="1" hidden="1">
      <c r="A12" s="318"/>
      <c r="B12" s="105"/>
      <c r="C12" s="47"/>
      <c r="D12" s="105"/>
      <c r="E12" s="105"/>
      <c r="F12" s="105"/>
      <c r="H12" s="90"/>
      <c r="I12" s="11"/>
      <c r="J12" s="98"/>
      <c r="K12" s="43"/>
      <c r="L12" s="88"/>
      <c r="M12" s="11"/>
      <c r="N12" s="11"/>
      <c r="O12" s="11"/>
      <c r="P12" s="11"/>
      <c r="Q12" s="11"/>
      <c r="R12" s="11"/>
      <c r="S12" s="99"/>
      <c r="T12" s="100"/>
      <c r="U12" s="88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5" customHeight="1" hidden="1" thickBot="1">
      <c r="A13" s="318"/>
      <c r="B13" s="433"/>
      <c r="C13" s="434" t="s">
        <v>101</v>
      </c>
      <c r="D13" s="360" t="s">
        <v>22</v>
      </c>
      <c r="E13" s="435">
        <f>D10-F5</f>
        <v>0.008169870674186064</v>
      </c>
      <c r="F13" s="435">
        <f>F10-F5</f>
        <v>0.0016963840557276955</v>
      </c>
      <c r="G13" s="435">
        <f>E10-F5</f>
        <v>0.0133111088306469</v>
      </c>
      <c r="H13" s="49"/>
      <c r="I13" s="11"/>
      <c r="J13" s="99"/>
      <c r="K13" s="100"/>
      <c r="L13" s="11"/>
      <c r="M13" s="10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24" ht="13.5" customHeight="1" hidden="1" thickBot="1">
      <c r="A14" s="318"/>
      <c r="B14" s="433"/>
      <c r="C14" s="436" t="s">
        <v>55</v>
      </c>
      <c r="D14" s="360" t="s">
        <v>23</v>
      </c>
      <c r="E14" s="437">
        <f>1/E13</f>
        <v>122.40095833580946</v>
      </c>
      <c r="F14" s="437">
        <f>1/G13</f>
        <v>75.12522155161446</v>
      </c>
      <c r="G14" s="437">
        <f>1/F13</f>
        <v>589.4891528976506</v>
      </c>
      <c r="J14" s="4"/>
      <c r="K14" s="4"/>
      <c r="P14" s="4"/>
      <c r="Q14" s="4"/>
      <c r="R14" s="16"/>
      <c r="S14" s="16"/>
      <c r="T14" s="16"/>
      <c r="U14" s="16"/>
      <c r="V14" s="16"/>
      <c r="W14" s="16"/>
      <c r="X14" s="16"/>
    </row>
    <row r="15" spans="1:17" ht="12.75" customHeight="1" hidden="1">
      <c r="A15" s="318"/>
      <c r="B15" s="438"/>
      <c r="C15" s="438"/>
      <c r="D15" s="438"/>
      <c r="E15" s="438"/>
      <c r="F15" s="438"/>
      <c r="G15" s="16"/>
      <c r="J15" s="4"/>
      <c r="K15" s="4"/>
      <c r="P15" s="4"/>
      <c r="Q15" s="4"/>
    </row>
    <row r="16" spans="1:17" ht="15.75" customHeight="1" hidden="1">
      <c r="A16" s="318"/>
      <c r="B16" s="439"/>
      <c r="C16" s="440" t="s">
        <v>75</v>
      </c>
      <c r="D16" s="441" t="s">
        <v>76</v>
      </c>
      <c r="E16" s="102">
        <f>E14</f>
        <v>122.40095833580946</v>
      </c>
      <c r="F16" s="102">
        <f>F14</f>
        <v>75.12522155161446</v>
      </c>
      <c r="G16" s="102">
        <f>G14</f>
        <v>589.4891528976506</v>
      </c>
      <c r="J16" s="4"/>
      <c r="K16" s="4"/>
      <c r="P16" s="4"/>
      <c r="Q16" s="4"/>
    </row>
    <row r="17" spans="1:9" s="11" customFormat="1" ht="12.75" customHeight="1" hidden="1">
      <c r="A17" s="318"/>
      <c r="B17" s="442"/>
      <c r="C17" s="442"/>
      <c r="D17" s="443" t="s">
        <v>41</v>
      </c>
      <c r="E17" s="437">
        <f>(1-C5)*E14</f>
        <v>118.17812527322404</v>
      </c>
      <c r="F17" s="437">
        <f>(1-C5)*F14</f>
        <v>72.53340140808376</v>
      </c>
      <c r="G17" s="437">
        <f>(1-C5)*G14</f>
        <v>569.1517771226817</v>
      </c>
      <c r="I17" s="56"/>
    </row>
    <row r="18" spans="1:7" s="11" customFormat="1" ht="12.75" customHeight="1" hidden="1">
      <c r="A18" s="318"/>
      <c r="B18" s="444"/>
      <c r="C18" s="444"/>
      <c r="D18" s="440" t="s">
        <v>72</v>
      </c>
      <c r="E18" s="437">
        <f>E14*E13</f>
        <v>1</v>
      </c>
      <c r="F18" s="437">
        <f>F14*G13</f>
        <v>1</v>
      </c>
      <c r="G18" s="437">
        <f>G14*F13</f>
        <v>1</v>
      </c>
    </row>
    <row r="19" spans="1:7" s="11" customFormat="1" ht="12.75" customHeight="1" hidden="1">
      <c r="A19" s="318"/>
      <c r="B19" s="444"/>
      <c r="C19" s="444"/>
      <c r="D19" s="440" t="s">
        <v>42</v>
      </c>
      <c r="E19" s="437">
        <f>(C5-E13)*E14</f>
        <v>3.2228330625854267</v>
      </c>
      <c r="F19" s="437">
        <f>(C5-G13)*F14</f>
        <v>1.591820143530699</v>
      </c>
      <c r="G19" s="437">
        <f>(C5-F13)*G14</f>
        <v>19.337375774968947</v>
      </c>
    </row>
    <row r="20" spans="1:12" s="11" customFormat="1" ht="12.75" customHeight="1" hidden="1">
      <c r="A20" s="318"/>
      <c r="B20" s="106"/>
      <c r="C20" s="106"/>
      <c r="D20" s="106"/>
      <c r="E20" s="445"/>
      <c r="F20" s="445"/>
      <c r="G20" s="445"/>
      <c r="J20" s="357"/>
      <c r="K20" s="61"/>
      <c r="L20" s="63"/>
    </row>
    <row r="21" spans="1:12" s="11" customFormat="1" ht="15.75" customHeight="1" hidden="1">
      <c r="A21" s="318"/>
      <c r="B21" s="439"/>
      <c r="C21" s="440" t="s">
        <v>77</v>
      </c>
      <c r="D21" s="441" t="s">
        <v>78</v>
      </c>
      <c r="E21" s="102">
        <f>E14</f>
        <v>122.40095833580946</v>
      </c>
      <c r="F21" s="102">
        <f>F14</f>
        <v>75.12522155161446</v>
      </c>
      <c r="G21" s="102">
        <f>G14</f>
        <v>589.4891528976506</v>
      </c>
      <c r="I21" s="357"/>
      <c r="J21" s="357"/>
      <c r="K21" s="62"/>
      <c r="L21" s="63"/>
    </row>
    <row r="22" spans="1:12" s="11" customFormat="1" ht="12.75" customHeight="1" hidden="1">
      <c r="A22" s="318"/>
      <c r="B22" s="446"/>
      <c r="C22" s="446"/>
      <c r="D22" s="196" t="s">
        <v>41</v>
      </c>
      <c r="E22" s="437">
        <f>ABS((1-(C5-E13))*E14)</f>
        <v>119.17812527322404</v>
      </c>
      <c r="F22" s="437">
        <f>ABS((1-(C5-G13))*F14)</f>
        <v>73.53340140808376</v>
      </c>
      <c r="G22" s="437">
        <f>ABS((1-(C5-F13))*G14)</f>
        <v>570.1517771226817</v>
      </c>
      <c r="I22" s="357"/>
      <c r="J22" s="357"/>
      <c r="K22" s="61"/>
      <c r="L22" s="63"/>
    </row>
    <row r="23" spans="1:17" ht="12.75" customHeight="1" hidden="1">
      <c r="A23" s="318"/>
      <c r="B23" s="85"/>
      <c r="C23" s="85"/>
      <c r="D23" s="32" t="s">
        <v>73</v>
      </c>
      <c r="E23" s="447">
        <f>E14*E13</f>
        <v>1</v>
      </c>
      <c r="F23" s="437">
        <f>F14*G13</f>
        <v>1</v>
      </c>
      <c r="G23" s="437">
        <f>G14*F13</f>
        <v>1</v>
      </c>
      <c r="J23" s="4"/>
      <c r="K23" s="4"/>
      <c r="P23" s="4"/>
      <c r="Q23" s="4"/>
    </row>
    <row r="24" spans="1:17" ht="12.75" customHeight="1" hidden="1">
      <c r="A24" s="318"/>
      <c r="B24" s="442"/>
      <c r="C24" s="448"/>
      <c r="D24" s="443" t="s">
        <v>74</v>
      </c>
      <c r="E24" s="437">
        <f>ABS(C5*E14)</f>
        <v>4.222833062585427</v>
      </c>
      <c r="F24" s="437">
        <f>ABS(C5*F14)</f>
        <v>2.591820143530699</v>
      </c>
      <c r="G24" s="437">
        <f>ABS(C5*G14)</f>
        <v>20.337375774968947</v>
      </c>
      <c r="I24" s="17"/>
      <c r="J24" s="17"/>
      <c r="K24" s="17"/>
      <c r="P24" s="4"/>
      <c r="Q24" s="4"/>
    </row>
    <row r="25" spans="1:11" s="11" customFormat="1" ht="12.75" customHeight="1" hidden="1">
      <c r="A25" s="318"/>
      <c r="B25" s="85"/>
      <c r="C25" s="107"/>
      <c r="D25" s="68"/>
      <c r="E25" s="69"/>
      <c r="F25" s="69"/>
      <c r="G25" s="69"/>
      <c r="I25" s="17"/>
      <c r="J25" s="17"/>
      <c r="K25" s="89"/>
    </row>
    <row r="26" spans="1:17" ht="12.75" customHeight="1" hidden="1">
      <c r="A26" s="318"/>
      <c r="B26" s="427" t="s">
        <v>58</v>
      </c>
      <c r="C26" s="449"/>
      <c r="D26" s="449"/>
      <c r="E26" s="450">
        <f>ROUND(D9,2)</f>
        <v>0.76</v>
      </c>
      <c r="F26" s="451">
        <f>ROUND(E13,4)</f>
        <v>0.0082</v>
      </c>
      <c r="G26" s="452">
        <f>ROUND(E14,0)</f>
        <v>122</v>
      </c>
      <c r="I26" s="17"/>
      <c r="J26" s="17"/>
      <c r="K26" s="4"/>
      <c r="P26" s="4"/>
      <c r="Q26" s="4"/>
    </row>
    <row r="27" spans="1:17" ht="12.75" customHeight="1" hidden="1">
      <c r="A27" s="318"/>
      <c r="B27" s="428" t="s">
        <v>60</v>
      </c>
      <c r="C27" s="453">
        <f>ROUND(D11,4)</f>
        <v>0.0263</v>
      </c>
      <c r="D27" s="453">
        <f>ROUND(C5,4)</f>
        <v>0.0345</v>
      </c>
      <c r="E27" s="454">
        <f>ROUND(E9,2)</f>
        <v>0.61</v>
      </c>
      <c r="F27" s="34">
        <f>ROUND(F13,4)</f>
        <v>0.0017</v>
      </c>
      <c r="G27" s="455">
        <f>ROUND(F14,0)</f>
        <v>75</v>
      </c>
      <c r="I27" s="17"/>
      <c r="J27" s="17"/>
      <c r="P27" s="4"/>
      <c r="Q27" s="4"/>
    </row>
    <row r="28" spans="1:17" ht="12.75" customHeight="1" hidden="1">
      <c r="A28" s="318"/>
      <c r="B28" s="428" t="s">
        <v>59</v>
      </c>
      <c r="C28" s="85"/>
      <c r="D28" s="85"/>
      <c r="E28" s="454">
        <f>ROUND(F9,2)</f>
        <v>0.95</v>
      </c>
      <c r="F28" s="34">
        <f>ROUND(G13,4)</f>
        <v>0.0133</v>
      </c>
      <c r="G28" s="455">
        <f>ROUND(G14,0)</f>
        <v>589</v>
      </c>
      <c r="I28" s="17"/>
      <c r="J28" s="17"/>
      <c r="P28" s="4"/>
      <c r="Q28" s="4"/>
    </row>
    <row r="29" spans="1:17" ht="12.75" customHeight="1" hidden="1">
      <c r="A29" s="318"/>
      <c r="B29" s="428" t="s">
        <v>61</v>
      </c>
      <c r="C29" s="360" t="s">
        <v>87</v>
      </c>
      <c r="D29" s="360" t="s">
        <v>88</v>
      </c>
      <c r="E29" s="360" t="s">
        <v>64</v>
      </c>
      <c r="F29" s="360" t="s">
        <v>63</v>
      </c>
      <c r="G29" s="360" t="s">
        <v>57</v>
      </c>
      <c r="I29" s="17"/>
      <c r="J29" s="17"/>
      <c r="K29" s="4"/>
      <c r="P29" s="4"/>
      <c r="Q29" s="4"/>
    </row>
    <row r="30" spans="1:17" ht="12.75" customHeight="1" hidden="1">
      <c r="A30" s="318"/>
      <c r="B30" s="429" t="s">
        <v>18</v>
      </c>
      <c r="C30" s="360" t="str">
        <f>CONCATENATE(C27*100,B29)</f>
        <v>2,63%</v>
      </c>
      <c r="D30" s="360" t="str">
        <f>CONCATENATE(D27*100,B29)</f>
        <v>3,45%</v>
      </c>
      <c r="E30" s="360" t="str">
        <f>CONCATENATE(E26," ",B26,E27,B27,E28,B28)</f>
        <v>0,76 (0,61-0,95)</v>
      </c>
      <c r="F30" s="360" t="str">
        <f>CONCATENATE(F26*100,B29," ",B26,F27*100,B29," ",B30," ",F28*100,B29,B28)</f>
        <v>0,82% (0,17% a 1,33%)</v>
      </c>
      <c r="G30" s="360" t="str">
        <f>CONCATENATE(G26," ",B26,G27," ",B30," ",G28,B28)</f>
        <v>122 (75 a 589)</v>
      </c>
      <c r="I30" s="17"/>
      <c r="J30" s="17"/>
      <c r="K30" s="4"/>
      <c r="P30" s="4"/>
      <c r="Q30" s="4"/>
    </row>
    <row r="31" spans="1:10" s="16" customFormat="1" ht="12.75" customHeight="1" hidden="1">
      <c r="A31" s="318"/>
      <c r="B31" s="85"/>
      <c r="C31" s="8"/>
      <c r="D31" s="85"/>
      <c r="E31" s="85"/>
      <c r="F31" s="85"/>
      <c r="G31" s="11"/>
      <c r="I31" s="17"/>
      <c r="J31" s="17"/>
    </row>
    <row r="32" spans="1:17" ht="12.75">
      <c r="A32" s="318"/>
      <c r="B32" s="105"/>
      <c r="C32" s="105"/>
      <c r="D32" s="108"/>
      <c r="E32" s="105"/>
      <c r="F32" s="105"/>
      <c r="I32" s="17"/>
      <c r="J32" s="17"/>
      <c r="K32" s="4"/>
      <c r="P32" s="4"/>
      <c r="Q32" s="4"/>
    </row>
    <row r="33" spans="1:13" ht="18.75" customHeight="1">
      <c r="A33" s="318"/>
      <c r="C33" s="154" t="s">
        <v>87</v>
      </c>
      <c r="D33" s="154" t="s">
        <v>88</v>
      </c>
      <c r="E33" s="154" t="s">
        <v>64</v>
      </c>
      <c r="F33" s="154" t="s">
        <v>56</v>
      </c>
      <c r="G33" s="154" t="s">
        <v>57</v>
      </c>
      <c r="I33" s="425" t="s">
        <v>180</v>
      </c>
      <c r="J33" s="425" t="s">
        <v>179</v>
      </c>
      <c r="L33" s="30"/>
      <c r="M33" s="111"/>
    </row>
    <row r="34" spans="1:13" ht="18.75" customHeight="1">
      <c r="A34" s="318"/>
      <c r="C34" s="82" t="str">
        <f>C30</f>
        <v>2,63%</v>
      </c>
      <c r="D34" s="82" t="str">
        <f>D30</f>
        <v>3,45%</v>
      </c>
      <c r="E34" s="82" t="str">
        <f>E30</f>
        <v>0,76 (0,61-0,95)</v>
      </c>
      <c r="F34" s="82" t="str">
        <f>F30</f>
        <v>0,82% (0,17% a 1,33%)</v>
      </c>
      <c r="G34" s="82" t="str">
        <f>G30</f>
        <v>122 (75 a 589)</v>
      </c>
      <c r="I34" s="430">
        <f>IF((F27*F28&lt;0),(C27+D27)/2,C27)</f>
        <v>0.0263</v>
      </c>
      <c r="J34" s="430">
        <f>IF((F27*F28&lt;0),(C27+D27)/2,D27)</f>
        <v>0.0345</v>
      </c>
      <c r="L34" s="30"/>
      <c r="M34" s="111"/>
    </row>
    <row r="35" spans="1:13" ht="13.5" thickBot="1">
      <c r="A35" s="110"/>
      <c r="B35" s="321"/>
      <c r="C35" s="73"/>
      <c r="D35" s="73"/>
      <c r="E35" s="73"/>
      <c r="F35" s="73"/>
      <c r="G35" s="112"/>
      <c r="H35" s="73"/>
      <c r="L35" s="30"/>
      <c r="M35" s="111"/>
    </row>
    <row r="36" spans="1:15" ht="13.5" thickBot="1">
      <c r="A36" s="110"/>
      <c r="B36" s="321"/>
      <c r="C36" s="327"/>
      <c r="D36" s="327"/>
      <c r="E36" s="327"/>
      <c r="F36" s="327"/>
      <c r="G36" s="327"/>
      <c r="H36" s="73"/>
      <c r="N36" s="582" t="s">
        <v>339</v>
      </c>
      <c r="O36" s="583"/>
    </row>
    <row r="37" spans="1:15" ht="26.25" customHeight="1" thickBot="1">
      <c r="A37" s="110"/>
      <c r="B37" s="591" t="s">
        <v>338</v>
      </c>
      <c r="C37" s="592"/>
      <c r="D37" s="592"/>
      <c r="E37" s="592"/>
      <c r="F37" s="592"/>
      <c r="G37" s="592"/>
      <c r="H37" s="592"/>
      <c r="I37" s="593"/>
      <c r="N37" s="580" t="s">
        <v>340</v>
      </c>
      <c r="O37" s="581"/>
    </row>
    <row r="38" spans="1:15" ht="39" customHeight="1" thickBot="1">
      <c r="A38" s="105"/>
      <c r="B38" s="458" t="s">
        <v>274</v>
      </c>
      <c r="C38" s="459" t="s">
        <v>272</v>
      </c>
      <c r="D38" s="459" t="s">
        <v>273</v>
      </c>
      <c r="E38" s="474" t="s">
        <v>64</v>
      </c>
      <c r="F38" s="475" t="s">
        <v>186</v>
      </c>
      <c r="G38" s="497" t="s">
        <v>187</v>
      </c>
      <c r="H38" s="477"/>
      <c r="I38" s="498" t="s">
        <v>275</v>
      </c>
      <c r="J38" s="4"/>
      <c r="K38" s="425" t="s">
        <v>178</v>
      </c>
      <c r="L38" s="425" t="s">
        <v>179</v>
      </c>
      <c r="N38" s="517" t="s">
        <v>343</v>
      </c>
      <c r="O38" s="518" t="s">
        <v>344</v>
      </c>
    </row>
    <row r="39" spans="1:12" ht="4.5" customHeight="1" thickBot="1">
      <c r="A39" s="105"/>
      <c r="B39" s="464"/>
      <c r="C39" s="464"/>
      <c r="D39" s="464"/>
      <c r="E39" s="464"/>
      <c r="F39" s="464"/>
      <c r="G39" s="464"/>
      <c r="H39" s="477"/>
      <c r="I39" s="477"/>
      <c r="J39" s="4"/>
      <c r="L39" s="16"/>
    </row>
    <row r="40" spans="1:15" ht="15" customHeight="1">
      <c r="A40" s="105"/>
      <c r="B40" s="461" t="s">
        <v>345</v>
      </c>
      <c r="C40" s="492">
        <v>0.0087</v>
      </c>
      <c r="D40" s="492">
        <v>0.0091</v>
      </c>
      <c r="E40" s="480" t="s">
        <v>281</v>
      </c>
      <c r="F40" s="480" t="s">
        <v>282</v>
      </c>
      <c r="G40" s="510" t="s">
        <v>283</v>
      </c>
      <c r="H40" s="477"/>
      <c r="I40" s="505" t="s">
        <v>284</v>
      </c>
      <c r="J40" s="4"/>
      <c r="K40" s="491">
        <v>0.0446</v>
      </c>
      <c r="L40" s="491">
        <v>0.0446</v>
      </c>
      <c r="N40" s="519">
        <f aca="true" t="shared" si="0" ref="N40:O57">K40*100</f>
        <v>4.46</v>
      </c>
      <c r="O40" s="519">
        <f t="shared" si="0"/>
        <v>4.46</v>
      </c>
    </row>
    <row r="41" spans="1:15" ht="15" customHeight="1">
      <c r="A41" s="105"/>
      <c r="B41" s="462" t="s">
        <v>193</v>
      </c>
      <c r="C41" s="488">
        <v>0.0008</v>
      </c>
      <c r="D41" s="488">
        <v>0.0008</v>
      </c>
      <c r="E41" s="482" t="s">
        <v>288</v>
      </c>
      <c r="F41" s="482" t="s">
        <v>289</v>
      </c>
      <c r="G41" s="511" t="s">
        <v>290</v>
      </c>
      <c r="H41" s="477"/>
      <c r="I41" s="506" t="s">
        <v>291</v>
      </c>
      <c r="J41" s="4"/>
      <c r="K41" s="491">
        <v>0.0039</v>
      </c>
      <c r="L41" s="491">
        <v>0.0039</v>
      </c>
      <c r="N41" s="521">
        <f>K41*100</f>
        <v>0.38999999999999996</v>
      </c>
      <c r="O41" s="521">
        <f>L41*100</f>
        <v>0.38999999999999996</v>
      </c>
    </row>
    <row r="42" spans="1:15" ht="15" customHeight="1" thickBot="1">
      <c r="A42" s="105"/>
      <c r="B42" s="463" t="s">
        <v>194</v>
      </c>
      <c r="C42" s="493">
        <v>0.0081</v>
      </c>
      <c r="D42" s="493">
        <v>0.0084</v>
      </c>
      <c r="E42" s="468" t="s">
        <v>281</v>
      </c>
      <c r="F42" s="468" t="s">
        <v>285</v>
      </c>
      <c r="G42" s="478" t="s">
        <v>286</v>
      </c>
      <c r="H42" s="477"/>
      <c r="I42" s="479" t="s">
        <v>287</v>
      </c>
      <c r="J42" s="4"/>
      <c r="K42" s="491">
        <v>0.0412</v>
      </c>
      <c r="L42" s="491">
        <v>0.0412</v>
      </c>
      <c r="N42" s="519">
        <f t="shared" si="0"/>
        <v>4.12</v>
      </c>
      <c r="O42" s="519">
        <f t="shared" si="0"/>
        <v>4.12</v>
      </c>
    </row>
    <row r="43" spans="1:15" ht="4.5" customHeight="1" thickBot="1">
      <c r="A43" s="105"/>
      <c r="B43" s="464"/>
      <c r="C43" s="464"/>
      <c r="D43" s="464"/>
      <c r="E43" s="464"/>
      <c r="F43" s="464"/>
      <c r="G43" s="464"/>
      <c r="H43" s="477"/>
      <c r="I43" s="477"/>
      <c r="J43" s="4"/>
      <c r="L43" s="16"/>
      <c r="N43" s="244"/>
      <c r="O43" s="244"/>
    </row>
    <row r="44" spans="1:15" ht="15" customHeight="1">
      <c r="A44" s="105"/>
      <c r="B44" s="461" t="s">
        <v>351</v>
      </c>
      <c r="C44" s="492">
        <v>0.0062</v>
      </c>
      <c r="D44" s="492">
        <v>0.0081</v>
      </c>
      <c r="E44" s="480" t="s">
        <v>292</v>
      </c>
      <c r="F44" s="480" t="s">
        <v>293</v>
      </c>
      <c r="G44" s="512" t="s">
        <v>294</v>
      </c>
      <c r="H44" s="477"/>
      <c r="I44" s="507" t="s">
        <v>295</v>
      </c>
      <c r="J44" s="4"/>
      <c r="K44" s="491">
        <v>0.0309</v>
      </c>
      <c r="L44" s="491">
        <v>0.0405</v>
      </c>
      <c r="N44" s="522">
        <f t="shared" si="0"/>
        <v>3.09</v>
      </c>
      <c r="O44" s="520">
        <f t="shared" si="0"/>
        <v>4.05</v>
      </c>
    </row>
    <row r="45" spans="1:15" ht="15" customHeight="1">
      <c r="A45" s="105"/>
      <c r="B45" s="538" t="s">
        <v>358</v>
      </c>
      <c r="C45" s="488">
        <v>0.001</v>
      </c>
      <c r="D45" s="488">
        <v>0.0013</v>
      </c>
      <c r="E45" s="482" t="s">
        <v>300</v>
      </c>
      <c r="F45" s="482" t="s">
        <v>301</v>
      </c>
      <c r="G45" s="511" t="s">
        <v>302</v>
      </c>
      <c r="H45" s="477"/>
      <c r="I45" s="506" t="s">
        <v>303</v>
      </c>
      <c r="J45" s="4"/>
      <c r="K45" s="491">
        <v>0.0058</v>
      </c>
      <c r="L45" s="491">
        <v>0.0058</v>
      </c>
      <c r="N45" s="519">
        <f>K45*100</f>
        <v>0.58</v>
      </c>
      <c r="O45" s="519">
        <f>L45*100</f>
        <v>0.58</v>
      </c>
    </row>
    <row r="46" spans="1:15" ht="15" customHeight="1">
      <c r="A46" s="105"/>
      <c r="B46" s="538" t="s">
        <v>359</v>
      </c>
      <c r="C46" s="488">
        <v>0.0052</v>
      </c>
      <c r="D46" s="488">
        <v>0.0069</v>
      </c>
      <c r="E46" s="482" t="s">
        <v>296</v>
      </c>
      <c r="F46" s="482" t="s">
        <v>297</v>
      </c>
      <c r="G46" s="513" t="s">
        <v>298</v>
      </c>
      <c r="H46" s="477"/>
      <c r="I46" s="508" t="s">
        <v>299</v>
      </c>
      <c r="J46" s="4"/>
      <c r="K46" s="491">
        <v>0.0263</v>
      </c>
      <c r="L46" s="491">
        <v>0.0345</v>
      </c>
      <c r="N46" s="528">
        <f t="shared" si="0"/>
        <v>2.63</v>
      </c>
      <c r="O46" s="529">
        <f t="shared" si="0"/>
        <v>3.45</v>
      </c>
    </row>
    <row r="47" spans="1:15" ht="15" customHeight="1" thickBot="1">
      <c r="A47" s="105"/>
      <c r="B47" s="545" t="s">
        <v>354</v>
      </c>
      <c r="C47" s="493">
        <v>0.0032</v>
      </c>
      <c r="D47" s="493">
        <v>0.0043</v>
      </c>
      <c r="E47" s="468" t="s">
        <v>328</v>
      </c>
      <c r="F47" s="468" t="s">
        <v>329</v>
      </c>
      <c r="G47" s="546" t="s">
        <v>330</v>
      </c>
      <c r="H47" s="477"/>
      <c r="I47" s="547" t="s">
        <v>331</v>
      </c>
      <c r="J47" s="4"/>
      <c r="K47" s="515">
        <v>0.016</v>
      </c>
      <c r="L47" s="515">
        <v>0.0215</v>
      </c>
      <c r="N47" s="526">
        <f>K47*100</f>
        <v>1.6</v>
      </c>
      <c r="O47" s="527">
        <f>L47*100</f>
        <v>2.15</v>
      </c>
    </row>
    <row r="48" spans="1:15" ht="4.5" customHeight="1" thickBot="1">
      <c r="A48" s="105"/>
      <c r="B48" s="464"/>
      <c r="C48" s="464"/>
      <c r="D48" s="464"/>
      <c r="E48" s="464"/>
      <c r="F48" s="464"/>
      <c r="G48" s="464"/>
      <c r="H48" s="477"/>
      <c r="I48" s="477"/>
      <c r="J48" s="4"/>
      <c r="L48" s="16"/>
      <c r="N48" s="244"/>
      <c r="O48" s="244"/>
    </row>
    <row r="49" spans="1:15" ht="15" customHeight="1">
      <c r="A49" s="105"/>
      <c r="B49" s="466" t="s">
        <v>184</v>
      </c>
      <c r="C49" s="492">
        <v>0.0086</v>
      </c>
      <c r="D49" s="492">
        <v>0.0095</v>
      </c>
      <c r="E49" s="480" t="s">
        <v>304</v>
      </c>
      <c r="F49" s="480" t="s">
        <v>305</v>
      </c>
      <c r="G49" s="510" t="s">
        <v>306</v>
      </c>
      <c r="H49" s="477"/>
      <c r="I49" s="505" t="s">
        <v>307</v>
      </c>
      <c r="J49" s="4"/>
      <c r="K49" s="491">
        <v>0.045399999999999996</v>
      </c>
      <c r="L49" s="491">
        <v>0.045399999999999996</v>
      </c>
      <c r="N49" s="519">
        <f t="shared" si="0"/>
        <v>4.539999999999999</v>
      </c>
      <c r="O49" s="519">
        <f t="shared" si="0"/>
        <v>4.539999999999999</v>
      </c>
    </row>
    <row r="50" spans="1:15" ht="15" customHeight="1" thickBot="1">
      <c r="A50" s="105"/>
      <c r="B50" s="467" t="s">
        <v>195</v>
      </c>
      <c r="C50" s="493">
        <v>0.0206</v>
      </c>
      <c r="D50" s="493">
        <v>0.0229</v>
      </c>
      <c r="E50" s="468" t="s">
        <v>308</v>
      </c>
      <c r="F50" s="468" t="s">
        <v>309</v>
      </c>
      <c r="G50" s="478" t="s">
        <v>310</v>
      </c>
      <c r="H50" s="477"/>
      <c r="I50" s="479" t="s">
        <v>311</v>
      </c>
      <c r="J50" s="4"/>
      <c r="K50" s="491">
        <v>0.1091</v>
      </c>
      <c r="L50" s="491">
        <v>0.1091</v>
      </c>
      <c r="N50" s="519">
        <f t="shared" si="0"/>
        <v>10.91</v>
      </c>
      <c r="O50" s="519">
        <f t="shared" si="0"/>
        <v>10.91</v>
      </c>
    </row>
    <row r="51" spans="1:15" ht="4.5" customHeight="1" thickBot="1">
      <c r="A51" s="105"/>
      <c r="B51" s="464"/>
      <c r="C51" s="464"/>
      <c r="D51" s="464"/>
      <c r="E51" s="464"/>
      <c r="F51" s="464"/>
      <c r="G51" s="464"/>
      <c r="H51" s="477"/>
      <c r="I51" s="477"/>
      <c r="J51" s="4"/>
      <c r="L51" s="16"/>
      <c r="N51" s="244"/>
      <c r="O51" s="244"/>
    </row>
    <row r="52" spans="1:15" ht="25.5">
      <c r="A52" s="105"/>
      <c r="B52" s="466" t="s">
        <v>185</v>
      </c>
      <c r="C52" s="492">
        <v>0.0083</v>
      </c>
      <c r="D52" s="492">
        <v>0.0089</v>
      </c>
      <c r="E52" s="480" t="s">
        <v>312</v>
      </c>
      <c r="F52" s="480" t="s">
        <v>313</v>
      </c>
      <c r="G52" s="510" t="s">
        <v>314</v>
      </c>
      <c r="H52" s="477"/>
      <c r="I52" s="505" t="s">
        <v>315</v>
      </c>
      <c r="J52" s="4"/>
      <c r="K52" s="491">
        <v>0.043</v>
      </c>
      <c r="L52" s="491">
        <v>0.043</v>
      </c>
      <c r="N52" s="519">
        <f t="shared" si="0"/>
        <v>4.3</v>
      </c>
      <c r="O52" s="519">
        <f t="shared" si="0"/>
        <v>4.3</v>
      </c>
    </row>
    <row r="53" spans="1:15" ht="15" customHeight="1" thickBot="1">
      <c r="A53" s="105"/>
      <c r="B53" s="467" t="s">
        <v>196</v>
      </c>
      <c r="C53" s="493">
        <v>0.0034</v>
      </c>
      <c r="D53" s="493">
        <v>0.003</v>
      </c>
      <c r="E53" s="468" t="s">
        <v>316</v>
      </c>
      <c r="F53" s="468" t="s">
        <v>317</v>
      </c>
      <c r="G53" s="478" t="s">
        <v>318</v>
      </c>
      <c r="H53" s="477"/>
      <c r="I53" s="479" t="s">
        <v>319</v>
      </c>
      <c r="J53" s="4"/>
      <c r="K53" s="491">
        <v>0.016050000000000002</v>
      </c>
      <c r="L53" s="491">
        <v>0.016050000000000002</v>
      </c>
      <c r="N53" s="519">
        <f t="shared" si="0"/>
        <v>1.6050000000000002</v>
      </c>
      <c r="O53" s="519">
        <f t="shared" si="0"/>
        <v>1.6050000000000002</v>
      </c>
    </row>
    <row r="54" spans="1:15" ht="4.5" customHeight="1" thickBot="1">
      <c r="A54" s="105"/>
      <c r="B54" s="464"/>
      <c r="C54" s="464"/>
      <c r="D54" s="464"/>
      <c r="E54" s="464"/>
      <c r="F54" s="464"/>
      <c r="G54" s="464"/>
      <c r="H54" s="477"/>
      <c r="I54" s="477"/>
      <c r="J54" s="4"/>
      <c r="L54" s="16"/>
      <c r="N54" s="244"/>
      <c r="O54" s="244"/>
    </row>
    <row r="55" spans="1:16" ht="21" customHeight="1">
      <c r="A55" s="105"/>
      <c r="B55" s="469" t="s">
        <v>357</v>
      </c>
      <c r="C55" s="494">
        <v>0.0234</v>
      </c>
      <c r="D55" s="494">
        <v>0.0266</v>
      </c>
      <c r="E55" s="485" t="s">
        <v>277</v>
      </c>
      <c r="F55" s="485" t="s">
        <v>278</v>
      </c>
      <c r="G55" s="566" t="s">
        <v>279</v>
      </c>
      <c r="H55" s="533"/>
      <c r="I55" s="563" t="s">
        <v>280</v>
      </c>
      <c r="J55" s="465"/>
      <c r="K55" s="503">
        <v>0.118</v>
      </c>
      <c r="L55" s="491">
        <v>0.133</v>
      </c>
      <c r="M55" s="465"/>
      <c r="N55" s="530">
        <f>K55*100</f>
        <v>11.799999999999999</v>
      </c>
      <c r="O55" s="532">
        <f>L55*100</f>
        <v>13.3</v>
      </c>
      <c r="P55" s="346"/>
    </row>
    <row r="56" spans="1:15" ht="33.75">
      <c r="A56" s="105"/>
      <c r="B56" s="535" t="s">
        <v>341</v>
      </c>
      <c r="C56" s="565">
        <v>0.0037</v>
      </c>
      <c r="D56" s="565">
        <v>0.003</v>
      </c>
      <c r="E56" s="534" t="s">
        <v>320</v>
      </c>
      <c r="F56" s="534" t="s">
        <v>321</v>
      </c>
      <c r="G56" s="567" t="s">
        <v>322</v>
      </c>
      <c r="H56" s="477"/>
      <c r="I56" s="564" t="s">
        <v>323</v>
      </c>
      <c r="J56" s="4"/>
      <c r="K56" s="496">
        <v>0.0168</v>
      </c>
      <c r="L56" s="496">
        <v>0.0168</v>
      </c>
      <c r="N56" s="530">
        <f t="shared" si="0"/>
        <v>1.68</v>
      </c>
      <c r="O56" s="530">
        <f t="shared" si="0"/>
        <v>1.68</v>
      </c>
    </row>
    <row r="57" spans="1:15" ht="34.5" thickBot="1">
      <c r="A57" s="105"/>
      <c r="B57" s="470" t="s">
        <v>259</v>
      </c>
      <c r="C57" s="495">
        <v>0.0347</v>
      </c>
      <c r="D57" s="495">
        <v>0.0407</v>
      </c>
      <c r="E57" s="486" t="s">
        <v>324</v>
      </c>
      <c r="F57" s="486" t="s">
        <v>325</v>
      </c>
      <c r="G57" s="514" t="s">
        <v>326</v>
      </c>
      <c r="H57" s="477"/>
      <c r="I57" s="509" t="s">
        <v>327</v>
      </c>
      <c r="J57" s="4"/>
      <c r="K57" s="496">
        <v>0.1758</v>
      </c>
      <c r="L57" s="496">
        <v>0.2035</v>
      </c>
      <c r="N57" s="531">
        <f t="shared" si="0"/>
        <v>17.580000000000002</v>
      </c>
      <c r="O57" s="532">
        <f t="shared" si="0"/>
        <v>20.349999999999998</v>
      </c>
    </row>
    <row r="58" spans="1:9" ht="7.5" customHeight="1">
      <c r="A58" s="105"/>
      <c r="B58" s="502"/>
      <c r="C58" s="502"/>
      <c r="D58" s="502"/>
      <c r="E58" s="502"/>
      <c r="F58" s="502"/>
      <c r="G58" s="502"/>
      <c r="H58" s="502"/>
      <c r="I58" s="502"/>
    </row>
    <row r="59" spans="1:9" ht="44.25" customHeight="1">
      <c r="A59" s="105"/>
      <c r="B59" s="577" t="s">
        <v>342</v>
      </c>
      <c r="C59" s="578"/>
      <c r="D59" s="578"/>
      <c r="E59" s="578"/>
      <c r="F59" s="578"/>
      <c r="G59" s="578"/>
      <c r="H59" s="578"/>
      <c r="I59" s="579"/>
    </row>
    <row r="60" spans="1:9" ht="12.75">
      <c r="A60" s="105"/>
      <c r="F60" s="105"/>
      <c r="G60" s="105"/>
      <c r="H60" s="105"/>
      <c r="I60" s="105"/>
    </row>
    <row r="61" spans="1:9" ht="12.75">
      <c r="A61" s="105"/>
      <c r="F61" s="105"/>
      <c r="G61" s="105"/>
      <c r="H61" s="105"/>
      <c r="I61" s="105"/>
    </row>
    <row r="62" spans="1:9" ht="12.75">
      <c r="A62" s="105"/>
      <c r="F62" s="105"/>
      <c r="G62" s="105"/>
      <c r="H62" s="105"/>
      <c r="I62" s="105"/>
    </row>
    <row r="63" spans="1:9" ht="12.75">
      <c r="A63" s="105"/>
      <c r="F63" s="105"/>
      <c r="G63" s="105"/>
      <c r="H63" s="105"/>
      <c r="I63" s="105"/>
    </row>
    <row r="64" spans="1:9" ht="12.75">
      <c r="A64" s="105"/>
      <c r="F64" s="105"/>
      <c r="G64" s="105"/>
      <c r="H64" s="105"/>
      <c r="I64" s="105"/>
    </row>
    <row r="65" spans="1:9" ht="12.75">
      <c r="A65" s="105"/>
      <c r="F65" s="105"/>
      <c r="G65" s="105"/>
      <c r="H65" s="105"/>
      <c r="I65" s="105"/>
    </row>
    <row r="66" ht="12.75">
      <c r="A66" s="105"/>
    </row>
    <row r="67" ht="12.75">
      <c r="A67" s="105"/>
    </row>
    <row r="68" ht="12.75">
      <c r="A68" s="105"/>
    </row>
    <row r="69" ht="12.75">
      <c r="A69" s="105"/>
    </row>
    <row r="70" ht="12.75">
      <c r="A70" s="105"/>
    </row>
    <row r="71" ht="12.75">
      <c r="A71" s="105"/>
    </row>
    <row r="72" ht="12.75">
      <c r="A72" s="105"/>
    </row>
    <row r="73" ht="12.75">
      <c r="A73" s="105"/>
    </row>
    <row r="74" ht="12.75">
      <c r="A74" s="105"/>
    </row>
    <row r="75" ht="12.75">
      <c r="A75" s="105"/>
    </row>
    <row r="76" ht="12.75">
      <c r="A76" s="105"/>
    </row>
    <row r="77" spans="1:9" ht="12.75">
      <c r="A77" s="105"/>
      <c r="B77" s="464"/>
      <c r="C77" s="464"/>
      <c r="D77" s="464"/>
      <c r="E77" s="464"/>
      <c r="F77" s="464"/>
      <c r="G77" s="464"/>
      <c r="H77" s="476"/>
      <c r="I77" s="477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ht="12.75"/>
    <row r="82" ht="12.75"/>
    <row r="83" ht="12.75"/>
    <row r="84" ht="12.75"/>
    <row r="85" ht="12.75"/>
    <row r="86" ht="12.75"/>
    <row r="87" ht="12.75"/>
    <row r="88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mergeCells count="7">
    <mergeCell ref="B59:I59"/>
    <mergeCell ref="N37:O37"/>
    <mergeCell ref="N36:O36"/>
    <mergeCell ref="D7:F7"/>
    <mergeCell ref="A2:G2"/>
    <mergeCell ref="A3:G3"/>
    <mergeCell ref="B37:I37"/>
  </mergeCells>
  <printOptions/>
  <pageMargins left="0.47" right="0.75" top="0.53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5"/>
  <sheetViews>
    <sheetView zoomScalePageLayoutView="0" workbookViewId="0" topLeftCell="C1">
      <selection activeCell="B88" sqref="B88"/>
    </sheetView>
  </sheetViews>
  <sheetFormatPr defaultColWidth="11.421875" defaultRowHeight="12.75"/>
  <cols>
    <col min="1" max="1" width="34.57421875" style="4" customWidth="1"/>
    <col min="2" max="2" width="21.7109375" style="4" customWidth="1"/>
    <col min="3" max="3" width="22.140625" style="4" customWidth="1"/>
    <col min="4" max="4" width="17.140625" style="4" customWidth="1"/>
    <col min="5" max="5" width="21.421875" style="4" customWidth="1"/>
    <col min="6" max="6" width="20.421875" style="4" customWidth="1"/>
    <col min="7" max="7" width="14.140625" style="4" bestFit="1" customWidth="1"/>
    <col min="8" max="8" width="8.421875" style="4" customWidth="1"/>
    <col min="9" max="9" width="14.421875" style="4" bestFit="1" customWidth="1"/>
    <col min="10" max="10" width="5.140625" style="4" customWidth="1"/>
    <col min="11" max="11" width="14.421875" style="4" bestFit="1" customWidth="1"/>
    <col min="12" max="12" width="13.421875" style="4" customWidth="1"/>
    <col min="13" max="13" width="14.7109375" style="4" bestFit="1" customWidth="1"/>
    <col min="14" max="14" width="14.28125" style="16" bestFit="1" customWidth="1"/>
    <col min="15" max="15" width="14.7109375" style="16" customWidth="1"/>
    <col min="16" max="16" width="14.00390625" style="4" bestFit="1" customWidth="1"/>
    <col min="17" max="17" width="11.57421875" style="4" bestFit="1" customWidth="1"/>
    <col min="18" max="18" width="13.8515625" style="4" bestFit="1" customWidth="1"/>
    <col min="19" max="19" width="11.421875" style="4" customWidth="1"/>
    <col min="20" max="21" width="11.421875" style="16" customWidth="1"/>
    <col min="22" max="16384" width="11.421875" style="4" customWidth="1"/>
  </cols>
  <sheetData>
    <row r="1" spans="1:28" s="11" customFormat="1" ht="8.25" customHeight="1" thickBot="1">
      <c r="A1" s="1"/>
      <c r="B1" s="2"/>
      <c r="C1" s="1"/>
      <c r="D1" s="3"/>
      <c r="E1" s="4"/>
      <c r="F1" s="4"/>
      <c r="G1" s="5"/>
      <c r="H1" s="5"/>
      <c r="I1" s="5"/>
      <c r="J1" s="5"/>
      <c r="K1" s="6"/>
      <c r="L1" s="7"/>
      <c r="M1" s="7"/>
      <c r="N1" s="8"/>
      <c r="O1" s="8"/>
      <c r="P1" s="9"/>
      <c r="Q1" s="8"/>
      <c r="R1" s="8"/>
      <c r="S1" s="8"/>
      <c r="T1" s="10"/>
      <c r="U1" s="10"/>
      <c r="V1" s="10"/>
      <c r="W1" s="10"/>
      <c r="X1" s="10"/>
      <c r="Y1" s="10"/>
      <c r="Z1" s="10"/>
      <c r="AA1" s="10"/>
      <c r="AB1" s="10"/>
    </row>
    <row r="2" spans="1:29" ht="24.75" customHeight="1" thickBot="1">
      <c r="A2" s="596" t="s">
        <v>112</v>
      </c>
      <c r="B2" s="597"/>
      <c r="C2" s="597"/>
      <c r="D2" s="597"/>
      <c r="E2" s="598"/>
      <c r="F2" s="350"/>
      <c r="G2" s="322" t="s">
        <v>157</v>
      </c>
      <c r="H2" s="351">
        <v>0.95</v>
      </c>
      <c r="I2" s="350"/>
      <c r="J2" s="12"/>
      <c r="K2" s="6"/>
      <c r="L2" s="13"/>
      <c r="M2" s="13"/>
      <c r="N2" s="14"/>
      <c r="O2" s="14"/>
      <c r="P2" s="15"/>
      <c r="Q2" s="14"/>
      <c r="R2" s="14"/>
      <c r="S2" s="14"/>
      <c r="T2" s="14"/>
      <c r="U2" s="14"/>
      <c r="V2" s="14"/>
      <c r="W2" s="16"/>
      <c r="X2" s="16"/>
      <c r="Y2" s="16"/>
      <c r="Z2" s="16"/>
      <c r="AA2" s="16"/>
      <c r="AB2" s="16"/>
      <c r="AC2" s="16"/>
    </row>
    <row r="3" spans="1:29" ht="24.75" customHeight="1">
      <c r="A3" s="599" t="s">
        <v>158</v>
      </c>
      <c r="B3" s="600"/>
      <c r="C3" s="600"/>
      <c r="D3" s="600"/>
      <c r="E3" s="601"/>
      <c r="F3" s="352"/>
      <c r="G3" s="352"/>
      <c r="H3" s="352"/>
      <c r="I3" s="352"/>
      <c r="J3" s="12"/>
      <c r="K3" s="6"/>
      <c r="L3" s="13"/>
      <c r="M3" s="13"/>
      <c r="N3" s="14"/>
      <c r="O3" s="14"/>
      <c r="P3" s="15"/>
      <c r="Q3" s="14"/>
      <c r="R3" s="14"/>
      <c r="S3" s="14"/>
      <c r="T3" s="14"/>
      <c r="U3" s="14"/>
      <c r="V3" s="14"/>
      <c r="W3" s="16"/>
      <c r="X3" s="16"/>
      <c r="Y3" s="16"/>
      <c r="Z3" s="16"/>
      <c r="AA3" s="16"/>
      <c r="AB3" s="16"/>
      <c r="AC3" s="16"/>
    </row>
    <row r="4" spans="1:29" ht="12.75" customHeight="1">
      <c r="A4" s="113"/>
      <c r="B4" s="114"/>
      <c r="C4" s="7"/>
      <c r="D4" s="7"/>
      <c r="E4" s="17"/>
      <c r="F4" s="18"/>
      <c r="G4" s="112"/>
      <c r="H4" s="112"/>
      <c r="I4" s="548"/>
      <c r="J4" s="548"/>
      <c r="K4" s="19"/>
      <c r="N4" s="14"/>
      <c r="O4" s="14"/>
      <c r="P4" s="20"/>
      <c r="Q4" s="14"/>
      <c r="R4" s="14"/>
      <c r="S4" s="18"/>
      <c r="U4" s="21"/>
      <c r="V4" s="21"/>
      <c r="W4" s="16"/>
      <c r="X4" s="21"/>
      <c r="Y4" s="22"/>
      <c r="Z4" s="16"/>
      <c r="AA4" s="16"/>
      <c r="AB4" s="16"/>
      <c r="AC4" s="16"/>
    </row>
    <row r="5" spans="1:29" ht="12.75">
      <c r="A5" s="255" t="s">
        <v>84</v>
      </c>
      <c r="B5" s="116"/>
      <c r="C5" s="119" t="s">
        <v>19</v>
      </c>
      <c r="D5" s="119" t="s">
        <v>20</v>
      </c>
      <c r="E5" s="117"/>
      <c r="G5" s="268"/>
      <c r="H5" s="268"/>
      <c r="I5" s="548"/>
      <c r="J5" s="548"/>
      <c r="K5" s="248"/>
      <c r="L5" s="248"/>
      <c r="M5" s="248"/>
      <c r="N5" s="14"/>
      <c r="O5" s="14"/>
      <c r="P5" s="14"/>
      <c r="Q5" s="14"/>
      <c r="R5" s="14"/>
      <c r="S5" s="18"/>
      <c r="U5" s="21"/>
      <c r="V5" s="21"/>
      <c r="W5" s="16"/>
      <c r="X5" s="21"/>
      <c r="Y5" s="22"/>
      <c r="Z5" s="16"/>
      <c r="AA5" s="16"/>
      <c r="AB5" s="16"/>
      <c r="AC5" s="16"/>
    </row>
    <row r="6" spans="1:29" ht="12.75">
      <c r="A6" s="255"/>
      <c r="B6" s="118"/>
      <c r="C6" s="157" t="s">
        <v>3</v>
      </c>
      <c r="D6" s="157" t="s">
        <v>2</v>
      </c>
      <c r="E6" s="158" t="s">
        <v>21</v>
      </c>
      <c r="G6" s="268"/>
      <c r="H6" s="268"/>
      <c r="I6" s="548"/>
      <c r="J6" s="548"/>
      <c r="K6" s="489"/>
      <c r="L6" s="489"/>
      <c r="M6" s="248"/>
      <c r="N6" s="14"/>
      <c r="O6" s="14"/>
      <c r="P6" s="14"/>
      <c r="Q6" s="14"/>
      <c r="R6" s="14"/>
      <c r="S6" s="18"/>
      <c r="U6" s="21"/>
      <c r="V6" s="21"/>
      <c r="W6" s="16"/>
      <c r="X6" s="21"/>
      <c r="Y6" s="16"/>
      <c r="Z6" s="16"/>
      <c r="AA6" s="16"/>
      <c r="AB6" s="16"/>
      <c r="AC6" s="16"/>
    </row>
    <row r="7" spans="1:29" ht="12.75" customHeight="1">
      <c r="A7" s="255"/>
      <c r="B7" s="120" t="s">
        <v>116</v>
      </c>
      <c r="C7" s="162">
        <v>216</v>
      </c>
      <c r="D7" s="163">
        <f>E7-C7</f>
        <v>4733</v>
      </c>
      <c r="E7" s="164">
        <v>4949</v>
      </c>
      <c r="F7" s="272"/>
      <c r="G7" s="272"/>
      <c r="H7" s="272"/>
      <c r="I7" s="352"/>
      <c r="J7" s="272"/>
      <c r="K7" s="490"/>
      <c r="L7" s="490"/>
      <c r="M7" s="248"/>
      <c r="N7" s="14"/>
      <c r="O7" s="14"/>
      <c r="P7" s="14"/>
      <c r="Q7" s="14"/>
      <c r="R7" s="14"/>
      <c r="S7" s="18"/>
      <c r="U7" s="21"/>
      <c r="V7" s="21"/>
      <c r="W7" s="16"/>
      <c r="X7" s="21"/>
      <c r="Y7" s="16"/>
      <c r="Z7" s="16"/>
      <c r="AA7" s="16"/>
      <c r="AB7" s="16"/>
      <c r="AC7" s="16"/>
    </row>
    <row r="8" spans="1:29" ht="12.75" customHeight="1">
      <c r="A8" s="255"/>
      <c r="B8" s="120" t="s">
        <v>117</v>
      </c>
      <c r="C8" s="162">
        <v>192</v>
      </c>
      <c r="D8" s="163">
        <f>E8-C8</f>
        <v>4760</v>
      </c>
      <c r="E8" s="164">
        <v>4952</v>
      </c>
      <c r="F8" s="272"/>
      <c r="G8" s="272"/>
      <c r="H8" s="272"/>
      <c r="I8" s="352"/>
      <c r="J8" s="272"/>
      <c r="K8" s="248"/>
      <c r="L8" s="249"/>
      <c r="M8" s="248"/>
      <c r="N8" s="14"/>
      <c r="O8" s="14"/>
      <c r="P8" s="14"/>
      <c r="Q8" s="14"/>
      <c r="R8" s="14"/>
      <c r="S8" s="18"/>
      <c r="U8" s="21"/>
      <c r="V8" s="21"/>
      <c r="W8" s="16"/>
      <c r="X8" s="21"/>
      <c r="Y8" s="16"/>
      <c r="Z8" s="16"/>
      <c r="AA8" s="16"/>
      <c r="AB8" s="16"/>
      <c r="AC8" s="16"/>
    </row>
    <row r="9" spans="1:29" ht="12.75">
      <c r="A9" s="537"/>
      <c r="B9" s="115" t="s">
        <v>21</v>
      </c>
      <c r="C9" s="159">
        <f>SUM(C7:C8)</f>
        <v>408</v>
      </c>
      <c r="D9" s="160">
        <f>SUM(D7:D8)</f>
        <v>9493</v>
      </c>
      <c r="E9" s="161">
        <f>SUM(E7:E8)</f>
        <v>9901</v>
      </c>
      <c r="F9" s="272"/>
      <c r="G9" s="272"/>
      <c r="H9" s="272"/>
      <c r="I9" s="352"/>
      <c r="J9" s="272"/>
      <c r="K9" s="248"/>
      <c r="L9" s="249"/>
      <c r="M9" s="248"/>
      <c r="O9" s="26"/>
      <c r="P9" s="27"/>
      <c r="Q9" s="27"/>
      <c r="R9" s="27"/>
      <c r="S9" s="21"/>
      <c r="U9" s="21"/>
      <c r="V9" s="21"/>
      <c r="W9" s="16"/>
      <c r="X9" s="21"/>
      <c r="Y9" s="16"/>
      <c r="Z9" s="16"/>
      <c r="AA9" s="16"/>
      <c r="AB9" s="16"/>
      <c r="AC9" s="16"/>
    </row>
    <row r="10" spans="1:29" ht="12.75" customHeight="1" hidden="1">
      <c r="A10" s="110"/>
      <c r="B10" s="28"/>
      <c r="C10" s="29"/>
      <c r="D10" s="25"/>
      <c r="E10" s="25"/>
      <c r="F10" s="248"/>
      <c r="G10" s="248"/>
      <c r="H10" s="272"/>
      <c r="I10" s="272"/>
      <c r="J10" s="272"/>
      <c r="K10" s="248"/>
      <c r="L10" s="249"/>
      <c r="M10" s="248"/>
      <c r="O10" s="26"/>
      <c r="P10" s="27"/>
      <c r="Q10" s="27"/>
      <c r="R10" s="27"/>
      <c r="S10" s="21"/>
      <c r="U10" s="21"/>
      <c r="V10" s="21"/>
      <c r="W10" s="16"/>
      <c r="X10" s="21"/>
      <c r="Y10" s="16"/>
      <c r="Z10" s="16"/>
      <c r="AA10" s="16"/>
      <c r="AB10" s="16"/>
      <c r="AC10" s="16"/>
    </row>
    <row r="11" spans="1:22" s="11" customFormat="1" ht="14.25" customHeight="1" hidden="1">
      <c r="A11" s="256" t="s">
        <v>159</v>
      </c>
      <c r="B11" s="31"/>
      <c r="C11" s="32"/>
      <c r="D11" s="8"/>
      <c r="E11" s="24"/>
      <c r="F11" s="273"/>
      <c r="G11" s="249"/>
      <c r="H11" s="273"/>
      <c r="I11" s="249"/>
      <c r="J11" s="252"/>
      <c r="K11" s="252"/>
      <c r="L11" s="273"/>
      <c r="M11" s="252"/>
      <c r="O11" s="8"/>
      <c r="P11" s="34"/>
      <c r="Q11" s="34"/>
      <c r="R11" s="34"/>
      <c r="S11" s="8"/>
      <c r="T11" s="8"/>
      <c r="U11" s="8"/>
      <c r="V11" s="8"/>
    </row>
    <row r="12" spans="1:22" s="11" customFormat="1" ht="12.75" customHeight="1" hidden="1">
      <c r="A12" s="110" t="s">
        <v>118</v>
      </c>
      <c r="B12" s="31"/>
      <c r="C12" s="32"/>
      <c r="D12" s="8"/>
      <c r="E12" s="24"/>
      <c r="F12" s="273"/>
      <c r="G12" s="249"/>
      <c r="H12" s="273"/>
      <c r="I12" s="249"/>
      <c r="J12" s="274"/>
      <c r="K12" s="252"/>
      <c r="L12" s="252"/>
      <c r="M12" s="252"/>
      <c r="O12" s="8"/>
      <c r="P12" s="9"/>
      <c r="Q12" s="9"/>
      <c r="R12" s="9"/>
      <c r="S12" s="8"/>
      <c r="T12" s="8"/>
      <c r="U12" s="8"/>
      <c r="V12" s="8"/>
    </row>
    <row r="13" spans="1:22" s="11" customFormat="1" ht="45" customHeight="1" hidden="1">
      <c r="A13" s="168" t="s">
        <v>24</v>
      </c>
      <c r="B13" s="168" t="s">
        <v>119</v>
      </c>
      <c r="C13" s="168" t="s">
        <v>135</v>
      </c>
      <c r="D13" s="168" t="s">
        <v>120</v>
      </c>
      <c r="E13" s="168" t="s">
        <v>121</v>
      </c>
      <c r="F13" s="168" t="s">
        <v>4</v>
      </c>
      <c r="G13" s="168" t="s">
        <v>136</v>
      </c>
      <c r="H13" s="168" t="s">
        <v>137</v>
      </c>
      <c r="I13" s="249"/>
      <c r="J13" s="275" t="s">
        <v>54</v>
      </c>
      <c r="K13" s="276" t="s">
        <v>0</v>
      </c>
      <c r="L13" s="276" t="s">
        <v>1</v>
      </c>
      <c r="M13" s="252"/>
      <c r="O13" s="8"/>
      <c r="P13" s="8"/>
      <c r="Q13" s="8"/>
      <c r="R13" s="8"/>
      <c r="S13" s="8"/>
      <c r="T13" s="8"/>
      <c r="U13" s="8"/>
      <c r="V13" s="8"/>
    </row>
    <row r="14" spans="1:22" s="11" customFormat="1" ht="12.75" customHeight="1" hidden="1">
      <c r="A14" s="165">
        <f>LN((C7/E7)/(C8/E8))</f>
        <v>0.11838903506892931</v>
      </c>
      <c r="B14" s="165">
        <f>SQRT((D7/(C7*E7)+(D8/(C8*E8))))</f>
        <v>0.09712859172186031</v>
      </c>
      <c r="C14" s="353">
        <f>-NORMSINV((1-H2)/2)</f>
        <v>1.9599639845400536</v>
      </c>
      <c r="D14" s="166">
        <f>A14-(C14*B14)</f>
        <v>-0.07197950657501209</v>
      </c>
      <c r="E14" s="167">
        <f>A14+(C14*B14)</f>
        <v>0.30875757671287074</v>
      </c>
      <c r="F14" s="278">
        <f>(C7/E7)/(C8/E8)</f>
        <v>1.125681955950697</v>
      </c>
      <c r="G14" s="278">
        <f>EXP(D14)</f>
        <v>0.9305499657717217</v>
      </c>
      <c r="H14" s="278">
        <f>EXP(E14)</f>
        <v>1.3617322148866113</v>
      </c>
      <c r="I14" s="249"/>
      <c r="J14" s="277">
        <f>1-F14</f>
        <v>-0.12568195595069698</v>
      </c>
      <c r="K14" s="278">
        <f>1-G14</f>
        <v>0.06945003422827833</v>
      </c>
      <c r="L14" s="278">
        <f>1-H14</f>
        <v>-0.36173221488661134</v>
      </c>
      <c r="M14" s="279"/>
      <c r="O14" s="8"/>
      <c r="P14" s="8"/>
      <c r="Q14" s="8"/>
      <c r="R14" s="8"/>
      <c r="S14" s="8"/>
      <c r="T14" s="8"/>
      <c r="U14" s="8"/>
      <c r="V14" s="8"/>
    </row>
    <row r="15" spans="1:22" s="11" customFormat="1" ht="12.75" customHeight="1" hidden="1">
      <c r="A15" s="257"/>
      <c r="B15" s="31"/>
      <c r="C15" s="31"/>
      <c r="D15" s="31"/>
      <c r="E15" s="35"/>
      <c r="F15" s="306"/>
      <c r="G15" s="249"/>
      <c r="H15" s="273"/>
      <c r="I15" s="249"/>
      <c r="J15" s="273"/>
      <c r="K15" s="273"/>
      <c r="L15" s="273"/>
      <c r="M15" s="252"/>
      <c r="O15" s="8"/>
      <c r="P15" s="8"/>
      <c r="Q15" s="8"/>
      <c r="R15" s="8"/>
      <c r="S15" s="8"/>
      <c r="T15" s="8"/>
      <c r="U15" s="8"/>
      <c r="V15" s="8"/>
    </row>
    <row r="16" spans="1:13" s="16" customFormat="1" ht="12.75" customHeight="1" hidden="1">
      <c r="A16" s="109"/>
      <c r="B16" s="36"/>
      <c r="C16" s="37"/>
      <c r="D16" s="38"/>
      <c r="E16" s="39"/>
      <c r="F16" s="307"/>
      <c r="G16" s="308"/>
      <c r="H16" s="280"/>
      <c r="I16" s="280"/>
      <c r="J16" s="281"/>
      <c r="K16" s="281"/>
      <c r="L16" s="282"/>
      <c r="M16" s="282"/>
    </row>
    <row r="17" spans="1:28" ht="15.75" customHeight="1" hidden="1">
      <c r="A17" s="43" t="s">
        <v>166</v>
      </c>
      <c r="B17" s="8"/>
      <c r="C17" s="356"/>
      <c r="D17" s="356"/>
      <c r="E17" s="7"/>
      <c r="F17" s="7"/>
      <c r="G17" s="361"/>
      <c r="H17" s="44"/>
      <c r="I17" s="362"/>
      <c r="J17" s="362"/>
      <c r="K17" s="11"/>
      <c r="L17" s="252"/>
      <c r="M17" s="249"/>
      <c r="N17" s="44"/>
      <c r="O17" s="8"/>
      <c r="P17" s="8"/>
      <c r="Q17" s="45"/>
      <c r="R17" s="44"/>
      <c r="S17" s="46"/>
      <c r="T17" s="46"/>
      <c r="U17" s="46"/>
      <c r="V17" s="16"/>
      <c r="W17" s="16"/>
      <c r="X17" s="16"/>
      <c r="Y17" s="16"/>
      <c r="Z17" s="16"/>
      <c r="AA17" s="16"/>
      <c r="AB17" s="16"/>
    </row>
    <row r="18" spans="1:27" ht="12.75" customHeight="1" hidden="1">
      <c r="A18" s="50" t="s">
        <v>167</v>
      </c>
      <c r="B18" s="8"/>
      <c r="C18" s="44"/>
      <c r="D18" s="44"/>
      <c r="E18" s="8"/>
      <c r="F18" s="8"/>
      <c r="G18" s="45"/>
      <c r="H18" s="44"/>
      <c r="I18" s="46"/>
      <c r="J18" s="46"/>
      <c r="K18" s="46"/>
      <c r="L18" s="252"/>
      <c r="M18" s="249"/>
      <c r="N18" s="8"/>
      <c r="O18" s="8"/>
      <c r="P18" s="45"/>
      <c r="Q18" s="44"/>
      <c r="R18" s="46"/>
      <c r="S18" s="46"/>
      <c r="T18" s="46"/>
      <c r="V18" s="16" t="s">
        <v>26</v>
      </c>
      <c r="W18" s="16"/>
      <c r="X18" s="16"/>
      <c r="Y18" s="16"/>
      <c r="Z18" s="16"/>
      <c r="AA18" s="16"/>
    </row>
    <row r="19" spans="1:29" ht="25.5" customHeight="1" hidden="1">
      <c r="A19" s="363" t="s">
        <v>168</v>
      </c>
      <c r="B19" s="4" t="s">
        <v>8</v>
      </c>
      <c r="C19" s="11"/>
      <c r="D19" s="4" t="s">
        <v>169</v>
      </c>
      <c r="F19" s="4" t="s">
        <v>6</v>
      </c>
      <c r="H19" s="4" t="s">
        <v>7</v>
      </c>
      <c r="I19" s="46"/>
      <c r="J19" s="46"/>
      <c r="K19" s="46"/>
      <c r="L19" s="252"/>
      <c r="M19" s="281"/>
      <c r="O19" s="4"/>
      <c r="S19" s="16"/>
      <c r="U19" s="4"/>
      <c r="V19" s="4" t="s">
        <v>27</v>
      </c>
      <c r="X19" s="16"/>
      <c r="Y19" s="16"/>
      <c r="Z19" s="16"/>
      <c r="AA19" s="16"/>
      <c r="AB19" s="16"/>
      <c r="AC19" s="16"/>
    </row>
    <row r="20" spans="1:29" ht="38.25" customHeight="1" hidden="1">
      <c r="A20" s="168" t="s">
        <v>170</v>
      </c>
      <c r="B20" s="168" t="s">
        <v>25</v>
      </c>
      <c r="C20" s="295" t="s">
        <v>9</v>
      </c>
      <c r="D20" s="295" t="s">
        <v>8</v>
      </c>
      <c r="E20" s="295" t="s">
        <v>171</v>
      </c>
      <c r="F20" s="295" t="s">
        <v>6</v>
      </c>
      <c r="G20" s="295" t="s">
        <v>7</v>
      </c>
      <c r="H20" s="309" t="s">
        <v>172</v>
      </c>
      <c r="I20" s="295" t="s">
        <v>173</v>
      </c>
      <c r="J20" s="295" t="s">
        <v>0</v>
      </c>
      <c r="K20" s="295" t="s">
        <v>1</v>
      </c>
      <c r="L20" s="310"/>
      <c r="M20" s="283"/>
      <c r="N20" s="187" t="s">
        <v>12</v>
      </c>
      <c r="O20" s="188" t="s">
        <v>109</v>
      </c>
      <c r="P20" s="173"/>
      <c r="Q20" s="174"/>
      <c r="R20" s="199"/>
      <c r="S20" s="199"/>
      <c r="T20" s="200"/>
      <c r="V20" s="186"/>
      <c r="W20" s="187" t="s">
        <v>108</v>
      </c>
      <c r="X20" s="188" t="s">
        <v>160</v>
      </c>
      <c r="Y20" s="169"/>
      <c r="Z20" s="169"/>
      <c r="AA20" s="169" t="s">
        <v>131</v>
      </c>
      <c r="AB20" s="169"/>
      <c r="AC20" s="170"/>
    </row>
    <row r="21" spans="1:29" ht="12.75" customHeight="1" hidden="1">
      <c r="A21" s="364">
        <f>C7</f>
        <v>216</v>
      </c>
      <c r="B21" s="365">
        <f>E7</f>
        <v>4949</v>
      </c>
      <c r="C21" s="366">
        <f>A21/B21</f>
        <v>0.04364518084461507</v>
      </c>
      <c r="D21" s="367">
        <f>2*A21+H21^2</f>
        <v>435.84145882069413</v>
      </c>
      <c r="E21" s="367">
        <f>H21*SQRT((H21^2)+(4*A21*(1-C21)))</f>
        <v>56.47050540278364</v>
      </c>
      <c r="F21" s="368">
        <f>2*(B21+H21^2)</f>
        <v>9905.682917641388</v>
      </c>
      <c r="G21" s="369" t="s">
        <v>10</v>
      </c>
      <c r="H21" s="353">
        <f>-NORMSINV((1-H2)/2)</f>
        <v>1.9599639845400536</v>
      </c>
      <c r="I21" s="370">
        <f>C21</f>
        <v>0.04364518084461507</v>
      </c>
      <c r="J21" s="370">
        <f>(D21-E21)/F21</f>
        <v>0.03829831386408251</v>
      </c>
      <c r="K21" s="370">
        <f>(D21+E21)/F21</f>
        <v>0.04969995186770027</v>
      </c>
      <c r="L21" s="310"/>
      <c r="M21" s="284">
        <f>E9/2</f>
        <v>4950.5</v>
      </c>
      <c r="N21" s="23" t="s">
        <v>13</v>
      </c>
      <c r="O21" s="8"/>
      <c r="P21" s="45"/>
      <c r="Q21" s="44"/>
      <c r="R21" s="46"/>
      <c r="S21" s="46"/>
      <c r="T21" s="176"/>
      <c r="V21" s="195">
        <f>ABS(C21-C22)</f>
        <v>0.004872967597442213</v>
      </c>
      <c r="W21" s="23" t="s">
        <v>134</v>
      </c>
      <c r="X21" s="8"/>
      <c r="Y21" s="23"/>
      <c r="Z21" s="23"/>
      <c r="AA21" s="23" t="s">
        <v>129</v>
      </c>
      <c r="AB21" s="23"/>
      <c r="AC21" s="182"/>
    </row>
    <row r="22" spans="1:29" ht="14.25" customHeight="1" hidden="1">
      <c r="A22" s="364">
        <f>C8</f>
        <v>192</v>
      </c>
      <c r="B22" s="365">
        <f>E8</f>
        <v>4952</v>
      </c>
      <c r="C22" s="366">
        <f>A22/B22</f>
        <v>0.03877221324717286</v>
      </c>
      <c r="D22" s="367">
        <f>2*A22+H22^2</f>
        <v>387.84145882069413</v>
      </c>
      <c r="E22" s="367">
        <f>H22*SQRT((H22^2)+(4*A22*(1-C22)))</f>
        <v>53.39110254753749</v>
      </c>
      <c r="F22" s="368">
        <f>2*(B22+H22^2)</f>
        <v>9911.682917641388</v>
      </c>
      <c r="G22" s="369" t="s">
        <v>10</v>
      </c>
      <c r="H22" s="353">
        <f>-NORMSINV((1-H2)/2)</f>
        <v>1.9599639845400536</v>
      </c>
      <c r="I22" s="370">
        <f>C22</f>
        <v>0.03877221324717286</v>
      </c>
      <c r="J22" s="370">
        <f>(D22-E22)/F22</f>
        <v>0.03374304435000462</v>
      </c>
      <c r="K22" s="370">
        <f>(D22+E22)/F22</f>
        <v>0.044516412100199486</v>
      </c>
      <c r="L22" s="310"/>
      <c r="M22" s="285">
        <f>I26</f>
        <v>-0.004872967597442213</v>
      </c>
      <c r="N22" s="23" t="s">
        <v>14</v>
      </c>
      <c r="O22" s="23"/>
      <c r="P22" s="23"/>
      <c r="Q22" s="23"/>
      <c r="R22" s="23"/>
      <c r="S22" s="23"/>
      <c r="T22" s="171"/>
      <c r="V22" s="189">
        <f>SQRT((C23*(1-C23)/B21)+(C23*(1-C23)/B22))</f>
        <v>0.0039952434374981105</v>
      </c>
      <c r="W22" s="50" t="s">
        <v>127</v>
      </c>
      <c r="X22" s="23"/>
      <c r="Y22" s="23"/>
      <c r="Z22" s="23"/>
      <c r="AA22" s="23"/>
      <c r="AB22" s="23"/>
      <c r="AC22" s="182"/>
    </row>
    <row r="23" spans="1:29" ht="12.75" customHeight="1" hidden="1">
      <c r="A23" s="364">
        <f>C9</f>
        <v>408</v>
      </c>
      <c r="B23" s="365">
        <f>E9</f>
        <v>9901</v>
      </c>
      <c r="C23" s="366">
        <f>A23/B23</f>
        <v>0.041207958792041206</v>
      </c>
      <c r="D23" s="367">
        <f>2*A23+H23^2</f>
        <v>819.8414588206941</v>
      </c>
      <c r="E23" s="367">
        <f>H23*SQRT((H23^2)+(4*A23*(1-C23)))</f>
        <v>77.62521601085318</v>
      </c>
      <c r="F23" s="368">
        <f>2*(B23+H23^2)</f>
        <v>19809.68291764139</v>
      </c>
      <c r="G23" s="369" t="s">
        <v>10</v>
      </c>
      <c r="H23" s="353">
        <f>-NORMSINV((1-H2)/2)</f>
        <v>1.9599639845400536</v>
      </c>
      <c r="I23" s="370">
        <f>C23</f>
        <v>0.041207958792041206</v>
      </c>
      <c r="J23" s="370">
        <f>(D23-E23)/F23</f>
        <v>0.03746734593863009</v>
      </c>
      <c r="K23" s="370">
        <f>(D23+E23)/F23</f>
        <v>0.045304444223704055</v>
      </c>
      <c r="L23" s="310"/>
      <c r="M23" s="286">
        <f>(A21+A22)/(B21+B22)</f>
        <v>0.041207958792041206</v>
      </c>
      <c r="N23" s="23" t="s">
        <v>5</v>
      </c>
      <c r="O23" s="8"/>
      <c r="P23" s="45"/>
      <c r="Q23" s="44"/>
      <c r="R23" s="46"/>
      <c r="S23" s="46"/>
      <c r="T23" s="182"/>
      <c r="V23" s="190">
        <f>V21/V22</f>
        <v>1.2196922850072305</v>
      </c>
      <c r="W23" s="23" t="s">
        <v>43</v>
      </c>
      <c r="X23" s="8"/>
      <c r="Y23" s="23"/>
      <c r="Z23" s="23"/>
      <c r="AA23" s="23"/>
      <c r="AB23" s="23"/>
      <c r="AC23" s="182"/>
    </row>
    <row r="24" spans="1:29" ht="15" customHeight="1" hidden="1">
      <c r="A24" s="110"/>
      <c r="B24" s="354" t="s">
        <v>11</v>
      </c>
      <c r="E24" s="40"/>
      <c r="F24" s="280"/>
      <c r="G24" s="280"/>
      <c r="H24" s="280"/>
      <c r="I24" s="280"/>
      <c r="J24" s="281"/>
      <c r="K24" s="248"/>
      <c r="L24" s="310"/>
      <c r="M24" s="287">
        <f>SQRT(M21*M22^2/(2*M23*(1-M23)))-H21</f>
        <v>-0.7402716435435668</v>
      </c>
      <c r="N24" s="23" t="s">
        <v>161</v>
      </c>
      <c r="O24" s="23"/>
      <c r="P24" s="23"/>
      <c r="Q24" s="23"/>
      <c r="R24" s="23"/>
      <c r="S24" s="11"/>
      <c r="T24" s="176"/>
      <c r="V24" s="191">
        <f>NORMSDIST(-V23)</f>
        <v>0.11129077366781759</v>
      </c>
      <c r="W24" s="43" t="s">
        <v>128</v>
      </c>
      <c r="X24" s="23"/>
      <c r="Y24" s="11"/>
      <c r="Z24" s="11"/>
      <c r="AA24" s="11"/>
      <c r="AB24" s="11"/>
      <c r="AC24" s="171"/>
    </row>
    <row r="25" spans="1:29" ht="13.5" customHeight="1" hidden="1">
      <c r="A25" s="110"/>
      <c r="B25" s="354" t="s">
        <v>162</v>
      </c>
      <c r="C25" s="30"/>
      <c r="D25" s="42"/>
      <c r="E25" s="40"/>
      <c r="F25" s="280"/>
      <c r="G25" s="248"/>
      <c r="H25" s="248"/>
      <c r="I25" s="288"/>
      <c r="J25" s="288"/>
      <c r="K25" s="288"/>
      <c r="L25" s="310"/>
      <c r="M25" s="289">
        <f>NORMSDIST(M24)</f>
        <v>0.22956759170837857</v>
      </c>
      <c r="N25" s="43" t="s">
        <v>15</v>
      </c>
      <c r="O25" s="51"/>
      <c r="P25" s="23"/>
      <c r="Q25" s="23"/>
      <c r="R25" s="23"/>
      <c r="S25" s="23"/>
      <c r="T25" s="182"/>
      <c r="V25" s="192">
        <f>1-V24</f>
        <v>0.8887092263321824</v>
      </c>
      <c r="W25" s="52" t="s">
        <v>130</v>
      </c>
      <c r="X25" s="51"/>
      <c r="Y25" s="11"/>
      <c r="Z25" s="11"/>
      <c r="AA25" s="11"/>
      <c r="AB25" s="11"/>
      <c r="AC25" s="171"/>
    </row>
    <row r="26" spans="5:29" ht="15" customHeight="1" hidden="1">
      <c r="E26" s="53"/>
      <c r="F26" s="248"/>
      <c r="G26" s="248"/>
      <c r="H26" s="322" t="s">
        <v>22</v>
      </c>
      <c r="I26" s="355">
        <f>C22-C21</f>
        <v>-0.004872967597442213</v>
      </c>
      <c r="J26" s="371">
        <f>I26+SQRT((C22-J22)^2+(K21-C21)^2)</f>
        <v>0.00299804199080227</v>
      </c>
      <c r="K26" s="372">
        <f>I26-SQRT((C21-J21)^2+(K22-C22)^2)</f>
        <v>-0.012720566400300436</v>
      </c>
      <c r="L26" s="272"/>
      <c r="M26" s="290">
        <f>1-M25</f>
        <v>0.7704324082916214</v>
      </c>
      <c r="N26" s="201" t="s">
        <v>132</v>
      </c>
      <c r="O26" s="177"/>
      <c r="P26" s="178"/>
      <c r="Q26" s="177"/>
      <c r="R26" s="177"/>
      <c r="S26" s="177"/>
      <c r="T26" s="181"/>
      <c r="V26" s="193"/>
      <c r="W26" s="172"/>
      <c r="X26" s="177"/>
      <c r="Y26" s="172"/>
      <c r="Z26" s="172"/>
      <c r="AA26" s="172"/>
      <c r="AB26" s="172"/>
      <c r="AC26" s="194"/>
    </row>
    <row r="27" spans="5:28" ht="13.5" customHeight="1" hidden="1">
      <c r="E27" s="55"/>
      <c r="F27" s="248"/>
      <c r="G27" s="248"/>
      <c r="H27" s="322" t="s">
        <v>23</v>
      </c>
      <c r="I27" s="373">
        <f>1/I26</f>
        <v>-205.2137593783495</v>
      </c>
      <c r="J27" s="374">
        <f>1/J26</f>
        <v>333.55103199618696</v>
      </c>
      <c r="K27" s="375">
        <f>1/K26</f>
        <v>-78.6128517026083</v>
      </c>
      <c r="L27" s="272"/>
      <c r="M27" s="248"/>
      <c r="N27" s="4"/>
      <c r="O27" s="4"/>
      <c r="T27" s="4"/>
      <c r="U27" s="4"/>
      <c r="V27" s="16"/>
      <c r="W27" s="16"/>
      <c r="X27" s="16"/>
      <c r="Y27" s="16"/>
      <c r="Z27" s="16"/>
      <c r="AA27" s="16"/>
      <c r="AB27" s="16"/>
    </row>
    <row r="28" spans="6:21" ht="14.25" customHeight="1" hidden="1">
      <c r="F28" s="248"/>
      <c r="G28" s="248"/>
      <c r="J28" s="292"/>
      <c r="K28" s="292"/>
      <c r="L28" s="293"/>
      <c r="M28" s="283"/>
      <c r="N28" s="196"/>
      <c r="O28" s="196" t="s">
        <v>127</v>
      </c>
      <c r="P28" s="197">
        <f>SQRT((C23*(1-C23)/B21)+(C23*(1-C23)/B22))</f>
        <v>0.0039952434374981105</v>
      </c>
      <c r="Q28" s="198"/>
      <c r="R28" s="198"/>
      <c r="S28" s="198"/>
      <c r="T28" s="170"/>
      <c r="U28" s="4"/>
    </row>
    <row r="29" spans="5:21" ht="31.5" customHeight="1" hidden="1">
      <c r="E29" s="376"/>
      <c r="F29" s="377"/>
      <c r="G29" s="378" t="s">
        <v>75</v>
      </c>
      <c r="H29" s="379" t="s">
        <v>66</v>
      </c>
      <c r="I29" s="380">
        <f>I27</f>
        <v>-205.2137593783495</v>
      </c>
      <c r="J29" s="380">
        <f>J27</f>
        <v>333.55103199618696</v>
      </c>
      <c r="K29" s="380">
        <f>K27</f>
        <v>-78.6128517026083</v>
      </c>
      <c r="L29" s="248"/>
      <c r="M29" s="296" t="s">
        <v>125</v>
      </c>
      <c r="N29" s="184"/>
      <c r="O29" s="23" t="s">
        <v>123</v>
      </c>
      <c r="P29" s="23"/>
      <c r="Q29" s="45"/>
      <c r="R29" s="183" t="s">
        <v>126</v>
      </c>
      <c r="S29" s="23"/>
      <c r="T29" s="182"/>
      <c r="U29" s="4"/>
    </row>
    <row r="30" spans="5:20" s="11" customFormat="1" ht="14.25" customHeight="1" hidden="1">
      <c r="E30" s="57"/>
      <c r="F30" s="381"/>
      <c r="G30" s="382"/>
      <c r="H30" s="383" t="s">
        <v>79</v>
      </c>
      <c r="I30" s="384">
        <f>(1-C22)*I27</f>
        <v>-197.2571677384781</v>
      </c>
      <c r="J30" s="384">
        <f>(1-C22)*J27</f>
        <v>320.61852025481625</v>
      </c>
      <c r="K30" s="384">
        <f>(1-C22)*K27</f>
        <v>-75.5648574524264</v>
      </c>
      <c r="L30" s="248"/>
      <c r="M30" s="297"/>
      <c r="N30" s="175" t="s">
        <v>163</v>
      </c>
      <c r="P30" s="185" t="s">
        <v>122</v>
      </c>
      <c r="Q30" s="175" t="s">
        <v>164</v>
      </c>
      <c r="R30" s="23"/>
      <c r="S30" s="23"/>
      <c r="T30" s="171"/>
    </row>
    <row r="31" spans="5:20" s="11" customFormat="1" ht="14.25" customHeight="1" hidden="1">
      <c r="E31" s="58"/>
      <c r="F31" s="385"/>
      <c r="G31" s="386"/>
      <c r="H31" s="387" t="s">
        <v>82</v>
      </c>
      <c r="I31" s="388">
        <f>I27*I26</f>
        <v>1</v>
      </c>
      <c r="J31" s="388">
        <f>J27*J26</f>
        <v>1</v>
      </c>
      <c r="K31" s="388">
        <f>K27*K26</f>
        <v>1</v>
      </c>
      <c r="L31" s="252"/>
      <c r="M31" s="287">
        <f>ABS((I26/P28))-H21</f>
        <v>-0.7402716995328231</v>
      </c>
      <c r="N31" s="175" t="s">
        <v>165</v>
      </c>
      <c r="O31" s="23"/>
      <c r="P31" s="23"/>
      <c r="Q31" s="44"/>
      <c r="R31" s="46"/>
      <c r="S31" s="46"/>
      <c r="T31" s="176"/>
    </row>
    <row r="32" spans="1:20" s="11" customFormat="1" ht="12.75" customHeight="1" hidden="1">
      <c r="A32" s="259"/>
      <c r="B32" s="59"/>
      <c r="D32" s="33"/>
      <c r="F32" s="389"/>
      <c r="G32" s="390"/>
      <c r="H32" s="391" t="s">
        <v>83</v>
      </c>
      <c r="I32" s="392">
        <f>(C22-I26)*I27</f>
        <v>-8.956591639871386</v>
      </c>
      <c r="J32" s="392">
        <f>(C22-J26)*J27</f>
        <v>11.932511741370737</v>
      </c>
      <c r="K32" s="392">
        <f>(C22-K26)*K27</f>
        <v>-4.047994250181905</v>
      </c>
      <c r="L32" s="252"/>
      <c r="M32" s="289">
        <f>NORMSDIST(M31)</f>
        <v>0.22956757472525344</v>
      </c>
      <c r="N32" s="50" t="s">
        <v>124</v>
      </c>
      <c r="O32" s="51"/>
      <c r="P32" s="23"/>
      <c r="Q32" s="23"/>
      <c r="R32" s="23"/>
      <c r="S32" s="23"/>
      <c r="T32" s="171"/>
    </row>
    <row r="33" spans="1:20" s="11" customFormat="1" ht="12.75" customHeight="1" hidden="1">
      <c r="A33" s="259"/>
      <c r="F33" s="393"/>
      <c r="G33" s="394"/>
      <c r="H33" s="394"/>
      <c r="I33" s="395"/>
      <c r="J33" s="395"/>
      <c r="K33" s="395"/>
      <c r="L33" s="252"/>
      <c r="M33" s="290">
        <f>1-M32</f>
        <v>0.7704324252747465</v>
      </c>
      <c r="N33" s="177" t="s">
        <v>133</v>
      </c>
      <c r="O33" s="177"/>
      <c r="P33" s="178"/>
      <c r="Q33" s="179"/>
      <c r="R33" s="180"/>
      <c r="S33" s="180"/>
      <c r="T33" s="181"/>
    </row>
    <row r="34" spans="1:21" s="11" customFormat="1" ht="31.5" customHeight="1" hidden="1">
      <c r="A34" s="257"/>
      <c r="E34" s="32"/>
      <c r="F34" s="396"/>
      <c r="G34" s="378" t="s">
        <v>77</v>
      </c>
      <c r="H34" s="397" t="s">
        <v>174</v>
      </c>
      <c r="I34" s="398">
        <f>ABS(I27)</f>
        <v>205.2137593783495</v>
      </c>
      <c r="J34" s="398">
        <f>ABS(K27)</f>
        <v>78.6128517026083</v>
      </c>
      <c r="K34" s="398">
        <f>ABS(J27)</f>
        <v>333.55103199618696</v>
      </c>
      <c r="L34" s="252"/>
      <c r="M34" s="272"/>
      <c r="N34" s="23"/>
      <c r="O34" s="23"/>
      <c r="P34" s="23"/>
      <c r="Q34" s="23"/>
      <c r="R34" s="23"/>
      <c r="S34" s="23"/>
      <c r="T34" s="23"/>
      <c r="U34" s="23"/>
    </row>
    <row r="35" spans="1:21" s="11" customFormat="1" ht="13.5" customHeight="1" hidden="1">
      <c r="A35" s="257"/>
      <c r="F35" s="381"/>
      <c r="G35" s="382"/>
      <c r="H35" s="383" t="s">
        <v>79</v>
      </c>
      <c r="I35" s="384">
        <f>ABS((1-(C22-I26))*I27)</f>
        <v>196.2571677384781</v>
      </c>
      <c r="J35" s="384">
        <f>ABS((1-(C22-K26))*K27)</f>
        <v>74.56485745242638</v>
      </c>
      <c r="K35" s="384">
        <f>ABS((1-(C22-J26))*J27)</f>
        <v>321.6185202548162</v>
      </c>
      <c r="L35" s="252"/>
      <c r="M35" s="272"/>
      <c r="N35" s="23"/>
      <c r="O35" s="23"/>
      <c r="P35" s="23"/>
      <c r="Q35" s="23"/>
      <c r="R35" s="23"/>
      <c r="S35" s="23"/>
      <c r="T35" s="23"/>
      <c r="U35" s="23"/>
    </row>
    <row r="36" spans="1:21" s="11" customFormat="1" ht="12.75" customHeight="1" hidden="1">
      <c r="A36" s="257"/>
      <c r="E36" s="64"/>
      <c r="F36" s="399"/>
      <c r="G36" s="400"/>
      <c r="H36" s="401" t="s">
        <v>80</v>
      </c>
      <c r="I36" s="402">
        <f>I27*I26</f>
        <v>1</v>
      </c>
      <c r="J36" s="402">
        <f>K27*K26</f>
        <v>1</v>
      </c>
      <c r="K36" s="402">
        <f>J27*J26</f>
        <v>1</v>
      </c>
      <c r="L36" s="252"/>
      <c r="M36" s="272"/>
      <c r="N36" s="23"/>
      <c r="O36" s="23"/>
      <c r="P36" s="23"/>
      <c r="Q36" s="23"/>
      <c r="R36" s="23"/>
      <c r="S36" s="23"/>
      <c r="T36" s="23"/>
      <c r="U36" s="23"/>
    </row>
    <row r="37" spans="1:21" ht="15.75" customHeight="1" hidden="1">
      <c r="A37" s="403" t="s">
        <v>138</v>
      </c>
      <c r="B37" s="65"/>
      <c r="C37" s="65"/>
      <c r="D37" s="65"/>
      <c r="E37" s="60"/>
      <c r="F37" s="389"/>
      <c r="G37" s="390"/>
      <c r="H37" s="391" t="s">
        <v>81</v>
      </c>
      <c r="I37" s="392">
        <f>ABS(C22*I27)</f>
        <v>7.956591639871386</v>
      </c>
      <c r="J37" s="392">
        <f>ABS(C22*K27)</f>
        <v>3.0479942501819046</v>
      </c>
      <c r="K37" s="392">
        <f>ABS(C22*J27)</f>
        <v>12.932511741370739</v>
      </c>
      <c r="L37" s="248"/>
      <c r="M37" s="272"/>
      <c r="N37" s="23"/>
      <c r="O37" s="23"/>
      <c r="P37" s="23"/>
      <c r="Q37" s="23"/>
      <c r="R37" s="23"/>
      <c r="S37" s="23"/>
      <c r="T37" s="23"/>
      <c r="U37" s="23"/>
    </row>
    <row r="38" spans="1:17" s="16" customFormat="1" ht="12.75" customHeight="1" hidden="1">
      <c r="A38" s="110"/>
      <c r="B38" s="66" t="s">
        <v>19</v>
      </c>
      <c r="C38" s="67" t="s">
        <v>20</v>
      </c>
      <c r="D38" s="23"/>
      <c r="E38" s="60"/>
      <c r="F38" s="298"/>
      <c r="G38" s="299"/>
      <c r="H38" s="300"/>
      <c r="I38" s="301"/>
      <c r="J38" s="301"/>
      <c r="K38" s="301"/>
      <c r="L38" s="281"/>
      <c r="M38" s="252"/>
      <c r="N38" s="11"/>
      <c r="O38" s="11"/>
      <c r="P38" s="11"/>
      <c r="Q38" s="11"/>
    </row>
    <row r="39" spans="1:21" ht="12.75" customHeight="1" hidden="1">
      <c r="A39" s="260" t="s">
        <v>31</v>
      </c>
      <c r="B39" s="71" t="s">
        <v>3</v>
      </c>
      <c r="C39" s="72" t="s">
        <v>2</v>
      </c>
      <c r="D39" s="73" t="s">
        <v>21</v>
      </c>
      <c r="F39" s="248"/>
      <c r="G39" s="248"/>
      <c r="H39" s="248"/>
      <c r="I39" s="248"/>
      <c r="J39" s="248"/>
      <c r="K39" s="248"/>
      <c r="L39" s="248"/>
      <c r="M39" s="252"/>
      <c r="N39" s="11"/>
      <c r="O39" s="11"/>
      <c r="P39" s="11"/>
      <c r="Q39" s="11"/>
      <c r="T39" s="4"/>
      <c r="U39" s="4"/>
    </row>
    <row r="40" spans="1:21" ht="12.75" customHeight="1" hidden="1">
      <c r="A40" s="261" t="s">
        <v>16</v>
      </c>
      <c r="B40" s="74">
        <f>E7*C9/E9</f>
        <v>203.93818806181193</v>
      </c>
      <c r="C40" s="74">
        <f>E7*D9/E9</f>
        <v>4745.061811938188</v>
      </c>
      <c r="D40" s="74">
        <f>E7</f>
        <v>4949</v>
      </c>
      <c r="F40" s="311"/>
      <c r="G40" s="349" t="s">
        <v>29</v>
      </c>
      <c r="H40" s="302">
        <f>CHIINV(0.05,J41)</f>
        <v>3.8414588206941236</v>
      </c>
      <c r="I40" s="248"/>
      <c r="J40" s="248"/>
      <c r="K40" s="248"/>
      <c r="L40" s="248"/>
      <c r="M40" s="252"/>
      <c r="N40" s="61"/>
      <c r="O40" s="61"/>
      <c r="P40" s="61"/>
      <c r="Q40" s="11"/>
      <c r="T40" s="4"/>
      <c r="U40" s="4"/>
    </row>
    <row r="41" spans="1:21" ht="12.75" customHeight="1" hidden="1">
      <c r="A41" s="262" t="s">
        <v>17</v>
      </c>
      <c r="B41" s="74">
        <f>E8*C9/E9</f>
        <v>204.06181193818807</v>
      </c>
      <c r="C41" s="74">
        <f>E8*D9/E9</f>
        <v>4747.938188061812</v>
      </c>
      <c r="D41" s="74">
        <f>E8</f>
        <v>4952</v>
      </c>
      <c r="E41" s="16"/>
      <c r="F41" s="312"/>
      <c r="G41" s="312"/>
      <c r="H41" s="294"/>
      <c r="I41" s="348" t="s">
        <v>30</v>
      </c>
      <c r="J41" s="313">
        <f>(COUNT(B40:C40)-1)*(COUNT(B40:B41)-1)</f>
        <v>1</v>
      </c>
      <c r="K41" s="248"/>
      <c r="L41" s="248"/>
      <c r="M41" s="248"/>
      <c r="N41" s="61"/>
      <c r="O41" s="61"/>
      <c r="P41" s="61"/>
      <c r="Q41" s="11"/>
      <c r="T41" s="4"/>
      <c r="U41" s="4"/>
    </row>
    <row r="42" spans="1:21" ht="12.75" customHeight="1" hidden="1">
      <c r="A42" s="258" t="s">
        <v>28</v>
      </c>
      <c r="B42" s="74">
        <f>SUM(B40:B41)</f>
        <v>408</v>
      </c>
      <c r="C42" s="74">
        <f>SUM(C40:C41)</f>
        <v>9493</v>
      </c>
      <c r="D42" s="75">
        <f>SUM(D40:D41)</f>
        <v>9901</v>
      </c>
      <c r="E42" s="16"/>
      <c r="F42" s="281"/>
      <c r="G42" s="347" t="s">
        <v>32</v>
      </c>
      <c r="H42" s="264" t="s">
        <v>33</v>
      </c>
      <c r="I42" s="248"/>
      <c r="J42" s="248"/>
      <c r="K42" s="248"/>
      <c r="L42" s="248"/>
      <c r="M42" s="248"/>
      <c r="N42" s="61"/>
      <c r="O42" s="62"/>
      <c r="P42" s="61"/>
      <c r="Q42" s="11"/>
      <c r="T42" s="4"/>
      <c r="U42" s="4"/>
    </row>
    <row r="43" spans="1:21" ht="12.75" customHeight="1" hidden="1">
      <c r="A43" s="258"/>
      <c r="B43" s="76"/>
      <c r="C43" s="76"/>
      <c r="D43" s="77"/>
      <c r="E43" s="16"/>
      <c r="F43" s="281"/>
      <c r="G43" s="347" t="s">
        <v>34</v>
      </c>
      <c r="H43" s="264" t="s">
        <v>35</v>
      </c>
      <c r="I43" s="248"/>
      <c r="J43" s="248"/>
      <c r="K43" s="248"/>
      <c r="L43" s="248"/>
      <c r="M43" s="248"/>
      <c r="N43" s="63"/>
      <c r="O43" s="63"/>
      <c r="P43" s="63"/>
      <c r="Q43" s="11"/>
      <c r="T43" s="4"/>
      <c r="U43" s="4"/>
    </row>
    <row r="44" spans="1:21" ht="26.25" customHeight="1" hidden="1">
      <c r="A44" s="263"/>
      <c r="B44" s="594" t="s">
        <v>175</v>
      </c>
      <c r="C44" s="595"/>
      <c r="F44" s="248"/>
      <c r="G44" s="291"/>
      <c r="H44" s="248"/>
      <c r="I44" s="248"/>
      <c r="J44" s="248"/>
      <c r="K44" s="248"/>
      <c r="L44" s="248"/>
      <c r="M44" s="248"/>
      <c r="N44" s="4"/>
      <c r="O44" s="4"/>
      <c r="T44" s="4"/>
      <c r="U44" s="4"/>
    </row>
    <row r="45" spans="1:21" ht="12.75" customHeight="1" hidden="1">
      <c r="A45" s="263"/>
      <c r="B45" s="78">
        <f>(C7-B40)^2/B40</f>
        <v>0.713389231388681</v>
      </c>
      <c r="C45" s="78">
        <f>(D7-C40)^2/C40</f>
        <v>0.030660782303442005</v>
      </c>
      <c r="E45" s="70"/>
      <c r="F45" s="314"/>
      <c r="G45" s="248"/>
      <c r="H45" s="248"/>
      <c r="I45" s="252"/>
      <c r="J45" s="252"/>
      <c r="K45" s="303"/>
      <c r="L45" s="248"/>
      <c r="M45" s="248"/>
      <c r="N45" s="4"/>
      <c r="O45" s="4"/>
      <c r="T45" s="4"/>
      <c r="U45" s="4"/>
    </row>
    <row r="46" spans="1:21" ht="12.75" customHeight="1" hidden="1">
      <c r="A46" s="263"/>
      <c r="B46" s="78">
        <f>(C8-B41)^2/B41</f>
        <v>0.7129570488979367</v>
      </c>
      <c r="C46" s="78">
        <f>(D8-C41)^2/C41</f>
        <v>0.030642207516101472</v>
      </c>
      <c r="D46" s="19"/>
      <c r="E46" s="79" t="s">
        <v>36</v>
      </c>
      <c r="F46" s="315">
        <f>B48-H40</f>
        <v>-2.3538095505879624</v>
      </c>
      <c r="G46" s="248"/>
      <c r="H46" s="248"/>
      <c r="I46" s="252"/>
      <c r="J46" s="252"/>
      <c r="K46" s="248"/>
      <c r="L46" s="248"/>
      <c r="M46" s="248"/>
      <c r="N46" s="4"/>
      <c r="O46" s="4"/>
      <c r="T46" s="4"/>
      <c r="U46" s="4"/>
    </row>
    <row r="47" spans="1:21" ht="12.75" customHeight="1" hidden="1">
      <c r="A47" s="264" t="s">
        <v>38</v>
      </c>
      <c r="C47" s="80"/>
      <c r="F47" s="112" t="s">
        <v>39</v>
      </c>
      <c r="G47" s="248"/>
      <c r="H47" s="248"/>
      <c r="I47" s="252"/>
      <c r="J47" s="252"/>
      <c r="K47" s="248"/>
      <c r="L47" s="248"/>
      <c r="M47" s="248"/>
      <c r="N47" s="4"/>
      <c r="O47" s="4"/>
      <c r="T47" s="4"/>
      <c r="U47" s="4"/>
    </row>
    <row r="48" spans="1:21" ht="13.5" customHeight="1" hidden="1">
      <c r="A48" s="265" t="s">
        <v>37</v>
      </c>
      <c r="B48" s="202">
        <f>SUM(B45:C46)</f>
        <v>1.4876492701061612</v>
      </c>
      <c r="C48" s="23"/>
      <c r="F48" s="112" t="s">
        <v>40</v>
      </c>
      <c r="G48" s="248"/>
      <c r="H48" s="316"/>
      <c r="I48" s="252"/>
      <c r="J48" s="252"/>
      <c r="K48" s="304"/>
      <c r="L48" s="248"/>
      <c r="M48" s="248"/>
      <c r="N48" s="4"/>
      <c r="O48" s="4"/>
      <c r="T48" s="4"/>
      <c r="U48" s="4"/>
    </row>
    <row r="49" spans="1:21" ht="12.75" customHeight="1" hidden="1">
      <c r="A49" s="266" t="s">
        <v>110</v>
      </c>
      <c r="B49" s="203">
        <f>CHIDIST(B48,1)</f>
        <v>0.22258154733563493</v>
      </c>
      <c r="D49" s="23"/>
      <c r="E49" s="23"/>
      <c r="F49" s="272"/>
      <c r="G49" s="317"/>
      <c r="H49" s="272"/>
      <c r="I49" s="252"/>
      <c r="J49" s="252"/>
      <c r="K49" s="272"/>
      <c r="L49" s="248"/>
      <c r="M49" s="248"/>
      <c r="N49" s="4"/>
      <c r="O49" s="4"/>
      <c r="T49" s="4"/>
      <c r="U49" s="4"/>
    </row>
    <row r="50" spans="1:13" s="11" customFormat="1" ht="12.75" customHeight="1" hidden="1">
      <c r="A50" s="257"/>
      <c r="D50" s="81"/>
      <c r="E50" s="81"/>
      <c r="F50" s="252"/>
      <c r="G50" s="252"/>
      <c r="H50" s="305"/>
      <c r="I50" s="252"/>
      <c r="J50" s="252"/>
      <c r="K50" s="252"/>
      <c r="L50" s="252"/>
      <c r="M50" s="252"/>
    </row>
    <row r="51" spans="1:21" ht="13.5" customHeight="1" hidden="1">
      <c r="A51" s="110"/>
      <c r="F51" s="248"/>
      <c r="G51" s="248"/>
      <c r="H51" s="248"/>
      <c r="I51" s="252"/>
      <c r="J51" s="252"/>
      <c r="K51" s="248"/>
      <c r="L51" s="248"/>
      <c r="M51" s="248"/>
      <c r="N51" s="4"/>
      <c r="O51" s="4"/>
      <c r="T51" s="4"/>
      <c r="U51" s="4"/>
    </row>
    <row r="52" spans="1:21" ht="12.75" customHeight="1" hidden="1">
      <c r="A52" s="404" t="s">
        <v>176</v>
      </c>
      <c r="B52" s="405"/>
      <c r="C52" s="405"/>
      <c r="D52" s="405"/>
      <c r="E52" s="405"/>
      <c r="F52" s="405"/>
      <c r="G52" s="406"/>
      <c r="H52" s="248"/>
      <c r="I52" s="407" t="s">
        <v>177</v>
      </c>
      <c r="J52" s="408"/>
      <c r="K52" s="409"/>
      <c r="L52" s="409"/>
      <c r="M52" s="409"/>
      <c r="N52" s="170"/>
      <c r="O52" s="4"/>
      <c r="T52" s="4"/>
      <c r="U52" s="4"/>
    </row>
    <row r="53" spans="1:21" ht="12.75" customHeight="1" hidden="1">
      <c r="A53" s="410">
        <f>H2*100</f>
        <v>95</v>
      </c>
      <c r="B53" s="60"/>
      <c r="C53" s="60"/>
      <c r="D53" s="11"/>
      <c r="E53" s="11"/>
      <c r="F53" s="11"/>
      <c r="G53" s="171"/>
      <c r="H53" s="248"/>
      <c r="I53" s="411"/>
      <c r="J53" s="252"/>
      <c r="K53" s="272"/>
      <c r="L53" s="272"/>
      <c r="M53" s="272"/>
      <c r="N53" s="182"/>
      <c r="O53" s="4"/>
      <c r="T53" s="4"/>
      <c r="U53" s="4"/>
    </row>
    <row r="54" spans="1:21" ht="12.75" customHeight="1" hidden="1">
      <c r="A54" s="412" t="s">
        <v>58</v>
      </c>
      <c r="B54" s="357"/>
      <c r="C54" s="357"/>
      <c r="D54" s="89">
        <f>ROUND(F14,2)</f>
        <v>1.13</v>
      </c>
      <c r="E54" s="56">
        <f>ROUND(I26,4)</f>
        <v>-0.0049</v>
      </c>
      <c r="F54" s="358">
        <f>ROUND(I27,0)</f>
        <v>-205</v>
      </c>
      <c r="G54" s="413"/>
      <c r="H54" s="248"/>
      <c r="I54" s="414" t="s">
        <v>58</v>
      </c>
      <c r="J54" s="11"/>
      <c r="K54" s="11"/>
      <c r="L54" s="11"/>
      <c r="M54" s="272"/>
      <c r="N54" s="182"/>
      <c r="O54" s="4"/>
      <c r="T54" s="4"/>
      <c r="U54" s="4"/>
    </row>
    <row r="55" spans="1:21" ht="12.75" customHeight="1" hidden="1">
      <c r="A55" s="412" t="s">
        <v>60</v>
      </c>
      <c r="B55" s="23"/>
      <c r="C55" s="23"/>
      <c r="D55" s="89">
        <f>ROUND(G14,2)</f>
        <v>0.93</v>
      </c>
      <c r="E55" s="56">
        <f>ROUND(K26,4)</f>
        <v>-0.0127</v>
      </c>
      <c r="F55" s="358">
        <f>ROUND(J27,0)</f>
        <v>334</v>
      </c>
      <c r="G55" s="413"/>
      <c r="H55" s="248"/>
      <c r="I55" s="414" t="s">
        <v>60</v>
      </c>
      <c r="J55" s="415" t="str">
        <f>ROUND(I21,4)*100&amp;I57</f>
        <v>4,36%</v>
      </c>
      <c r="K55" s="415" t="str">
        <f>ROUND(J21,4)*100&amp;I57</f>
        <v>3,83%</v>
      </c>
      <c r="L55" s="415" t="str">
        <f>ROUND(K21,4)*100&amp;I57</f>
        <v>4,97%</v>
      </c>
      <c r="M55" s="85" t="str">
        <f>CONCATENATE(J55," ",I54,K55," ",I58," ",L55,I56)</f>
        <v>4,36% (3,83% a 4,97%)</v>
      </c>
      <c r="N55" s="182"/>
      <c r="O55" s="4"/>
      <c r="T55" s="4"/>
      <c r="U55" s="4"/>
    </row>
    <row r="56" spans="1:14" s="16" customFormat="1" ht="12.75" customHeight="1" hidden="1">
      <c r="A56" s="412" t="s">
        <v>59</v>
      </c>
      <c r="B56" s="357">
        <f>ROUND(C7,0)</f>
        <v>216</v>
      </c>
      <c r="C56" s="357">
        <f>ROUND(C8,0)</f>
        <v>192</v>
      </c>
      <c r="D56" s="89">
        <f>ROUND(H14,2)</f>
        <v>1.36</v>
      </c>
      <c r="E56" s="56">
        <f>ROUND(J26,4)</f>
        <v>0.003</v>
      </c>
      <c r="F56" s="358">
        <f>ROUND(K27,0)</f>
        <v>-79</v>
      </c>
      <c r="G56" s="416">
        <f>ROUND(M32,4)</f>
        <v>0.2296</v>
      </c>
      <c r="H56" s="281"/>
      <c r="I56" s="414" t="s">
        <v>59</v>
      </c>
      <c r="J56" s="83" t="str">
        <f>ROUND(I22,4)*100&amp;I57</f>
        <v>3,88%</v>
      </c>
      <c r="K56" s="83" t="str">
        <f>ROUND(J22,4)*100&amp;I57</f>
        <v>3,37%</v>
      </c>
      <c r="L56" s="83" t="str">
        <f>ROUND(K22,4)*100&amp;I57</f>
        <v>4,45%</v>
      </c>
      <c r="M56" s="85" t="str">
        <f>CONCATENATE(J56," ",I54,K56," ",I58," ",L56,I56)</f>
        <v>3,88% (3,37% a 4,45%)</v>
      </c>
      <c r="N56" s="171"/>
    </row>
    <row r="57" spans="1:14" ht="12.75" customHeight="1" hidden="1">
      <c r="A57" s="412" t="s">
        <v>61</v>
      </c>
      <c r="B57" s="359" t="s">
        <v>85</v>
      </c>
      <c r="C57" s="359" t="s">
        <v>86</v>
      </c>
      <c r="D57" s="359" t="s">
        <v>4</v>
      </c>
      <c r="E57" s="359" t="s">
        <v>69</v>
      </c>
      <c r="F57" s="417" t="s">
        <v>66</v>
      </c>
      <c r="G57" s="311" t="s">
        <v>70</v>
      </c>
      <c r="H57" s="248"/>
      <c r="I57" s="414" t="s">
        <v>61</v>
      </c>
      <c r="J57" s="83" t="str">
        <f>ROUND(I23,4)*100&amp;I57</f>
        <v>4,12%</v>
      </c>
      <c r="K57" s="83" t="str">
        <f>ROUND(J23,4)*100&amp;I57</f>
        <v>3,75%</v>
      </c>
      <c r="L57" s="83" t="str">
        <f>ROUND(K23,4)*100&amp;I57</f>
        <v>4,53%</v>
      </c>
      <c r="M57" s="85" t="str">
        <f>CONCATENATE(J57," ",I54,K57," ",I58," ",L57,I56)</f>
        <v>4,12% (3,75% a 4,53%)</v>
      </c>
      <c r="N57" s="171"/>
    </row>
    <row r="58" spans="1:21" ht="12.75" customHeight="1" hidden="1">
      <c r="A58" s="418" t="s">
        <v>18</v>
      </c>
      <c r="B58" s="360" t="str">
        <f>CONCATENATE(B56,A59,B21," ",A54,J55,A56)</f>
        <v>216/4949 (4,36%)</v>
      </c>
      <c r="C58" s="322" t="str">
        <f>CONCATENATE(C56,A59,B22," ",A54,J56,A56)</f>
        <v>192/4952 (3,88%)</v>
      </c>
      <c r="D58" s="360" t="str">
        <f>CONCATENATE(D54," ",A54,D55,A55,D56,A56)</f>
        <v>1,13 (0,93-1,36)</v>
      </c>
      <c r="E58" s="360" t="str">
        <f>CONCATENATE(E54*100,A57," ",A54,E55*100,A57," ",A58," ",E56*100,A57,A56)</f>
        <v>-0,49% (-1,27% a 0,3%)</v>
      </c>
      <c r="F58" s="311" t="str">
        <f>CONCATENATE(F54," ",A54,F56," ",A58," ",F55,A56)</f>
        <v>-205 (-79 a 334)</v>
      </c>
      <c r="G58" s="311" t="str">
        <f>CONCATENATE(G56*100,A57)</f>
        <v>22,96%</v>
      </c>
      <c r="H58" s="248"/>
      <c r="I58" s="419" t="s">
        <v>18</v>
      </c>
      <c r="J58" s="23"/>
      <c r="K58" s="23"/>
      <c r="L58" s="23"/>
      <c r="M58" s="272"/>
      <c r="N58" s="182"/>
      <c r="O58" s="4"/>
      <c r="T58" s="4"/>
      <c r="U58" s="4"/>
    </row>
    <row r="59" spans="1:21" ht="13.5" customHeight="1" hidden="1">
      <c r="A59" s="420" t="s">
        <v>67</v>
      </c>
      <c r="B59" s="172"/>
      <c r="C59" s="172"/>
      <c r="D59" s="172"/>
      <c r="E59" s="172"/>
      <c r="F59" s="421"/>
      <c r="G59" s="422"/>
      <c r="H59" s="248"/>
      <c r="I59" s="423" t="s">
        <v>67</v>
      </c>
      <c r="J59" s="172"/>
      <c r="K59" s="172"/>
      <c r="L59" s="172"/>
      <c r="M59" s="424"/>
      <c r="N59" s="181"/>
      <c r="O59" s="4"/>
      <c r="T59" s="4"/>
      <c r="U59" s="4"/>
    </row>
    <row r="60" spans="1:21" ht="12.75">
      <c r="A60" s="110"/>
      <c r="F60" s="248"/>
      <c r="G60" s="248"/>
      <c r="H60" s="248"/>
      <c r="I60" s="248"/>
      <c r="J60" s="248"/>
      <c r="K60" s="252"/>
      <c r="L60" s="248"/>
      <c r="M60" s="248"/>
      <c r="N60" s="4"/>
      <c r="O60" s="4"/>
      <c r="T60" s="4"/>
      <c r="U60" s="4"/>
    </row>
    <row r="61" spans="1:21" ht="27" customHeight="1">
      <c r="A61" s="110"/>
      <c r="B61" s="245" t="s">
        <v>85</v>
      </c>
      <c r="C61" s="245" t="s">
        <v>86</v>
      </c>
      <c r="D61" s="246" t="str">
        <f>CONCATENATE(D57," ",A54,G2," ",A53,A57,A56)</f>
        <v>RR (IC 95%)</v>
      </c>
      <c r="E61" s="246" t="str">
        <f>CONCATENATE(E57," ",A54,G2," ",A53,A57,A56)</f>
        <v>RAR (IC 95%)</v>
      </c>
      <c r="F61" s="246" t="str">
        <f>CONCATENATE(F57," ",A54,G2," ",A53,A57,A56)</f>
        <v>NNT (IC 95%)</v>
      </c>
      <c r="G61" s="246" t="s">
        <v>71</v>
      </c>
      <c r="H61" s="247"/>
      <c r="I61" s="246" t="s">
        <v>111</v>
      </c>
      <c r="K61" s="425" t="s">
        <v>178</v>
      </c>
      <c r="L61" s="425" t="s">
        <v>179</v>
      </c>
      <c r="N61" s="4"/>
      <c r="O61" s="4"/>
      <c r="T61" s="4"/>
      <c r="U61" s="4"/>
    </row>
    <row r="62" spans="1:21" ht="21" customHeight="1">
      <c r="A62" s="110"/>
      <c r="B62" s="322" t="str">
        <f aca="true" t="shared" si="0" ref="B62:G62">B58</f>
        <v>216/4949 (4,36%)</v>
      </c>
      <c r="C62" s="322" t="str">
        <f t="shared" si="0"/>
        <v>192/4952 (3,88%)</v>
      </c>
      <c r="D62" s="322" t="str">
        <f t="shared" si="0"/>
        <v>1,13 (0,93-1,36)</v>
      </c>
      <c r="E62" s="322" t="str">
        <f t="shared" si="0"/>
        <v>-0,49% (-1,27% a 0,3%)</v>
      </c>
      <c r="F62" s="322" t="str">
        <f t="shared" si="0"/>
        <v>-205 (-79 a 334)</v>
      </c>
      <c r="G62" s="322" t="str">
        <f t="shared" si="0"/>
        <v>22,96%</v>
      </c>
      <c r="H62" s="323"/>
      <c r="I62" s="324">
        <f>B49</f>
        <v>0.22258154733563493</v>
      </c>
      <c r="K62" s="426">
        <f>IF((J26*K26&lt;0),I23,I21)</f>
        <v>0.041207958792041206</v>
      </c>
      <c r="L62" s="426">
        <f>IF((J26*K26&lt;0),I23,I22)</f>
        <v>0.041207958792041206</v>
      </c>
      <c r="N62" s="4"/>
      <c r="O62" s="4"/>
      <c r="T62" s="4"/>
      <c r="U62" s="4"/>
    </row>
    <row r="63" spans="1:14" ht="12.75">
      <c r="A63" s="110"/>
      <c r="B63" s="112"/>
      <c r="E63" s="112"/>
      <c r="F63" s="112"/>
      <c r="G63" s="112"/>
      <c r="H63" s="112"/>
      <c r="I63" s="112"/>
      <c r="J63" s="112"/>
      <c r="K63" s="112"/>
      <c r="L63" s="112"/>
      <c r="M63" s="112"/>
      <c r="N63" s="254"/>
    </row>
    <row r="64" spans="1:14" ht="13.5" thickBot="1">
      <c r="A64" s="264"/>
      <c r="B64" s="268"/>
      <c r="E64" s="268"/>
      <c r="F64" s="268"/>
      <c r="G64" s="268"/>
      <c r="H64" s="325"/>
      <c r="I64" s="326"/>
      <c r="J64" s="112"/>
      <c r="K64" s="112"/>
      <c r="L64" s="112"/>
      <c r="M64" s="112"/>
      <c r="N64" s="254"/>
    </row>
    <row r="65" spans="1:15" ht="13.5" thickBot="1">
      <c r="A65" s="264"/>
      <c r="B65" s="268"/>
      <c r="E65" s="268"/>
      <c r="F65" s="268"/>
      <c r="G65" s="268"/>
      <c r="H65" s="325"/>
      <c r="I65" s="326"/>
      <c r="J65" s="112"/>
      <c r="K65" s="112"/>
      <c r="L65" s="112"/>
      <c r="M65" s="112"/>
      <c r="N65" s="582" t="s">
        <v>339</v>
      </c>
      <c r="O65" s="583"/>
    </row>
    <row r="66" spans="1:15" ht="27.75" customHeight="1" thickBot="1">
      <c r="A66" s="456" t="s">
        <v>337</v>
      </c>
      <c r="B66" s="152"/>
      <c r="C66" s="152"/>
      <c r="D66" s="152"/>
      <c r="E66" s="152"/>
      <c r="F66" s="152"/>
      <c r="G66" s="457"/>
      <c r="H66" s="325"/>
      <c r="I66" s="326"/>
      <c r="J66" s="112"/>
      <c r="K66" s="112"/>
      <c r="L66" s="112"/>
      <c r="M66" s="112"/>
      <c r="N66" s="580" t="s">
        <v>340</v>
      </c>
      <c r="O66" s="581"/>
    </row>
    <row r="67" spans="1:15" ht="43.5" customHeight="1" thickBot="1">
      <c r="A67" s="458" t="s">
        <v>274</v>
      </c>
      <c r="B67" s="459" t="s">
        <v>272</v>
      </c>
      <c r="C67" s="459" t="s">
        <v>273</v>
      </c>
      <c r="D67" s="459" t="s">
        <v>62</v>
      </c>
      <c r="E67" s="459" t="s">
        <v>276</v>
      </c>
      <c r="F67" s="459" t="s">
        <v>275</v>
      </c>
      <c r="G67" s="473" t="s">
        <v>71</v>
      </c>
      <c r="H67" s="325"/>
      <c r="I67" s="504" t="s">
        <v>111</v>
      </c>
      <c r="J67" s="112"/>
      <c r="K67" s="425" t="s">
        <v>178</v>
      </c>
      <c r="L67" s="425" t="s">
        <v>179</v>
      </c>
      <c r="M67" s="112"/>
      <c r="N67" s="517" t="s">
        <v>343</v>
      </c>
      <c r="O67" s="518" t="s">
        <v>344</v>
      </c>
    </row>
    <row r="68" spans="1:13" ht="4.5" customHeight="1" thickBot="1">
      <c r="A68" s="460"/>
      <c r="B68" s="460"/>
      <c r="C68" s="460"/>
      <c r="D68" s="460"/>
      <c r="E68" s="460"/>
      <c r="F68" s="460"/>
      <c r="G68" s="460"/>
      <c r="H68" s="325"/>
      <c r="I68" s="326"/>
      <c r="J68" s="112"/>
      <c r="K68" s="112"/>
      <c r="L68" s="112"/>
      <c r="M68" s="112"/>
    </row>
    <row r="69" spans="1:15" ht="15" customHeight="1">
      <c r="A69" s="461" t="s">
        <v>345</v>
      </c>
      <c r="B69" s="480" t="s">
        <v>202</v>
      </c>
      <c r="C69" s="480" t="s">
        <v>203</v>
      </c>
      <c r="D69" s="480" t="s">
        <v>204</v>
      </c>
      <c r="E69" s="480" t="s">
        <v>205</v>
      </c>
      <c r="F69" s="480" t="s">
        <v>206</v>
      </c>
      <c r="G69" s="481" t="s">
        <v>207</v>
      </c>
      <c r="H69" s="325"/>
      <c r="I69" s="573">
        <v>0.7056050538689104</v>
      </c>
      <c r="J69" s="112"/>
      <c r="K69" s="243">
        <v>0.04585395414604585</v>
      </c>
      <c r="L69" s="243">
        <v>0.04585395414604585</v>
      </c>
      <c r="M69" s="112"/>
      <c r="N69" s="519">
        <f aca="true" t="shared" si="1" ref="N69:N87">K69*100</f>
        <v>4.585395414604585</v>
      </c>
      <c r="O69" s="519">
        <f aca="true" t="shared" si="2" ref="O69:O87">L69*100</f>
        <v>4.585395414604585</v>
      </c>
    </row>
    <row r="70" spans="1:15" ht="15" customHeight="1">
      <c r="A70" s="462" t="s">
        <v>193</v>
      </c>
      <c r="B70" s="482" t="s">
        <v>214</v>
      </c>
      <c r="C70" s="482" t="s">
        <v>215</v>
      </c>
      <c r="D70" s="482" t="s">
        <v>216</v>
      </c>
      <c r="E70" s="482" t="s">
        <v>217</v>
      </c>
      <c r="F70" s="482" t="s">
        <v>218</v>
      </c>
      <c r="G70" s="483">
        <v>0.142</v>
      </c>
      <c r="H70" s="325"/>
      <c r="I70" s="573">
        <v>0.37412463521859346</v>
      </c>
      <c r="J70" s="112"/>
      <c r="K70" s="243">
        <v>0.004645995354004646</v>
      </c>
      <c r="L70" s="243">
        <v>0.004645995354004646</v>
      </c>
      <c r="M70" s="112"/>
      <c r="N70" s="521">
        <f>K70*100</f>
        <v>0.4645995354004646</v>
      </c>
      <c r="O70" s="521">
        <f>L70*100</f>
        <v>0.4645995354004646</v>
      </c>
    </row>
    <row r="71" spans="1:15" ht="15" customHeight="1" thickBot="1">
      <c r="A71" s="463" t="s">
        <v>194</v>
      </c>
      <c r="B71" s="468" t="s">
        <v>208</v>
      </c>
      <c r="C71" s="468" t="s">
        <v>209</v>
      </c>
      <c r="D71" s="468" t="s">
        <v>210</v>
      </c>
      <c r="E71" s="468" t="s">
        <v>211</v>
      </c>
      <c r="F71" s="468" t="s">
        <v>212</v>
      </c>
      <c r="G71" s="484" t="s">
        <v>213</v>
      </c>
      <c r="H71" s="325"/>
      <c r="I71" s="573">
        <v>0.730903069330336</v>
      </c>
      <c r="J71" s="112"/>
      <c r="K71" s="243">
        <v>0.042116957883042115</v>
      </c>
      <c r="L71" s="243">
        <v>0.042116957883042115</v>
      </c>
      <c r="M71" s="112"/>
      <c r="N71" s="519">
        <f t="shared" si="1"/>
        <v>4.211695788304212</v>
      </c>
      <c r="O71" s="519">
        <f t="shared" si="2"/>
        <v>4.211695788304212</v>
      </c>
    </row>
    <row r="72" spans="1:15" ht="4.5" customHeight="1" thickBot="1">
      <c r="A72" s="460"/>
      <c r="B72" s="460"/>
      <c r="C72" s="460"/>
      <c r="D72" s="460"/>
      <c r="E72" s="460"/>
      <c r="F72" s="460"/>
      <c r="G72" s="460"/>
      <c r="H72" s="325"/>
      <c r="I72" s="569"/>
      <c r="J72" s="112"/>
      <c r="K72" s="112"/>
      <c r="L72" s="112"/>
      <c r="M72" s="112"/>
      <c r="N72" s="244"/>
      <c r="O72" s="244"/>
    </row>
    <row r="73" spans="1:15" ht="15" customHeight="1">
      <c r="A73" s="461" t="s">
        <v>351</v>
      </c>
      <c r="B73" s="480" t="s">
        <v>219</v>
      </c>
      <c r="C73" s="480" t="s">
        <v>220</v>
      </c>
      <c r="D73" s="480" t="s">
        <v>221</v>
      </c>
      <c r="E73" s="480" t="s">
        <v>222</v>
      </c>
      <c r="F73" s="499" t="s">
        <v>223</v>
      </c>
      <c r="G73" s="481" t="s">
        <v>224</v>
      </c>
      <c r="H73" s="325"/>
      <c r="I73" s="573">
        <v>0.012159459543753262</v>
      </c>
      <c r="J73" s="112"/>
      <c r="K73" s="243">
        <v>0.03192564154374621</v>
      </c>
      <c r="L73" s="243">
        <v>0.04139741518578352</v>
      </c>
      <c r="M73" s="112"/>
      <c r="N73" s="522">
        <f t="shared" si="1"/>
        <v>3.192564154374621</v>
      </c>
      <c r="O73" s="520">
        <f t="shared" si="2"/>
        <v>4.139741518578352</v>
      </c>
    </row>
    <row r="74" spans="1:15" ht="15" customHeight="1">
      <c r="A74" s="538" t="s">
        <v>352</v>
      </c>
      <c r="B74" s="482" t="s">
        <v>230</v>
      </c>
      <c r="C74" s="482" t="s">
        <v>231</v>
      </c>
      <c r="D74" s="482" t="s">
        <v>232</v>
      </c>
      <c r="E74" s="482" t="s">
        <v>233</v>
      </c>
      <c r="F74" s="482" t="s">
        <v>234</v>
      </c>
      <c r="G74" s="483">
        <v>0.2669</v>
      </c>
      <c r="H74" s="325"/>
      <c r="I74" s="573">
        <v>0.18095265359799115</v>
      </c>
      <c r="J74" s="112"/>
      <c r="K74" s="243">
        <v>0.005655994344005656</v>
      </c>
      <c r="L74" s="243">
        <v>0.005655994344005656</v>
      </c>
      <c r="M74" s="112"/>
      <c r="N74" s="519">
        <f>K74*100</f>
        <v>0.5655994344005656</v>
      </c>
      <c r="O74" s="519">
        <f>L74*100</f>
        <v>0.5655994344005656</v>
      </c>
    </row>
    <row r="75" spans="1:15" ht="15" customHeight="1">
      <c r="A75" s="538" t="s">
        <v>353</v>
      </c>
      <c r="B75" s="482" t="s">
        <v>225</v>
      </c>
      <c r="C75" s="482" t="s">
        <v>226</v>
      </c>
      <c r="D75" s="482" t="s">
        <v>227</v>
      </c>
      <c r="E75" s="482" t="s">
        <v>228</v>
      </c>
      <c r="F75" s="500" t="s">
        <v>229</v>
      </c>
      <c r="G75" s="483">
        <v>0.6342</v>
      </c>
      <c r="H75" s="325"/>
      <c r="I75" s="573">
        <v>0.021287263764861317</v>
      </c>
      <c r="J75" s="112"/>
      <c r="K75" s="243">
        <v>0.02727823802788442</v>
      </c>
      <c r="L75" s="243">
        <v>0.035339256865912765</v>
      </c>
      <c r="M75" s="112"/>
      <c r="N75" s="528">
        <f t="shared" si="1"/>
        <v>2.727823802788442</v>
      </c>
      <c r="O75" s="529">
        <f t="shared" si="2"/>
        <v>3.5339256865912763</v>
      </c>
    </row>
    <row r="76" spans="1:15" ht="15" customHeight="1">
      <c r="A76" s="539" t="s">
        <v>354</v>
      </c>
      <c r="B76" s="540" t="s">
        <v>332</v>
      </c>
      <c r="C76" s="540" t="s">
        <v>333</v>
      </c>
      <c r="D76" s="540" t="s">
        <v>336</v>
      </c>
      <c r="E76" s="540" t="s">
        <v>334</v>
      </c>
      <c r="F76" s="540" t="s">
        <v>335</v>
      </c>
      <c r="G76" s="541">
        <v>0.5034</v>
      </c>
      <c r="H76" s="325"/>
      <c r="I76" s="574">
        <v>0.049005475999706775</v>
      </c>
      <c r="J76" s="112"/>
      <c r="K76" s="516">
        <v>0.01929098070901929</v>
      </c>
      <c r="L76" s="516">
        <v>0.01929098070901929</v>
      </c>
      <c r="M76" s="112"/>
      <c r="N76" s="526"/>
      <c r="O76" s="527"/>
    </row>
    <row r="77" spans="1:15" ht="15" customHeight="1" thickBot="1">
      <c r="A77" s="542" t="s">
        <v>355</v>
      </c>
      <c r="B77" s="543" t="s">
        <v>346</v>
      </c>
      <c r="C77" s="543" t="s">
        <v>347</v>
      </c>
      <c r="D77" s="543" t="s">
        <v>348</v>
      </c>
      <c r="E77" s="543" t="s">
        <v>349</v>
      </c>
      <c r="F77" s="543" t="s">
        <v>350</v>
      </c>
      <c r="G77" s="544">
        <v>0.2223</v>
      </c>
      <c r="H77" s="73"/>
      <c r="I77" s="575">
        <v>0.23184898553226932</v>
      </c>
      <c r="J77" s="73"/>
      <c r="K77" s="516">
        <v>0.012018987981012018</v>
      </c>
      <c r="L77" s="516">
        <v>0.012018987981012018</v>
      </c>
      <c r="N77" s="572"/>
      <c r="O77" s="572"/>
    </row>
    <row r="78" spans="1:15" ht="4.5" customHeight="1" thickBot="1">
      <c r="A78" s="460"/>
      <c r="B78" s="460"/>
      <c r="C78" s="460"/>
      <c r="D78" s="460"/>
      <c r="E78" s="460"/>
      <c r="F78" s="460"/>
      <c r="G78" s="460"/>
      <c r="H78" s="325"/>
      <c r="I78" s="569"/>
      <c r="J78" s="112"/>
      <c r="K78" s="112"/>
      <c r="L78" s="112"/>
      <c r="M78" s="112"/>
      <c r="N78" s="244"/>
      <c r="O78" s="244"/>
    </row>
    <row r="79" spans="1:15" ht="15" customHeight="1">
      <c r="A79" s="466" t="s">
        <v>184</v>
      </c>
      <c r="B79" s="480" t="s">
        <v>235</v>
      </c>
      <c r="C79" s="480" t="s">
        <v>236</v>
      </c>
      <c r="D79" s="480" t="s">
        <v>237</v>
      </c>
      <c r="E79" s="480" t="s">
        <v>238</v>
      </c>
      <c r="F79" s="480" t="s">
        <v>239</v>
      </c>
      <c r="G79" s="481" t="s">
        <v>240</v>
      </c>
      <c r="H79" s="325"/>
      <c r="I79" s="573">
        <v>0.24690284766718787</v>
      </c>
      <c r="J79" s="112"/>
      <c r="K79" s="243">
        <v>0.06696293303706696</v>
      </c>
      <c r="L79" s="243">
        <v>0.06696293303706696</v>
      </c>
      <c r="M79" s="112"/>
      <c r="N79" s="519">
        <f t="shared" si="1"/>
        <v>6.696293303706696</v>
      </c>
      <c r="O79" s="519">
        <f t="shared" si="2"/>
        <v>6.696293303706696</v>
      </c>
    </row>
    <row r="80" spans="1:15" ht="15" customHeight="1" thickBot="1">
      <c r="A80" s="467" t="s">
        <v>195</v>
      </c>
      <c r="B80" s="468" t="s">
        <v>241</v>
      </c>
      <c r="C80" s="468" t="s">
        <v>242</v>
      </c>
      <c r="D80" s="468" t="s">
        <v>243</v>
      </c>
      <c r="E80" s="468" t="s">
        <v>244</v>
      </c>
      <c r="F80" s="468" t="s">
        <v>245</v>
      </c>
      <c r="G80" s="484" t="s">
        <v>246</v>
      </c>
      <c r="H80" s="325"/>
      <c r="I80" s="573">
        <v>0.07832018964661022</v>
      </c>
      <c r="J80" s="112"/>
      <c r="K80" s="243">
        <v>0.11392788607211393</v>
      </c>
      <c r="L80" s="243">
        <v>0.11392788607211393</v>
      </c>
      <c r="M80" s="112"/>
      <c r="N80" s="519">
        <f t="shared" si="1"/>
        <v>11.392788607211394</v>
      </c>
      <c r="O80" s="519">
        <f t="shared" si="2"/>
        <v>11.392788607211394</v>
      </c>
    </row>
    <row r="81" spans="1:15" ht="4.5" customHeight="1" thickBot="1">
      <c r="A81" s="460"/>
      <c r="B81" s="460"/>
      <c r="C81" s="460"/>
      <c r="D81" s="460"/>
      <c r="E81" s="460"/>
      <c r="F81" s="460"/>
      <c r="G81" s="460"/>
      <c r="H81" s="325"/>
      <c r="I81" s="569"/>
      <c r="J81" s="112"/>
      <c r="K81" s="112"/>
      <c r="L81" s="112"/>
      <c r="M81" s="112"/>
      <c r="N81" s="244"/>
      <c r="O81" s="244"/>
    </row>
    <row r="82" spans="1:15" ht="15" customHeight="1">
      <c r="A82" s="466" t="s">
        <v>185</v>
      </c>
      <c r="B82" s="480" t="s">
        <v>247</v>
      </c>
      <c r="C82" s="480" t="s">
        <v>248</v>
      </c>
      <c r="D82" s="480" t="s">
        <v>249</v>
      </c>
      <c r="E82" s="480" t="s">
        <v>250</v>
      </c>
      <c r="F82" s="480" t="s">
        <v>251</v>
      </c>
      <c r="G82" s="481" t="s">
        <v>252</v>
      </c>
      <c r="H82" s="325"/>
      <c r="I82" s="570">
        <v>0.5298780296891386</v>
      </c>
      <c r="J82" s="112"/>
      <c r="K82" s="243">
        <v>0.04433895566104434</v>
      </c>
      <c r="L82" s="243">
        <v>0.04433895566104434</v>
      </c>
      <c r="M82" s="112"/>
      <c r="N82" s="519">
        <f t="shared" si="1"/>
        <v>4.433895566104433</v>
      </c>
      <c r="O82" s="519">
        <f t="shared" si="2"/>
        <v>4.433895566104433</v>
      </c>
    </row>
    <row r="83" spans="1:15" ht="15" customHeight="1" thickBot="1">
      <c r="A83" s="467" t="s">
        <v>196</v>
      </c>
      <c r="B83" s="468" t="s">
        <v>253</v>
      </c>
      <c r="C83" s="468" t="s">
        <v>254</v>
      </c>
      <c r="D83" s="468" t="s">
        <v>255</v>
      </c>
      <c r="E83" s="468" t="s">
        <v>256</v>
      </c>
      <c r="F83" s="468" t="s">
        <v>257</v>
      </c>
      <c r="G83" s="484" t="s">
        <v>258</v>
      </c>
      <c r="H83" s="325"/>
      <c r="I83" s="571">
        <v>0.3856682304187243</v>
      </c>
      <c r="J83" s="112"/>
      <c r="K83" s="243">
        <v>0.016664983335016665</v>
      </c>
      <c r="L83" s="243">
        <v>0.016664983335016665</v>
      </c>
      <c r="M83" s="112"/>
      <c r="N83" s="519">
        <f t="shared" si="1"/>
        <v>1.6664983335016665</v>
      </c>
      <c r="O83" s="519">
        <f t="shared" si="2"/>
        <v>1.6664983335016665</v>
      </c>
    </row>
    <row r="84" spans="1:15" ht="4.5" customHeight="1" thickBot="1">
      <c r="A84" s="460"/>
      <c r="B84" s="460"/>
      <c r="C84" s="460"/>
      <c r="D84" s="460"/>
      <c r="E84" s="460"/>
      <c r="F84" s="460"/>
      <c r="G84" s="460"/>
      <c r="H84" s="325"/>
      <c r="I84" s="569"/>
      <c r="J84" s="112"/>
      <c r="K84" s="112"/>
      <c r="L84" s="112"/>
      <c r="M84" s="112"/>
      <c r="N84" s="244"/>
      <c r="O84" s="244"/>
    </row>
    <row r="85" spans="1:15" ht="24.75" customHeight="1">
      <c r="A85" s="466" t="s">
        <v>356</v>
      </c>
      <c r="B85" s="480" t="s">
        <v>197</v>
      </c>
      <c r="C85" s="480" t="s">
        <v>198</v>
      </c>
      <c r="D85" s="480" t="s">
        <v>199</v>
      </c>
      <c r="E85" s="480" t="s">
        <v>200</v>
      </c>
      <c r="F85" s="499" t="s">
        <v>201</v>
      </c>
      <c r="G85" s="481">
        <v>0.5444</v>
      </c>
      <c r="H85" s="325"/>
      <c r="I85" s="573">
        <v>0.0383233175089292</v>
      </c>
      <c r="J85" s="112"/>
      <c r="K85" s="243">
        <v>0.12002424732269146</v>
      </c>
      <c r="L85" s="243">
        <v>0.13388529886914377</v>
      </c>
      <c r="M85" s="112"/>
      <c r="N85" s="519">
        <f>K85*100</f>
        <v>12.002424732269146</v>
      </c>
      <c r="O85" s="520">
        <f>L85*100</f>
        <v>13.388529886914377</v>
      </c>
    </row>
    <row r="86" spans="1:15" ht="39.75" customHeight="1">
      <c r="A86" s="535" t="s">
        <v>341</v>
      </c>
      <c r="B86" s="534" t="s">
        <v>260</v>
      </c>
      <c r="C86" s="534" t="s">
        <v>261</v>
      </c>
      <c r="D86" s="534" t="s">
        <v>262</v>
      </c>
      <c r="E86" s="534" t="s">
        <v>263</v>
      </c>
      <c r="F86" s="534" t="s">
        <v>264</v>
      </c>
      <c r="G86" s="536" t="s">
        <v>265</v>
      </c>
      <c r="H86" s="325"/>
      <c r="I86" s="576">
        <v>0.14164972600916764</v>
      </c>
      <c r="J86" s="112"/>
      <c r="K86" s="243">
        <v>0.01727098272901727</v>
      </c>
      <c r="L86" s="243">
        <v>0.01727098272901727</v>
      </c>
      <c r="M86" s="112"/>
      <c r="N86" s="523">
        <f t="shared" si="1"/>
        <v>1.727098272901727</v>
      </c>
      <c r="O86" s="523">
        <f t="shared" si="2"/>
        <v>1.727098272901727</v>
      </c>
    </row>
    <row r="87" spans="1:15" ht="39.75" customHeight="1" thickBot="1">
      <c r="A87" s="470" t="s">
        <v>259</v>
      </c>
      <c r="B87" s="486" t="s">
        <v>266</v>
      </c>
      <c r="C87" s="486" t="s">
        <v>267</v>
      </c>
      <c r="D87" s="486" t="s">
        <v>268</v>
      </c>
      <c r="E87" s="486" t="s">
        <v>269</v>
      </c>
      <c r="F87" s="501" t="s">
        <v>270</v>
      </c>
      <c r="G87" s="487" t="s">
        <v>271</v>
      </c>
      <c r="H87" s="325"/>
      <c r="I87" s="576">
        <v>0.0016189615572174602</v>
      </c>
      <c r="J87" s="112"/>
      <c r="K87" s="243">
        <v>0.17134774701959993</v>
      </c>
      <c r="L87" s="243">
        <v>0.19588045234248788</v>
      </c>
      <c r="M87" s="112"/>
      <c r="N87" s="524">
        <f t="shared" si="1"/>
        <v>17.134774701959994</v>
      </c>
      <c r="O87" s="525">
        <f t="shared" si="2"/>
        <v>19.58804523424879</v>
      </c>
    </row>
    <row r="88" spans="1:14" ht="12.75">
      <c r="A88" s="471"/>
      <c r="B88" s="472"/>
      <c r="C88" s="472"/>
      <c r="D88" s="472"/>
      <c r="E88" s="472"/>
      <c r="F88" s="472"/>
      <c r="G88" s="472"/>
      <c r="H88" s="325"/>
      <c r="I88" s="326"/>
      <c r="J88" s="112"/>
      <c r="K88" s="112"/>
      <c r="L88" s="112"/>
      <c r="M88" s="112"/>
      <c r="N88" s="254"/>
    </row>
    <row r="89" spans="1:14" ht="13.5" thickBot="1">
      <c r="A89" s="471"/>
      <c r="B89" s="472"/>
      <c r="C89" s="472"/>
      <c r="D89" s="472"/>
      <c r="E89" s="472"/>
      <c r="F89" s="472"/>
      <c r="G89" s="472"/>
      <c r="H89" s="325"/>
      <c r="I89" s="326"/>
      <c r="J89" s="112"/>
      <c r="K89" s="112"/>
      <c r="L89" s="112"/>
      <c r="M89" s="112"/>
      <c r="N89" s="254"/>
    </row>
    <row r="90" spans="1:14" ht="25.5" customHeight="1" thickBot="1">
      <c r="A90" s="549" t="s">
        <v>437</v>
      </c>
      <c r="B90" s="550"/>
      <c r="C90" s="550"/>
      <c r="D90" s="550"/>
      <c r="E90" s="550"/>
      <c r="F90" s="550"/>
      <c r="G90" s="551"/>
      <c r="H90" s="325"/>
      <c r="I90" s="326"/>
      <c r="J90" s="112"/>
      <c r="K90" s="112"/>
      <c r="L90" s="112"/>
      <c r="M90" s="112"/>
      <c r="N90" s="254"/>
    </row>
    <row r="91" spans="1:14" ht="35.25" customHeight="1" thickBot="1">
      <c r="A91" s="552" t="s">
        <v>188</v>
      </c>
      <c r="B91" s="553" t="s">
        <v>189</v>
      </c>
      <c r="C91" s="553" t="s">
        <v>190</v>
      </c>
      <c r="D91" s="553" t="s">
        <v>62</v>
      </c>
      <c r="E91" s="553" t="s">
        <v>191</v>
      </c>
      <c r="F91" s="553" t="s">
        <v>192</v>
      </c>
      <c r="G91" s="554" t="s">
        <v>71</v>
      </c>
      <c r="H91" s="268"/>
      <c r="I91" s="326"/>
      <c r="J91" s="112"/>
      <c r="K91" s="112"/>
      <c r="L91" s="112"/>
      <c r="M91" s="112"/>
      <c r="N91" s="254"/>
    </row>
    <row r="92" spans="1:15" ht="30.75" customHeight="1">
      <c r="A92" s="555" t="s">
        <v>438</v>
      </c>
      <c r="B92" s="556" t="s">
        <v>360</v>
      </c>
      <c r="C92" s="556" t="s">
        <v>361</v>
      </c>
      <c r="D92" s="556" t="s">
        <v>362</v>
      </c>
      <c r="E92" s="556" t="s">
        <v>363</v>
      </c>
      <c r="F92" s="556" t="s">
        <v>364</v>
      </c>
      <c r="G92" s="557">
        <v>0.2984</v>
      </c>
      <c r="H92" s="268"/>
      <c r="I92" s="324">
        <v>0.15244390685519416</v>
      </c>
      <c r="J92" s="112"/>
      <c r="K92" s="243">
        <v>0.049388950611049386</v>
      </c>
      <c r="L92" s="243">
        <v>0.049388950611049386</v>
      </c>
      <c r="N92" s="519">
        <f>K92*100</f>
        <v>4.9388950611049385</v>
      </c>
      <c r="O92" s="519">
        <f>L92*100</f>
        <v>4.9388950611049385</v>
      </c>
    </row>
    <row r="93" spans="9:12" ht="9" customHeight="1">
      <c r="I93" s="326"/>
      <c r="K93" s="243"/>
      <c r="L93" s="243"/>
    </row>
    <row r="94" spans="1:15" ht="21.75" customHeight="1">
      <c r="A94" s="555" t="s">
        <v>431</v>
      </c>
      <c r="B94" s="556" t="s">
        <v>425</v>
      </c>
      <c r="C94" s="556" t="s">
        <v>426</v>
      </c>
      <c r="D94" s="556" t="s">
        <v>427</v>
      </c>
      <c r="E94" s="556" t="s">
        <v>428</v>
      </c>
      <c r="F94" s="559" t="s">
        <v>429</v>
      </c>
      <c r="G94" s="557" t="s">
        <v>430</v>
      </c>
      <c r="H94" s="268"/>
      <c r="I94" s="324">
        <v>6.979489744687011E-14</v>
      </c>
      <c r="J94" s="112"/>
      <c r="K94" s="243">
        <v>0.41361891291169933</v>
      </c>
      <c r="L94" s="243">
        <v>0.340670436187399</v>
      </c>
      <c r="N94" s="525">
        <f>K94*100</f>
        <v>41.36189129116993</v>
      </c>
      <c r="O94" s="560">
        <f>L94*100</f>
        <v>34.0670436187399</v>
      </c>
    </row>
    <row r="95" spans="1:15" ht="21.75" customHeight="1">
      <c r="A95" s="558" t="s">
        <v>432</v>
      </c>
      <c r="B95" s="556" t="s">
        <v>370</v>
      </c>
      <c r="C95" s="556" t="s">
        <v>371</v>
      </c>
      <c r="D95" s="556" t="s">
        <v>372</v>
      </c>
      <c r="E95" s="556" t="s">
        <v>373</v>
      </c>
      <c r="F95" s="556" t="s">
        <v>374</v>
      </c>
      <c r="G95" s="557">
        <v>0.065</v>
      </c>
      <c r="H95" s="23"/>
      <c r="I95" s="324">
        <v>0.6554248690886454</v>
      </c>
      <c r="K95" s="243">
        <v>0.024946975053024945</v>
      </c>
      <c r="L95" s="243">
        <v>0.024946975053024945</v>
      </c>
      <c r="N95" s="519">
        <f>K95*100</f>
        <v>2.4946975053024945</v>
      </c>
      <c r="O95" s="519">
        <f>L95*100</f>
        <v>2.4946975053024945</v>
      </c>
    </row>
    <row r="96" spans="1:12" ht="21.75" customHeight="1">
      <c r="A96" s="555" t="s">
        <v>433</v>
      </c>
      <c r="B96" s="556" t="s">
        <v>365</v>
      </c>
      <c r="C96" s="556" t="s">
        <v>366</v>
      </c>
      <c r="D96" s="556" t="s">
        <v>367</v>
      </c>
      <c r="E96" s="556" t="s">
        <v>368</v>
      </c>
      <c r="F96" s="556" t="s">
        <v>369</v>
      </c>
      <c r="G96" s="557">
        <v>0.4619</v>
      </c>
      <c r="H96" s="268"/>
      <c r="I96" s="326"/>
      <c r="J96" s="112"/>
      <c r="K96" s="243"/>
      <c r="L96" s="243"/>
    </row>
    <row r="97" spans="1:12" ht="21.75" customHeight="1">
      <c r="A97" s="558" t="s">
        <v>434</v>
      </c>
      <c r="B97" s="556" t="s">
        <v>375</v>
      </c>
      <c r="C97" s="556" t="s">
        <v>376</v>
      </c>
      <c r="D97" s="556" t="s">
        <v>377</v>
      </c>
      <c r="E97" s="556" t="s">
        <v>378</v>
      </c>
      <c r="F97" s="556" t="s">
        <v>379</v>
      </c>
      <c r="G97" s="557">
        <v>0.1</v>
      </c>
      <c r="I97" s="326"/>
      <c r="K97" s="243"/>
      <c r="L97" s="243"/>
    </row>
    <row r="98" spans="1:12" ht="21.75" customHeight="1">
      <c r="A98" s="558" t="s">
        <v>380</v>
      </c>
      <c r="B98" s="556" t="s">
        <v>230</v>
      </c>
      <c r="C98" s="556" t="s">
        <v>381</v>
      </c>
      <c r="D98" s="556" t="s">
        <v>382</v>
      </c>
      <c r="E98" s="556" t="s">
        <v>383</v>
      </c>
      <c r="F98" s="556" t="s">
        <v>384</v>
      </c>
      <c r="G98" s="557">
        <v>0.3865</v>
      </c>
      <c r="I98" s="326"/>
      <c r="K98" s="243"/>
      <c r="L98" s="243"/>
    </row>
    <row r="99" spans="1:12" ht="21.75" customHeight="1">
      <c r="A99" s="555" t="s">
        <v>417</v>
      </c>
      <c r="B99" s="556" t="s">
        <v>385</v>
      </c>
      <c r="C99" s="556" t="s">
        <v>386</v>
      </c>
      <c r="D99" s="556" t="s">
        <v>387</v>
      </c>
      <c r="E99" s="556" t="s">
        <v>388</v>
      </c>
      <c r="F99" s="556" t="s">
        <v>389</v>
      </c>
      <c r="G99" s="557">
        <v>0.1343</v>
      </c>
      <c r="I99" s="326"/>
      <c r="K99" s="243"/>
      <c r="L99" s="243"/>
    </row>
    <row r="100" spans="1:12" ht="21.75" customHeight="1">
      <c r="A100" s="558" t="s">
        <v>390</v>
      </c>
      <c r="B100" s="556" t="s">
        <v>391</v>
      </c>
      <c r="C100" s="556" t="s">
        <v>392</v>
      </c>
      <c r="D100" s="568" t="s">
        <v>436</v>
      </c>
      <c r="E100" s="556" t="s">
        <v>393</v>
      </c>
      <c r="F100" s="556" t="s">
        <v>394</v>
      </c>
      <c r="G100" s="557">
        <v>0.1686</v>
      </c>
      <c r="I100" s="326"/>
      <c r="K100" s="243"/>
      <c r="L100" s="243"/>
    </row>
    <row r="101" spans="1:12" ht="21.75" customHeight="1">
      <c r="A101" s="558" t="s">
        <v>395</v>
      </c>
      <c r="B101" s="556" t="s">
        <v>396</v>
      </c>
      <c r="C101" s="556" t="s">
        <v>397</v>
      </c>
      <c r="D101" s="556" t="s">
        <v>398</v>
      </c>
      <c r="E101" s="556" t="s">
        <v>399</v>
      </c>
      <c r="F101" s="556" t="s">
        <v>400</v>
      </c>
      <c r="G101" s="557">
        <v>0.244</v>
      </c>
      <c r="I101" s="326"/>
      <c r="K101" s="243"/>
      <c r="L101" s="243"/>
    </row>
    <row r="102" spans="1:12" ht="21.75" customHeight="1">
      <c r="A102" s="558" t="s">
        <v>401</v>
      </c>
      <c r="B102" s="556" t="s">
        <v>402</v>
      </c>
      <c r="C102" s="556" t="s">
        <v>403</v>
      </c>
      <c r="D102" s="556" t="s">
        <v>404</v>
      </c>
      <c r="E102" s="556" t="s">
        <v>405</v>
      </c>
      <c r="F102" s="556" t="s">
        <v>406</v>
      </c>
      <c r="G102" s="557">
        <v>0.2423</v>
      </c>
      <c r="I102" s="326"/>
      <c r="K102" s="243"/>
      <c r="L102" s="243"/>
    </row>
    <row r="103" spans="1:15" ht="21.75" customHeight="1">
      <c r="A103" s="558" t="s">
        <v>407</v>
      </c>
      <c r="B103" s="556" t="s">
        <v>408</v>
      </c>
      <c r="C103" s="556" t="s">
        <v>215</v>
      </c>
      <c r="D103" s="556" t="s">
        <v>409</v>
      </c>
      <c r="E103" s="556" t="s">
        <v>410</v>
      </c>
      <c r="F103" s="500" t="s">
        <v>411</v>
      </c>
      <c r="G103" s="557">
        <v>0.6215</v>
      </c>
      <c r="I103" s="324">
        <v>0.023244327441011937</v>
      </c>
      <c r="K103" s="243">
        <v>0.0016164881794301878</v>
      </c>
      <c r="L103" s="243">
        <v>0.004038772213247173</v>
      </c>
      <c r="N103" s="561">
        <f aca="true" t="shared" si="3" ref="N103:O105">K103*100</f>
        <v>0.16164881794301877</v>
      </c>
      <c r="O103" s="562">
        <f t="shared" si="3"/>
        <v>0.40387722132471726</v>
      </c>
    </row>
    <row r="104" spans="1:15" ht="21.75" customHeight="1">
      <c r="A104" s="558" t="s">
        <v>435</v>
      </c>
      <c r="B104" s="556" t="s">
        <v>412</v>
      </c>
      <c r="C104" s="556" t="s">
        <v>413</v>
      </c>
      <c r="D104" s="556" t="s">
        <v>414</v>
      </c>
      <c r="E104" s="556" t="s">
        <v>415</v>
      </c>
      <c r="F104" s="556" t="s">
        <v>416</v>
      </c>
      <c r="G104" s="557">
        <v>0.2296</v>
      </c>
      <c r="I104" s="324">
        <v>0.22258154733563493</v>
      </c>
      <c r="K104" s="243">
        <v>0.041207958792041206</v>
      </c>
      <c r="L104" s="243">
        <v>0.041207958792041206</v>
      </c>
      <c r="N104" s="523">
        <f t="shared" si="3"/>
        <v>4.12079587920412</v>
      </c>
      <c r="O104" s="523">
        <f t="shared" si="3"/>
        <v>4.12079587920412</v>
      </c>
    </row>
    <row r="105" spans="1:15" ht="21.75" customHeight="1">
      <c r="A105" s="558" t="s">
        <v>424</v>
      </c>
      <c r="B105" s="556" t="s">
        <v>418</v>
      </c>
      <c r="C105" s="556" t="s">
        <v>419</v>
      </c>
      <c r="D105" s="556" t="s">
        <v>420</v>
      </c>
      <c r="E105" s="556" t="s">
        <v>421</v>
      </c>
      <c r="F105" s="559" t="s">
        <v>422</v>
      </c>
      <c r="G105" s="557" t="s">
        <v>423</v>
      </c>
      <c r="I105" s="324">
        <v>9.904121037013414E-08</v>
      </c>
      <c r="K105" s="243">
        <v>0.09112952111537684</v>
      </c>
      <c r="L105" s="243">
        <v>0.06260096930533118</v>
      </c>
      <c r="N105" s="525">
        <f t="shared" si="3"/>
        <v>9.112952111537684</v>
      </c>
      <c r="O105" s="560">
        <f t="shared" si="3"/>
        <v>6.260096930533118</v>
      </c>
    </row>
  </sheetData>
  <sheetProtection/>
  <mergeCells count="5">
    <mergeCell ref="N66:O66"/>
    <mergeCell ref="N65:O65"/>
    <mergeCell ref="B44:C44"/>
    <mergeCell ref="A2:E2"/>
    <mergeCell ref="A3:E3"/>
  </mergeCells>
  <printOptions/>
  <pageMargins left="0.7" right="0.7" top="0.75" bottom="0.75" header="0.3" footer="0.3"/>
  <pageSetup horizontalDpi="300" verticalDpi="300" orientation="portrait" paperSize="9" r:id="rId1"/>
  <ignoredErrors>
    <ignoredError sqref="G86:G87 G71 G78:G84 G69 G72:G73 G105 G9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T32"/>
  <sheetViews>
    <sheetView zoomScale="90" zoomScaleNormal="90" zoomScalePageLayoutView="0" workbookViewId="0" topLeftCell="A1">
      <selection activeCell="M25" sqref="M25"/>
    </sheetView>
  </sheetViews>
  <sheetFormatPr defaultColWidth="25.28125" defaultRowHeight="12.75"/>
  <cols>
    <col min="1" max="1" width="1.7109375" style="0" customWidth="1"/>
    <col min="2" max="2" width="27.00390625" style="0" customWidth="1"/>
    <col min="3" max="3" width="17.28125" style="0" customWidth="1"/>
    <col min="4" max="4" width="10.7109375" style="0" customWidth="1"/>
    <col min="5" max="5" width="10.28125" style="0" customWidth="1"/>
    <col min="6" max="6" width="3.140625" style="0" customWidth="1"/>
    <col min="7" max="7" width="12.421875" style="0" customWidth="1"/>
    <col min="8" max="9" width="11.421875" style="0" customWidth="1"/>
    <col min="10" max="10" width="23.421875" style="0" customWidth="1"/>
    <col min="11" max="11" width="0.9921875" style="0" customWidth="1"/>
    <col min="12" max="12" width="5.140625" style="0" customWidth="1"/>
    <col min="13" max="255" width="11.421875" style="0" customWidth="1"/>
  </cols>
  <sheetData>
    <row r="1" ht="7.5" customHeight="1" thickBot="1"/>
    <row r="2" spans="2:9" ht="19.5" thickBot="1">
      <c r="B2" s="602" t="s">
        <v>90</v>
      </c>
      <c r="C2" s="603"/>
      <c r="D2" s="603"/>
      <c r="E2" s="603"/>
      <c r="F2" s="603"/>
      <c r="G2" s="603"/>
      <c r="H2" s="603"/>
      <c r="I2" s="604"/>
    </row>
    <row r="3" spans="2:9" ht="26.25" customHeight="1">
      <c r="B3" s="590" t="s">
        <v>139</v>
      </c>
      <c r="C3" s="590"/>
      <c r="D3" s="590"/>
      <c r="E3" s="590"/>
      <c r="F3" s="590"/>
      <c r="G3" s="590"/>
      <c r="H3" s="590"/>
      <c r="I3" s="590"/>
    </row>
    <row r="4" spans="2:9" ht="5.25" customHeight="1" thickBot="1">
      <c r="B4" s="204"/>
      <c r="C4" s="204"/>
      <c r="D4" s="204"/>
      <c r="E4" s="204"/>
      <c r="F4" s="204"/>
      <c r="G4" s="204"/>
      <c r="H4" s="204"/>
      <c r="I4" s="204"/>
    </row>
    <row r="5" spans="2:19" s="121" customFormat="1" ht="18.75">
      <c r="B5" s="205" t="s">
        <v>140</v>
      </c>
      <c r="C5" s="206" t="s">
        <v>141</v>
      </c>
      <c r="D5" s="207" t="s">
        <v>142</v>
      </c>
      <c r="E5" s="206"/>
      <c r="F5" s="206"/>
      <c r="G5" s="206"/>
      <c r="H5" s="206"/>
      <c r="I5" s="208"/>
      <c r="Q5" s="156"/>
      <c r="R5" s="123"/>
      <c r="S5" s="123"/>
    </row>
    <row r="6" spans="2:19" s="121" customFormat="1" ht="18">
      <c r="B6" s="209" t="s">
        <v>143</v>
      </c>
      <c r="C6" s="210">
        <v>0.02</v>
      </c>
      <c r="D6" s="141" t="s">
        <v>144</v>
      </c>
      <c r="E6" s="211">
        <v>5</v>
      </c>
      <c r="F6" s="143" t="s">
        <v>68</v>
      </c>
      <c r="G6" s="212"/>
      <c r="H6" s="213" t="s">
        <v>145</v>
      </c>
      <c r="I6" s="214">
        <f>E6*C6</f>
        <v>0.1</v>
      </c>
      <c r="Q6" s="156"/>
      <c r="R6" s="123"/>
      <c r="S6" s="123"/>
    </row>
    <row r="7" spans="2:19" s="121" customFormat="1" ht="15">
      <c r="B7" s="215" t="s">
        <v>146</v>
      </c>
      <c r="C7" s="216">
        <v>0.85</v>
      </c>
      <c r="D7" s="143"/>
      <c r="E7" s="143"/>
      <c r="F7" s="143"/>
      <c r="G7" s="143"/>
      <c r="H7" s="143"/>
      <c r="I7" s="142"/>
      <c r="R7" s="123"/>
      <c r="S7" s="123"/>
    </row>
    <row r="8" spans="2:9" s="121" customFormat="1" ht="19.5" thickBot="1">
      <c r="B8" s="217" t="s">
        <v>147</v>
      </c>
      <c r="C8" s="218">
        <f>1-((1-I6)^C7)</f>
        <v>0.08566333994702258</v>
      </c>
      <c r="D8" s="219"/>
      <c r="E8" s="219"/>
      <c r="F8" s="219"/>
      <c r="G8" s="219"/>
      <c r="H8" s="219"/>
      <c r="I8" s="149"/>
    </row>
    <row r="9" s="121" customFormat="1" ht="10.5" customHeight="1" thickBot="1"/>
    <row r="10" spans="2:9" s="123" customFormat="1" ht="15.75" hidden="1" thickBot="1">
      <c r="B10" s="125"/>
      <c r="C10" s="126"/>
      <c r="D10" s="127"/>
      <c r="E10" s="128"/>
      <c r="G10" s="121"/>
      <c r="H10" s="121"/>
      <c r="I10" s="121"/>
    </row>
    <row r="11" spans="2:20" s="121" customFormat="1" ht="15.75" hidden="1" thickBot="1">
      <c r="B11" s="122" t="s">
        <v>46</v>
      </c>
      <c r="M11" s="123"/>
      <c r="N11" s="123"/>
      <c r="S11" s="123"/>
      <c r="T11" s="123"/>
    </row>
    <row r="12" spans="2:20" s="121" customFormat="1" ht="19.5" hidden="1" thickBot="1">
      <c r="B12" s="121" t="s">
        <v>47</v>
      </c>
      <c r="D12" s="124" t="s">
        <v>148</v>
      </c>
      <c r="M12" s="123"/>
      <c r="N12" s="123"/>
      <c r="S12" s="123"/>
      <c r="T12" s="123"/>
    </row>
    <row r="13" spans="2:20" s="121" customFormat="1" ht="18" hidden="1" thickBot="1">
      <c r="B13" s="130" t="s">
        <v>48</v>
      </c>
      <c r="D13" s="124"/>
      <c r="G13" s="124" t="s">
        <v>149</v>
      </c>
      <c r="M13" s="123"/>
      <c r="N13" s="123"/>
      <c r="S13" s="123"/>
      <c r="T13" s="123"/>
    </row>
    <row r="14" spans="2:20" s="121" customFormat="1" ht="33" customHeight="1" thickBot="1">
      <c r="B14" s="605" t="s">
        <v>91</v>
      </c>
      <c r="C14" s="606"/>
      <c r="D14" s="606"/>
      <c r="E14" s="607"/>
      <c r="F14" s="328"/>
      <c r="G14" s="329"/>
      <c r="H14" s="331"/>
      <c r="I14" s="331"/>
      <c r="J14" s="331"/>
      <c r="K14" s="4"/>
      <c r="M14" s="123"/>
      <c r="N14" s="123"/>
      <c r="S14" s="123"/>
      <c r="T14" s="123"/>
    </row>
    <row r="15" spans="2:14" s="121" customFormat="1" ht="15.75">
      <c r="B15" s="220" t="s">
        <v>88</v>
      </c>
      <c r="C15" s="221">
        <f>I6</f>
        <v>0.1</v>
      </c>
      <c r="D15" s="222" t="s">
        <v>49</v>
      </c>
      <c r="E15" s="223">
        <f>1-C15</f>
        <v>0.9</v>
      </c>
      <c r="F15" s="328"/>
      <c r="G15" s="329"/>
      <c r="H15" s="332"/>
      <c r="I15" s="331"/>
      <c r="J15" s="331"/>
      <c r="K15" s="4"/>
      <c r="M15" s="123"/>
      <c r="N15" s="123"/>
    </row>
    <row r="16" spans="2:14" s="121" customFormat="1" ht="15.75">
      <c r="B16" s="135" t="s">
        <v>92</v>
      </c>
      <c r="C16" s="224">
        <f>C8</f>
        <v>0.08566333994702258</v>
      </c>
      <c r="D16" s="136" t="s">
        <v>50</v>
      </c>
      <c r="E16" s="137">
        <f>1-C16</f>
        <v>0.9143366600529774</v>
      </c>
      <c r="F16" s="328"/>
      <c r="G16" s="329"/>
      <c r="H16" s="332"/>
      <c r="I16" s="331"/>
      <c r="J16" s="331"/>
      <c r="K16" s="4"/>
      <c r="M16" s="123"/>
      <c r="N16" s="123"/>
    </row>
    <row r="17" spans="2:14" s="121" customFormat="1" ht="15.75">
      <c r="B17" s="138" t="s">
        <v>89</v>
      </c>
      <c r="C17" s="139">
        <f>(C15+C16)/2</f>
        <v>0.09283166997351129</v>
      </c>
      <c r="D17" s="136" t="s">
        <v>51</v>
      </c>
      <c r="E17" s="137">
        <f>1-C17</f>
        <v>0.9071683300264887</v>
      </c>
      <c r="F17" s="328"/>
      <c r="G17" s="331"/>
      <c r="H17" s="331"/>
      <c r="I17" s="333"/>
      <c r="J17" s="331"/>
      <c r="K17" s="4"/>
      <c r="M17" s="123"/>
      <c r="N17" s="123"/>
    </row>
    <row r="18" spans="2:20" s="121" customFormat="1" ht="15.75">
      <c r="B18" s="140" t="s">
        <v>155</v>
      </c>
      <c r="C18" s="225">
        <v>0.05</v>
      </c>
      <c r="D18" s="226" t="s">
        <v>52</v>
      </c>
      <c r="E18" s="137">
        <f>-NORMSINV((C18*100/2)/100)</f>
        <v>1.9599639845400538</v>
      </c>
      <c r="F18" s="328"/>
      <c r="G18" s="334" t="s">
        <v>102</v>
      </c>
      <c r="H18" s="335"/>
      <c r="I18" s="336"/>
      <c r="J18" s="337"/>
      <c r="K18" s="4"/>
      <c r="M18" s="123"/>
      <c r="N18" s="123"/>
      <c r="S18" s="123"/>
      <c r="T18" s="123"/>
    </row>
    <row r="19" spans="2:20" s="121" customFormat="1" ht="15.75">
      <c r="B19" s="140" t="s">
        <v>156</v>
      </c>
      <c r="C19" s="227">
        <v>0.2</v>
      </c>
      <c r="D19" s="228" t="s">
        <v>53</v>
      </c>
      <c r="E19" s="137">
        <f>-NORMSINV(C19)</f>
        <v>0.8416212335729145</v>
      </c>
      <c r="F19" s="328"/>
      <c r="G19" s="338">
        <f>E26*C15</f>
        <v>644.1662493740611</v>
      </c>
      <c r="H19" s="339" t="s">
        <v>103</v>
      </c>
      <c r="I19" s="340"/>
      <c r="J19" s="337"/>
      <c r="K19" s="4"/>
      <c r="M19" s="123"/>
      <c r="N19" s="123"/>
      <c r="S19" s="123"/>
      <c r="T19" s="123"/>
    </row>
    <row r="20" spans="2:20" s="121" customFormat="1" ht="15.75">
      <c r="B20" s="140" t="s">
        <v>93</v>
      </c>
      <c r="C20" s="229">
        <f>2*C17*E17*(E18+E19)^2</f>
        <v>1.3219703470746955</v>
      </c>
      <c r="D20" s="141"/>
      <c r="E20" s="142"/>
      <c r="F20" s="328"/>
      <c r="G20" s="341">
        <f>E26*C16</f>
        <v>551.8143240252871</v>
      </c>
      <c r="H20" s="342" t="s">
        <v>114</v>
      </c>
      <c r="I20" s="343"/>
      <c r="J20" s="344"/>
      <c r="K20" s="4"/>
      <c r="M20" s="123"/>
      <c r="N20" s="123"/>
      <c r="S20" s="123"/>
      <c r="T20" s="123"/>
    </row>
    <row r="21" spans="2:20" s="121" customFormat="1" ht="15.75">
      <c r="B21" s="140" t="s">
        <v>94</v>
      </c>
      <c r="C21" s="230">
        <f>(C15-C16)^2</f>
        <v>0.00020553982147463877</v>
      </c>
      <c r="D21" s="143"/>
      <c r="E21" s="142"/>
      <c r="F21" s="328"/>
      <c r="G21" s="345">
        <f>SUM(G19:G20)</f>
        <v>1195.980573399348</v>
      </c>
      <c r="H21" s="334" t="s">
        <v>104</v>
      </c>
      <c r="I21" s="335"/>
      <c r="J21" s="337"/>
      <c r="K21" s="4"/>
      <c r="M21" s="123"/>
      <c r="N21" s="123"/>
      <c r="S21" s="123"/>
      <c r="T21" s="123"/>
    </row>
    <row r="22" spans="2:20" s="121" customFormat="1" ht="15">
      <c r="B22" s="144" t="s">
        <v>44</v>
      </c>
      <c r="C22" s="134">
        <f>ROUNDUP(C20/C21,0)</f>
        <v>6432</v>
      </c>
      <c r="D22" s="145"/>
      <c r="E22" s="142"/>
      <c r="F22" s="328"/>
      <c r="G22" s="328"/>
      <c r="H22" s="328"/>
      <c r="I22" s="328"/>
      <c r="J22" s="328"/>
      <c r="K22" s="4"/>
      <c r="M22" s="123"/>
      <c r="N22" s="123"/>
      <c r="S22" s="123"/>
      <c r="T22" s="123"/>
    </row>
    <row r="23" spans="2:20" s="121" customFormat="1" ht="15.75" thickBot="1">
      <c r="B23" s="146" t="s">
        <v>45</v>
      </c>
      <c r="C23" s="147">
        <f>C22*2</f>
        <v>12864</v>
      </c>
      <c r="D23" s="148"/>
      <c r="E23" s="149"/>
      <c r="F23" s="328"/>
      <c r="G23" s="328"/>
      <c r="H23" s="328"/>
      <c r="I23" s="330"/>
      <c r="J23" s="328"/>
      <c r="M23" s="123"/>
      <c r="N23" s="123"/>
      <c r="S23" s="123"/>
      <c r="T23" s="123"/>
    </row>
    <row r="24" s="121" customFormat="1" ht="6.75" customHeight="1">
      <c r="H24" s="131"/>
    </row>
    <row r="25" s="121" customFormat="1" ht="8.25" customHeight="1"/>
    <row r="26" spans="2:8" s="121" customFormat="1" ht="15">
      <c r="B26" s="132" t="s">
        <v>115</v>
      </c>
      <c r="C26" s="133">
        <v>0.0015</v>
      </c>
      <c r="D26" s="130" t="s">
        <v>113</v>
      </c>
      <c r="E26" s="134">
        <f>C22*1/(1-C26)</f>
        <v>6441.66249374061</v>
      </c>
      <c r="F26" s="121" t="s">
        <v>150</v>
      </c>
      <c r="G26" s="129"/>
      <c r="H26" s="129"/>
    </row>
    <row r="27" s="231" customFormat="1" ht="6.75" customHeight="1">
      <c r="I27" s="4"/>
    </row>
    <row r="28" spans="4:9" s="231" customFormat="1" ht="15">
      <c r="D28" s="232"/>
      <c r="E28" s="233"/>
      <c r="I28" s="4"/>
    </row>
    <row r="29" spans="4:16" s="231" customFormat="1" ht="15">
      <c r="D29" s="232"/>
      <c r="E29" s="233"/>
      <c r="I29" s="4"/>
      <c r="J29" s="11"/>
      <c r="K29" s="11"/>
      <c r="L29" s="11"/>
      <c r="M29" s="11"/>
      <c r="N29" s="11"/>
      <c r="O29" s="11"/>
      <c r="P29" s="11"/>
    </row>
    <row r="30" spans="10:16" ht="12.75">
      <c r="J30" s="234"/>
      <c r="K30" s="235"/>
      <c r="L30" s="235"/>
      <c r="M30" s="234"/>
      <c r="N30" s="235"/>
      <c r="O30" s="235"/>
      <c r="P30" s="236"/>
    </row>
    <row r="31" spans="5:16" ht="12.75">
      <c r="E31" s="237"/>
      <c r="J31" s="238"/>
      <c r="K31" s="239"/>
      <c r="L31" s="239"/>
      <c r="M31" s="239"/>
      <c r="N31" s="240"/>
      <c r="O31" s="239"/>
      <c r="P31" s="241"/>
    </row>
    <row r="32" spans="7:9" ht="12.75">
      <c r="G32" s="242"/>
      <c r="H32" s="242"/>
      <c r="I32" s="242"/>
    </row>
  </sheetData>
  <sheetProtection/>
  <mergeCells count="3">
    <mergeCell ref="B2:I2"/>
    <mergeCell ref="B3:I3"/>
    <mergeCell ref="B14:E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2020-03-20T11:45:47Z</dcterms:modified>
  <cp:category/>
  <cp:version/>
  <cp:contentType/>
  <cp:contentStatus/>
</cp:coreProperties>
</file>