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226-Galo\0-Datos\25-PCBE Cursos\21-Mód 1.3 PROactive\"/>
    </mc:Choice>
  </mc:AlternateContent>
  <xr:revisionPtr revIDLastSave="0" documentId="13_ncr:1_{5648C9CB-501A-46E0-A3C2-3106E66E3AC8}" xr6:coauthVersionLast="47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 Mort, IAM o ACV xRg1" sheetId="4" r:id="rId2"/>
    <sheet name="Gráf Hosp InsCar xRg1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C23" i="8" l="1"/>
  <c r="D13" i="8"/>
  <c r="C13" i="8"/>
  <c r="B5" i="8"/>
  <c r="E2" i="8" s="1"/>
  <c r="G2" i="8" s="1"/>
  <c r="A1" i="8"/>
  <c r="F14" i="8" l="1"/>
  <c r="D7" i="8"/>
  <c r="D10" i="8"/>
  <c r="D14" i="8" s="1"/>
  <c r="C7" i="8"/>
  <c r="C8" i="8"/>
  <c r="D23" i="8"/>
  <c r="D8" i="8"/>
  <c r="C9" i="8"/>
  <c r="C14" i="8" s="1"/>
  <c r="D11" i="8" l="1"/>
  <c r="B24" i="8"/>
  <c r="D24" i="8"/>
  <c r="C24" i="8"/>
  <c r="C11" i="8"/>
  <c r="R5" i="6" l="1"/>
  <c r="C23" i="4"/>
  <c r="D23" i="4" l="1"/>
  <c r="D24" i="4" l="1"/>
  <c r="B24" i="4"/>
  <c r="C24" i="4"/>
  <c r="U62" i="6" l="1"/>
  <c r="O14" i="6"/>
  <c r="S14" i="6"/>
  <c r="N14" i="6"/>
  <c r="R14" i="6" l="1"/>
  <c r="Q14" i="6"/>
  <c r="P14" i="6" l="1"/>
  <c r="R7" i="6"/>
  <c r="U7" i="6" s="1"/>
  <c r="S62" i="6"/>
  <c r="R6" i="6"/>
  <c r="U6" i="6" s="1"/>
  <c r="R62" i="6"/>
  <c r="Q62" i="6" l="1"/>
  <c r="T62" i="6" s="1"/>
  <c r="R8" i="6"/>
  <c r="U8" i="6" s="1"/>
  <c r="U9" i="6" s="1"/>
  <c r="C56" i="6"/>
  <c r="A53" i="6"/>
  <c r="F61" i="6" s="1"/>
  <c r="D41" i="6"/>
  <c r="D40" i="6"/>
  <c r="H23" i="6"/>
  <c r="H22" i="6"/>
  <c r="B22" i="6"/>
  <c r="A22" i="6"/>
  <c r="H21" i="6"/>
  <c r="B21" i="6"/>
  <c r="F14" i="6"/>
  <c r="D54" i="6" s="1"/>
  <c r="C14" i="6"/>
  <c r="E9" i="6"/>
  <c r="C9" i="6"/>
  <c r="D8" i="6"/>
  <c r="B23" i="6" l="1"/>
  <c r="F23" i="6" s="1"/>
  <c r="R9" i="6"/>
  <c r="S8" i="6" s="1"/>
  <c r="D22" i="6"/>
  <c r="D42" i="6"/>
  <c r="M21" i="6"/>
  <c r="B41" i="6"/>
  <c r="B46" i="6" s="1"/>
  <c r="F21" i="6"/>
  <c r="F22" i="6"/>
  <c r="C22" i="6"/>
  <c r="I22" i="6" s="1"/>
  <c r="J56" i="6" s="1"/>
  <c r="C58" i="6" s="1"/>
  <c r="C62" i="6" s="1"/>
  <c r="D7" i="6"/>
  <c r="A21" i="6"/>
  <c r="A23" i="6"/>
  <c r="B56" i="6"/>
  <c r="D61" i="6"/>
  <c r="A14" i="6"/>
  <c r="J14" i="6"/>
  <c r="E61" i="6"/>
  <c r="B40" i="6"/>
  <c r="S7" i="6" l="1"/>
  <c r="S6" i="6"/>
  <c r="E22" i="6"/>
  <c r="K22" i="6" s="1"/>
  <c r="L56" i="6" s="1"/>
  <c r="B42" i="6"/>
  <c r="D21" i="6"/>
  <c r="M23" i="6"/>
  <c r="C21" i="6"/>
  <c r="E21" i="6" s="1"/>
  <c r="D9" i="6"/>
  <c r="B14" i="6"/>
  <c r="E14" i="6" s="1"/>
  <c r="H14" i="6" s="1"/>
  <c r="B45" i="6"/>
  <c r="D23" i="6"/>
  <c r="C23" i="6"/>
  <c r="E23" i="6" s="1"/>
  <c r="J22" i="6" l="1"/>
  <c r="K56" i="6" s="1"/>
  <c r="M56" i="6" s="1"/>
  <c r="D14" i="6"/>
  <c r="G14" i="6" s="1"/>
  <c r="D55" i="6" s="1"/>
  <c r="L14" i="6"/>
  <c r="D56" i="6"/>
  <c r="P28" i="6"/>
  <c r="I23" i="6"/>
  <c r="J57" i="6" s="1"/>
  <c r="V22" i="6"/>
  <c r="V21" i="6"/>
  <c r="I21" i="6"/>
  <c r="J55" i="6" s="1"/>
  <c r="I26" i="6"/>
  <c r="K23" i="6"/>
  <c r="L57" i="6" s="1"/>
  <c r="J23" i="6"/>
  <c r="K57" i="6" s="1"/>
  <c r="C41" i="6"/>
  <c r="C46" i="6" s="1"/>
  <c r="C40" i="6"/>
  <c r="K21" i="6"/>
  <c r="L55" i="6" s="1"/>
  <c r="J21" i="6"/>
  <c r="K55" i="6" s="1"/>
  <c r="K14" i="6" l="1"/>
  <c r="D58" i="6"/>
  <c r="D62" i="6" s="1"/>
  <c r="C42" i="6"/>
  <c r="C45" i="6"/>
  <c r="B48" i="6" s="1"/>
  <c r="J41" i="6"/>
  <c r="H40" i="6" s="1"/>
  <c r="E54" i="6"/>
  <c r="M31" i="6"/>
  <c r="M32" i="6" s="1"/>
  <c r="J26" i="6"/>
  <c r="K26" i="6"/>
  <c r="M22" i="6"/>
  <c r="M24" i="6" s="1"/>
  <c r="M25" i="6" s="1"/>
  <c r="M26" i="6" s="1"/>
  <c r="I27" i="6"/>
  <c r="I35" i="6" s="1"/>
  <c r="M57" i="6"/>
  <c r="M55" i="6"/>
  <c r="B58" i="6"/>
  <c r="B62" i="6" s="1"/>
  <c r="V23" i="6"/>
  <c r="V24" i="6" s="1"/>
  <c r="V25" i="6" s="1"/>
  <c r="I32" i="6" l="1"/>
  <c r="S3" i="6" s="1"/>
  <c r="E55" i="6"/>
  <c r="K27" i="6"/>
  <c r="J35" i="6" s="1"/>
  <c r="L62" i="6"/>
  <c r="O62" i="6" s="1"/>
  <c r="E56" i="6"/>
  <c r="K62" i="6"/>
  <c r="N62" i="6" s="1"/>
  <c r="J27" i="6"/>
  <c r="K35" i="6" s="1"/>
  <c r="F46" i="6"/>
  <c r="B49" i="6"/>
  <c r="I62" i="6" s="1"/>
  <c r="I34" i="6"/>
  <c r="I36" i="6"/>
  <c r="I31" i="6"/>
  <c r="T3" i="6" s="1"/>
  <c r="F54" i="6"/>
  <c r="I29" i="6"/>
  <c r="I37" i="6"/>
  <c r="I30" i="6"/>
  <c r="U3" i="6" s="1"/>
  <c r="G56" i="6"/>
  <c r="G58" i="6" s="1"/>
  <c r="G62" i="6" s="1"/>
  <c r="M33" i="6"/>
  <c r="R3" i="6" l="1"/>
  <c r="J32" i="6"/>
  <c r="E58" i="6"/>
  <c r="E62" i="6" s="1"/>
  <c r="F55" i="6"/>
  <c r="J36" i="6"/>
  <c r="K29" i="6"/>
  <c r="J34" i="6"/>
  <c r="K31" i="6"/>
  <c r="K30" i="6"/>
  <c r="J37" i="6"/>
  <c r="K36" i="6"/>
  <c r="J31" i="6"/>
  <c r="K34" i="6"/>
  <c r="J29" i="6"/>
  <c r="F56" i="6"/>
  <c r="J30" i="6"/>
  <c r="K37" i="6"/>
  <c r="K32" i="6"/>
  <c r="F58" i="6" l="1"/>
  <c r="F62" i="6" s="1"/>
  <c r="D13" i="4"/>
  <c r="C13" i="4"/>
  <c r="E2" i="4"/>
  <c r="G2" i="4" s="1"/>
  <c r="A1" i="4"/>
  <c r="D10" i="4" l="1"/>
  <c r="D14" i="4" s="1"/>
  <c r="C7" i="4"/>
  <c r="F14" i="4"/>
  <c r="D7" i="4"/>
  <c r="C8" i="4"/>
  <c r="D8" i="4"/>
  <c r="D11" i="4" s="1"/>
  <c r="C9" i="4"/>
  <c r="C14" i="4" s="1"/>
  <c r="C11" i="4" l="1"/>
</calcChain>
</file>

<file path=xl/sharedStrings.xml><?xml version="1.0" encoding="utf-8"?>
<sst xmlns="http://schemas.openxmlformats.org/spreadsheetml/2006/main" count="277" uniqueCount="184">
  <si>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</si>
  <si>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</si>
  <si>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</si>
  <si>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</si>
  <si>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</si>
  <si>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</si>
  <si>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</si>
  <si>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</si>
  <si>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</si>
  <si>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</si>
  <si>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</si>
  <si>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</si>
  <si>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</si>
  <si>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</si>
  <si>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</si>
  <si>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</si>
  <si>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</si>
  <si>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</si>
  <si>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</si>
  <si>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</si>
  <si>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</si>
  <si>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</si>
  <si>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</si>
  <si>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</si>
  <si>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</si>
  <si>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</si>
  <si>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</si>
  <si>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</si>
  <si>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</si>
  <si>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</si>
  <si>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</si>
  <si>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</si>
  <si>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</si>
  <si>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</si>
  <si>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</si>
  <si>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</si>
  <si>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</si>
  <si>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</si>
  <si>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</si>
  <si>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</si>
  <si>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</si>
  <si>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</si>
  <si>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</si>
  <si>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</si>
  <si>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</si>
  <si>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</si>
  <si>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</si>
  <si>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</si>
  <si>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</si>
  <si>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</si>
  <si>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</si>
  <si>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</si>
  <si>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</si>
  <si>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</si>
  <si>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</si>
  <si>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</si>
  <si>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</si>
  <si>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</si>
  <si>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</si>
  <si>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</si>
  <si>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</si>
  <si>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</si>
  <si>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</si>
  <si>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</si>
  <si>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</si>
  <si>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</si>
  <si>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</si>
  <si>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</si>
  <si>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</si>
  <si>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</si>
  <si>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</si>
  <si>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</si>
  <si>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</si>
  <si>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</si>
  <si>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</si>
  <si>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</si>
  <si>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</si>
  <si>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</si>
  <si>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</si>
  <si>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</si>
  <si>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</si>
  <si>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</si>
  <si>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</si>
  <si>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</si>
  <si>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</si>
  <si>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</si>
  <si>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</si>
  <si>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</si>
  <si>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</si>
  <si>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</si>
  <si>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</si>
  <si>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</si>
  <si>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</si>
  <si>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</si>
  <si>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</si>
  <si>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</si>
  <si>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</si>
  <si>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</si>
  <si>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</si>
  <si>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</si>
  <si>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</si>
  <si>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</si>
  <si>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</si>
  <si>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</si>
  <si>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</si>
  <si>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</si>
  <si>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</si>
  <si>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</si>
  <si>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</si>
  <si>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</si>
  <si>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</si>
  <si>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</si>
  <si>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</si>
  <si>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</si>
  <si>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</si>
  <si>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</si>
  <si>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</si>
  <si>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</si>
  <si>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</si>
  <si>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</si>
  <si>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</si>
  <si>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</si>
  <si>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</si>
  <si>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</si>
  <si>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</si>
  <si>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</si>
  <si>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</si>
  <si>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Meses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</si>
  <si>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</si>
  <si>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</si>
  <si>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</si>
  <si>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</si>
  <si>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</si>
  <si>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</si>
  <si>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</si>
  <si>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</si>
  <si>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</si>
  <si>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</si>
  <si>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</si>
  <si>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</si>
  <si>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</si>
  <si>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</si>
  <si>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</si>
  <si>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</si>
  <si>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</si>
  <si>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años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</si>
  <si>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</si>
  <si>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</si>
  <si>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r>
      <t>Valor de</t>
    </r>
    <r>
      <rPr>
        <b/>
        <i/>
        <sz val="10"/>
        <rFont val="Calibri"/>
        <family val="2"/>
      </rPr>
      <t xml:space="preserve"> p</t>
    </r>
  </si>
  <si>
    <t>Hospitalización por insuficiencia cardíaca</t>
  </si>
  <si>
    <t>Los 3 destinos del NNT</t>
  </si>
  <si>
    <t>Los 3 tiempos biográficos</t>
  </si>
  <si>
    <t>Dormandy JA, Charbonnel B, Eckland DJ, on on behalf of the PROactive investigators. Secondary prevention of macrovascular events in patients with type 2 diabetes in the PROactive Study (PROspective pioglitAzone Clinical Trial In macroVascular Events): a randomised controlled trial. Lancet. 2005 Oct 8;366(9493):1279-89.</t>
  </si>
  <si>
    <t>20040707-ECA PROactive 2,9y,DM2+FR [pioglit vs plac],=Mort -MACE +EA. Dormandy</t>
  </si>
  <si>
    <t>301/2605 (11,55%)</t>
  </si>
  <si>
    <t>358/2633 (13,6%)</t>
  </si>
  <si>
    <t>Primer evento de [Mort, IAM ó ACV]</t>
  </si>
  <si>
    <t>Pioglitazona</t>
  </si>
  <si>
    <r>
      <rPr>
        <b/>
        <sz val="12"/>
        <color indexed="60"/>
        <rFont val="Calibri"/>
        <family val="2"/>
      </rPr>
      <t xml:space="preserve">Tabla 1: </t>
    </r>
    <r>
      <rPr>
        <b/>
        <sz val="12"/>
        <rFont val="Calibri"/>
        <family val="2"/>
      </rPr>
      <t>Pacientes de 61 años (DE 7,6) con diabetes tipo 2 y con alto riesgo cardiovascular.</t>
    </r>
  </si>
  <si>
    <t>ECA PROactive, Media de seguimiento 2,9 años</t>
  </si>
  <si>
    <t>Pioglitazona; n = 2.605</t>
  </si>
  <si>
    <t>Placebo; n = 2.633</t>
  </si>
  <si>
    <t>Cálculos por incidencias acumuladas en 2,9 años</t>
  </si>
  <si>
    <t>nº (%) eventos crudos</t>
  </si>
  <si>
    <t>Hoja información al usuario que no se maneja con los IC</t>
  </si>
  <si>
    <r>
      <t>Nº de pacientes con evento en</t>
    </r>
    <r>
      <rPr>
        <b/>
        <sz val="10"/>
        <rFont val="Calibri"/>
        <family val="2"/>
      </rPr>
      <t xml:space="preserve"> 2,9 años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</si>
  <si>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0,85 (0,74-0,98)</t>
  </si>
  <si>
    <t>2,04% (0,25% a 3,84%)</t>
  </si>
  <si>
    <t>49 (26 a 408)</t>
  </si>
  <si>
    <t>60,57%</t>
  </si>
  <si>
    <t>Insuficiencia cardíaca que sí necesita hospitalización</t>
  </si>
  <si>
    <t>149/2605 (5,72%)</t>
  </si>
  <si>
    <t>108/2633 (4,1%)</t>
  </si>
  <si>
    <t>1,39 (1,1-1,78)</t>
  </si>
  <si>
    <t>-1,62% (-2,79% a -0,44%)</t>
  </si>
  <si>
    <t>-62 (-230 a -36)</t>
  </si>
  <si>
    <t>77,36%</t>
  </si>
  <si>
    <t>Al ser un EA se facilita la representación invirtiendo los grupos</t>
  </si>
  <si>
    <r>
      <rPr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evento de</t>
    </r>
    <r>
      <rPr>
        <b/>
        <sz val="11"/>
        <color theme="1"/>
        <rFont val="Calibri"/>
        <family val="2"/>
        <scheme val="minor"/>
      </rPr>
      <t xml:space="preserve"> [Mort, IAM o ACV]</t>
    </r>
  </si>
  <si>
    <t>Los 3 destinos NNT</t>
  </si>
  <si>
    <t>Los 3 destinos del NNT (3dNNT)</t>
  </si>
  <si>
    <t>Los 3 tiempos biográficos (3tB)</t>
  </si>
  <si>
    <r>
      <rPr>
        <b/>
        <sz val="18"/>
        <color rgb="FF993300"/>
        <rFont val="Calibri"/>
        <family val="2"/>
        <scheme val="minor"/>
      </rPr>
      <t xml:space="preserve">Gráfico g-1: </t>
    </r>
    <r>
      <rPr>
        <b/>
        <sz val="18"/>
        <color theme="1"/>
        <rFont val="Calibri"/>
        <family val="2"/>
        <scheme val="minor"/>
      </rPr>
      <t>Cruce de "Los 3 tiempos biográficos (3tB)” con "Los 3 destinos del NNT (3dNNT)” en [Mort CV, IAM o Ictus], durante un seguimiento de 3 años.</t>
    </r>
  </si>
  <si>
    <r>
      <rPr>
        <b/>
        <sz val="18"/>
        <color rgb="FF993300"/>
        <rFont val="Calibri"/>
        <family val="2"/>
        <scheme val="minor"/>
      </rPr>
      <t xml:space="preserve">Gráfico g-1: </t>
    </r>
    <r>
      <rPr>
        <b/>
        <sz val="18"/>
        <color theme="1"/>
        <rFont val="Calibri"/>
        <family val="2"/>
        <scheme val="minor"/>
      </rPr>
      <t>Cruce de "Los 3 tiempos biográficos (3tB)” con "Los 3 destinos del NNT (3dNNT)” en [Hospitalización por Insuficiencia cardíaca], durante un seguimiento de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</si>
</sst>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#,##0.0"/>
    <numFmt numFmtId="169" formatCode="_-* #,##0\ _€_-;\-* #,##0\ _€_-;_-* &quot;-&quot;??\ _€_-;_-@_-"/>
    <numFmt numFmtId="170" formatCode="_-* #,##0.000\ _€_-;\-* #,##0.000\ _€_-;_-* &quot;-&quot;??\ _€_-;_-@_-"/>
    <numFmt numFmtId="171" formatCode="#,##0.00_ ;\-#,##0.00\ "/>
    <numFmt numFmtId="172" formatCode="_-* #,##0.0000\ _€_-;\-* #,##0.0000\ _€_-;_-* &quot;-&quot;??\ _€_-;_-@_-"/>
    <numFmt numFmtId="173" formatCode="_-* #,##0.00000\ _€_-;\-* #,##0.00000\ _€_-;_-* &quot;-&quot;??\ _€_-;_-@_-"/>
    <numFmt numFmtId="174" formatCode="_-* #,##0.0\ _€_-;\-* #,##0.0\ _€_-;_-* &quot;-&quot;?\ _€_-;_-@_-"/>
    <numFmt numFmtId="175" formatCode="_-* #,##0.000000\ _€_-;\-* #,##0.000000\ _€_-;_-* &quot;-&quot;??\ _€_-;_-@_-"/>
    <numFmt numFmtId="176" formatCode="_-* #,##0.0000\ _€_-;\-* #,##0.0000\ _€_-;_-* &quot;-&quot;?\ _€_-;_-@_-"/>
    <numFmt numFmtId="177" formatCode="0.000"/>
    <numFmt numFmtId="178" formatCode="_-* #,##0.000\ _€_-;\-* #,##0.000\ _€_-;_-* &quot;-&quot;???\ _€_-;_-@_-"/>
    <numFmt numFmtId="179" formatCode="0.00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CC99FF"/>
      <name val="Calibri"/>
      <family val="2"/>
      <scheme val="minor"/>
    </font>
    <font>
      <b/>
      <sz val="10"/>
      <color rgb="FFCC99FF"/>
      <name val="Calibri"/>
      <family val="2"/>
      <scheme val="minor"/>
    </font>
    <font>
      <sz val="14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0066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66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rgb="FF0099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9933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7" fontId="11" fillId="0" borderId="0" xfId="2" applyNumberFormat="1" applyFont="1" applyAlignment="1">
      <alignment horizontal="center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167" fontId="13" fillId="0" borderId="0" xfId="2" applyNumberFormat="1" applyFont="1" applyAlignment="1">
      <alignment horizontal="center"/>
    </xf>
    <xf numFmtId="3" fontId="5" fillId="0" borderId="7" xfId="0" applyNumberFormat="1" applyFont="1" applyBorder="1"/>
    <xf numFmtId="1" fontId="12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applyBorder="1"/>
    <xf numFmtId="167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1" fontId="16" fillId="3" borderId="0" xfId="0" applyNumberFormat="1" applyFont="1" applyFill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2" fontId="8" fillId="2" borderId="7" xfId="0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vertical="center"/>
    </xf>
    <xf numFmtId="167" fontId="9" fillId="0" borderId="0" xfId="2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 wrapText="1"/>
    </xf>
    <xf numFmtId="0" fontId="17" fillId="0" borderId="7" xfId="0" applyFont="1" applyBorder="1" applyAlignment="1">
      <alignment horizontal="right" wrapText="1"/>
    </xf>
    <xf numFmtId="2" fontId="17" fillId="2" borderId="7" xfId="0" applyNumberFormat="1" applyFont="1" applyFill="1" applyBorder="1" applyAlignment="1">
      <alignment vertical="center"/>
    </xf>
    <xf numFmtId="167" fontId="13" fillId="0" borderId="0" xfId="2" applyNumberFormat="1" applyFont="1" applyFill="1" applyBorder="1" applyAlignment="1">
      <alignment vertical="center"/>
    </xf>
    <xf numFmtId="0" fontId="12" fillId="0" borderId="7" xfId="0" applyFont="1" applyBorder="1" applyAlignment="1">
      <alignment horizontal="right" wrapText="1"/>
    </xf>
    <xf numFmtId="2" fontId="12" fillId="2" borderId="7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67" fontId="13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5" fontId="12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1" fillId="0" borderId="0" xfId="0" applyFont="1" applyAlignment="1">
      <alignment horizontal="center" vertical="center"/>
    </xf>
    <xf numFmtId="0" fontId="0" fillId="0" borderId="0" xfId="0" applyFill="1"/>
    <xf numFmtId="0" fontId="14" fillId="0" borderId="0" xfId="0" applyFont="1" applyBorder="1" applyAlignment="1">
      <alignment horizontal="center" vertical="center"/>
    </xf>
    <xf numFmtId="169" fontId="5" fillId="0" borderId="0" xfId="1" applyNumberFormat="1" applyFont="1" applyFill="1" applyBorder="1" applyAlignment="1"/>
    <xf numFmtId="169" fontId="22" fillId="0" borderId="0" xfId="1" applyNumberFormat="1" applyFont="1" applyFill="1" applyBorder="1" applyAlignment="1"/>
    <xf numFmtId="169" fontId="23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0" fontId="24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6" fillId="0" borderId="0" xfId="0" applyFont="1" applyBorder="1" applyAlignment="1">
      <alignment vertical="distributed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distributed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9" fillId="0" borderId="0" xfId="0" applyFont="1"/>
    <xf numFmtId="18" fontId="3" fillId="0" borderId="0" xfId="1" applyNumberFormat="1" applyFont="1" applyBorder="1" applyAlignment="1">
      <alignment horizontal="center"/>
    </xf>
    <xf numFmtId="9" fontId="3" fillId="0" borderId="0" xfId="0" applyNumberFormat="1" applyFont="1" applyBorder="1"/>
    <xf numFmtId="164" fontId="3" fillId="0" borderId="0" xfId="0" applyNumberFormat="1" applyFont="1"/>
    <xf numFmtId="164" fontId="30" fillId="0" borderId="0" xfId="1" applyFont="1" applyFill="1" applyBorder="1" applyAlignment="1">
      <alignment horizontal="center"/>
    </xf>
    <xf numFmtId="164" fontId="3" fillId="0" borderId="0" xfId="1" applyFont="1" applyFill="1"/>
    <xf numFmtId="0" fontId="31" fillId="0" borderId="0" xfId="0" applyFont="1" applyFill="1"/>
    <xf numFmtId="170" fontId="3" fillId="0" borderId="0" xfId="0" applyNumberFormat="1" applyFont="1" applyBorder="1" applyAlignment="1">
      <alignment horizontal="left" vertical="center"/>
    </xf>
    <xf numFmtId="166" fontId="5" fillId="0" borderId="1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169" fontId="3" fillId="7" borderId="7" xfId="0" applyNumberFormat="1" applyFont="1" applyFill="1" applyBorder="1" applyAlignment="1">
      <alignment vertical="center"/>
    </xf>
    <xf numFmtId="169" fontId="3" fillId="0" borderId="7" xfId="0" applyNumberFormat="1" applyFont="1" applyBorder="1" applyAlignment="1">
      <alignment vertical="center"/>
    </xf>
    <xf numFmtId="169" fontId="3" fillId="7" borderId="7" xfId="1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right"/>
    </xf>
    <xf numFmtId="169" fontId="5" fillId="0" borderId="4" xfId="0" applyNumberFormat="1" applyFont="1" applyBorder="1" applyAlignment="1">
      <alignment horizontal="right"/>
    </xf>
    <xf numFmtId="169" fontId="5" fillId="0" borderId="10" xfId="0" applyNumberFormat="1" applyFont="1" applyBorder="1" applyAlignment="1">
      <alignment horizontal="right"/>
    </xf>
    <xf numFmtId="169" fontId="5" fillId="0" borderId="6" xfId="0" applyNumberFormat="1" applyFont="1" applyBorder="1" applyAlignment="1">
      <alignment horizontal="right"/>
    </xf>
    <xf numFmtId="10" fontId="3" fillId="0" borderId="0" xfId="2" applyNumberFormat="1" applyFont="1" applyFill="1"/>
    <xf numFmtId="10" fontId="3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164" fontId="5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7" fontId="5" fillId="0" borderId="7" xfId="2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4" fontId="34" fillId="0" borderId="0" xfId="1" applyFont="1" applyFill="1" applyBorder="1"/>
    <xf numFmtId="17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164" fontId="34" fillId="0" borderId="0" xfId="1" applyFont="1" applyFill="1" applyAlignment="1">
      <alignment horizontal="right"/>
    </xf>
    <xf numFmtId="0" fontId="34" fillId="0" borderId="0" xfId="0" applyFont="1" applyFill="1" applyBorder="1"/>
    <xf numFmtId="164" fontId="3" fillId="0" borderId="0" xfId="0" applyNumberFormat="1" applyFont="1" applyFill="1"/>
    <xf numFmtId="172" fontId="3" fillId="0" borderId="0" xfId="0" applyNumberFormat="1" applyFont="1" applyFill="1" applyBorder="1" applyAlignment="1">
      <alignment horizontal="center" vertical="center" wrapText="1"/>
    </xf>
    <xf numFmtId="173" fontId="3" fillId="0" borderId="0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4" fontId="3" fillId="0" borderId="0" xfId="1" applyFont="1" applyBorder="1" applyAlignment="1">
      <alignment horizontal="center"/>
    </xf>
    <xf numFmtId="175" fontId="3" fillId="0" borderId="0" xfId="1" applyNumberFormat="1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0" fontId="5" fillId="0" borderId="0" xfId="2" applyNumberFormat="1" applyFont="1" applyFill="1" applyBorder="1" applyAlignment="1"/>
    <xf numFmtId="175" fontId="3" fillId="0" borderId="0" xfId="1" applyNumberFormat="1" applyFont="1" applyFill="1" applyBorder="1" applyAlignment="1">
      <alignment horizontal="center"/>
    </xf>
    <xf numFmtId="164" fontId="5" fillId="0" borderId="0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3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164" fontId="38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5" fontId="3" fillId="0" borderId="2" xfId="1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4" fontId="5" fillId="0" borderId="2" xfId="1" applyFont="1" applyFill="1" applyBorder="1" applyAlignment="1"/>
    <xf numFmtId="164" fontId="5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9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0" fontId="5" fillId="8" borderId="7" xfId="2" applyNumberFormat="1" applyFont="1" applyFill="1" applyBorder="1" applyAlignment="1"/>
    <xf numFmtId="1" fontId="3" fillId="0" borderId="23" xfId="0" applyNumberFormat="1" applyFont="1" applyFill="1" applyBorder="1" applyAlignment="1">
      <alignment horizontal="center" vertical="center" wrapText="1"/>
    </xf>
    <xf numFmtId="164" fontId="5" fillId="0" borderId="22" xfId="1" applyFont="1" applyFill="1" applyBorder="1" applyAlignment="1"/>
    <xf numFmtId="10" fontId="3" fillId="0" borderId="23" xfId="2" applyNumberFormat="1" applyFont="1" applyFill="1" applyBorder="1"/>
    <xf numFmtId="0" fontId="3" fillId="0" borderId="22" xfId="0" applyFont="1" applyBorder="1"/>
    <xf numFmtId="2" fontId="3" fillId="0" borderId="2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76" fontId="3" fillId="0" borderId="23" xfId="0" applyNumberFormat="1" applyFont="1" applyBorder="1"/>
    <xf numFmtId="167" fontId="3" fillId="0" borderId="23" xfId="2" applyNumberFormat="1" applyFont="1" applyFill="1" applyBorder="1" applyAlignment="1">
      <alignment horizontal="center" vertical="center" wrapText="1"/>
    </xf>
    <xf numFmtId="170" fontId="5" fillId="0" borderId="23" xfId="1" applyNumberFormat="1" applyFont="1" applyFill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177" fontId="3" fillId="0" borderId="23" xfId="0" applyNumberFormat="1" applyFont="1" applyFill="1" applyBorder="1" applyAlignment="1">
      <alignment horizontal="center" vertical="center" wrapText="1"/>
    </xf>
    <xf numFmtId="172" fontId="3" fillId="9" borderId="23" xfId="1" applyNumberFormat="1" applyFont="1" applyFill="1" applyBorder="1"/>
    <xf numFmtId="0" fontId="5" fillId="0" borderId="0" xfId="0" applyFont="1" applyBorder="1"/>
    <xf numFmtId="167" fontId="3" fillId="0" borderId="0" xfId="2" applyNumberFormat="1" applyFont="1" applyAlignment="1">
      <alignment horizontal="center" vertical="center" wrapText="1"/>
    </xf>
    <xf numFmtId="10" fontId="3" fillId="3" borderId="23" xfId="2" applyNumberFormat="1" applyFont="1" applyFill="1" applyBorder="1" applyAlignment="1">
      <alignment horizontal="center" vertical="center" wrapText="1"/>
    </xf>
    <xf numFmtId="175" fontId="3" fillId="0" borderId="0" xfId="0" applyNumberFormat="1" applyFont="1" applyBorder="1"/>
    <xf numFmtId="10" fontId="42" fillId="0" borderId="23" xfId="0" applyNumberFormat="1" applyFont="1" applyBorder="1"/>
    <xf numFmtId="0" fontId="43" fillId="0" borderId="0" xfId="0" applyFont="1" applyBorder="1"/>
    <xf numFmtId="49" fontId="6" fillId="0" borderId="0" xfId="0" applyNumberFormat="1" applyFont="1"/>
    <xf numFmtId="10" fontId="3" fillId="9" borderId="7" xfId="2" applyNumberFormat="1" applyFont="1" applyFill="1" applyBorder="1" applyAlignment="1">
      <alignment horizontal="center"/>
    </xf>
    <xf numFmtId="10" fontId="3" fillId="10" borderId="7" xfId="2" applyNumberFormat="1" applyFont="1" applyFill="1" applyBorder="1" applyAlignment="1">
      <alignment horizontal="center"/>
    </xf>
    <xf numFmtId="10" fontId="3" fillId="11" borderId="7" xfId="2" applyNumberFormat="1" applyFont="1" applyFill="1" applyBorder="1" applyAlignment="1">
      <alignment horizontal="center"/>
    </xf>
    <xf numFmtId="10" fontId="3" fillId="0" borderId="4" xfId="2" applyNumberFormat="1" applyFont="1" applyBorder="1" applyAlignment="1">
      <alignment horizontal="center" vertical="center" wrapText="1"/>
    </xf>
    <xf numFmtId="0" fontId="43" fillId="0" borderId="5" xfId="0" applyFont="1" applyBorder="1"/>
    <xf numFmtId="0" fontId="3" fillId="0" borderId="5" xfId="0" applyFont="1" applyBorder="1"/>
    <xf numFmtId="178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0" fontId="3" fillId="0" borderId="0" xfId="0" applyNumberFormat="1" applyFont="1"/>
    <xf numFmtId="1" fontId="3" fillId="9" borderId="7" xfId="0" applyNumberFormat="1" applyFont="1" applyFill="1" applyBorder="1" applyAlignment="1">
      <alignment horizontal="center"/>
    </xf>
    <xf numFmtId="1" fontId="3" fillId="10" borderId="7" xfId="0" applyNumberFormat="1" applyFont="1" applyFill="1" applyBorder="1" applyAlignment="1">
      <alignment horizontal="center"/>
    </xf>
    <xf numFmtId="1" fontId="3" fillId="11" borderId="7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79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10" fontId="25" fillId="0" borderId="0" xfId="2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/>
    </xf>
    <xf numFmtId="49" fontId="45" fillId="0" borderId="0" xfId="1" applyNumberFormat="1" applyFont="1" applyBorder="1" applyAlignment="1">
      <alignment horizontal="right"/>
    </xf>
    <xf numFmtId="1" fontId="45" fillId="0" borderId="0" xfId="0" applyNumberFormat="1" applyFont="1" applyFill="1" applyBorder="1" applyAlignment="1">
      <alignment horizontal="center"/>
    </xf>
    <xf numFmtId="164" fontId="5" fillId="0" borderId="23" xfId="1" applyFont="1" applyFill="1" applyBorder="1" applyAlignment="1">
      <alignment horizontal="center" vertical="center" wrapText="1"/>
    </xf>
    <xf numFmtId="0" fontId="30" fillId="0" borderId="0" xfId="0" applyFont="1" applyFill="1" applyBorder="1"/>
    <xf numFmtId="164" fontId="3" fillId="0" borderId="0" xfId="1" applyFont="1" applyFill="1" applyBorder="1" applyAlignment="1"/>
    <xf numFmtId="10" fontId="25" fillId="0" borderId="0" xfId="2" applyNumberFormat="1" applyFont="1" applyFill="1" applyBorder="1" applyAlignment="1">
      <alignment horizontal="center"/>
    </xf>
    <xf numFmtId="0" fontId="44" fillId="12" borderId="0" xfId="0" applyFont="1" applyFill="1" applyBorder="1" applyAlignment="1">
      <alignment horizontal="center" vertical="center" wrapText="1"/>
    </xf>
    <xf numFmtId="0" fontId="44" fillId="12" borderId="0" xfId="0" applyFont="1" applyFill="1" applyBorder="1"/>
    <xf numFmtId="0" fontId="44" fillId="12" borderId="0" xfId="0" applyFont="1" applyFill="1" applyBorder="1" applyAlignment="1">
      <alignment horizontal="right"/>
    </xf>
    <xf numFmtId="1" fontId="44" fillId="12" borderId="0" xfId="0" applyNumberFormat="1" applyFont="1" applyFill="1" applyBorder="1" applyAlignment="1">
      <alignment horizontal="center" vertical="distributed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9" fontId="25" fillId="0" borderId="0" xfId="1" applyNumberFormat="1" applyFont="1" applyFill="1" applyBorder="1" applyAlignment="1">
      <alignment horizontal="center"/>
    </xf>
    <xf numFmtId="0" fontId="44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/>
    <xf numFmtId="0" fontId="44" fillId="13" borderId="0" xfId="0" applyFont="1" applyFill="1" applyBorder="1" applyAlignment="1">
      <alignment horizontal="right"/>
    </xf>
    <xf numFmtId="1" fontId="44" fillId="13" borderId="0" xfId="0" applyNumberFormat="1" applyFont="1" applyFill="1" applyBorder="1" applyAlignment="1">
      <alignment horizontal="center" vertical="distributed"/>
    </xf>
    <xf numFmtId="164" fontId="3" fillId="0" borderId="0" xfId="0" applyNumberFormat="1" applyFont="1" applyFill="1" applyBorder="1" applyAlignment="1">
      <alignment horizontal="left" vertical="center"/>
    </xf>
    <xf numFmtId="170" fontId="3" fillId="0" borderId="0" xfId="0" applyNumberFormat="1" applyFont="1" applyFill="1" applyBorder="1"/>
    <xf numFmtId="164" fontId="3" fillId="0" borderId="0" xfId="0" applyNumberFormat="1" applyFont="1" applyFill="1" applyBorder="1"/>
    <xf numFmtId="169" fontId="44" fillId="14" borderId="0" xfId="0" applyNumberFormat="1" applyFont="1" applyFill="1" applyBorder="1" applyAlignment="1">
      <alignment horizontal="center" vertical="center" wrapText="1"/>
    </xf>
    <xf numFmtId="164" fontId="46" fillId="14" borderId="0" xfId="1" applyFont="1" applyFill="1" applyBorder="1"/>
    <xf numFmtId="164" fontId="44" fillId="14" borderId="0" xfId="1" applyFont="1" applyFill="1" applyBorder="1" applyAlignment="1">
      <alignment horizontal="right"/>
    </xf>
    <xf numFmtId="1" fontId="44" fillId="14" borderId="0" xfId="0" applyNumberFormat="1" applyFont="1" applyFill="1" applyBorder="1" applyAlignment="1">
      <alignment horizontal="center" vertical="distributed"/>
    </xf>
    <xf numFmtId="49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/>
    <xf numFmtId="1" fontId="44" fillId="0" borderId="0" xfId="0" applyNumberFormat="1" applyFont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164" fontId="5" fillId="0" borderId="5" xfId="1" applyFont="1" applyFill="1" applyBorder="1" applyAlignment="1"/>
    <xf numFmtId="0" fontId="44" fillId="0" borderId="0" xfId="0" applyFont="1" applyFill="1" applyBorder="1" applyAlignment="1">
      <alignment horizontal="right" vertical="center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0" fontId="44" fillId="11" borderId="0" xfId="0" applyFont="1" applyFill="1" applyBorder="1" applyAlignment="1">
      <alignment horizontal="center" vertical="center" wrapText="1"/>
    </xf>
    <xf numFmtId="0" fontId="44" fillId="11" borderId="0" xfId="0" applyFont="1" applyFill="1" applyBorder="1"/>
    <xf numFmtId="0" fontId="44" fillId="11" borderId="0" xfId="0" applyFont="1" applyFill="1" applyBorder="1" applyAlignment="1">
      <alignment horizontal="right"/>
    </xf>
    <xf numFmtId="1" fontId="44" fillId="11" borderId="0" xfId="0" applyNumberFormat="1" applyFont="1" applyFill="1" applyBorder="1" applyAlignment="1">
      <alignment horizontal="center" vertical="distributed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164" fontId="30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left" vertical="center"/>
    </xf>
    <xf numFmtId="169" fontId="24" fillId="0" borderId="7" xfId="1" applyNumberFormat="1" applyFont="1" applyFill="1" applyBorder="1"/>
    <xf numFmtId="0" fontId="23" fillId="0" borderId="7" xfId="0" applyFont="1" applyFill="1" applyBorder="1" applyAlignment="1">
      <alignment horizontal="right" vertical="center"/>
    </xf>
    <xf numFmtId="164" fontId="3" fillId="0" borderId="7" xfId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/>
    <xf numFmtId="0" fontId="34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69" fontId="5" fillId="0" borderId="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9" fontId="26" fillId="0" borderId="7" xfId="1" applyNumberFormat="1" applyFont="1" applyFill="1" applyBorder="1"/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9" fontId="5" fillId="0" borderId="0" xfId="0" applyNumberFormat="1" applyFont="1" applyFill="1" applyBorder="1" applyAlignment="1">
      <alignment horizontal="center"/>
    </xf>
    <xf numFmtId="169" fontId="24" fillId="0" borderId="0" xfId="1" applyNumberFormat="1" applyFont="1" applyFill="1" applyBorder="1"/>
    <xf numFmtId="169" fontId="26" fillId="0" borderId="0" xfId="1" applyNumberFormat="1" applyFont="1" applyFill="1" applyBorder="1"/>
    <xf numFmtId="169" fontId="35" fillId="0" borderId="0" xfId="0" applyNumberFormat="1" applyFont="1" applyFill="1" applyBorder="1"/>
    <xf numFmtId="0" fontId="49" fillId="0" borderId="20" xfId="0" applyFont="1" applyBorder="1" applyAlignment="1">
      <alignment horizontal="left" vertical="center"/>
    </xf>
    <xf numFmtId="169" fontId="3" fillId="0" borderId="0" xfId="1" applyNumberFormat="1" applyFont="1" applyAlignment="1">
      <alignment horizontal="center" vertical="center" wrapText="1"/>
    </xf>
    <xf numFmtId="164" fontId="49" fillId="0" borderId="7" xfId="1" applyFont="1" applyBorder="1"/>
    <xf numFmtId="0" fontId="26" fillId="0" borderId="0" xfId="0" applyFont="1" applyAlignment="1">
      <alignment horizontal="right"/>
    </xf>
    <xf numFmtId="164" fontId="5" fillId="0" borderId="0" xfId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0" xfId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5" fillId="0" borderId="7" xfId="0" applyNumberFormat="1" applyFont="1" applyBorder="1"/>
    <xf numFmtId="16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70" fontId="5" fillId="3" borderId="7" xfId="1" applyNumberFormat="1" applyFont="1" applyFill="1" applyBorder="1"/>
    <xf numFmtId="175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9" fontId="3" fillId="0" borderId="0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/>
    <xf numFmtId="17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3" fillId="0" borderId="22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3" xfId="0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5" fillId="15" borderId="7" xfId="0" applyNumberFormat="1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0" fontId="3" fillId="0" borderId="0" xfId="0" applyNumberFormat="1" applyFont="1" applyAlignment="1">
      <alignment vertical="center"/>
    </xf>
    <xf numFmtId="177" fontId="3" fillId="0" borderId="7" xfId="0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3" fillId="0" borderId="0" xfId="0" applyNumberFormat="1" applyFont="1" applyBorder="1"/>
    <xf numFmtId="177" fontId="3" fillId="0" borderId="0" xfId="0" applyNumberFormat="1" applyFont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2" fontId="1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165" fontId="16" fillId="2" borderId="21" xfId="0" applyNumberFormat="1" applyFont="1" applyFill="1" applyBorder="1" applyAlignment="1">
      <alignment horizontal="center"/>
    </xf>
    <xf numFmtId="165" fontId="17" fillId="2" borderId="25" xfId="0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44" fillId="14" borderId="0" xfId="0" applyNumberFormat="1" applyFont="1" applyFill="1" applyBorder="1" applyAlignment="1">
      <alignment horizontal="center" vertical="distributed"/>
    </xf>
    <xf numFmtId="165" fontId="44" fillId="12" borderId="0" xfId="0" applyNumberFormat="1" applyFont="1" applyFill="1" applyBorder="1" applyAlignment="1">
      <alignment horizontal="center" vertical="distributed"/>
    </xf>
    <xf numFmtId="2" fontId="8" fillId="2" borderId="25" xfId="0" applyNumberFormat="1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3" fillId="0" borderId="7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68" fontId="8" fillId="0" borderId="0" xfId="0" applyNumberFormat="1" applyFont="1"/>
    <xf numFmtId="168" fontId="10" fillId="0" borderId="0" xfId="0" applyNumberFormat="1" applyFont="1"/>
    <xf numFmtId="168" fontId="12" fillId="0" borderId="0" xfId="0" applyNumberFormat="1" applyFont="1"/>
    <xf numFmtId="170" fontId="3" fillId="4" borderId="0" xfId="0" applyNumberFormat="1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77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50" fillId="2" borderId="7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" fontId="63" fillId="0" borderId="7" xfId="0" applyNumberFormat="1" applyFont="1" applyBorder="1" applyAlignment="1">
      <alignment horizontal="center" vertical="center"/>
    </xf>
    <xf numFmtId="2" fontId="64" fillId="0" borderId="7" xfId="0" applyNumberFormat="1" applyFont="1" applyBorder="1" applyAlignment="1">
      <alignment horizontal="center" vertical="center"/>
    </xf>
    <xf numFmtId="2" fontId="54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65" fillId="0" borderId="7" xfId="0" applyNumberFormat="1" applyFont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 wrapText="1"/>
    </xf>
    <xf numFmtId="0" fontId="66" fillId="0" borderId="0" xfId="0" applyFont="1"/>
    <xf numFmtId="170" fontId="66" fillId="0" borderId="0" xfId="1" applyNumberFormat="1" applyFont="1"/>
    <xf numFmtId="166" fontId="66" fillId="0" borderId="0" xfId="0" applyNumberFormat="1" applyFont="1"/>
    <xf numFmtId="0" fontId="67" fillId="0" borderId="0" xfId="0" applyFont="1"/>
    <xf numFmtId="170" fontId="67" fillId="0" borderId="0" xfId="1" applyNumberFormat="1" applyFont="1"/>
    <xf numFmtId="166" fontId="67" fillId="0" borderId="0" xfId="0" applyNumberFormat="1" applyFont="1"/>
    <xf numFmtId="0" fontId="68" fillId="0" borderId="0" xfId="0" applyFont="1" applyFill="1" applyAlignment="1">
      <alignment horizontal="center" vertical="center"/>
    </xf>
    <xf numFmtId="10" fontId="47" fillId="4" borderId="7" xfId="0" applyNumberFormat="1" applyFont="1" applyFill="1" applyBorder="1" applyAlignment="1">
      <alignment horizontal="center" vertical="center"/>
    </xf>
    <xf numFmtId="0" fontId="0" fillId="18" borderId="7" xfId="0" applyFill="1" applyBorder="1"/>
    <xf numFmtId="0" fontId="7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4" borderId="0" xfId="0" applyFont="1" applyFill="1"/>
    <xf numFmtId="0" fontId="5" fillId="0" borderId="7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0" fontId="16" fillId="0" borderId="0" xfId="0" applyFont="1" applyBorder="1"/>
    <xf numFmtId="2" fontId="73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1" fontId="55" fillId="4" borderId="7" xfId="0" applyNumberFormat="1" applyFont="1" applyFill="1" applyBorder="1" applyAlignment="1">
      <alignment horizontal="center" vertical="center"/>
    </xf>
    <xf numFmtId="1" fontId="54" fillId="4" borderId="7" xfId="0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left" vertical="center" wrapText="1"/>
    </xf>
    <xf numFmtId="0" fontId="15" fillId="2" borderId="12" xfId="0" applyFont="1" applyFill="1" applyBorder="1"/>
    <xf numFmtId="0" fontId="19" fillId="2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vertical="center"/>
    </xf>
    <xf numFmtId="1" fontId="8" fillId="2" borderId="7" xfId="0" applyNumberFormat="1" applyFont="1" applyFill="1" applyBorder="1" applyAlignment="1">
      <alignment horizontal="center" vertical="center"/>
    </xf>
    <xf numFmtId="1" fontId="74" fillId="2" borderId="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49" fontId="57" fillId="4" borderId="33" xfId="0" applyNumberFormat="1" applyFont="1" applyFill="1" applyBorder="1" applyAlignment="1">
      <alignment horizontal="left" vertical="center"/>
    </xf>
    <xf numFmtId="0" fontId="57" fillId="4" borderId="13" xfId="0" applyFont="1" applyFill="1" applyBorder="1" applyAlignment="1">
      <alignment vertical="distributed"/>
    </xf>
    <xf numFmtId="0" fontId="57" fillId="4" borderId="14" xfId="0" applyFont="1" applyFill="1" applyBorder="1" applyAlignment="1">
      <alignment vertical="distributed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distributed"/>
    </xf>
    <xf numFmtId="0" fontId="5" fillId="4" borderId="34" xfId="0" applyFont="1" applyFill="1" applyBorder="1" applyAlignment="1">
      <alignment horizontal="center" vertical="distributed"/>
    </xf>
    <xf numFmtId="0" fontId="5" fillId="4" borderId="35" xfId="0" applyFont="1" applyFill="1" applyBorder="1" applyAlignment="1">
      <alignment horizontal="center" vertical="distributed"/>
    </xf>
    <xf numFmtId="0" fontId="5" fillId="4" borderId="36" xfId="0" applyFont="1" applyFill="1" applyBorder="1" applyAlignment="1">
      <alignment horizontal="center" vertical="distributed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8" fillId="0" borderId="0" xfId="0" applyFont="1" applyBorder="1" applyAlignment="1">
      <alignment horizontal="left" vertical="top" wrapText="1"/>
    </xf>
    <xf numFmtId="0" fontId="58" fillId="0" borderId="2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4" borderId="7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10" fontId="50" fillId="4" borderId="7" xfId="0" applyNumberFormat="1" applyFont="1" applyFill="1" applyBorder="1" applyAlignment="1">
      <alignment horizontal="center" vertical="center"/>
    </xf>
    <xf numFmtId="170" fontId="50" fillId="4" borderId="0" xfId="0" applyNumberFormat="1" applyFont="1" applyFill="1" applyBorder="1"/>
    <xf numFmtId="177" fontId="50" fillId="4" borderId="7" xfId="0" applyNumberFormat="1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9" fontId="50" fillId="4" borderId="0" xfId="2" applyNumberFormat="1" applyFont="1" applyFill="1" applyAlignment="1">
      <alignment horizontal="center" vertical="center"/>
    </xf>
    <xf numFmtId="1" fontId="76" fillId="4" borderId="7" xfId="0" applyNumberFormat="1" applyFont="1" applyFill="1" applyBorder="1" applyAlignment="1">
      <alignment horizontal="center" vertical="center"/>
    </xf>
    <xf numFmtId="1" fontId="77" fillId="4" borderId="7" xfId="0" applyNumberFormat="1" applyFont="1" applyFill="1" applyBorder="1" applyAlignment="1">
      <alignment horizontal="center" vertical="center"/>
    </xf>
    <xf numFmtId="0" fontId="60" fillId="0" borderId="28" xfId="0" applyFont="1" applyBorder="1" applyAlignment="1">
      <alignment horizontal="center" vertical="top" wrapText="1"/>
    </xf>
    <xf numFmtId="0" fontId="60" fillId="0" borderId="30" xfId="0" applyFont="1" applyBorder="1" applyAlignment="1">
      <alignment horizontal="center" vertical="top" wrapText="1"/>
    </xf>
    <xf numFmtId="0" fontId="60" fillId="0" borderId="29" xfId="0" applyFont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69" fillId="0" borderId="4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61" fillId="0" borderId="28" xfId="0" applyFont="1" applyBorder="1" applyAlignment="1">
      <alignment horizontal="center" vertical="top" wrapText="1"/>
    </xf>
    <xf numFmtId="0" fontId="61" fillId="0" borderId="30" xfId="0" applyFont="1" applyBorder="1" applyAlignment="1">
      <alignment horizontal="center" vertical="top" wrapText="1"/>
    </xf>
    <xf numFmtId="0" fontId="61" fillId="0" borderId="29" xfId="0" applyFont="1" applyBorder="1" applyAlignment="1">
      <alignment horizontal="center" vertical="top" wrapText="1"/>
    </xf>
    <xf numFmtId="0" fontId="62" fillId="0" borderId="28" xfId="0" applyFont="1" applyBorder="1" applyAlignment="1">
      <alignment horizontal="center" vertical="top" wrapText="1"/>
    </xf>
    <xf numFmtId="0" fontId="62" fillId="0" borderId="30" xfId="0" applyFont="1" applyBorder="1" applyAlignment="1">
      <alignment horizontal="center" vertical="top" wrapText="1"/>
    </xf>
    <xf numFmtId="0" fontId="62" fillId="0" borderId="29" xfId="0" applyFont="1" applyBorder="1" applyAlignment="1">
      <alignment horizontal="center" vertical="top" wrapText="1"/>
    </xf>
    <xf numFmtId="0" fontId="5" fillId="19" borderId="1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distributed"/>
    </xf>
    <xf numFmtId="0" fontId="7" fillId="4" borderId="13" xfId="0" applyFont="1" applyFill="1" applyBorder="1" applyAlignment="1">
      <alignment horizontal="center" vertical="distributed"/>
    </xf>
    <xf numFmtId="0" fontId="7" fillId="4" borderId="14" xfId="0" applyFont="1" applyFill="1" applyBorder="1" applyAlignment="1">
      <alignment horizontal="center" vertical="distributed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0" fontId="78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0" borderId="7" xfId="0" applyFill="1" applyBorder="1"/>
    <xf numFmtId="0" fontId="16" fillId="0" borderId="16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0000FF"/>
      <color rgb="FFFF0066"/>
      <color rgb="FFE2EFDA"/>
      <color rgb="FF993300"/>
      <color rgb="FF006600"/>
      <color rgb="FF00FF00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 (3tB)": </a:t>
            </a:r>
            <a:r>
              <a:rPr lang="es-ES" sz="11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IncAcum!$R$6</c:f>
              <c:numCache>
                <c:formatCode>0.00</c:formatCode>
                <c:ptCount val="1"/>
                <c:pt idx="0">
                  <c:v>6.1526775541207751E-2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IncAcum!$R$7</c:f>
              <c:numCache>
                <c:formatCode>0.00</c:formatCode>
                <c:ptCount val="1"/>
                <c:pt idx="0">
                  <c:v>-2.4269769564358473E-2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IncAcum!$R$8</c:f>
              <c:numCache>
                <c:formatCode>0.00</c:formatCode>
                <c:ptCount val="1"/>
                <c:pt idx="0">
                  <c:v>2.9627429940231504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 (3tB)": </a:t>
            </a:r>
            <a:r>
              <a:rPr lang="es-ES" sz="11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1-4729-B97B-21A219244280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F1-4729-B97B-21A219244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IncAcum!$R$6</c:f>
              <c:numCache>
                <c:formatCode>0.00</c:formatCode>
                <c:ptCount val="1"/>
                <c:pt idx="0">
                  <c:v>6.1526775541207751E-2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1-4729-B97B-21A219244280}"/>
            </c:ext>
          </c:extLst>
        </c:ser>
        <c:ser>
          <c:idx val="1"/>
          <c:order val="1"/>
          <c:tx>
            <c:strRef>
              <c:f>IncAcum!$Q$7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F1-4729-B97B-21A219244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IncAcum!$R$7</c:f>
              <c:numCache>
                <c:formatCode>0.00</c:formatCode>
                <c:ptCount val="1"/>
                <c:pt idx="0">
                  <c:v>-2.4269769564358473E-2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1-4729-B97B-21A219244280}"/>
            </c:ext>
          </c:extLst>
        </c:ser>
        <c:ser>
          <c:idx val="2"/>
          <c:order val="2"/>
          <c:tx>
            <c:strRef>
              <c:f>IncAcum!$Q$8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CF1-4729-B97B-21A219244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IncAcum!$R$8</c:f>
              <c:numCache>
                <c:formatCode>0.00</c:formatCode>
                <c:ptCount val="1"/>
                <c:pt idx="0">
                  <c:v>2.9627429940231504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F1-4729-B97B-21A219244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 (3tB)": </a:t>
            </a:r>
            <a:r>
              <a:rPr lang="es-ES" sz="11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5-4E64-979A-49D885F0DDE2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5-4E64-979A-49D885F0D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IncAcum!$R$6</c:f>
              <c:numCache>
                <c:formatCode>0.00</c:formatCode>
                <c:ptCount val="1"/>
                <c:pt idx="0">
                  <c:v>6.1526775541207751E-2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5-4E64-979A-49D885F0DDE2}"/>
            </c:ext>
          </c:extLst>
        </c:ser>
        <c:ser>
          <c:idx val="1"/>
          <c:order val="1"/>
          <c:tx>
            <c:strRef>
              <c:f>IncAcum!$Q$7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5-4E64-979A-49D885F0D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IncAcum!$R$7</c:f>
              <c:numCache>
                <c:formatCode>0.00</c:formatCode>
                <c:ptCount val="1"/>
                <c:pt idx="0">
                  <c:v>-2.4269769564358473E-2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15-4E64-979A-49D885F0DDE2}"/>
            </c:ext>
          </c:extLst>
        </c:ser>
        <c:ser>
          <c:idx val="2"/>
          <c:order val="2"/>
          <c:tx>
            <c:strRef>
              <c:f>IncAcum!$Q$8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615-4E64-979A-49D885F0D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IncAcum!$R$8</c:f>
              <c:numCache>
                <c:formatCode>0.00</c:formatCode>
                <c:ptCount val="1"/>
                <c:pt idx="0">
                  <c:v>2.9627429940231504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5-4E64-979A-49D885F0D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446690</xdr:colOff>
      <xdr:row>0</xdr:row>
      <xdr:rowOff>105103</xdr:rowOff>
    </xdr:from>
    <xdr:to>
      <xdr:col>27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20053</xdr:colOff>
      <xdr:row>24</xdr:row>
      <xdr:rowOff>104775</xdr:rowOff>
    </xdr:from>
    <xdr:to>
      <xdr:col>12</xdr:col>
      <xdr:colOff>19050</xdr:colOff>
      <xdr:row>24</xdr:row>
      <xdr:rowOff>105277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4734928" y="5400675"/>
          <a:ext cx="494297" cy="502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18548</xdr:colOff>
      <xdr:row>18</xdr:row>
      <xdr:rowOff>115738</xdr:rowOff>
    </xdr:from>
    <xdr:to>
      <xdr:col>11</xdr:col>
      <xdr:colOff>9023</xdr:colOff>
      <xdr:row>18</xdr:row>
      <xdr:rowOff>119814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4630653" y="4151330"/>
          <a:ext cx="236120" cy="40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13535</xdr:colOff>
      <xdr:row>25</xdr:row>
      <xdr:rowOff>110227</xdr:rowOff>
    </xdr:from>
    <xdr:to>
      <xdr:col>9</xdr:col>
      <xdr:colOff>15039</xdr:colOff>
      <xdr:row>25</xdr:row>
      <xdr:rowOff>110292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3738311" y="5509398"/>
          <a:ext cx="643189" cy="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24</xdr:row>
      <xdr:rowOff>104775</xdr:rowOff>
    </xdr:from>
    <xdr:to>
      <xdr:col>9</xdr:col>
      <xdr:colOff>14968</xdr:colOff>
      <xdr:row>24</xdr:row>
      <xdr:rowOff>104778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3733800" y="5267325"/>
          <a:ext cx="748393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340894</xdr:colOff>
      <xdr:row>18</xdr:row>
      <xdr:rowOff>115299</xdr:rowOff>
    </xdr:from>
    <xdr:to>
      <xdr:col>6</xdr:col>
      <xdr:colOff>236120</xdr:colOff>
      <xdr:row>18</xdr:row>
      <xdr:rowOff>119375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724776" y="4150891"/>
          <a:ext cx="236120" cy="40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25</xdr:row>
      <xdr:rowOff>110286</xdr:rowOff>
    </xdr:from>
    <xdr:to>
      <xdr:col>13</xdr:col>
      <xdr:colOff>1505</xdr:colOff>
      <xdr:row>25</xdr:row>
      <xdr:rowOff>110351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714875" y="5606211"/>
          <a:ext cx="744455" cy="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22</xdr:row>
      <xdr:rowOff>123825</xdr:rowOff>
    </xdr:from>
    <xdr:to>
      <xdr:col>7</xdr:col>
      <xdr:colOff>211931</xdr:colOff>
      <xdr:row>22</xdr:row>
      <xdr:rowOff>124329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3724275" y="5029200"/>
          <a:ext cx="459581" cy="50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22</xdr:row>
      <xdr:rowOff>123825</xdr:rowOff>
    </xdr:from>
    <xdr:to>
      <xdr:col>11</xdr:col>
      <xdr:colOff>211931</xdr:colOff>
      <xdr:row>22</xdr:row>
      <xdr:rowOff>124329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714875" y="5029200"/>
          <a:ext cx="459581" cy="50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18</xdr:col>
      <xdr:colOff>0</xdr:colOff>
      <xdr:row>16</xdr:row>
      <xdr:rowOff>0</xdr:rowOff>
    </xdr:from>
    <xdr:to>
      <xdr:col>26</xdr:col>
      <xdr:colOff>689428</xdr:colOff>
      <xdr:row>30</xdr:row>
      <xdr:rowOff>116146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8326BB5-FCF6-4CAD-AAE7-56292AF7D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42820</xdr:colOff>
      <xdr:row>21</xdr:row>
      <xdr:rowOff>91339</xdr:rowOff>
    </xdr:from>
    <xdr:to>
      <xdr:col>12</xdr:col>
      <xdr:colOff>0</xdr:colOff>
      <xdr:row>21</xdr:row>
      <xdr:rowOff>95250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052970" y="4806214"/>
          <a:ext cx="452480" cy="391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16323</xdr:colOff>
      <xdr:row>22</xdr:row>
      <xdr:rowOff>100935</xdr:rowOff>
    </xdr:from>
    <xdr:to>
      <xdr:col>9</xdr:col>
      <xdr:colOff>15503</xdr:colOff>
      <xdr:row>22</xdr:row>
      <xdr:rowOff>101000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035873" y="5015835"/>
          <a:ext cx="742130" cy="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29273</xdr:colOff>
      <xdr:row>21</xdr:row>
      <xdr:rowOff>109421</xdr:rowOff>
    </xdr:from>
    <xdr:to>
      <xdr:col>9</xdr:col>
      <xdr:colOff>33786</xdr:colOff>
      <xdr:row>21</xdr:row>
      <xdr:rowOff>109424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048823" y="4824296"/>
          <a:ext cx="747463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28110</xdr:colOff>
      <xdr:row>18</xdr:row>
      <xdr:rowOff>110921</xdr:rowOff>
    </xdr:from>
    <xdr:to>
      <xdr:col>7</xdr:col>
      <xdr:colOff>17191</xdr:colOff>
      <xdr:row>18</xdr:row>
      <xdr:rowOff>114997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047660" y="4244771"/>
          <a:ext cx="236731" cy="40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12398</xdr:colOff>
      <xdr:row>18</xdr:row>
      <xdr:rowOff>102289</xdr:rowOff>
    </xdr:from>
    <xdr:to>
      <xdr:col>11</xdr:col>
      <xdr:colOff>2874</xdr:colOff>
      <xdr:row>18</xdr:row>
      <xdr:rowOff>106365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5022548" y="4236139"/>
          <a:ext cx="238126" cy="40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52968</xdr:colOff>
      <xdr:row>22</xdr:row>
      <xdr:rowOff>107034</xdr:rowOff>
    </xdr:from>
    <xdr:to>
      <xdr:col>12</xdr:col>
      <xdr:colOff>208268</xdr:colOff>
      <xdr:row>22</xdr:row>
      <xdr:rowOff>107099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063118" y="5021934"/>
          <a:ext cx="650600" cy="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0</xdr:col>
      <xdr:colOff>628650</xdr:colOff>
      <xdr:row>14</xdr:row>
      <xdr:rowOff>219075</xdr:rowOff>
    </xdr:from>
    <xdr:to>
      <xdr:col>5</xdr:col>
      <xdr:colOff>19050</xdr:colOff>
      <xdr:row>21</xdr:row>
      <xdr:rowOff>57150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628650" y="3514725"/>
          <a:ext cx="3067050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14</xdr:row>
      <xdr:rowOff>209550</xdr:rowOff>
    </xdr:from>
    <xdr:to>
      <xdr:col>5</xdr:col>
      <xdr:colOff>295275</xdr:colOff>
      <xdr:row>15</xdr:row>
      <xdr:rowOff>104775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3762375" y="3505200"/>
          <a:ext cx="2095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26</xdr:col>
      <xdr:colOff>695832</xdr:colOff>
      <xdr:row>31</xdr:row>
      <xdr:rowOff>55314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AE344AA-BF47-4C57-A2E7-621E4793C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"/>
  <sheetViews>
    <sheetView tabSelected="1" zoomScale="70" zoomScaleNormal="70" workbookViewId="0"/>
  </sheetViews>
  <sheetFormatPr baseColWidth="10" defaultRowHeight="13" x14ac:dyDescent="0.3"/>
  <cols>
    <col min="1" max="1" width="32.1796875" style="2" customWidth="1"/>
    <col min="2" max="2" width="23.54296875" style="2" customWidth="1"/>
    <col min="3" max="3" width="22" style="2" customWidth="1"/>
    <col min="4" max="4" width="17.1796875" style="2" customWidth="1"/>
    <col min="5" max="5" width="21.453125" style="2" customWidth="1"/>
    <col min="6" max="6" width="19.54296875" style="2" customWidth="1"/>
    <col min="7" max="7" width="14.1796875" style="2" bestFit="1" customWidth="1"/>
    <col min="8" max="8" width="7.54296875" style="2" customWidth="1"/>
    <col min="9" max="9" width="10.453125" style="2" hidden="1" customWidth="1"/>
    <col min="10" max="10" width="7" style="2" hidden="1" customWidth="1"/>
    <col min="11" max="11" width="14.453125" style="2" hidden="1" customWidth="1"/>
    <col min="12" max="12" width="13.453125" style="2" hidden="1" customWidth="1"/>
    <col min="13" max="13" width="8.453125" style="2" hidden="1" customWidth="1"/>
    <col min="14" max="14" width="14.26953125" style="8" bestFit="1" customWidth="1"/>
    <col min="15" max="15" width="14.26953125" style="8" customWidth="1"/>
    <col min="16" max="16" width="8.54296875" style="2" customWidth="1"/>
    <col min="17" max="17" width="15.81640625" style="2" customWidth="1"/>
    <col min="18" max="18" width="16" style="2" customWidth="1"/>
    <col min="19" max="19" width="14.81640625" style="2" customWidth="1"/>
    <col min="20" max="20" width="13.54296875" style="8" customWidth="1"/>
    <col min="21" max="21" width="11.453125" style="8"/>
    <col min="22" max="256" width="11.453125" style="2"/>
    <col min="257" max="257" width="20.26953125" style="2" customWidth="1"/>
    <col min="258" max="258" width="21.7265625" style="2" customWidth="1"/>
    <col min="259" max="259" width="22" style="2" customWidth="1"/>
    <col min="260" max="260" width="17.1796875" style="2" customWidth="1"/>
    <col min="261" max="261" width="21.453125" style="2" customWidth="1"/>
    <col min="262" max="262" width="19.54296875" style="2" customWidth="1"/>
    <col min="263" max="263" width="14.1796875" style="2" bestFit="1" customWidth="1"/>
    <col min="264" max="264" width="8.453125" style="2" customWidth="1"/>
    <col min="265" max="265" width="14.453125" style="2" bestFit="1" customWidth="1"/>
    <col min="266" max="266" width="4.453125" style="2" customWidth="1"/>
    <col min="267" max="267" width="14.453125" style="2" bestFit="1" customWidth="1"/>
    <col min="268" max="268" width="13.453125" style="2" customWidth="1"/>
    <col min="269" max="269" width="14.7265625" style="2" bestFit="1" customWidth="1"/>
    <col min="270" max="270" width="14.26953125" style="2" bestFit="1" customWidth="1"/>
    <col min="271" max="271" width="14.26953125" style="2" customWidth="1"/>
    <col min="272" max="272" width="14" style="2" bestFit="1" customWidth="1"/>
    <col min="273" max="273" width="11.54296875" style="2" bestFit="1" customWidth="1"/>
    <col min="274" max="274" width="13.81640625" style="2" bestFit="1" customWidth="1"/>
    <col min="275" max="512" width="11.453125" style="2"/>
    <col min="513" max="513" width="20.26953125" style="2" customWidth="1"/>
    <col min="514" max="514" width="21.7265625" style="2" customWidth="1"/>
    <col min="515" max="515" width="22" style="2" customWidth="1"/>
    <col min="516" max="516" width="17.1796875" style="2" customWidth="1"/>
    <col min="517" max="517" width="21.453125" style="2" customWidth="1"/>
    <col min="518" max="518" width="19.54296875" style="2" customWidth="1"/>
    <col min="519" max="519" width="14.1796875" style="2" bestFit="1" customWidth="1"/>
    <col min="520" max="520" width="8.453125" style="2" customWidth="1"/>
    <col min="521" max="521" width="14.453125" style="2" bestFit="1" customWidth="1"/>
    <col min="522" max="522" width="4.453125" style="2" customWidth="1"/>
    <col min="523" max="523" width="14.453125" style="2" bestFit="1" customWidth="1"/>
    <col min="524" max="524" width="13.453125" style="2" customWidth="1"/>
    <col min="525" max="525" width="14.7265625" style="2" bestFit="1" customWidth="1"/>
    <col min="526" max="526" width="14.26953125" style="2" bestFit="1" customWidth="1"/>
    <col min="527" max="527" width="14.26953125" style="2" customWidth="1"/>
    <col min="528" max="528" width="14" style="2" bestFit="1" customWidth="1"/>
    <col min="529" max="529" width="11.54296875" style="2" bestFit="1" customWidth="1"/>
    <col min="530" max="530" width="13.81640625" style="2" bestFit="1" customWidth="1"/>
    <col min="531" max="768" width="11.453125" style="2"/>
    <col min="769" max="769" width="20.26953125" style="2" customWidth="1"/>
    <col min="770" max="770" width="21.7265625" style="2" customWidth="1"/>
    <col min="771" max="771" width="22" style="2" customWidth="1"/>
    <col min="772" max="772" width="17.1796875" style="2" customWidth="1"/>
    <col min="773" max="773" width="21.453125" style="2" customWidth="1"/>
    <col min="774" max="774" width="19.54296875" style="2" customWidth="1"/>
    <col min="775" max="775" width="14.1796875" style="2" bestFit="1" customWidth="1"/>
    <col min="776" max="776" width="8.453125" style="2" customWidth="1"/>
    <col min="777" max="777" width="14.453125" style="2" bestFit="1" customWidth="1"/>
    <col min="778" max="778" width="4.453125" style="2" customWidth="1"/>
    <col min="779" max="779" width="14.453125" style="2" bestFit="1" customWidth="1"/>
    <col min="780" max="780" width="13.453125" style="2" customWidth="1"/>
    <col min="781" max="781" width="14.7265625" style="2" bestFit="1" customWidth="1"/>
    <col min="782" max="782" width="14.26953125" style="2" bestFit="1" customWidth="1"/>
    <col min="783" max="783" width="14.26953125" style="2" customWidth="1"/>
    <col min="784" max="784" width="14" style="2" bestFit="1" customWidth="1"/>
    <col min="785" max="785" width="11.54296875" style="2" bestFit="1" customWidth="1"/>
    <col min="786" max="786" width="13.81640625" style="2" bestFit="1" customWidth="1"/>
    <col min="787" max="1024" width="11.453125" style="2"/>
    <col min="1025" max="1025" width="20.26953125" style="2" customWidth="1"/>
    <col min="1026" max="1026" width="21.7265625" style="2" customWidth="1"/>
    <col min="1027" max="1027" width="22" style="2" customWidth="1"/>
    <col min="1028" max="1028" width="17.1796875" style="2" customWidth="1"/>
    <col min="1029" max="1029" width="21.453125" style="2" customWidth="1"/>
    <col min="1030" max="1030" width="19.54296875" style="2" customWidth="1"/>
    <col min="1031" max="1031" width="14.1796875" style="2" bestFit="1" customWidth="1"/>
    <col min="1032" max="1032" width="8.453125" style="2" customWidth="1"/>
    <col min="1033" max="1033" width="14.453125" style="2" bestFit="1" customWidth="1"/>
    <col min="1034" max="1034" width="4.453125" style="2" customWidth="1"/>
    <col min="1035" max="1035" width="14.453125" style="2" bestFit="1" customWidth="1"/>
    <col min="1036" max="1036" width="13.453125" style="2" customWidth="1"/>
    <col min="1037" max="1037" width="14.7265625" style="2" bestFit="1" customWidth="1"/>
    <col min="1038" max="1038" width="14.26953125" style="2" bestFit="1" customWidth="1"/>
    <col min="1039" max="1039" width="14.26953125" style="2" customWidth="1"/>
    <col min="1040" max="1040" width="14" style="2" bestFit="1" customWidth="1"/>
    <col min="1041" max="1041" width="11.54296875" style="2" bestFit="1" customWidth="1"/>
    <col min="1042" max="1042" width="13.81640625" style="2" bestFit="1" customWidth="1"/>
    <col min="1043" max="1280" width="11.453125" style="2"/>
    <col min="1281" max="1281" width="20.26953125" style="2" customWidth="1"/>
    <col min="1282" max="1282" width="21.7265625" style="2" customWidth="1"/>
    <col min="1283" max="1283" width="22" style="2" customWidth="1"/>
    <col min="1284" max="1284" width="17.1796875" style="2" customWidth="1"/>
    <col min="1285" max="1285" width="21.453125" style="2" customWidth="1"/>
    <col min="1286" max="1286" width="19.54296875" style="2" customWidth="1"/>
    <col min="1287" max="1287" width="14.1796875" style="2" bestFit="1" customWidth="1"/>
    <col min="1288" max="1288" width="8.453125" style="2" customWidth="1"/>
    <col min="1289" max="1289" width="14.453125" style="2" bestFit="1" customWidth="1"/>
    <col min="1290" max="1290" width="4.453125" style="2" customWidth="1"/>
    <col min="1291" max="1291" width="14.453125" style="2" bestFit="1" customWidth="1"/>
    <col min="1292" max="1292" width="13.453125" style="2" customWidth="1"/>
    <col min="1293" max="1293" width="14.7265625" style="2" bestFit="1" customWidth="1"/>
    <col min="1294" max="1294" width="14.26953125" style="2" bestFit="1" customWidth="1"/>
    <col min="1295" max="1295" width="14.26953125" style="2" customWidth="1"/>
    <col min="1296" max="1296" width="14" style="2" bestFit="1" customWidth="1"/>
    <col min="1297" max="1297" width="11.54296875" style="2" bestFit="1" customWidth="1"/>
    <col min="1298" max="1298" width="13.81640625" style="2" bestFit="1" customWidth="1"/>
    <col min="1299" max="1536" width="11.453125" style="2"/>
    <col min="1537" max="1537" width="20.26953125" style="2" customWidth="1"/>
    <col min="1538" max="1538" width="21.7265625" style="2" customWidth="1"/>
    <col min="1539" max="1539" width="22" style="2" customWidth="1"/>
    <col min="1540" max="1540" width="17.1796875" style="2" customWidth="1"/>
    <col min="1541" max="1541" width="21.453125" style="2" customWidth="1"/>
    <col min="1542" max="1542" width="19.54296875" style="2" customWidth="1"/>
    <col min="1543" max="1543" width="14.1796875" style="2" bestFit="1" customWidth="1"/>
    <col min="1544" max="1544" width="8.453125" style="2" customWidth="1"/>
    <col min="1545" max="1545" width="14.453125" style="2" bestFit="1" customWidth="1"/>
    <col min="1546" max="1546" width="4.453125" style="2" customWidth="1"/>
    <col min="1547" max="1547" width="14.453125" style="2" bestFit="1" customWidth="1"/>
    <col min="1548" max="1548" width="13.453125" style="2" customWidth="1"/>
    <col min="1549" max="1549" width="14.7265625" style="2" bestFit="1" customWidth="1"/>
    <col min="1550" max="1550" width="14.26953125" style="2" bestFit="1" customWidth="1"/>
    <col min="1551" max="1551" width="14.26953125" style="2" customWidth="1"/>
    <col min="1552" max="1552" width="14" style="2" bestFit="1" customWidth="1"/>
    <col min="1553" max="1553" width="11.54296875" style="2" bestFit="1" customWidth="1"/>
    <col min="1554" max="1554" width="13.81640625" style="2" bestFit="1" customWidth="1"/>
    <col min="1555" max="1792" width="11.453125" style="2"/>
    <col min="1793" max="1793" width="20.26953125" style="2" customWidth="1"/>
    <col min="1794" max="1794" width="21.7265625" style="2" customWidth="1"/>
    <col min="1795" max="1795" width="22" style="2" customWidth="1"/>
    <col min="1796" max="1796" width="17.1796875" style="2" customWidth="1"/>
    <col min="1797" max="1797" width="21.453125" style="2" customWidth="1"/>
    <col min="1798" max="1798" width="19.54296875" style="2" customWidth="1"/>
    <col min="1799" max="1799" width="14.1796875" style="2" bestFit="1" customWidth="1"/>
    <col min="1800" max="1800" width="8.453125" style="2" customWidth="1"/>
    <col min="1801" max="1801" width="14.453125" style="2" bestFit="1" customWidth="1"/>
    <col min="1802" max="1802" width="4.453125" style="2" customWidth="1"/>
    <col min="1803" max="1803" width="14.453125" style="2" bestFit="1" customWidth="1"/>
    <col min="1804" max="1804" width="13.453125" style="2" customWidth="1"/>
    <col min="1805" max="1805" width="14.7265625" style="2" bestFit="1" customWidth="1"/>
    <col min="1806" max="1806" width="14.26953125" style="2" bestFit="1" customWidth="1"/>
    <col min="1807" max="1807" width="14.26953125" style="2" customWidth="1"/>
    <col min="1808" max="1808" width="14" style="2" bestFit="1" customWidth="1"/>
    <col min="1809" max="1809" width="11.54296875" style="2" bestFit="1" customWidth="1"/>
    <col min="1810" max="1810" width="13.81640625" style="2" bestFit="1" customWidth="1"/>
    <col min="1811" max="2048" width="11.453125" style="2"/>
    <col min="2049" max="2049" width="20.26953125" style="2" customWidth="1"/>
    <col min="2050" max="2050" width="21.7265625" style="2" customWidth="1"/>
    <col min="2051" max="2051" width="22" style="2" customWidth="1"/>
    <col min="2052" max="2052" width="17.1796875" style="2" customWidth="1"/>
    <col min="2053" max="2053" width="21.453125" style="2" customWidth="1"/>
    <col min="2054" max="2054" width="19.54296875" style="2" customWidth="1"/>
    <col min="2055" max="2055" width="14.1796875" style="2" bestFit="1" customWidth="1"/>
    <col min="2056" max="2056" width="8.453125" style="2" customWidth="1"/>
    <col min="2057" max="2057" width="14.453125" style="2" bestFit="1" customWidth="1"/>
    <col min="2058" max="2058" width="4.453125" style="2" customWidth="1"/>
    <col min="2059" max="2059" width="14.453125" style="2" bestFit="1" customWidth="1"/>
    <col min="2060" max="2060" width="13.453125" style="2" customWidth="1"/>
    <col min="2061" max="2061" width="14.7265625" style="2" bestFit="1" customWidth="1"/>
    <col min="2062" max="2062" width="14.26953125" style="2" bestFit="1" customWidth="1"/>
    <col min="2063" max="2063" width="14.26953125" style="2" customWidth="1"/>
    <col min="2064" max="2064" width="14" style="2" bestFit="1" customWidth="1"/>
    <col min="2065" max="2065" width="11.54296875" style="2" bestFit="1" customWidth="1"/>
    <col min="2066" max="2066" width="13.81640625" style="2" bestFit="1" customWidth="1"/>
    <col min="2067" max="2304" width="11.453125" style="2"/>
    <col min="2305" max="2305" width="20.26953125" style="2" customWidth="1"/>
    <col min="2306" max="2306" width="21.7265625" style="2" customWidth="1"/>
    <col min="2307" max="2307" width="22" style="2" customWidth="1"/>
    <col min="2308" max="2308" width="17.1796875" style="2" customWidth="1"/>
    <col min="2309" max="2309" width="21.453125" style="2" customWidth="1"/>
    <col min="2310" max="2310" width="19.54296875" style="2" customWidth="1"/>
    <col min="2311" max="2311" width="14.1796875" style="2" bestFit="1" customWidth="1"/>
    <col min="2312" max="2312" width="8.453125" style="2" customWidth="1"/>
    <col min="2313" max="2313" width="14.453125" style="2" bestFit="1" customWidth="1"/>
    <col min="2314" max="2314" width="4.453125" style="2" customWidth="1"/>
    <col min="2315" max="2315" width="14.453125" style="2" bestFit="1" customWidth="1"/>
    <col min="2316" max="2316" width="13.453125" style="2" customWidth="1"/>
    <col min="2317" max="2317" width="14.7265625" style="2" bestFit="1" customWidth="1"/>
    <col min="2318" max="2318" width="14.26953125" style="2" bestFit="1" customWidth="1"/>
    <col min="2319" max="2319" width="14.26953125" style="2" customWidth="1"/>
    <col min="2320" max="2320" width="14" style="2" bestFit="1" customWidth="1"/>
    <col min="2321" max="2321" width="11.54296875" style="2" bestFit="1" customWidth="1"/>
    <col min="2322" max="2322" width="13.81640625" style="2" bestFit="1" customWidth="1"/>
    <col min="2323" max="2560" width="11.453125" style="2"/>
    <col min="2561" max="2561" width="20.26953125" style="2" customWidth="1"/>
    <col min="2562" max="2562" width="21.7265625" style="2" customWidth="1"/>
    <col min="2563" max="2563" width="22" style="2" customWidth="1"/>
    <col min="2564" max="2564" width="17.1796875" style="2" customWidth="1"/>
    <col min="2565" max="2565" width="21.453125" style="2" customWidth="1"/>
    <col min="2566" max="2566" width="19.54296875" style="2" customWidth="1"/>
    <col min="2567" max="2567" width="14.1796875" style="2" bestFit="1" customWidth="1"/>
    <col min="2568" max="2568" width="8.453125" style="2" customWidth="1"/>
    <col min="2569" max="2569" width="14.453125" style="2" bestFit="1" customWidth="1"/>
    <col min="2570" max="2570" width="4.453125" style="2" customWidth="1"/>
    <col min="2571" max="2571" width="14.453125" style="2" bestFit="1" customWidth="1"/>
    <col min="2572" max="2572" width="13.453125" style="2" customWidth="1"/>
    <col min="2573" max="2573" width="14.7265625" style="2" bestFit="1" customWidth="1"/>
    <col min="2574" max="2574" width="14.26953125" style="2" bestFit="1" customWidth="1"/>
    <col min="2575" max="2575" width="14.26953125" style="2" customWidth="1"/>
    <col min="2576" max="2576" width="14" style="2" bestFit="1" customWidth="1"/>
    <col min="2577" max="2577" width="11.54296875" style="2" bestFit="1" customWidth="1"/>
    <col min="2578" max="2578" width="13.81640625" style="2" bestFit="1" customWidth="1"/>
    <col min="2579" max="2816" width="11.453125" style="2"/>
    <col min="2817" max="2817" width="20.26953125" style="2" customWidth="1"/>
    <col min="2818" max="2818" width="21.7265625" style="2" customWidth="1"/>
    <col min="2819" max="2819" width="22" style="2" customWidth="1"/>
    <col min="2820" max="2820" width="17.1796875" style="2" customWidth="1"/>
    <col min="2821" max="2821" width="21.453125" style="2" customWidth="1"/>
    <col min="2822" max="2822" width="19.54296875" style="2" customWidth="1"/>
    <col min="2823" max="2823" width="14.1796875" style="2" bestFit="1" customWidth="1"/>
    <col min="2824" max="2824" width="8.453125" style="2" customWidth="1"/>
    <col min="2825" max="2825" width="14.453125" style="2" bestFit="1" customWidth="1"/>
    <col min="2826" max="2826" width="4.453125" style="2" customWidth="1"/>
    <col min="2827" max="2827" width="14.453125" style="2" bestFit="1" customWidth="1"/>
    <col min="2828" max="2828" width="13.453125" style="2" customWidth="1"/>
    <col min="2829" max="2829" width="14.7265625" style="2" bestFit="1" customWidth="1"/>
    <col min="2830" max="2830" width="14.26953125" style="2" bestFit="1" customWidth="1"/>
    <col min="2831" max="2831" width="14.26953125" style="2" customWidth="1"/>
    <col min="2832" max="2832" width="14" style="2" bestFit="1" customWidth="1"/>
    <col min="2833" max="2833" width="11.54296875" style="2" bestFit="1" customWidth="1"/>
    <col min="2834" max="2834" width="13.81640625" style="2" bestFit="1" customWidth="1"/>
    <col min="2835" max="3072" width="11.453125" style="2"/>
    <col min="3073" max="3073" width="20.26953125" style="2" customWidth="1"/>
    <col min="3074" max="3074" width="21.7265625" style="2" customWidth="1"/>
    <col min="3075" max="3075" width="22" style="2" customWidth="1"/>
    <col min="3076" max="3076" width="17.1796875" style="2" customWidth="1"/>
    <col min="3077" max="3077" width="21.453125" style="2" customWidth="1"/>
    <col min="3078" max="3078" width="19.54296875" style="2" customWidth="1"/>
    <col min="3079" max="3079" width="14.1796875" style="2" bestFit="1" customWidth="1"/>
    <col min="3080" max="3080" width="8.453125" style="2" customWidth="1"/>
    <col min="3081" max="3081" width="14.453125" style="2" bestFit="1" customWidth="1"/>
    <col min="3082" max="3082" width="4.453125" style="2" customWidth="1"/>
    <col min="3083" max="3083" width="14.453125" style="2" bestFit="1" customWidth="1"/>
    <col min="3084" max="3084" width="13.453125" style="2" customWidth="1"/>
    <col min="3085" max="3085" width="14.7265625" style="2" bestFit="1" customWidth="1"/>
    <col min="3086" max="3086" width="14.26953125" style="2" bestFit="1" customWidth="1"/>
    <col min="3087" max="3087" width="14.26953125" style="2" customWidth="1"/>
    <col min="3088" max="3088" width="14" style="2" bestFit="1" customWidth="1"/>
    <col min="3089" max="3089" width="11.54296875" style="2" bestFit="1" customWidth="1"/>
    <col min="3090" max="3090" width="13.81640625" style="2" bestFit="1" customWidth="1"/>
    <col min="3091" max="3328" width="11.453125" style="2"/>
    <col min="3329" max="3329" width="20.26953125" style="2" customWidth="1"/>
    <col min="3330" max="3330" width="21.7265625" style="2" customWidth="1"/>
    <col min="3331" max="3331" width="22" style="2" customWidth="1"/>
    <col min="3332" max="3332" width="17.1796875" style="2" customWidth="1"/>
    <col min="3333" max="3333" width="21.453125" style="2" customWidth="1"/>
    <col min="3334" max="3334" width="19.54296875" style="2" customWidth="1"/>
    <col min="3335" max="3335" width="14.1796875" style="2" bestFit="1" customWidth="1"/>
    <col min="3336" max="3336" width="8.453125" style="2" customWidth="1"/>
    <col min="3337" max="3337" width="14.453125" style="2" bestFit="1" customWidth="1"/>
    <col min="3338" max="3338" width="4.453125" style="2" customWidth="1"/>
    <col min="3339" max="3339" width="14.453125" style="2" bestFit="1" customWidth="1"/>
    <col min="3340" max="3340" width="13.453125" style="2" customWidth="1"/>
    <col min="3341" max="3341" width="14.7265625" style="2" bestFit="1" customWidth="1"/>
    <col min="3342" max="3342" width="14.26953125" style="2" bestFit="1" customWidth="1"/>
    <col min="3343" max="3343" width="14.26953125" style="2" customWidth="1"/>
    <col min="3344" max="3344" width="14" style="2" bestFit="1" customWidth="1"/>
    <col min="3345" max="3345" width="11.54296875" style="2" bestFit="1" customWidth="1"/>
    <col min="3346" max="3346" width="13.81640625" style="2" bestFit="1" customWidth="1"/>
    <col min="3347" max="3584" width="11.453125" style="2"/>
    <col min="3585" max="3585" width="20.26953125" style="2" customWidth="1"/>
    <col min="3586" max="3586" width="21.7265625" style="2" customWidth="1"/>
    <col min="3587" max="3587" width="22" style="2" customWidth="1"/>
    <col min="3588" max="3588" width="17.1796875" style="2" customWidth="1"/>
    <col min="3589" max="3589" width="21.453125" style="2" customWidth="1"/>
    <col min="3590" max="3590" width="19.54296875" style="2" customWidth="1"/>
    <col min="3591" max="3591" width="14.1796875" style="2" bestFit="1" customWidth="1"/>
    <col min="3592" max="3592" width="8.453125" style="2" customWidth="1"/>
    <col min="3593" max="3593" width="14.453125" style="2" bestFit="1" customWidth="1"/>
    <col min="3594" max="3594" width="4.453125" style="2" customWidth="1"/>
    <col min="3595" max="3595" width="14.453125" style="2" bestFit="1" customWidth="1"/>
    <col min="3596" max="3596" width="13.453125" style="2" customWidth="1"/>
    <col min="3597" max="3597" width="14.7265625" style="2" bestFit="1" customWidth="1"/>
    <col min="3598" max="3598" width="14.26953125" style="2" bestFit="1" customWidth="1"/>
    <col min="3599" max="3599" width="14.26953125" style="2" customWidth="1"/>
    <col min="3600" max="3600" width="14" style="2" bestFit="1" customWidth="1"/>
    <col min="3601" max="3601" width="11.54296875" style="2" bestFit="1" customWidth="1"/>
    <col min="3602" max="3602" width="13.81640625" style="2" bestFit="1" customWidth="1"/>
    <col min="3603" max="3840" width="11.453125" style="2"/>
    <col min="3841" max="3841" width="20.26953125" style="2" customWidth="1"/>
    <col min="3842" max="3842" width="21.7265625" style="2" customWidth="1"/>
    <col min="3843" max="3843" width="22" style="2" customWidth="1"/>
    <col min="3844" max="3844" width="17.1796875" style="2" customWidth="1"/>
    <col min="3845" max="3845" width="21.453125" style="2" customWidth="1"/>
    <col min="3846" max="3846" width="19.54296875" style="2" customWidth="1"/>
    <col min="3847" max="3847" width="14.1796875" style="2" bestFit="1" customWidth="1"/>
    <col min="3848" max="3848" width="8.453125" style="2" customWidth="1"/>
    <col min="3849" max="3849" width="14.453125" style="2" bestFit="1" customWidth="1"/>
    <col min="3850" max="3850" width="4.453125" style="2" customWidth="1"/>
    <col min="3851" max="3851" width="14.453125" style="2" bestFit="1" customWidth="1"/>
    <col min="3852" max="3852" width="13.453125" style="2" customWidth="1"/>
    <col min="3853" max="3853" width="14.7265625" style="2" bestFit="1" customWidth="1"/>
    <col min="3854" max="3854" width="14.26953125" style="2" bestFit="1" customWidth="1"/>
    <col min="3855" max="3855" width="14.26953125" style="2" customWidth="1"/>
    <col min="3856" max="3856" width="14" style="2" bestFit="1" customWidth="1"/>
    <col min="3857" max="3857" width="11.54296875" style="2" bestFit="1" customWidth="1"/>
    <col min="3858" max="3858" width="13.81640625" style="2" bestFit="1" customWidth="1"/>
    <col min="3859" max="4096" width="11.453125" style="2"/>
    <col min="4097" max="4097" width="20.26953125" style="2" customWidth="1"/>
    <col min="4098" max="4098" width="21.7265625" style="2" customWidth="1"/>
    <col min="4099" max="4099" width="22" style="2" customWidth="1"/>
    <col min="4100" max="4100" width="17.1796875" style="2" customWidth="1"/>
    <col min="4101" max="4101" width="21.453125" style="2" customWidth="1"/>
    <col min="4102" max="4102" width="19.54296875" style="2" customWidth="1"/>
    <col min="4103" max="4103" width="14.1796875" style="2" bestFit="1" customWidth="1"/>
    <col min="4104" max="4104" width="8.453125" style="2" customWidth="1"/>
    <col min="4105" max="4105" width="14.453125" style="2" bestFit="1" customWidth="1"/>
    <col min="4106" max="4106" width="4.453125" style="2" customWidth="1"/>
    <col min="4107" max="4107" width="14.453125" style="2" bestFit="1" customWidth="1"/>
    <col min="4108" max="4108" width="13.453125" style="2" customWidth="1"/>
    <col min="4109" max="4109" width="14.7265625" style="2" bestFit="1" customWidth="1"/>
    <col min="4110" max="4110" width="14.26953125" style="2" bestFit="1" customWidth="1"/>
    <col min="4111" max="4111" width="14.26953125" style="2" customWidth="1"/>
    <col min="4112" max="4112" width="14" style="2" bestFit="1" customWidth="1"/>
    <col min="4113" max="4113" width="11.54296875" style="2" bestFit="1" customWidth="1"/>
    <col min="4114" max="4114" width="13.81640625" style="2" bestFit="1" customWidth="1"/>
    <col min="4115" max="4352" width="11.453125" style="2"/>
    <col min="4353" max="4353" width="20.26953125" style="2" customWidth="1"/>
    <col min="4354" max="4354" width="21.7265625" style="2" customWidth="1"/>
    <col min="4355" max="4355" width="22" style="2" customWidth="1"/>
    <col min="4356" max="4356" width="17.1796875" style="2" customWidth="1"/>
    <col min="4357" max="4357" width="21.453125" style="2" customWidth="1"/>
    <col min="4358" max="4358" width="19.54296875" style="2" customWidth="1"/>
    <col min="4359" max="4359" width="14.1796875" style="2" bestFit="1" customWidth="1"/>
    <col min="4360" max="4360" width="8.453125" style="2" customWidth="1"/>
    <col min="4361" max="4361" width="14.453125" style="2" bestFit="1" customWidth="1"/>
    <col min="4362" max="4362" width="4.453125" style="2" customWidth="1"/>
    <col min="4363" max="4363" width="14.453125" style="2" bestFit="1" customWidth="1"/>
    <col min="4364" max="4364" width="13.453125" style="2" customWidth="1"/>
    <col min="4365" max="4365" width="14.7265625" style="2" bestFit="1" customWidth="1"/>
    <col min="4366" max="4366" width="14.26953125" style="2" bestFit="1" customWidth="1"/>
    <col min="4367" max="4367" width="14.26953125" style="2" customWidth="1"/>
    <col min="4368" max="4368" width="14" style="2" bestFit="1" customWidth="1"/>
    <col min="4369" max="4369" width="11.54296875" style="2" bestFit="1" customWidth="1"/>
    <col min="4370" max="4370" width="13.81640625" style="2" bestFit="1" customWidth="1"/>
    <col min="4371" max="4608" width="11.453125" style="2"/>
    <col min="4609" max="4609" width="20.26953125" style="2" customWidth="1"/>
    <col min="4610" max="4610" width="21.7265625" style="2" customWidth="1"/>
    <col min="4611" max="4611" width="22" style="2" customWidth="1"/>
    <col min="4612" max="4612" width="17.1796875" style="2" customWidth="1"/>
    <col min="4613" max="4613" width="21.453125" style="2" customWidth="1"/>
    <col min="4614" max="4614" width="19.54296875" style="2" customWidth="1"/>
    <col min="4615" max="4615" width="14.1796875" style="2" bestFit="1" customWidth="1"/>
    <col min="4616" max="4616" width="8.453125" style="2" customWidth="1"/>
    <col min="4617" max="4617" width="14.453125" style="2" bestFit="1" customWidth="1"/>
    <col min="4618" max="4618" width="4.453125" style="2" customWidth="1"/>
    <col min="4619" max="4619" width="14.453125" style="2" bestFit="1" customWidth="1"/>
    <col min="4620" max="4620" width="13.453125" style="2" customWidth="1"/>
    <col min="4621" max="4621" width="14.7265625" style="2" bestFit="1" customWidth="1"/>
    <col min="4622" max="4622" width="14.26953125" style="2" bestFit="1" customWidth="1"/>
    <col min="4623" max="4623" width="14.26953125" style="2" customWidth="1"/>
    <col min="4624" max="4624" width="14" style="2" bestFit="1" customWidth="1"/>
    <col min="4625" max="4625" width="11.54296875" style="2" bestFit="1" customWidth="1"/>
    <col min="4626" max="4626" width="13.81640625" style="2" bestFit="1" customWidth="1"/>
    <col min="4627" max="4864" width="11.453125" style="2"/>
    <col min="4865" max="4865" width="20.26953125" style="2" customWidth="1"/>
    <col min="4866" max="4866" width="21.7265625" style="2" customWidth="1"/>
    <col min="4867" max="4867" width="22" style="2" customWidth="1"/>
    <col min="4868" max="4868" width="17.1796875" style="2" customWidth="1"/>
    <col min="4869" max="4869" width="21.453125" style="2" customWidth="1"/>
    <col min="4870" max="4870" width="19.54296875" style="2" customWidth="1"/>
    <col min="4871" max="4871" width="14.1796875" style="2" bestFit="1" customWidth="1"/>
    <col min="4872" max="4872" width="8.453125" style="2" customWidth="1"/>
    <col min="4873" max="4873" width="14.453125" style="2" bestFit="1" customWidth="1"/>
    <col min="4874" max="4874" width="4.453125" style="2" customWidth="1"/>
    <col min="4875" max="4875" width="14.453125" style="2" bestFit="1" customWidth="1"/>
    <col min="4876" max="4876" width="13.453125" style="2" customWidth="1"/>
    <col min="4877" max="4877" width="14.7265625" style="2" bestFit="1" customWidth="1"/>
    <col min="4878" max="4878" width="14.26953125" style="2" bestFit="1" customWidth="1"/>
    <col min="4879" max="4879" width="14.26953125" style="2" customWidth="1"/>
    <col min="4880" max="4880" width="14" style="2" bestFit="1" customWidth="1"/>
    <col min="4881" max="4881" width="11.54296875" style="2" bestFit="1" customWidth="1"/>
    <col min="4882" max="4882" width="13.81640625" style="2" bestFit="1" customWidth="1"/>
    <col min="4883" max="5120" width="11.453125" style="2"/>
    <col min="5121" max="5121" width="20.26953125" style="2" customWidth="1"/>
    <col min="5122" max="5122" width="21.7265625" style="2" customWidth="1"/>
    <col min="5123" max="5123" width="22" style="2" customWidth="1"/>
    <col min="5124" max="5124" width="17.1796875" style="2" customWidth="1"/>
    <col min="5125" max="5125" width="21.453125" style="2" customWidth="1"/>
    <col min="5126" max="5126" width="19.54296875" style="2" customWidth="1"/>
    <col min="5127" max="5127" width="14.1796875" style="2" bestFit="1" customWidth="1"/>
    <col min="5128" max="5128" width="8.453125" style="2" customWidth="1"/>
    <col min="5129" max="5129" width="14.453125" style="2" bestFit="1" customWidth="1"/>
    <col min="5130" max="5130" width="4.453125" style="2" customWidth="1"/>
    <col min="5131" max="5131" width="14.453125" style="2" bestFit="1" customWidth="1"/>
    <col min="5132" max="5132" width="13.453125" style="2" customWidth="1"/>
    <col min="5133" max="5133" width="14.7265625" style="2" bestFit="1" customWidth="1"/>
    <col min="5134" max="5134" width="14.26953125" style="2" bestFit="1" customWidth="1"/>
    <col min="5135" max="5135" width="14.26953125" style="2" customWidth="1"/>
    <col min="5136" max="5136" width="14" style="2" bestFit="1" customWidth="1"/>
    <col min="5137" max="5137" width="11.54296875" style="2" bestFit="1" customWidth="1"/>
    <col min="5138" max="5138" width="13.81640625" style="2" bestFit="1" customWidth="1"/>
    <col min="5139" max="5376" width="11.453125" style="2"/>
    <col min="5377" max="5377" width="20.26953125" style="2" customWidth="1"/>
    <col min="5378" max="5378" width="21.7265625" style="2" customWidth="1"/>
    <col min="5379" max="5379" width="22" style="2" customWidth="1"/>
    <col min="5380" max="5380" width="17.1796875" style="2" customWidth="1"/>
    <col min="5381" max="5381" width="21.453125" style="2" customWidth="1"/>
    <col min="5382" max="5382" width="19.54296875" style="2" customWidth="1"/>
    <col min="5383" max="5383" width="14.1796875" style="2" bestFit="1" customWidth="1"/>
    <col min="5384" max="5384" width="8.453125" style="2" customWidth="1"/>
    <col min="5385" max="5385" width="14.453125" style="2" bestFit="1" customWidth="1"/>
    <col min="5386" max="5386" width="4.453125" style="2" customWidth="1"/>
    <col min="5387" max="5387" width="14.453125" style="2" bestFit="1" customWidth="1"/>
    <col min="5388" max="5388" width="13.453125" style="2" customWidth="1"/>
    <col min="5389" max="5389" width="14.7265625" style="2" bestFit="1" customWidth="1"/>
    <col min="5390" max="5390" width="14.26953125" style="2" bestFit="1" customWidth="1"/>
    <col min="5391" max="5391" width="14.26953125" style="2" customWidth="1"/>
    <col min="5392" max="5392" width="14" style="2" bestFit="1" customWidth="1"/>
    <col min="5393" max="5393" width="11.54296875" style="2" bestFit="1" customWidth="1"/>
    <col min="5394" max="5394" width="13.81640625" style="2" bestFit="1" customWidth="1"/>
    <col min="5395" max="5632" width="11.453125" style="2"/>
    <col min="5633" max="5633" width="20.26953125" style="2" customWidth="1"/>
    <col min="5634" max="5634" width="21.7265625" style="2" customWidth="1"/>
    <col min="5635" max="5635" width="22" style="2" customWidth="1"/>
    <col min="5636" max="5636" width="17.1796875" style="2" customWidth="1"/>
    <col min="5637" max="5637" width="21.453125" style="2" customWidth="1"/>
    <col min="5638" max="5638" width="19.54296875" style="2" customWidth="1"/>
    <col min="5639" max="5639" width="14.1796875" style="2" bestFit="1" customWidth="1"/>
    <col min="5640" max="5640" width="8.453125" style="2" customWidth="1"/>
    <col min="5641" max="5641" width="14.453125" style="2" bestFit="1" customWidth="1"/>
    <col min="5642" max="5642" width="4.453125" style="2" customWidth="1"/>
    <col min="5643" max="5643" width="14.453125" style="2" bestFit="1" customWidth="1"/>
    <col min="5644" max="5644" width="13.453125" style="2" customWidth="1"/>
    <col min="5645" max="5645" width="14.7265625" style="2" bestFit="1" customWidth="1"/>
    <col min="5646" max="5646" width="14.26953125" style="2" bestFit="1" customWidth="1"/>
    <col min="5647" max="5647" width="14.26953125" style="2" customWidth="1"/>
    <col min="5648" max="5648" width="14" style="2" bestFit="1" customWidth="1"/>
    <col min="5649" max="5649" width="11.54296875" style="2" bestFit="1" customWidth="1"/>
    <col min="5650" max="5650" width="13.81640625" style="2" bestFit="1" customWidth="1"/>
    <col min="5651" max="5888" width="11.453125" style="2"/>
    <col min="5889" max="5889" width="20.26953125" style="2" customWidth="1"/>
    <col min="5890" max="5890" width="21.7265625" style="2" customWidth="1"/>
    <col min="5891" max="5891" width="22" style="2" customWidth="1"/>
    <col min="5892" max="5892" width="17.1796875" style="2" customWidth="1"/>
    <col min="5893" max="5893" width="21.453125" style="2" customWidth="1"/>
    <col min="5894" max="5894" width="19.54296875" style="2" customWidth="1"/>
    <col min="5895" max="5895" width="14.1796875" style="2" bestFit="1" customWidth="1"/>
    <col min="5896" max="5896" width="8.453125" style="2" customWidth="1"/>
    <col min="5897" max="5897" width="14.453125" style="2" bestFit="1" customWidth="1"/>
    <col min="5898" max="5898" width="4.453125" style="2" customWidth="1"/>
    <col min="5899" max="5899" width="14.453125" style="2" bestFit="1" customWidth="1"/>
    <col min="5900" max="5900" width="13.453125" style="2" customWidth="1"/>
    <col min="5901" max="5901" width="14.7265625" style="2" bestFit="1" customWidth="1"/>
    <col min="5902" max="5902" width="14.26953125" style="2" bestFit="1" customWidth="1"/>
    <col min="5903" max="5903" width="14.26953125" style="2" customWidth="1"/>
    <col min="5904" max="5904" width="14" style="2" bestFit="1" customWidth="1"/>
    <col min="5905" max="5905" width="11.54296875" style="2" bestFit="1" customWidth="1"/>
    <col min="5906" max="5906" width="13.81640625" style="2" bestFit="1" customWidth="1"/>
    <col min="5907" max="6144" width="11.453125" style="2"/>
    <col min="6145" max="6145" width="20.26953125" style="2" customWidth="1"/>
    <col min="6146" max="6146" width="21.7265625" style="2" customWidth="1"/>
    <col min="6147" max="6147" width="22" style="2" customWidth="1"/>
    <col min="6148" max="6148" width="17.1796875" style="2" customWidth="1"/>
    <col min="6149" max="6149" width="21.453125" style="2" customWidth="1"/>
    <col min="6150" max="6150" width="19.54296875" style="2" customWidth="1"/>
    <col min="6151" max="6151" width="14.1796875" style="2" bestFit="1" customWidth="1"/>
    <col min="6152" max="6152" width="8.453125" style="2" customWidth="1"/>
    <col min="6153" max="6153" width="14.453125" style="2" bestFit="1" customWidth="1"/>
    <col min="6154" max="6154" width="4.453125" style="2" customWidth="1"/>
    <col min="6155" max="6155" width="14.453125" style="2" bestFit="1" customWidth="1"/>
    <col min="6156" max="6156" width="13.453125" style="2" customWidth="1"/>
    <col min="6157" max="6157" width="14.7265625" style="2" bestFit="1" customWidth="1"/>
    <col min="6158" max="6158" width="14.26953125" style="2" bestFit="1" customWidth="1"/>
    <col min="6159" max="6159" width="14.26953125" style="2" customWidth="1"/>
    <col min="6160" max="6160" width="14" style="2" bestFit="1" customWidth="1"/>
    <col min="6161" max="6161" width="11.54296875" style="2" bestFit="1" customWidth="1"/>
    <col min="6162" max="6162" width="13.81640625" style="2" bestFit="1" customWidth="1"/>
    <col min="6163" max="6400" width="11.453125" style="2"/>
    <col min="6401" max="6401" width="20.26953125" style="2" customWidth="1"/>
    <col min="6402" max="6402" width="21.7265625" style="2" customWidth="1"/>
    <col min="6403" max="6403" width="22" style="2" customWidth="1"/>
    <col min="6404" max="6404" width="17.1796875" style="2" customWidth="1"/>
    <col min="6405" max="6405" width="21.453125" style="2" customWidth="1"/>
    <col min="6406" max="6406" width="19.54296875" style="2" customWidth="1"/>
    <col min="6407" max="6407" width="14.1796875" style="2" bestFit="1" customWidth="1"/>
    <col min="6408" max="6408" width="8.453125" style="2" customWidth="1"/>
    <col min="6409" max="6409" width="14.453125" style="2" bestFit="1" customWidth="1"/>
    <col min="6410" max="6410" width="4.453125" style="2" customWidth="1"/>
    <col min="6411" max="6411" width="14.453125" style="2" bestFit="1" customWidth="1"/>
    <col min="6412" max="6412" width="13.453125" style="2" customWidth="1"/>
    <col min="6413" max="6413" width="14.7265625" style="2" bestFit="1" customWidth="1"/>
    <col min="6414" max="6414" width="14.26953125" style="2" bestFit="1" customWidth="1"/>
    <col min="6415" max="6415" width="14.26953125" style="2" customWidth="1"/>
    <col min="6416" max="6416" width="14" style="2" bestFit="1" customWidth="1"/>
    <col min="6417" max="6417" width="11.54296875" style="2" bestFit="1" customWidth="1"/>
    <col min="6418" max="6418" width="13.81640625" style="2" bestFit="1" customWidth="1"/>
    <col min="6419" max="6656" width="11.453125" style="2"/>
    <col min="6657" max="6657" width="20.26953125" style="2" customWidth="1"/>
    <col min="6658" max="6658" width="21.7265625" style="2" customWidth="1"/>
    <col min="6659" max="6659" width="22" style="2" customWidth="1"/>
    <col min="6660" max="6660" width="17.1796875" style="2" customWidth="1"/>
    <col min="6661" max="6661" width="21.453125" style="2" customWidth="1"/>
    <col min="6662" max="6662" width="19.54296875" style="2" customWidth="1"/>
    <col min="6663" max="6663" width="14.1796875" style="2" bestFit="1" customWidth="1"/>
    <col min="6664" max="6664" width="8.453125" style="2" customWidth="1"/>
    <col min="6665" max="6665" width="14.453125" style="2" bestFit="1" customWidth="1"/>
    <col min="6666" max="6666" width="4.453125" style="2" customWidth="1"/>
    <col min="6667" max="6667" width="14.453125" style="2" bestFit="1" customWidth="1"/>
    <col min="6668" max="6668" width="13.453125" style="2" customWidth="1"/>
    <col min="6669" max="6669" width="14.7265625" style="2" bestFit="1" customWidth="1"/>
    <col min="6670" max="6670" width="14.26953125" style="2" bestFit="1" customWidth="1"/>
    <col min="6671" max="6671" width="14.26953125" style="2" customWidth="1"/>
    <col min="6672" max="6672" width="14" style="2" bestFit="1" customWidth="1"/>
    <col min="6673" max="6673" width="11.54296875" style="2" bestFit="1" customWidth="1"/>
    <col min="6674" max="6674" width="13.81640625" style="2" bestFit="1" customWidth="1"/>
    <col min="6675" max="6912" width="11.453125" style="2"/>
    <col min="6913" max="6913" width="20.26953125" style="2" customWidth="1"/>
    <col min="6914" max="6914" width="21.7265625" style="2" customWidth="1"/>
    <col min="6915" max="6915" width="22" style="2" customWidth="1"/>
    <col min="6916" max="6916" width="17.1796875" style="2" customWidth="1"/>
    <col min="6917" max="6917" width="21.453125" style="2" customWidth="1"/>
    <col min="6918" max="6918" width="19.54296875" style="2" customWidth="1"/>
    <col min="6919" max="6919" width="14.1796875" style="2" bestFit="1" customWidth="1"/>
    <col min="6920" max="6920" width="8.453125" style="2" customWidth="1"/>
    <col min="6921" max="6921" width="14.453125" style="2" bestFit="1" customWidth="1"/>
    <col min="6922" max="6922" width="4.453125" style="2" customWidth="1"/>
    <col min="6923" max="6923" width="14.453125" style="2" bestFit="1" customWidth="1"/>
    <col min="6924" max="6924" width="13.453125" style="2" customWidth="1"/>
    <col min="6925" max="6925" width="14.7265625" style="2" bestFit="1" customWidth="1"/>
    <col min="6926" max="6926" width="14.26953125" style="2" bestFit="1" customWidth="1"/>
    <col min="6927" max="6927" width="14.26953125" style="2" customWidth="1"/>
    <col min="6928" max="6928" width="14" style="2" bestFit="1" customWidth="1"/>
    <col min="6929" max="6929" width="11.54296875" style="2" bestFit="1" customWidth="1"/>
    <col min="6930" max="6930" width="13.81640625" style="2" bestFit="1" customWidth="1"/>
    <col min="6931" max="7168" width="11.453125" style="2"/>
    <col min="7169" max="7169" width="20.26953125" style="2" customWidth="1"/>
    <col min="7170" max="7170" width="21.7265625" style="2" customWidth="1"/>
    <col min="7171" max="7171" width="22" style="2" customWidth="1"/>
    <col min="7172" max="7172" width="17.1796875" style="2" customWidth="1"/>
    <col min="7173" max="7173" width="21.453125" style="2" customWidth="1"/>
    <col min="7174" max="7174" width="19.54296875" style="2" customWidth="1"/>
    <col min="7175" max="7175" width="14.1796875" style="2" bestFit="1" customWidth="1"/>
    <col min="7176" max="7176" width="8.453125" style="2" customWidth="1"/>
    <col min="7177" max="7177" width="14.453125" style="2" bestFit="1" customWidth="1"/>
    <col min="7178" max="7178" width="4.453125" style="2" customWidth="1"/>
    <col min="7179" max="7179" width="14.453125" style="2" bestFit="1" customWidth="1"/>
    <col min="7180" max="7180" width="13.453125" style="2" customWidth="1"/>
    <col min="7181" max="7181" width="14.7265625" style="2" bestFit="1" customWidth="1"/>
    <col min="7182" max="7182" width="14.26953125" style="2" bestFit="1" customWidth="1"/>
    <col min="7183" max="7183" width="14.26953125" style="2" customWidth="1"/>
    <col min="7184" max="7184" width="14" style="2" bestFit="1" customWidth="1"/>
    <col min="7185" max="7185" width="11.54296875" style="2" bestFit="1" customWidth="1"/>
    <col min="7186" max="7186" width="13.81640625" style="2" bestFit="1" customWidth="1"/>
    <col min="7187" max="7424" width="11.453125" style="2"/>
    <col min="7425" max="7425" width="20.26953125" style="2" customWidth="1"/>
    <col min="7426" max="7426" width="21.7265625" style="2" customWidth="1"/>
    <col min="7427" max="7427" width="22" style="2" customWidth="1"/>
    <col min="7428" max="7428" width="17.1796875" style="2" customWidth="1"/>
    <col min="7429" max="7429" width="21.453125" style="2" customWidth="1"/>
    <col min="7430" max="7430" width="19.54296875" style="2" customWidth="1"/>
    <col min="7431" max="7431" width="14.1796875" style="2" bestFit="1" customWidth="1"/>
    <col min="7432" max="7432" width="8.453125" style="2" customWidth="1"/>
    <col min="7433" max="7433" width="14.453125" style="2" bestFit="1" customWidth="1"/>
    <col min="7434" max="7434" width="4.453125" style="2" customWidth="1"/>
    <col min="7435" max="7435" width="14.453125" style="2" bestFit="1" customWidth="1"/>
    <col min="7436" max="7436" width="13.453125" style="2" customWidth="1"/>
    <col min="7437" max="7437" width="14.7265625" style="2" bestFit="1" customWidth="1"/>
    <col min="7438" max="7438" width="14.26953125" style="2" bestFit="1" customWidth="1"/>
    <col min="7439" max="7439" width="14.26953125" style="2" customWidth="1"/>
    <col min="7440" max="7440" width="14" style="2" bestFit="1" customWidth="1"/>
    <col min="7441" max="7441" width="11.54296875" style="2" bestFit="1" customWidth="1"/>
    <col min="7442" max="7442" width="13.81640625" style="2" bestFit="1" customWidth="1"/>
    <col min="7443" max="7680" width="11.453125" style="2"/>
    <col min="7681" max="7681" width="20.26953125" style="2" customWidth="1"/>
    <col min="7682" max="7682" width="21.7265625" style="2" customWidth="1"/>
    <col min="7683" max="7683" width="22" style="2" customWidth="1"/>
    <col min="7684" max="7684" width="17.1796875" style="2" customWidth="1"/>
    <col min="7685" max="7685" width="21.453125" style="2" customWidth="1"/>
    <col min="7686" max="7686" width="19.54296875" style="2" customWidth="1"/>
    <col min="7687" max="7687" width="14.1796875" style="2" bestFit="1" customWidth="1"/>
    <col min="7688" max="7688" width="8.453125" style="2" customWidth="1"/>
    <col min="7689" max="7689" width="14.453125" style="2" bestFit="1" customWidth="1"/>
    <col min="7690" max="7690" width="4.453125" style="2" customWidth="1"/>
    <col min="7691" max="7691" width="14.453125" style="2" bestFit="1" customWidth="1"/>
    <col min="7692" max="7692" width="13.453125" style="2" customWidth="1"/>
    <col min="7693" max="7693" width="14.7265625" style="2" bestFit="1" customWidth="1"/>
    <col min="7694" max="7694" width="14.26953125" style="2" bestFit="1" customWidth="1"/>
    <col min="7695" max="7695" width="14.26953125" style="2" customWidth="1"/>
    <col min="7696" max="7696" width="14" style="2" bestFit="1" customWidth="1"/>
    <col min="7697" max="7697" width="11.54296875" style="2" bestFit="1" customWidth="1"/>
    <col min="7698" max="7698" width="13.81640625" style="2" bestFit="1" customWidth="1"/>
    <col min="7699" max="7936" width="11.453125" style="2"/>
    <col min="7937" max="7937" width="20.26953125" style="2" customWidth="1"/>
    <col min="7938" max="7938" width="21.7265625" style="2" customWidth="1"/>
    <col min="7939" max="7939" width="22" style="2" customWidth="1"/>
    <col min="7940" max="7940" width="17.1796875" style="2" customWidth="1"/>
    <col min="7941" max="7941" width="21.453125" style="2" customWidth="1"/>
    <col min="7942" max="7942" width="19.54296875" style="2" customWidth="1"/>
    <col min="7943" max="7943" width="14.1796875" style="2" bestFit="1" customWidth="1"/>
    <col min="7944" max="7944" width="8.453125" style="2" customWidth="1"/>
    <col min="7945" max="7945" width="14.453125" style="2" bestFit="1" customWidth="1"/>
    <col min="7946" max="7946" width="4.453125" style="2" customWidth="1"/>
    <col min="7947" max="7947" width="14.453125" style="2" bestFit="1" customWidth="1"/>
    <col min="7948" max="7948" width="13.453125" style="2" customWidth="1"/>
    <col min="7949" max="7949" width="14.7265625" style="2" bestFit="1" customWidth="1"/>
    <col min="7950" max="7950" width="14.26953125" style="2" bestFit="1" customWidth="1"/>
    <col min="7951" max="7951" width="14.26953125" style="2" customWidth="1"/>
    <col min="7952" max="7952" width="14" style="2" bestFit="1" customWidth="1"/>
    <col min="7953" max="7953" width="11.54296875" style="2" bestFit="1" customWidth="1"/>
    <col min="7954" max="7954" width="13.81640625" style="2" bestFit="1" customWidth="1"/>
    <col min="7955" max="8192" width="11.453125" style="2"/>
    <col min="8193" max="8193" width="20.26953125" style="2" customWidth="1"/>
    <col min="8194" max="8194" width="21.7265625" style="2" customWidth="1"/>
    <col min="8195" max="8195" width="22" style="2" customWidth="1"/>
    <col min="8196" max="8196" width="17.1796875" style="2" customWidth="1"/>
    <col min="8197" max="8197" width="21.453125" style="2" customWidth="1"/>
    <col min="8198" max="8198" width="19.54296875" style="2" customWidth="1"/>
    <col min="8199" max="8199" width="14.1796875" style="2" bestFit="1" customWidth="1"/>
    <col min="8200" max="8200" width="8.453125" style="2" customWidth="1"/>
    <col min="8201" max="8201" width="14.453125" style="2" bestFit="1" customWidth="1"/>
    <col min="8202" max="8202" width="4.453125" style="2" customWidth="1"/>
    <col min="8203" max="8203" width="14.453125" style="2" bestFit="1" customWidth="1"/>
    <col min="8204" max="8204" width="13.453125" style="2" customWidth="1"/>
    <col min="8205" max="8205" width="14.7265625" style="2" bestFit="1" customWidth="1"/>
    <col min="8206" max="8206" width="14.26953125" style="2" bestFit="1" customWidth="1"/>
    <col min="8207" max="8207" width="14.26953125" style="2" customWidth="1"/>
    <col min="8208" max="8208" width="14" style="2" bestFit="1" customWidth="1"/>
    <col min="8209" max="8209" width="11.54296875" style="2" bestFit="1" customWidth="1"/>
    <col min="8210" max="8210" width="13.81640625" style="2" bestFit="1" customWidth="1"/>
    <col min="8211" max="8448" width="11.453125" style="2"/>
    <col min="8449" max="8449" width="20.26953125" style="2" customWidth="1"/>
    <col min="8450" max="8450" width="21.7265625" style="2" customWidth="1"/>
    <col min="8451" max="8451" width="22" style="2" customWidth="1"/>
    <col min="8452" max="8452" width="17.1796875" style="2" customWidth="1"/>
    <col min="8453" max="8453" width="21.453125" style="2" customWidth="1"/>
    <col min="8454" max="8454" width="19.54296875" style="2" customWidth="1"/>
    <col min="8455" max="8455" width="14.1796875" style="2" bestFit="1" customWidth="1"/>
    <col min="8456" max="8456" width="8.453125" style="2" customWidth="1"/>
    <col min="8457" max="8457" width="14.453125" style="2" bestFit="1" customWidth="1"/>
    <col min="8458" max="8458" width="4.453125" style="2" customWidth="1"/>
    <col min="8459" max="8459" width="14.453125" style="2" bestFit="1" customWidth="1"/>
    <col min="8460" max="8460" width="13.453125" style="2" customWidth="1"/>
    <col min="8461" max="8461" width="14.7265625" style="2" bestFit="1" customWidth="1"/>
    <col min="8462" max="8462" width="14.26953125" style="2" bestFit="1" customWidth="1"/>
    <col min="8463" max="8463" width="14.26953125" style="2" customWidth="1"/>
    <col min="8464" max="8464" width="14" style="2" bestFit="1" customWidth="1"/>
    <col min="8465" max="8465" width="11.54296875" style="2" bestFit="1" customWidth="1"/>
    <col min="8466" max="8466" width="13.81640625" style="2" bestFit="1" customWidth="1"/>
    <col min="8467" max="8704" width="11.453125" style="2"/>
    <col min="8705" max="8705" width="20.26953125" style="2" customWidth="1"/>
    <col min="8706" max="8706" width="21.7265625" style="2" customWidth="1"/>
    <col min="8707" max="8707" width="22" style="2" customWidth="1"/>
    <col min="8708" max="8708" width="17.1796875" style="2" customWidth="1"/>
    <col min="8709" max="8709" width="21.453125" style="2" customWidth="1"/>
    <col min="8710" max="8710" width="19.54296875" style="2" customWidth="1"/>
    <col min="8711" max="8711" width="14.1796875" style="2" bestFit="1" customWidth="1"/>
    <col min="8712" max="8712" width="8.453125" style="2" customWidth="1"/>
    <col min="8713" max="8713" width="14.453125" style="2" bestFit="1" customWidth="1"/>
    <col min="8714" max="8714" width="4.453125" style="2" customWidth="1"/>
    <col min="8715" max="8715" width="14.453125" style="2" bestFit="1" customWidth="1"/>
    <col min="8716" max="8716" width="13.453125" style="2" customWidth="1"/>
    <col min="8717" max="8717" width="14.7265625" style="2" bestFit="1" customWidth="1"/>
    <col min="8718" max="8718" width="14.26953125" style="2" bestFit="1" customWidth="1"/>
    <col min="8719" max="8719" width="14.26953125" style="2" customWidth="1"/>
    <col min="8720" max="8720" width="14" style="2" bestFit="1" customWidth="1"/>
    <col min="8721" max="8721" width="11.54296875" style="2" bestFit="1" customWidth="1"/>
    <col min="8722" max="8722" width="13.81640625" style="2" bestFit="1" customWidth="1"/>
    <col min="8723" max="8960" width="11.453125" style="2"/>
    <col min="8961" max="8961" width="20.26953125" style="2" customWidth="1"/>
    <col min="8962" max="8962" width="21.7265625" style="2" customWidth="1"/>
    <col min="8963" max="8963" width="22" style="2" customWidth="1"/>
    <col min="8964" max="8964" width="17.1796875" style="2" customWidth="1"/>
    <col min="8965" max="8965" width="21.453125" style="2" customWidth="1"/>
    <col min="8966" max="8966" width="19.54296875" style="2" customWidth="1"/>
    <col min="8967" max="8967" width="14.1796875" style="2" bestFit="1" customWidth="1"/>
    <col min="8968" max="8968" width="8.453125" style="2" customWidth="1"/>
    <col min="8969" max="8969" width="14.453125" style="2" bestFit="1" customWidth="1"/>
    <col min="8970" max="8970" width="4.453125" style="2" customWidth="1"/>
    <col min="8971" max="8971" width="14.453125" style="2" bestFit="1" customWidth="1"/>
    <col min="8972" max="8972" width="13.453125" style="2" customWidth="1"/>
    <col min="8973" max="8973" width="14.7265625" style="2" bestFit="1" customWidth="1"/>
    <col min="8974" max="8974" width="14.26953125" style="2" bestFit="1" customWidth="1"/>
    <col min="8975" max="8975" width="14.26953125" style="2" customWidth="1"/>
    <col min="8976" max="8976" width="14" style="2" bestFit="1" customWidth="1"/>
    <col min="8977" max="8977" width="11.54296875" style="2" bestFit="1" customWidth="1"/>
    <col min="8978" max="8978" width="13.81640625" style="2" bestFit="1" customWidth="1"/>
    <col min="8979" max="9216" width="11.453125" style="2"/>
    <col min="9217" max="9217" width="20.26953125" style="2" customWidth="1"/>
    <col min="9218" max="9218" width="21.7265625" style="2" customWidth="1"/>
    <col min="9219" max="9219" width="22" style="2" customWidth="1"/>
    <col min="9220" max="9220" width="17.1796875" style="2" customWidth="1"/>
    <col min="9221" max="9221" width="21.453125" style="2" customWidth="1"/>
    <col min="9222" max="9222" width="19.54296875" style="2" customWidth="1"/>
    <col min="9223" max="9223" width="14.1796875" style="2" bestFit="1" customWidth="1"/>
    <col min="9224" max="9224" width="8.453125" style="2" customWidth="1"/>
    <col min="9225" max="9225" width="14.453125" style="2" bestFit="1" customWidth="1"/>
    <col min="9226" max="9226" width="4.453125" style="2" customWidth="1"/>
    <col min="9227" max="9227" width="14.453125" style="2" bestFit="1" customWidth="1"/>
    <col min="9228" max="9228" width="13.453125" style="2" customWidth="1"/>
    <col min="9229" max="9229" width="14.7265625" style="2" bestFit="1" customWidth="1"/>
    <col min="9230" max="9230" width="14.26953125" style="2" bestFit="1" customWidth="1"/>
    <col min="9231" max="9231" width="14.26953125" style="2" customWidth="1"/>
    <col min="9232" max="9232" width="14" style="2" bestFit="1" customWidth="1"/>
    <col min="9233" max="9233" width="11.54296875" style="2" bestFit="1" customWidth="1"/>
    <col min="9234" max="9234" width="13.81640625" style="2" bestFit="1" customWidth="1"/>
    <col min="9235" max="9472" width="11.453125" style="2"/>
    <col min="9473" max="9473" width="20.26953125" style="2" customWidth="1"/>
    <col min="9474" max="9474" width="21.7265625" style="2" customWidth="1"/>
    <col min="9475" max="9475" width="22" style="2" customWidth="1"/>
    <col min="9476" max="9476" width="17.1796875" style="2" customWidth="1"/>
    <col min="9477" max="9477" width="21.453125" style="2" customWidth="1"/>
    <col min="9478" max="9478" width="19.54296875" style="2" customWidth="1"/>
    <col min="9479" max="9479" width="14.1796875" style="2" bestFit="1" customWidth="1"/>
    <col min="9480" max="9480" width="8.453125" style="2" customWidth="1"/>
    <col min="9481" max="9481" width="14.453125" style="2" bestFit="1" customWidth="1"/>
    <col min="9482" max="9482" width="4.453125" style="2" customWidth="1"/>
    <col min="9483" max="9483" width="14.453125" style="2" bestFit="1" customWidth="1"/>
    <col min="9484" max="9484" width="13.453125" style="2" customWidth="1"/>
    <col min="9485" max="9485" width="14.7265625" style="2" bestFit="1" customWidth="1"/>
    <col min="9486" max="9486" width="14.26953125" style="2" bestFit="1" customWidth="1"/>
    <col min="9487" max="9487" width="14.26953125" style="2" customWidth="1"/>
    <col min="9488" max="9488" width="14" style="2" bestFit="1" customWidth="1"/>
    <col min="9489" max="9489" width="11.54296875" style="2" bestFit="1" customWidth="1"/>
    <col min="9490" max="9490" width="13.81640625" style="2" bestFit="1" customWidth="1"/>
    <col min="9491" max="9728" width="11.453125" style="2"/>
    <col min="9729" max="9729" width="20.26953125" style="2" customWidth="1"/>
    <col min="9730" max="9730" width="21.7265625" style="2" customWidth="1"/>
    <col min="9731" max="9731" width="22" style="2" customWidth="1"/>
    <col min="9732" max="9732" width="17.1796875" style="2" customWidth="1"/>
    <col min="9733" max="9733" width="21.453125" style="2" customWidth="1"/>
    <col min="9734" max="9734" width="19.54296875" style="2" customWidth="1"/>
    <col min="9735" max="9735" width="14.1796875" style="2" bestFit="1" customWidth="1"/>
    <col min="9736" max="9736" width="8.453125" style="2" customWidth="1"/>
    <col min="9737" max="9737" width="14.453125" style="2" bestFit="1" customWidth="1"/>
    <col min="9738" max="9738" width="4.453125" style="2" customWidth="1"/>
    <col min="9739" max="9739" width="14.453125" style="2" bestFit="1" customWidth="1"/>
    <col min="9740" max="9740" width="13.453125" style="2" customWidth="1"/>
    <col min="9741" max="9741" width="14.7265625" style="2" bestFit="1" customWidth="1"/>
    <col min="9742" max="9742" width="14.26953125" style="2" bestFit="1" customWidth="1"/>
    <col min="9743" max="9743" width="14.26953125" style="2" customWidth="1"/>
    <col min="9744" max="9744" width="14" style="2" bestFit="1" customWidth="1"/>
    <col min="9745" max="9745" width="11.54296875" style="2" bestFit="1" customWidth="1"/>
    <col min="9746" max="9746" width="13.81640625" style="2" bestFit="1" customWidth="1"/>
    <col min="9747" max="9984" width="11.453125" style="2"/>
    <col min="9985" max="9985" width="20.26953125" style="2" customWidth="1"/>
    <col min="9986" max="9986" width="21.7265625" style="2" customWidth="1"/>
    <col min="9987" max="9987" width="22" style="2" customWidth="1"/>
    <col min="9988" max="9988" width="17.1796875" style="2" customWidth="1"/>
    <col min="9989" max="9989" width="21.453125" style="2" customWidth="1"/>
    <col min="9990" max="9990" width="19.54296875" style="2" customWidth="1"/>
    <col min="9991" max="9991" width="14.1796875" style="2" bestFit="1" customWidth="1"/>
    <col min="9992" max="9992" width="8.453125" style="2" customWidth="1"/>
    <col min="9993" max="9993" width="14.453125" style="2" bestFit="1" customWidth="1"/>
    <col min="9994" max="9994" width="4.453125" style="2" customWidth="1"/>
    <col min="9995" max="9995" width="14.453125" style="2" bestFit="1" customWidth="1"/>
    <col min="9996" max="9996" width="13.453125" style="2" customWidth="1"/>
    <col min="9997" max="9997" width="14.7265625" style="2" bestFit="1" customWidth="1"/>
    <col min="9998" max="9998" width="14.26953125" style="2" bestFit="1" customWidth="1"/>
    <col min="9999" max="9999" width="14.26953125" style="2" customWidth="1"/>
    <col min="10000" max="10000" width="14" style="2" bestFit="1" customWidth="1"/>
    <col min="10001" max="10001" width="11.54296875" style="2" bestFit="1" customWidth="1"/>
    <col min="10002" max="10002" width="13.81640625" style="2" bestFit="1" customWidth="1"/>
    <col min="10003" max="10240" width="11.453125" style="2"/>
    <col min="10241" max="10241" width="20.26953125" style="2" customWidth="1"/>
    <col min="10242" max="10242" width="21.7265625" style="2" customWidth="1"/>
    <col min="10243" max="10243" width="22" style="2" customWidth="1"/>
    <col min="10244" max="10244" width="17.1796875" style="2" customWidth="1"/>
    <col min="10245" max="10245" width="21.453125" style="2" customWidth="1"/>
    <col min="10246" max="10246" width="19.54296875" style="2" customWidth="1"/>
    <col min="10247" max="10247" width="14.1796875" style="2" bestFit="1" customWidth="1"/>
    <col min="10248" max="10248" width="8.453125" style="2" customWidth="1"/>
    <col min="10249" max="10249" width="14.453125" style="2" bestFit="1" customWidth="1"/>
    <col min="10250" max="10250" width="4.453125" style="2" customWidth="1"/>
    <col min="10251" max="10251" width="14.453125" style="2" bestFit="1" customWidth="1"/>
    <col min="10252" max="10252" width="13.453125" style="2" customWidth="1"/>
    <col min="10253" max="10253" width="14.7265625" style="2" bestFit="1" customWidth="1"/>
    <col min="10254" max="10254" width="14.26953125" style="2" bestFit="1" customWidth="1"/>
    <col min="10255" max="10255" width="14.26953125" style="2" customWidth="1"/>
    <col min="10256" max="10256" width="14" style="2" bestFit="1" customWidth="1"/>
    <col min="10257" max="10257" width="11.54296875" style="2" bestFit="1" customWidth="1"/>
    <col min="10258" max="10258" width="13.81640625" style="2" bestFit="1" customWidth="1"/>
    <col min="10259" max="10496" width="11.453125" style="2"/>
    <col min="10497" max="10497" width="20.26953125" style="2" customWidth="1"/>
    <col min="10498" max="10498" width="21.7265625" style="2" customWidth="1"/>
    <col min="10499" max="10499" width="22" style="2" customWidth="1"/>
    <col min="10500" max="10500" width="17.1796875" style="2" customWidth="1"/>
    <col min="10501" max="10501" width="21.453125" style="2" customWidth="1"/>
    <col min="10502" max="10502" width="19.54296875" style="2" customWidth="1"/>
    <col min="10503" max="10503" width="14.1796875" style="2" bestFit="1" customWidth="1"/>
    <col min="10504" max="10504" width="8.453125" style="2" customWidth="1"/>
    <col min="10505" max="10505" width="14.453125" style="2" bestFit="1" customWidth="1"/>
    <col min="10506" max="10506" width="4.453125" style="2" customWidth="1"/>
    <col min="10507" max="10507" width="14.453125" style="2" bestFit="1" customWidth="1"/>
    <col min="10508" max="10508" width="13.453125" style="2" customWidth="1"/>
    <col min="10509" max="10509" width="14.7265625" style="2" bestFit="1" customWidth="1"/>
    <col min="10510" max="10510" width="14.26953125" style="2" bestFit="1" customWidth="1"/>
    <col min="10511" max="10511" width="14.26953125" style="2" customWidth="1"/>
    <col min="10512" max="10512" width="14" style="2" bestFit="1" customWidth="1"/>
    <col min="10513" max="10513" width="11.54296875" style="2" bestFit="1" customWidth="1"/>
    <col min="10514" max="10514" width="13.81640625" style="2" bestFit="1" customWidth="1"/>
    <col min="10515" max="10752" width="11.453125" style="2"/>
    <col min="10753" max="10753" width="20.26953125" style="2" customWidth="1"/>
    <col min="10754" max="10754" width="21.7265625" style="2" customWidth="1"/>
    <col min="10755" max="10755" width="22" style="2" customWidth="1"/>
    <col min="10756" max="10756" width="17.1796875" style="2" customWidth="1"/>
    <col min="10757" max="10757" width="21.453125" style="2" customWidth="1"/>
    <col min="10758" max="10758" width="19.54296875" style="2" customWidth="1"/>
    <col min="10759" max="10759" width="14.1796875" style="2" bestFit="1" customWidth="1"/>
    <col min="10760" max="10760" width="8.453125" style="2" customWidth="1"/>
    <col min="10761" max="10761" width="14.453125" style="2" bestFit="1" customWidth="1"/>
    <col min="10762" max="10762" width="4.453125" style="2" customWidth="1"/>
    <col min="10763" max="10763" width="14.453125" style="2" bestFit="1" customWidth="1"/>
    <col min="10764" max="10764" width="13.453125" style="2" customWidth="1"/>
    <col min="10765" max="10765" width="14.7265625" style="2" bestFit="1" customWidth="1"/>
    <col min="10766" max="10766" width="14.26953125" style="2" bestFit="1" customWidth="1"/>
    <col min="10767" max="10767" width="14.26953125" style="2" customWidth="1"/>
    <col min="10768" max="10768" width="14" style="2" bestFit="1" customWidth="1"/>
    <col min="10769" max="10769" width="11.54296875" style="2" bestFit="1" customWidth="1"/>
    <col min="10770" max="10770" width="13.81640625" style="2" bestFit="1" customWidth="1"/>
    <col min="10771" max="11008" width="11.453125" style="2"/>
    <col min="11009" max="11009" width="20.26953125" style="2" customWidth="1"/>
    <col min="11010" max="11010" width="21.7265625" style="2" customWidth="1"/>
    <col min="11011" max="11011" width="22" style="2" customWidth="1"/>
    <col min="11012" max="11012" width="17.1796875" style="2" customWidth="1"/>
    <col min="11013" max="11013" width="21.453125" style="2" customWidth="1"/>
    <col min="11014" max="11014" width="19.54296875" style="2" customWidth="1"/>
    <col min="11015" max="11015" width="14.1796875" style="2" bestFit="1" customWidth="1"/>
    <col min="11016" max="11016" width="8.453125" style="2" customWidth="1"/>
    <col min="11017" max="11017" width="14.453125" style="2" bestFit="1" customWidth="1"/>
    <col min="11018" max="11018" width="4.453125" style="2" customWidth="1"/>
    <col min="11019" max="11019" width="14.453125" style="2" bestFit="1" customWidth="1"/>
    <col min="11020" max="11020" width="13.453125" style="2" customWidth="1"/>
    <col min="11021" max="11021" width="14.7265625" style="2" bestFit="1" customWidth="1"/>
    <col min="11022" max="11022" width="14.26953125" style="2" bestFit="1" customWidth="1"/>
    <col min="11023" max="11023" width="14.26953125" style="2" customWidth="1"/>
    <col min="11024" max="11024" width="14" style="2" bestFit="1" customWidth="1"/>
    <col min="11025" max="11025" width="11.54296875" style="2" bestFit="1" customWidth="1"/>
    <col min="11026" max="11026" width="13.81640625" style="2" bestFit="1" customWidth="1"/>
    <col min="11027" max="11264" width="11.453125" style="2"/>
    <col min="11265" max="11265" width="20.26953125" style="2" customWidth="1"/>
    <col min="11266" max="11266" width="21.7265625" style="2" customWidth="1"/>
    <col min="11267" max="11267" width="22" style="2" customWidth="1"/>
    <col min="11268" max="11268" width="17.1796875" style="2" customWidth="1"/>
    <col min="11269" max="11269" width="21.453125" style="2" customWidth="1"/>
    <col min="11270" max="11270" width="19.54296875" style="2" customWidth="1"/>
    <col min="11271" max="11271" width="14.1796875" style="2" bestFit="1" customWidth="1"/>
    <col min="11272" max="11272" width="8.453125" style="2" customWidth="1"/>
    <col min="11273" max="11273" width="14.453125" style="2" bestFit="1" customWidth="1"/>
    <col min="11274" max="11274" width="4.453125" style="2" customWidth="1"/>
    <col min="11275" max="11275" width="14.453125" style="2" bestFit="1" customWidth="1"/>
    <col min="11276" max="11276" width="13.453125" style="2" customWidth="1"/>
    <col min="11277" max="11277" width="14.7265625" style="2" bestFit="1" customWidth="1"/>
    <col min="11278" max="11278" width="14.26953125" style="2" bestFit="1" customWidth="1"/>
    <col min="11279" max="11279" width="14.26953125" style="2" customWidth="1"/>
    <col min="11280" max="11280" width="14" style="2" bestFit="1" customWidth="1"/>
    <col min="11281" max="11281" width="11.54296875" style="2" bestFit="1" customWidth="1"/>
    <col min="11282" max="11282" width="13.81640625" style="2" bestFit="1" customWidth="1"/>
    <col min="11283" max="11520" width="11.453125" style="2"/>
    <col min="11521" max="11521" width="20.26953125" style="2" customWidth="1"/>
    <col min="11522" max="11522" width="21.7265625" style="2" customWidth="1"/>
    <col min="11523" max="11523" width="22" style="2" customWidth="1"/>
    <col min="11524" max="11524" width="17.1796875" style="2" customWidth="1"/>
    <col min="11525" max="11525" width="21.453125" style="2" customWidth="1"/>
    <col min="11526" max="11526" width="19.54296875" style="2" customWidth="1"/>
    <col min="11527" max="11527" width="14.1796875" style="2" bestFit="1" customWidth="1"/>
    <col min="11528" max="11528" width="8.453125" style="2" customWidth="1"/>
    <col min="11529" max="11529" width="14.453125" style="2" bestFit="1" customWidth="1"/>
    <col min="11530" max="11530" width="4.453125" style="2" customWidth="1"/>
    <col min="11531" max="11531" width="14.453125" style="2" bestFit="1" customWidth="1"/>
    <col min="11532" max="11532" width="13.453125" style="2" customWidth="1"/>
    <col min="11533" max="11533" width="14.7265625" style="2" bestFit="1" customWidth="1"/>
    <col min="11534" max="11534" width="14.26953125" style="2" bestFit="1" customWidth="1"/>
    <col min="11535" max="11535" width="14.26953125" style="2" customWidth="1"/>
    <col min="11536" max="11536" width="14" style="2" bestFit="1" customWidth="1"/>
    <col min="11537" max="11537" width="11.54296875" style="2" bestFit="1" customWidth="1"/>
    <col min="11538" max="11538" width="13.81640625" style="2" bestFit="1" customWidth="1"/>
    <col min="11539" max="11776" width="11.453125" style="2"/>
    <col min="11777" max="11777" width="20.26953125" style="2" customWidth="1"/>
    <col min="11778" max="11778" width="21.7265625" style="2" customWidth="1"/>
    <col min="11779" max="11779" width="22" style="2" customWidth="1"/>
    <col min="11780" max="11780" width="17.1796875" style="2" customWidth="1"/>
    <col min="11781" max="11781" width="21.453125" style="2" customWidth="1"/>
    <col min="11782" max="11782" width="19.54296875" style="2" customWidth="1"/>
    <col min="11783" max="11783" width="14.1796875" style="2" bestFit="1" customWidth="1"/>
    <col min="11784" max="11784" width="8.453125" style="2" customWidth="1"/>
    <col min="11785" max="11785" width="14.453125" style="2" bestFit="1" customWidth="1"/>
    <col min="11786" max="11786" width="4.453125" style="2" customWidth="1"/>
    <col min="11787" max="11787" width="14.453125" style="2" bestFit="1" customWidth="1"/>
    <col min="11788" max="11788" width="13.453125" style="2" customWidth="1"/>
    <col min="11789" max="11789" width="14.7265625" style="2" bestFit="1" customWidth="1"/>
    <col min="11790" max="11790" width="14.26953125" style="2" bestFit="1" customWidth="1"/>
    <col min="11791" max="11791" width="14.26953125" style="2" customWidth="1"/>
    <col min="11792" max="11792" width="14" style="2" bestFit="1" customWidth="1"/>
    <col min="11793" max="11793" width="11.54296875" style="2" bestFit="1" customWidth="1"/>
    <col min="11794" max="11794" width="13.81640625" style="2" bestFit="1" customWidth="1"/>
    <col min="11795" max="12032" width="11.453125" style="2"/>
    <col min="12033" max="12033" width="20.26953125" style="2" customWidth="1"/>
    <col min="12034" max="12034" width="21.7265625" style="2" customWidth="1"/>
    <col min="12035" max="12035" width="22" style="2" customWidth="1"/>
    <col min="12036" max="12036" width="17.1796875" style="2" customWidth="1"/>
    <col min="12037" max="12037" width="21.453125" style="2" customWidth="1"/>
    <col min="12038" max="12038" width="19.54296875" style="2" customWidth="1"/>
    <col min="12039" max="12039" width="14.1796875" style="2" bestFit="1" customWidth="1"/>
    <col min="12040" max="12040" width="8.453125" style="2" customWidth="1"/>
    <col min="12041" max="12041" width="14.453125" style="2" bestFit="1" customWidth="1"/>
    <col min="12042" max="12042" width="4.453125" style="2" customWidth="1"/>
    <col min="12043" max="12043" width="14.453125" style="2" bestFit="1" customWidth="1"/>
    <col min="12044" max="12044" width="13.453125" style="2" customWidth="1"/>
    <col min="12045" max="12045" width="14.7265625" style="2" bestFit="1" customWidth="1"/>
    <col min="12046" max="12046" width="14.26953125" style="2" bestFit="1" customWidth="1"/>
    <col min="12047" max="12047" width="14.26953125" style="2" customWidth="1"/>
    <col min="12048" max="12048" width="14" style="2" bestFit="1" customWidth="1"/>
    <col min="12049" max="12049" width="11.54296875" style="2" bestFit="1" customWidth="1"/>
    <col min="12050" max="12050" width="13.81640625" style="2" bestFit="1" customWidth="1"/>
    <col min="12051" max="12288" width="11.453125" style="2"/>
    <col min="12289" max="12289" width="20.26953125" style="2" customWidth="1"/>
    <col min="12290" max="12290" width="21.7265625" style="2" customWidth="1"/>
    <col min="12291" max="12291" width="22" style="2" customWidth="1"/>
    <col min="12292" max="12292" width="17.1796875" style="2" customWidth="1"/>
    <col min="12293" max="12293" width="21.453125" style="2" customWidth="1"/>
    <col min="12294" max="12294" width="19.54296875" style="2" customWidth="1"/>
    <col min="12295" max="12295" width="14.1796875" style="2" bestFit="1" customWidth="1"/>
    <col min="12296" max="12296" width="8.453125" style="2" customWidth="1"/>
    <col min="12297" max="12297" width="14.453125" style="2" bestFit="1" customWidth="1"/>
    <col min="12298" max="12298" width="4.453125" style="2" customWidth="1"/>
    <col min="12299" max="12299" width="14.453125" style="2" bestFit="1" customWidth="1"/>
    <col min="12300" max="12300" width="13.453125" style="2" customWidth="1"/>
    <col min="12301" max="12301" width="14.7265625" style="2" bestFit="1" customWidth="1"/>
    <col min="12302" max="12302" width="14.26953125" style="2" bestFit="1" customWidth="1"/>
    <col min="12303" max="12303" width="14.26953125" style="2" customWidth="1"/>
    <col min="12304" max="12304" width="14" style="2" bestFit="1" customWidth="1"/>
    <col min="12305" max="12305" width="11.54296875" style="2" bestFit="1" customWidth="1"/>
    <col min="12306" max="12306" width="13.81640625" style="2" bestFit="1" customWidth="1"/>
    <col min="12307" max="12544" width="11.453125" style="2"/>
    <col min="12545" max="12545" width="20.26953125" style="2" customWidth="1"/>
    <col min="12546" max="12546" width="21.7265625" style="2" customWidth="1"/>
    <col min="12547" max="12547" width="22" style="2" customWidth="1"/>
    <col min="12548" max="12548" width="17.1796875" style="2" customWidth="1"/>
    <col min="12549" max="12549" width="21.453125" style="2" customWidth="1"/>
    <col min="12550" max="12550" width="19.54296875" style="2" customWidth="1"/>
    <col min="12551" max="12551" width="14.1796875" style="2" bestFit="1" customWidth="1"/>
    <col min="12552" max="12552" width="8.453125" style="2" customWidth="1"/>
    <col min="12553" max="12553" width="14.453125" style="2" bestFit="1" customWidth="1"/>
    <col min="12554" max="12554" width="4.453125" style="2" customWidth="1"/>
    <col min="12555" max="12555" width="14.453125" style="2" bestFit="1" customWidth="1"/>
    <col min="12556" max="12556" width="13.453125" style="2" customWidth="1"/>
    <col min="12557" max="12557" width="14.7265625" style="2" bestFit="1" customWidth="1"/>
    <col min="12558" max="12558" width="14.26953125" style="2" bestFit="1" customWidth="1"/>
    <col min="12559" max="12559" width="14.26953125" style="2" customWidth="1"/>
    <col min="12560" max="12560" width="14" style="2" bestFit="1" customWidth="1"/>
    <col min="12561" max="12561" width="11.54296875" style="2" bestFit="1" customWidth="1"/>
    <col min="12562" max="12562" width="13.81640625" style="2" bestFit="1" customWidth="1"/>
    <col min="12563" max="12800" width="11.453125" style="2"/>
    <col min="12801" max="12801" width="20.26953125" style="2" customWidth="1"/>
    <col min="12802" max="12802" width="21.7265625" style="2" customWidth="1"/>
    <col min="12803" max="12803" width="22" style="2" customWidth="1"/>
    <col min="12804" max="12804" width="17.1796875" style="2" customWidth="1"/>
    <col min="12805" max="12805" width="21.453125" style="2" customWidth="1"/>
    <col min="12806" max="12806" width="19.54296875" style="2" customWidth="1"/>
    <col min="12807" max="12807" width="14.1796875" style="2" bestFit="1" customWidth="1"/>
    <col min="12808" max="12808" width="8.453125" style="2" customWidth="1"/>
    <col min="12809" max="12809" width="14.453125" style="2" bestFit="1" customWidth="1"/>
    <col min="12810" max="12810" width="4.453125" style="2" customWidth="1"/>
    <col min="12811" max="12811" width="14.453125" style="2" bestFit="1" customWidth="1"/>
    <col min="12812" max="12812" width="13.453125" style="2" customWidth="1"/>
    <col min="12813" max="12813" width="14.7265625" style="2" bestFit="1" customWidth="1"/>
    <col min="12814" max="12814" width="14.26953125" style="2" bestFit="1" customWidth="1"/>
    <col min="12815" max="12815" width="14.26953125" style="2" customWidth="1"/>
    <col min="12816" max="12816" width="14" style="2" bestFit="1" customWidth="1"/>
    <col min="12817" max="12817" width="11.54296875" style="2" bestFit="1" customWidth="1"/>
    <col min="12818" max="12818" width="13.81640625" style="2" bestFit="1" customWidth="1"/>
    <col min="12819" max="13056" width="11.453125" style="2"/>
    <col min="13057" max="13057" width="20.26953125" style="2" customWidth="1"/>
    <col min="13058" max="13058" width="21.7265625" style="2" customWidth="1"/>
    <col min="13059" max="13059" width="22" style="2" customWidth="1"/>
    <col min="13060" max="13060" width="17.1796875" style="2" customWidth="1"/>
    <col min="13061" max="13061" width="21.453125" style="2" customWidth="1"/>
    <col min="13062" max="13062" width="19.54296875" style="2" customWidth="1"/>
    <col min="13063" max="13063" width="14.1796875" style="2" bestFit="1" customWidth="1"/>
    <col min="13064" max="13064" width="8.453125" style="2" customWidth="1"/>
    <col min="13065" max="13065" width="14.453125" style="2" bestFit="1" customWidth="1"/>
    <col min="13066" max="13066" width="4.453125" style="2" customWidth="1"/>
    <col min="13067" max="13067" width="14.453125" style="2" bestFit="1" customWidth="1"/>
    <col min="13068" max="13068" width="13.453125" style="2" customWidth="1"/>
    <col min="13069" max="13069" width="14.7265625" style="2" bestFit="1" customWidth="1"/>
    <col min="13070" max="13070" width="14.26953125" style="2" bestFit="1" customWidth="1"/>
    <col min="13071" max="13071" width="14.26953125" style="2" customWidth="1"/>
    <col min="13072" max="13072" width="14" style="2" bestFit="1" customWidth="1"/>
    <col min="13073" max="13073" width="11.54296875" style="2" bestFit="1" customWidth="1"/>
    <col min="13074" max="13074" width="13.81640625" style="2" bestFit="1" customWidth="1"/>
    <col min="13075" max="13312" width="11.453125" style="2"/>
    <col min="13313" max="13313" width="20.26953125" style="2" customWidth="1"/>
    <col min="13314" max="13314" width="21.7265625" style="2" customWidth="1"/>
    <col min="13315" max="13315" width="22" style="2" customWidth="1"/>
    <col min="13316" max="13316" width="17.1796875" style="2" customWidth="1"/>
    <col min="13317" max="13317" width="21.453125" style="2" customWidth="1"/>
    <col min="13318" max="13318" width="19.54296875" style="2" customWidth="1"/>
    <col min="13319" max="13319" width="14.1796875" style="2" bestFit="1" customWidth="1"/>
    <col min="13320" max="13320" width="8.453125" style="2" customWidth="1"/>
    <col min="13321" max="13321" width="14.453125" style="2" bestFit="1" customWidth="1"/>
    <col min="13322" max="13322" width="4.453125" style="2" customWidth="1"/>
    <col min="13323" max="13323" width="14.453125" style="2" bestFit="1" customWidth="1"/>
    <col min="13324" max="13324" width="13.453125" style="2" customWidth="1"/>
    <col min="13325" max="13325" width="14.7265625" style="2" bestFit="1" customWidth="1"/>
    <col min="13326" max="13326" width="14.26953125" style="2" bestFit="1" customWidth="1"/>
    <col min="13327" max="13327" width="14.26953125" style="2" customWidth="1"/>
    <col min="13328" max="13328" width="14" style="2" bestFit="1" customWidth="1"/>
    <col min="13329" max="13329" width="11.54296875" style="2" bestFit="1" customWidth="1"/>
    <col min="13330" max="13330" width="13.81640625" style="2" bestFit="1" customWidth="1"/>
    <col min="13331" max="13568" width="11.453125" style="2"/>
    <col min="13569" max="13569" width="20.26953125" style="2" customWidth="1"/>
    <col min="13570" max="13570" width="21.7265625" style="2" customWidth="1"/>
    <col min="13571" max="13571" width="22" style="2" customWidth="1"/>
    <col min="13572" max="13572" width="17.1796875" style="2" customWidth="1"/>
    <col min="13573" max="13573" width="21.453125" style="2" customWidth="1"/>
    <col min="13574" max="13574" width="19.54296875" style="2" customWidth="1"/>
    <col min="13575" max="13575" width="14.1796875" style="2" bestFit="1" customWidth="1"/>
    <col min="13576" max="13576" width="8.453125" style="2" customWidth="1"/>
    <col min="13577" max="13577" width="14.453125" style="2" bestFit="1" customWidth="1"/>
    <col min="13578" max="13578" width="4.453125" style="2" customWidth="1"/>
    <col min="13579" max="13579" width="14.453125" style="2" bestFit="1" customWidth="1"/>
    <col min="13580" max="13580" width="13.453125" style="2" customWidth="1"/>
    <col min="13581" max="13581" width="14.7265625" style="2" bestFit="1" customWidth="1"/>
    <col min="13582" max="13582" width="14.26953125" style="2" bestFit="1" customWidth="1"/>
    <col min="13583" max="13583" width="14.26953125" style="2" customWidth="1"/>
    <col min="13584" max="13584" width="14" style="2" bestFit="1" customWidth="1"/>
    <col min="13585" max="13585" width="11.54296875" style="2" bestFit="1" customWidth="1"/>
    <col min="13586" max="13586" width="13.81640625" style="2" bestFit="1" customWidth="1"/>
    <col min="13587" max="13824" width="11.453125" style="2"/>
    <col min="13825" max="13825" width="20.26953125" style="2" customWidth="1"/>
    <col min="13826" max="13826" width="21.7265625" style="2" customWidth="1"/>
    <col min="13827" max="13827" width="22" style="2" customWidth="1"/>
    <col min="13828" max="13828" width="17.1796875" style="2" customWidth="1"/>
    <col min="13829" max="13829" width="21.453125" style="2" customWidth="1"/>
    <col min="13830" max="13830" width="19.54296875" style="2" customWidth="1"/>
    <col min="13831" max="13831" width="14.1796875" style="2" bestFit="1" customWidth="1"/>
    <col min="13832" max="13832" width="8.453125" style="2" customWidth="1"/>
    <col min="13833" max="13833" width="14.453125" style="2" bestFit="1" customWidth="1"/>
    <col min="13834" max="13834" width="4.453125" style="2" customWidth="1"/>
    <col min="13835" max="13835" width="14.453125" style="2" bestFit="1" customWidth="1"/>
    <col min="13836" max="13836" width="13.453125" style="2" customWidth="1"/>
    <col min="13837" max="13837" width="14.7265625" style="2" bestFit="1" customWidth="1"/>
    <col min="13838" max="13838" width="14.26953125" style="2" bestFit="1" customWidth="1"/>
    <col min="13839" max="13839" width="14.26953125" style="2" customWidth="1"/>
    <col min="13840" max="13840" width="14" style="2" bestFit="1" customWidth="1"/>
    <col min="13841" max="13841" width="11.54296875" style="2" bestFit="1" customWidth="1"/>
    <col min="13842" max="13842" width="13.81640625" style="2" bestFit="1" customWidth="1"/>
    <col min="13843" max="14080" width="11.453125" style="2"/>
    <col min="14081" max="14081" width="20.26953125" style="2" customWidth="1"/>
    <col min="14082" max="14082" width="21.7265625" style="2" customWidth="1"/>
    <col min="14083" max="14083" width="22" style="2" customWidth="1"/>
    <col min="14084" max="14084" width="17.1796875" style="2" customWidth="1"/>
    <col min="14085" max="14085" width="21.453125" style="2" customWidth="1"/>
    <col min="14086" max="14086" width="19.54296875" style="2" customWidth="1"/>
    <col min="14087" max="14087" width="14.1796875" style="2" bestFit="1" customWidth="1"/>
    <col min="14088" max="14088" width="8.453125" style="2" customWidth="1"/>
    <col min="14089" max="14089" width="14.453125" style="2" bestFit="1" customWidth="1"/>
    <col min="14090" max="14090" width="4.453125" style="2" customWidth="1"/>
    <col min="14091" max="14091" width="14.453125" style="2" bestFit="1" customWidth="1"/>
    <col min="14092" max="14092" width="13.453125" style="2" customWidth="1"/>
    <col min="14093" max="14093" width="14.7265625" style="2" bestFit="1" customWidth="1"/>
    <col min="14094" max="14094" width="14.26953125" style="2" bestFit="1" customWidth="1"/>
    <col min="14095" max="14095" width="14.26953125" style="2" customWidth="1"/>
    <col min="14096" max="14096" width="14" style="2" bestFit="1" customWidth="1"/>
    <col min="14097" max="14097" width="11.54296875" style="2" bestFit="1" customWidth="1"/>
    <col min="14098" max="14098" width="13.81640625" style="2" bestFit="1" customWidth="1"/>
    <col min="14099" max="14336" width="11.453125" style="2"/>
    <col min="14337" max="14337" width="20.26953125" style="2" customWidth="1"/>
    <col min="14338" max="14338" width="21.7265625" style="2" customWidth="1"/>
    <col min="14339" max="14339" width="22" style="2" customWidth="1"/>
    <col min="14340" max="14340" width="17.1796875" style="2" customWidth="1"/>
    <col min="14341" max="14341" width="21.453125" style="2" customWidth="1"/>
    <col min="14342" max="14342" width="19.54296875" style="2" customWidth="1"/>
    <col min="14343" max="14343" width="14.1796875" style="2" bestFit="1" customWidth="1"/>
    <col min="14344" max="14344" width="8.453125" style="2" customWidth="1"/>
    <col min="14345" max="14345" width="14.453125" style="2" bestFit="1" customWidth="1"/>
    <col min="14346" max="14346" width="4.453125" style="2" customWidth="1"/>
    <col min="14347" max="14347" width="14.453125" style="2" bestFit="1" customWidth="1"/>
    <col min="14348" max="14348" width="13.453125" style="2" customWidth="1"/>
    <col min="14349" max="14349" width="14.7265625" style="2" bestFit="1" customWidth="1"/>
    <col min="14350" max="14350" width="14.26953125" style="2" bestFit="1" customWidth="1"/>
    <col min="14351" max="14351" width="14.26953125" style="2" customWidth="1"/>
    <col min="14352" max="14352" width="14" style="2" bestFit="1" customWidth="1"/>
    <col min="14353" max="14353" width="11.54296875" style="2" bestFit="1" customWidth="1"/>
    <col min="14354" max="14354" width="13.81640625" style="2" bestFit="1" customWidth="1"/>
    <col min="14355" max="14592" width="11.453125" style="2"/>
    <col min="14593" max="14593" width="20.26953125" style="2" customWidth="1"/>
    <col min="14594" max="14594" width="21.7265625" style="2" customWidth="1"/>
    <col min="14595" max="14595" width="22" style="2" customWidth="1"/>
    <col min="14596" max="14596" width="17.1796875" style="2" customWidth="1"/>
    <col min="14597" max="14597" width="21.453125" style="2" customWidth="1"/>
    <col min="14598" max="14598" width="19.54296875" style="2" customWidth="1"/>
    <col min="14599" max="14599" width="14.1796875" style="2" bestFit="1" customWidth="1"/>
    <col min="14600" max="14600" width="8.453125" style="2" customWidth="1"/>
    <col min="14601" max="14601" width="14.453125" style="2" bestFit="1" customWidth="1"/>
    <col min="14602" max="14602" width="4.453125" style="2" customWidth="1"/>
    <col min="14603" max="14603" width="14.453125" style="2" bestFit="1" customWidth="1"/>
    <col min="14604" max="14604" width="13.453125" style="2" customWidth="1"/>
    <col min="14605" max="14605" width="14.7265625" style="2" bestFit="1" customWidth="1"/>
    <col min="14606" max="14606" width="14.26953125" style="2" bestFit="1" customWidth="1"/>
    <col min="14607" max="14607" width="14.26953125" style="2" customWidth="1"/>
    <col min="14608" max="14608" width="14" style="2" bestFit="1" customWidth="1"/>
    <col min="14609" max="14609" width="11.54296875" style="2" bestFit="1" customWidth="1"/>
    <col min="14610" max="14610" width="13.81640625" style="2" bestFit="1" customWidth="1"/>
    <col min="14611" max="14848" width="11.453125" style="2"/>
    <col min="14849" max="14849" width="20.26953125" style="2" customWidth="1"/>
    <col min="14850" max="14850" width="21.7265625" style="2" customWidth="1"/>
    <col min="14851" max="14851" width="22" style="2" customWidth="1"/>
    <col min="14852" max="14852" width="17.1796875" style="2" customWidth="1"/>
    <col min="14853" max="14853" width="21.453125" style="2" customWidth="1"/>
    <col min="14854" max="14854" width="19.54296875" style="2" customWidth="1"/>
    <col min="14855" max="14855" width="14.1796875" style="2" bestFit="1" customWidth="1"/>
    <col min="14856" max="14856" width="8.453125" style="2" customWidth="1"/>
    <col min="14857" max="14857" width="14.453125" style="2" bestFit="1" customWidth="1"/>
    <col min="14858" max="14858" width="4.453125" style="2" customWidth="1"/>
    <col min="14859" max="14859" width="14.453125" style="2" bestFit="1" customWidth="1"/>
    <col min="14860" max="14860" width="13.453125" style="2" customWidth="1"/>
    <col min="14861" max="14861" width="14.7265625" style="2" bestFit="1" customWidth="1"/>
    <col min="14862" max="14862" width="14.26953125" style="2" bestFit="1" customWidth="1"/>
    <col min="14863" max="14863" width="14.26953125" style="2" customWidth="1"/>
    <col min="14864" max="14864" width="14" style="2" bestFit="1" customWidth="1"/>
    <col min="14865" max="14865" width="11.54296875" style="2" bestFit="1" customWidth="1"/>
    <col min="14866" max="14866" width="13.81640625" style="2" bestFit="1" customWidth="1"/>
    <col min="14867" max="15104" width="11.453125" style="2"/>
    <col min="15105" max="15105" width="20.26953125" style="2" customWidth="1"/>
    <col min="15106" max="15106" width="21.7265625" style="2" customWidth="1"/>
    <col min="15107" max="15107" width="22" style="2" customWidth="1"/>
    <col min="15108" max="15108" width="17.1796875" style="2" customWidth="1"/>
    <col min="15109" max="15109" width="21.453125" style="2" customWidth="1"/>
    <col min="15110" max="15110" width="19.54296875" style="2" customWidth="1"/>
    <col min="15111" max="15111" width="14.1796875" style="2" bestFit="1" customWidth="1"/>
    <col min="15112" max="15112" width="8.453125" style="2" customWidth="1"/>
    <col min="15113" max="15113" width="14.453125" style="2" bestFit="1" customWidth="1"/>
    <col min="15114" max="15114" width="4.453125" style="2" customWidth="1"/>
    <col min="15115" max="15115" width="14.453125" style="2" bestFit="1" customWidth="1"/>
    <col min="15116" max="15116" width="13.453125" style="2" customWidth="1"/>
    <col min="15117" max="15117" width="14.7265625" style="2" bestFit="1" customWidth="1"/>
    <col min="15118" max="15118" width="14.26953125" style="2" bestFit="1" customWidth="1"/>
    <col min="15119" max="15119" width="14.26953125" style="2" customWidth="1"/>
    <col min="15120" max="15120" width="14" style="2" bestFit="1" customWidth="1"/>
    <col min="15121" max="15121" width="11.54296875" style="2" bestFit="1" customWidth="1"/>
    <col min="15122" max="15122" width="13.81640625" style="2" bestFit="1" customWidth="1"/>
    <col min="15123" max="15360" width="11.453125" style="2"/>
    <col min="15361" max="15361" width="20.26953125" style="2" customWidth="1"/>
    <col min="15362" max="15362" width="21.7265625" style="2" customWidth="1"/>
    <col min="15363" max="15363" width="22" style="2" customWidth="1"/>
    <col min="15364" max="15364" width="17.1796875" style="2" customWidth="1"/>
    <col min="15365" max="15365" width="21.453125" style="2" customWidth="1"/>
    <col min="15366" max="15366" width="19.54296875" style="2" customWidth="1"/>
    <col min="15367" max="15367" width="14.1796875" style="2" bestFit="1" customWidth="1"/>
    <col min="15368" max="15368" width="8.453125" style="2" customWidth="1"/>
    <col min="15369" max="15369" width="14.453125" style="2" bestFit="1" customWidth="1"/>
    <col min="15370" max="15370" width="4.453125" style="2" customWidth="1"/>
    <col min="15371" max="15371" width="14.453125" style="2" bestFit="1" customWidth="1"/>
    <col min="15372" max="15372" width="13.453125" style="2" customWidth="1"/>
    <col min="15373" max="15373" width="14.7265625" style="2" bestFit="1" customWidth="1"/>
    <col min="15374" max="15374" width="14.26953125" style="2" bestFit="1" customWidth="1"/>
    <col min="15375" max="15375" width="14.26953125" style="2" customWidth="1"/>
    <col min="15376" max="15376" width="14" style="2" bestFit="1" customWidth="1"/>
    <col min="15377" max="15377" width="11.54296875" style="2" bestFit="1" customWidth="1"/>
    <col min="15378" max="15378" width="13.81640625" style="2" bestFit="1" customWidth="1"/>
    <col min="15379" max="15616" width="11.453125" style="2"/>
    <col min="15617" max="15617" width="20.26953125" style="2" customWidth="1"/>
    <col min="15618" max="15618" width="21.7265625" style="2" customWidth="1"/>
    <col min="15619" max="15619" width="22" style="2" customWidth="1"/>
    <col min="15620" max="15620" width="17.1796875" style="2" customWidth="1"/>
    <col min="15621" max="15621" width="21.453125" style="2" customWidth="1"/>
    <col min="15622" max="15622" width="19.54296875" style="2" customWidth="1"/>
    <col min="15623" max="15623" width="14.1796875" style="2" bestFit="1" customWidth="1"/>
    <col min="15624" max="15624" width="8.453125" style="2" customWidth="1"/>
    <col min="15625" max="15625" width="14.453125" style="2" bestFit="1" customWidth="1"/>
    <col min="15626" max="15626" width="4.453125" style="2" customWidth="1"/>
    <col min="15627" max="15627" width="14.453125" style="2" bestFit="1" customWidth="1"/>
    <col min="15628" max="15628" width="13.453125" style="2" customWidth="1"/>
    <col min="15629" max="15629" width="14.7265625" style="2" bestFit="1" customWidth="1"/>
    <col min="15630" max="15630" width="14.26953125" style="2" bestFit="1" customWidth="1"/>
    <col min="15631" max="15631" width="14.26953125" style="2" customWidth="1"/>
    <col min="15632" max="15632" width="14" style="2" bestFit="1" customWidth="1"/>
    <col min="15633" max="15633" width="11.54296875" style="2" bestFit="1" customWidth="1"/>
    <col min="15634" max="15634" width="13.81640625" style="2" bestFit="1" customWidth="1"/>
    <col min="15635" max="15872" width="11.453125" style="2"/>
    <col min="15873" max="15873" width="20.26953125" style="2" customWidth="1"/>
    <col min="15874" max="15874" width="21.7265625" style="2" customWidth="1"/>
    <col min="15875" max="15875" width="22" style="2" customWidth="1"/>
    <col min="15876" max="15876" width="17.1796875" style="2" customWidth="1"/>
    <col min="15877" max="15877" width="21.453125" style="2" customWidth="1"/>
    <col min="15878" max="15878" width="19.54296875" style="2" customWidth="1"/>
    <col min="15879" max="15879" width="14.1796875" style="2" bestFit="1" customWidth="1"/>
    <col min="15880" max="15880" width="8.453125" style="2" customWidth="1"/>
    <col min="15881" max="15881" width="14.453125" style="2" bestFit="1" customWidth="1"/>
    <col min="15882" max="15882" width="4.453125" style="2" customWidth="1"/>
    <col min="15883" max="15883" width="14.453125" style="2" bestFit="1" customWidth="1"/>
    <col min="15884" max="15884" width="13.453125" style="2" customWidth="1"/>
    <col min="15885" max="15885" width="14.7265625" style="2" bestFit="1" customWidth="1"/>
    <col min="15886" max="15886" width="14.26953125" style="2" bestFit="1" customWidth="1"/>
    <col min="15887" max="15887" width="14.26953125" style="2" customWidth="1"/>
    <col min="15888" max="15888" width="14" style="2" bestFit="1" customWidth="1"/>
    <col min="15889" max="15889" width="11.54296875" style="2" bestFit="1" customWidth="1"/>
    <col min="15890" max="15890" width="13.81640625" style="2" bestFit="1" customWidth="1"/>
    <col min="15891" max="16128" width="11.453125" style="2"/>
    <col min="16129" max="16129" width="20.26953125" style="2" customWidth="1"/>
    <col min="16130" max="16130" width="21.7265625" style="2" customWidth="1"/>
    <col min="16131" max="16131" width="22" style="2" customWidth="1"/>
    <col min="16132" max="16132" width="17.1796875" style="2" customWidth="1"/>
    <col min="16133" max="16133" width="21.453125" style="2" customWidth="1"/>
    <col min="16134" max="16134" width="19.54296875" style="2" customWidth="1"/>
    <col min="16135" max="16135" width="14.1796875" style="2" bestFit="1" customWidth="1"/>
    <col min="16136" max="16136" width="8.453125" style="2" customWidth="1"/>
    <col min="16137" max="16137" width="14.453125" style="2" bestFit="1" customWidth="1"/>
    <col min="16138" max="16138" width="4.453125" style="2" customWidth="1"/>
    <col min="16139" max="16139" width="14.453125" style="2" bestFit="1" customWidth="1"/>
    <col min="16140" max="16140" width="13.453125" style="2" customWidth="1"/>
    <col min="16141" max="16141" width="14.7265625" style="2" bestFit="1" customWidth="1"/>
    <col min="16142" max="16142" width="14.26953125" style="2" bestFit="1" customWidth="1"/>
    <col min="16143" max="16143" width="14.26953125" style="2" customWidth="1"/>
    <col min="16144" max="16144" width="14" style="2" bestFit="1" customWidth="1"/>
    <col min="16145" max="16145" width="11.54296875" style="2" bestFit="1" customWidth="1"/>
    <col min="16146" max="16146" width="13.81640625" style="2" bestFit="1" customWidth="1"/>
    <col min="16147" max="16384" width="11.453125" style="2"/>
  </cols>
  <sheetData>
    <row r="1" spans="1:29" s="9" customFormat="1" ht="8.25" customHeight="1" thickBot="1" x14ac:dyDescent="0.35">
      <c r="A1" s="64"/>
      <c r="B1" s="65"/>
      <c r="C1" s="64"/>
      <c r="D1" s="66"/>
      <c r="E1" s="2"/>
      <c r="F1" s="2"/>
      <c r="G1" s="67"/>
      <c r="H1" s="67"/>
      <c r="I1" s="67"/>
      <c r="J1" s="67"/>
      <c r="K1" s="68"/>
      <c r="L1" s="69"/>
      <c r="M1" s="69"/>
      <c r="N1" s="6"/>
      <c r="O1" s="6"/>
      <c r="P1" s="70"/>
      <c r="W1" s="71"/>
      <c r="X1" s="71"/>
      <c r="Y1" s="71"/>
      <c r="Z1" s="71"/>
      <c r="AA1" s="71"/>
      <c r="AB1" s="71"/>
    </row>
    <row r="2" spans="1:29" ht="31.5" customHeight="1" thickBot="1" x14ac:dyDescent="0.35">
      <c r="A2" s="387" t="s">
        <v>131</v>
      </c>
      <c r="B2" s="388"/>
      <c r="C2" s="388"/>
      <c r="D2" s="388"/>
      <c r="E2" s="389"/>
      <c r="F2" s="72"/>
      <c r="G2" s="338" t="s">
        <v>16</v>
      </c>
      <c r="H2" s="74">
        <v>0.95</v>
      </c>
      <c r="I2" s="72"/>
      <c r="J2" s="75"/>
      <c r="K2" s="68"/>
      <c r="L2" s="76"/>
      <c r="M2" s="76"/>
      <c r="N2" s="77"/>
      <c r="O2" s="77"/>
      <c r="P2" s="78"/>
      <c r="Q2" s="108" t="s">
        <v>180</v>
      </c>
      <c r="R2" s="6"/>
      <c r="S2" s="370" t="s">
        <v>135</v>
      </c>
      <c r="T2" s="369" t="s">
        <v>133</v>
      </c>
      <c r="U2" s="368" t="s">
        <v>134</v>
      </c>
      <c r="V2" s="71"/>
      <c r="W2" s="8"/>
      <c r="X2" s="8"/>
      <c r="Y2" s="8"/>
      <c r="Z2" s="8"/>
      <c r="AA2" s="8"/>
      <c r="AB2" s="8"/>
      <c r="AC2" s="8"/>
    </row>
    <row r="3" spans="1:29" ht="27.75" customHeight="1" thickBot="1" x14ac:dyDescent="0.35">
      <c r="A3" s="462" t="s">
        <v>147</v>
      </c>
      <c r="B3" s="463"/>
      <c r="C3" s="463"/>
      <c r="D3" s="463"/>
      <c r="E3" s="464"/>
      <c r="F3" s="79"/>
      <c r="J3" s="75"/>
      <c r="K3" s="68"/>
      <c r="L3" s="76"/>
      <c r="M3" s="76"/>
      <c r="N3" s="77"/>
      <c r="O3" s="77"/>
      <c r="P3" s="78"/>
      <c r="Q3" s="494" t="s">
        <v>11</v>
      </c>
      <c r="R3" s="371">
        <f>U3+T3+S3</f>
        <v>-61.80528397776115</v>
      </c>
      <c r="S3" s="413">
        <f>I32</f>
        <v>-3.5351198897068756</v>
      </c>
      <c r="T3" s="414">
        <f>I31</f>
        <v>1</v>
      </c>
      <c r="U3" s="415">
        <f>I30</f>
        <v>-59.270164088054273</v>
      </c>
      <c r="V3" s="77"/>
      <c r="W3" s="8"/>
      <c r="X3" s="8"/>
      <c r="Y3" s="8"/>
      <c r="Z3" s="8"/>
      <c r="AA3" s="8"/>
      <c r="AB3" s="8"/>
      <c r="AC3" s="8"/>
    </row>
    <row r="4" spans="1:29" ht="14.25" customHeight="1" x14ac:dyDescent="0.7">
      <c r="A4" s="80"/>
      <c r="B4" s="81"/>
      <c r="C4" s="69"/>
      <c r="D4" s="69"/>
      <c r="E4" s="7"/>
      <c r="F4" s="386" t="s">
        <v>126</v>
      </c>
      <c r="G4" s="340">
        <v>3</v>
      </c>
      <c r="H4" s="385" t="s">
        <v>145</v>
      </c>
      <c r="J4" s="82"/>
      <c r="K4" s="83"/>
      <c r="N4" s="77"/>
      <c r="O4" s="416"/>
      <c r="P4" s="84"/>
      <c r="Q4" s="5"/>
      <c r="R4" s="77"/>
      <c r="S4" s="77"/>
      <c r="T4" s="77"/>
      <c r="U4" s="77"/>
      <c r="V4" s="77"/>
      <c r="W4" s="8"/>
      <c r="X4" s="85"/>
      <c r="Y4" s="86"/>
      <c r="Z4" s="8"/>
      <c r="AA4" s="8"/>
      <c r="AB4" s="8"/>
      <c r="AC4" s="8"/>
    </row>
    <row r="5" spans="1:29" x14ac:dyDescent="0.3">
      <c r="A5" s="87" t="s">
        <v>17</v>
      </c>
      <c r="B5" s="88"/>
      <c r="C5" s="89" t="s">
        <v>18</v>
      </c>
      <c r="D5" s="89" t="s">
        <v>19</v>
      </c>
      <c r="E5" s="90"/>
      <c r="J5" s="91"/>
      <c r="K5" s="92"/>
      <c r="L5" s="92"/>
      <c r="M5" s="92"/>
      <c r="N5" s="77"/>
      <c r="O5" s="77"/>
      <c r="P5" s="77"/>
      <c r="Q5" s="495" t="s">
        <v>181</v>
      </c>
      <c r="R5" s="367" t="str">
        <f>H4</f>
        <v>años</v>
      </c>
      <c r="U5" s="4" t="s">
        <v>0</v>
      </c>
      <c r="V5" s="85"/>
      <c r="W5" s="8"/>
      <c r="X5" s="85"/>
      <c r="Y5" s="86"/>
      <c r="Z5" s="8"/>
      <c r="AA5" s="8"/>
      <c r="AB5" s="8"/>
      <c r="AC5" s="8"/>
    </row>
    <row r="6" spans="1:29" x14ac:dyDescent="0.3">
      <c r="A6" s="93"/>
      <c r="B6" s="94"/>
      <c r="C6" s="95" t="s">
        <v>20</v>
      </c>
      <c r="D6" s="95" t="s">
        <v>21</v>
      </c>
      <c r="E6" s="96" t="s">
        <v>22</v>
      </c>
      <c r="J6" s="91"/>
      <c r="K6" s="92"/>
      <c r="L6" s="92"/>
      <c r="M6" s="92"/>
      <c r="N6" s="77"/>
      <c r="O6" s="77"/>
      <c r="P6" s="77"/>
      <c r="Q6" s="13" t="s">
        <v>1</v>
      </c>
      <c r="R6" s="14">
        <f>R14</f>
        <v>6.1526775541207751E-2</v>
      </c>
      <c r="S6" s="15">
        <f>R6/R9</f>
        <v>2.0508925180402586E-2</v>
      </c>
      <c r="U6" s="372">
        <f>R6*365.25</f>
        <v>22.472654766426132</v>
      </c>
      <c r="V6" s="85"/>
      <c r="W6" s="8"/>
      <c r="X6" s="85"/>
      <c r="Y6" s="8"/>
      <c r="Z6" s="8"/>
      <c r="AA6" s="8"/>
      <c r="AB6" s="8"/>
      <c r="AC6" s="8"/>
    </row>
    <row r="7" spans="1:29" ht="12.75" customHeight="1" x14ac:dyDescent="0.3">
      <c r="A7" s="93"/>
      <c r="B7" s="97" t="s">
        <v>157</v>
      </c>
      <c r="C7" s="98">
        <v>149</v>
      </c>
      <c r="D7" s="99">
        <f>E7-C7</f>
        <v>2456</v>
      </c>
      <c r="E7" s="100">
        <v>2605</v>
      </c>
      <c r="H7" s="400"/>
      <c r="J7" s="91"/>
      <c r="K7" s="92"/>
      <c r="L7" s="92"/>
      <c r="M7" s="92"/>
      <c r="N7" s="77"/>
      <c r="O7" s="77"/>
      <c r="P7" s="77"/>
      <c r="Q7" s="16" t="s">
        <v>3</v>
      </c>
      <c r="R7" s="17">
        <f>Q14</f>
        <v>-2.4269769564358473E-2</v>
      </c>
      <c r="S7" s="18">
        <f>R7/R9</f>
        <v>-8.0899231881194928E-3</v>
      </c>
      <c r="U7" s="373">
        <f>R7*365.25</f>
        <v>-8.8645333333819316</v>
      </c>
      <c r="V7" s="85"/>
      <c r="W7" s="8"/>
      <c r="X7" s="85"/>
      <c r="Y7" s="8"/>
      <c r="Z7" s="8"/>
      <c r="AA7" s="8"/>
      <c r="AB7" s="8"/>
      <c r="AC7" s="8"/>
    </row>
    <row r="8" spans="1:29" ht="12.75" customHeight="1" x14ac:dyDescent="0.3">
      <c r="A8" s="93"/>
      <c r="B8" s="97" t="s">
        <v>14</v>
      </c>
      <c r="C8" s="98">
        <v>108</v>
      </c>
      <c r="D8" s="99">
        <f>E8-C8</f>
        <v>2525</v>
      </c>
      <c r="E8" s="100">
        <v>2633</v>
      </c>
      <c r="F8" s="398"/>
      <c r="G8" s="399"/>
      <c r="H8" s="400"/>
      <c r="J8" s="91"/>
      <c r="K8" s="92"/>
      <c r="L8" s="101"/>
      <c r="M8" s="92"/>
      <c r="N8" s="77"/>
      <c r="O8" s="77"/>
      <c r="P8" s="77"/>
      <c r="Q8" s="19" t="s">
        <v>2</v>
      </c>
      <c r="R8" s="20">
        <f>P14</f>
        <v>2.9627429940231504</v>
      </c>
      <c r="S8" s="21">
        <f>R8/R9</f>
        <v>0.98758099800771693</v>
      </c>
      <c r="U8" s="374">
        <f>R8*365.26</f>
        <v>1082.1715059968958</v>
      </c>
      <c r="V8" s="85"/>
      <c r="W8" s="8"/>
      <c r="X8" s="85"/>
      <c r="Y8" s="8"/>
      <c r="Z8" s="8"/>
      <c r="AA8" s="8"/>
      <c r="AB8" s="8"/>
      <c r="AC8" s="8"/>
    </row>
    <row r="9" spans="1:29" x14ac:dyDescent="0.3">
      <c r="A9" s="93"/>
      <c r="B9" s="102" t="s">
        <v>22</v>
      </c>
      <c r="C9" s="103">
        <f>SUM(C7:C8)</f>
        <v>257</v>
      </c>
      <c r="D9" s="104">
        <f>SUM(D7:D8)</f>
        <v>4981</v>
      </c>
      <c r="E9" s="105">
        <f>SUM(E7:E8)</f>
        <v>5238</v>
      </c>
      <c r="F9" s="401"/>
      <c r="G9" s="402"/>
      <c r="H9" s="403"/>
      <c r="J9" s="91"/>
      <c r="K9" s="92"/>
      <c r="L9" s="101"/>
      <c r="M9" s="92"/>
      <c r="O9" s="106"/>
      <c r="P9" s="107"/>
      <c r="R9" s="11">
        <f>SUM(R6:R8)</f>
        <v>2.9999999999999996</v>
      </c>
      <c r="U9" s="22">
        <f>SUM(U6:U8)</f>
        <v>1095.7796274299401</v>
      </c>
      <c r="V9" s="85"/>
      <c r="W9" s="8"/>
      <c r="X9" s="85"/>
      <c r="Y9" s="8"/>
      <c r="Z9" s="8"/>
      <c r="AA9" s="8"/>
      <c r="AB9" s="8"/>
      <c r="AC9" s="8"/>
    </row>
    <row r="10" spans="1:29" ht="12.75" customHeight="1" x14ac:dyDescent="0.3">
      <c r="A10" s="93"/>
      <c r="B10" s="93"/>
      <c r="C10" s="93"/>
      <c r="D10" s="93"/>
      <c r="E10" s="93"/>
      <c r="F10" s="182"/>
      <c r="G10" s="92"/>
      <c r="H10" s="91"/>
      <c r="I10" s="91"/>
      <c r="J10" s="91"/>
      <c r="K10" s="92"/>
      <c r="L10" s="101"/>
      <c r="M10" s="92"/>
      <c r="O10" s="106"/>
      <c r="P10" s="107"/>
      <c r="Q10" s="107"/>
      <c r="R10" s="107"/>
      <c r="S10" s="85"/>
      <c r="U10" s="85"/>
      <c r="V10" s="85"/>
      <c r="W10" s="8"/>
      <c r="X10" s="85"/>
      <c r="Y10" s="8"/>
      <c r="Z10" s="8"/>
      <c r="AA10" s="8"/>
      <c r="AB10" s="8"/>
      <c r="AC10" s="8"/>
    </row>
    <row r="11" spans="1:29" s="9" customFormat="1" ht="14.25" hidden="1" customHeight="1" x14ac:dyDescent="0.3">
      <c r="A11" s="108" t="s">
        <v>23</v>
      </c>
      <c r="B11" s="109"/>
      <c r="C11" s="110"/>
      <c r="D11" s="6"/>
      <c r="E11" s="111"/>
      <c r="F11" s="112"/>
      <c r="G11" s="101"/>
      <c r="H11" s="112"/>
      <c r="I11" s="101"/>
      <c r="J11" s="113"/>
      <c r="K11" s="113"/>
      <c r="L11" s="112"/>
      <c r="M11" s="113"/>
      <c r="O11" s="6"/>
      <c r="P11" s="114"/>
      <c r="Q11" s="114"/>
      <c r="R11" s="114"/>
      <c r="S11" s="6"/>
      <c r="T11" s="6"/>
      <c r="U11" s="6"/>
      <c r="V11" s="6"/>
    </row>
    <row r="12" spans="1:29" s="9" customFormat="1" ht="12.75" hidden="1" customHeight="1" x14ac:dyDescent="0.3">
      <c r="A12" s="93" t="s">
        <v>24</v>
      </c>
      <c r="B12" s="109"/>
      <c r="C12" s="110"/>
      <c r="D12" s="6"/>
      <c r="E12" s="111"/>
      <c r="F12" s="112"/>
      <c r="G12" s="101"/>
      <c r="H12" s="112"/>
      <c r="I12" s="101"/>
      <c r="J12" s="115"/>
      <c r="K12" s="113"/>
      <c r="L12" s="113"/>
      <c r="M12" s="113"/>
      <c r="N12" s="9" t="s">
        <v>123</v>
      </c>
      <c r="O12" s="6"/>
      <c r="P12" s="114"/>
      <c r="Q12" s="70"/>
      <c r="R12" s="70"/>
      <c r="S12" s="6"/>
      <c r="T12" s="6"/>
      <c r="U12" s="6"/>
      <c r="V12" s="6"/>
    </row>
    <row r="13" spans="1:29" s="9" customFormat="1" ht="45" hidden="1" customHeight="1" x14ac:dyDescent="0.3">
      <c r="A13" s="116" t="s">
        <v>25</v>
      </c>
      <c r="B13" s="116" t="s">
        <v>26</v>
      </c>
      <c r="C13" s="116" t="s">
        <v>27</v>
      </c>
      <c r="D13" s="116" t="s">
        <v>28</v>
      </c>
      <c r="E13" s="116" t="s">
        <v>29</v>
      </c>
      <c r="F13" s="116" t="s">
        <v>30</v>
      </c>
      <c r="G13" s="116" t="s">
        <v>31</v>
      </c>
      <c r="H13" s="116" t="s">
        <v>32</v>
      </c>
      <c r="I13" s="101"/>
      <c r="J13" s="117" t="s">
        <v>33</v>
      </c>
      <c r="K13" s="118" t="s">
        <v>34</v>
      </c>
      <c r="L13" s="118" t="s">
        <v>35</v>
      </c>
      <c r="M13" s="113"/>
      <c r="N13" s="339" t="s">
        <v>124</v>
      </c>
      <c r="O13" s="339" t="s">
        <v>125</v>
      </c>
      <c r="P13" s="343" t="s">
        <v>2</v>
      </c>
      <c r="Q13" s="344" t="s">
        <v>3</v>
      </c>
      <c r="R13" s="345" t="s">
        <v>1</v>
      </c>
      <c r="S13" s="6"/>
      <c r="V13" s="6"/>
    </row>
    <row r="14" spans="1:29" s="9" customFormat="1" ht="12.75" hidden="1" customHeight="1" x14ac:dyDescent="0.3">
      <c r="A14" s="119">
        <f>LN((C7/E7)/(C8/E8))</f>
        <v>0.33250628413008154</v>
      </c>
      <c r="B14" s="119">
        <f>SQRT((D7/(C7*E7)+(D8/(C8*E8))))</f>
        <v>0.12331665169463205</v>
      </c>
      <c r="C14" s="120">
        <f>-NORMSINV((1-H2)/2)</f>
        <v>1.9599639845400536</v>
      </c>
      <c r="D14" s="121">
        <f>A14-(C14*B14)</f>
        <v>9.0810088114532561E-2</v>
      </c>
      <c r="E14" s="122">
        <f>A14+(C14*B14)</f>
        <v>0.57420248014563047</v>
      </c>
      <c r="F14" s="123">
        <f>(C7/E7)/(C8/E8)</f>
        <v>1.3944586621170114</v>
      </c>
      <c r="G14" s="123">
        <f>EXP(D14)</f>
        <v>1.0950610204066056</v>
      </c>
      <c r="H14" s="123">
        <f>EXP(E14)</f>
        <v>1.775713795046006</v>
      </c>
      <c r="I14" s="101"/>
      <c r="J14" s="124">
        <f>1-F14</f>
        <v>-0.39445866211701142</v>
      </c>
      <c r="K14" s="123">
        <f>1-G14</f>
        <v>-9.5061020406605579E-2</v>
      </c>
      <c r="L14" s="123">
        <f>1-H14</f>
        <v>-0.77571379504600602</v>
      </c>
      <c r="M14" s="125"/>
      <c r="N14" s="341">
        <f>(C7/E7)*G4/2</f>
        <v>8.5796545105566224E-2</v>
      </c>
      <c r="O14" s="342">
        <f>(C8/E8)*G4/2</f>
        <v>6.1526775541207751E-2</v>
      </c>
      <c r="P14" s="346">
        <f>G4-Q14-R14</f>
        <v>2.9627429940231504</v>
      </c>
      <c r="Q14" s="346">
        <f>O14-N14</f>
        <v>-2.4269769564358473E-2</v>
      </c>
      <c r="R14" s="346">
        <f>O14</f>
        <v>6.1526775541207751E-2</v>
      </c>
      <c r="S14" s="6" t="str">
        <f>H4</f>
        <v>años</v>
      </c>
      <c r="V14" s="6"/>
    </row>
    <row r="15" spans="1:29" s="9" customFormat="1" ht="12.75" hidden="1" customHeight="1" x14ac:dyDescent="0.3">
      <c r="A15" s="126"/>
      <c r="B15" s="109"/>
      <c r="C15" s="109"/>
      <c r="D15" s="109"/>
      <c r="E15" s="127"/>
      <c r="F15" s="128"/>
      <c r="G15" s="101"/>
      <c r="H15" s="112"/>
      <c r="I15" s="101"/>
      <c r="J15" s="112"/>
      <c r="K15" s="112"/>
      <c r="L15" s="112"/>
      <c r="M15" s="113"/>
      <c r="O15" s="6"/>
      <c r="P15" s="6"/>
      <c r="Q15" s="6"/>
      <c r="R15" s="6"/>
      <c r="S15" s="6"/>
      <c r="T15" s="6"/>
      <c r="U15" s="6"/>
      <c r="V15" s="6"/>
    </row>
    <row r="16" spans="1:29" s="8" customFormat="1" ht="12.75" hidden="1" customHeight="1" x14ac:dyDescent="0.3">
      <c r="A16" s="129"/>
      <c r="B16" s="130"/>
      <c r="C16" s="131"/>
      <c r="D16" s="132"/>
      <c r="E16" s="133"/>
      <c r="F16" s="134"/>
      <c r="G16" s="135"/>
      <c r="H16" s="136"/>
      <c r="I16" s="136"/>
      <c r="J16" s="137"/>
      <c r="K16" s="137"/>
      <c r="L16" s="138"/>
      <c r="M16" s="138"/>
    </row>
    <row r="17" spans="1:29" ht="15.75" hidden="1" customHeight="1" x14ac:dyDescent="0.3">
      <c r="A17" s="139" t="s">
        <v>36</v>
      </c>
      <c r="B17" s="6"/>
      <c r="C17" s="140"/>
      <c r="D17" s="140"/>
      <c r="E17" s="69"/>
      <c r="F17" s="69"/>
      <c r="G17" s="141"/>
      <c r="H17" s="142"/>
      <c r="I17" s="143"/>
      <c r="J17" s="143"/>
      <c r="K17" s="9"/>
      <c r="L17" s="113"/>
      <c r="M17" s="101"/>
      <c r="N17" s="142"/>
      <c r="O17" s="6"/>
      <c r="P17" s="6"/>
      <c r="Q17" s="144"/>
      <c r="R17" s="142"/>
      <c r="S17" s="145"/>
      <c r="T17" s="145"/>
      <c r="U17" s="145"/>
      <c r="V17" s="8"/>
      <c r="W17" s="8"/>
      <c r="X17" s="8"/>
      <c r="Y17" s="8"/>
      <c r="Z17" s="8"/>
      <c r="AA17" s="8"/>
      <c r="AB17" s="8"/>
    </row>
    <row r="18" spans="1:29" ht="12.75" hidden="1" customHeight="1" x14ac:dyDescent="0.3">
      <c r="A18" s="146" t="s">
        <v>37</v>
      </c>
      <c r="B18" s="6"/>
      <c r="C18" s="142"/>
      <c r="D18" s="142"/>
      <c r="E18" s="6"/>
      <c r="F18" s="6"/>
      <c r="G18" s="144"/>
      <c r="H18" s="142"/>
      <c r="I18" s="145"/>
      <c r="J18" s="145"/>
      <c r="K18" s="145"/>
      <c r="L18" s="113"/>
      <c r="M18" s="101"/>
      <c r="N18" s="6"/>
      <c r="O18" s="6"/>
      <c r="P18" s="144"/>
      <c r="Q18" s="142"/>
      <c r="R18" s="145"/>
      <c r="S18" s="145"/>
      <c r="T18" s="145"/>
      <c r="V18" s="8" t="s">
        <v>38</v>
      </c>
      <c r="W18" s="8"/>
      <c r="X18" s="8"/>
      <c r="Y18" s="8"/>
      <c r="Z18" s="8"/>
      <c r="AA18" s="8"/>
    </row>
    <row r="19" spans="1:29" ht="25.5" hidden="1" customHeight="1" x14ac:dyDescent="0.3">
      <c r="A19" s="147" t="s">
        <v>39</v>
      </c>
      <c r="B19" s="2" t="s">
        <v>40</v>
      </c>
      <c r="C19" s="9"/>
      <c r="D19" s="2" t="s">
        <v>41</v>
      </c>
      <c r="F19" s="2" t="s">
        <v>42</v>
      </c>
      <c r="H19" s="2" t="s">
        <v>43</v>
      </c>
      <c r="I19" s="145"/>
      <c r="J19" s="145"/>
      <c r="K19" s="145"/>
      <c r="L19" s="113"/>
      <c r="M19" s="137"/>
      <c r="O19" s="2"/>
      <c r="S19" s="8"/>
      <c r="U19" s="2"/>
      <c r="V19" s="2" t="s">
        <v>44</v>
      </c>
      <c r="X19" s="8"/>
      <c r="Y19" s="8"/>
      <c r="Z19" s="8"/>
      <c r="AA19" s="8"/>
      <c r="AB19" s="8"/>
      <c r="AC19" s="8"/>
    </row>
    <row r="20" spans="1:29" ht="38.25" hidden="1" customHeight="1" x14ac:dyDescent="0.4">
      <c r="A20" s="116" t="s">
        <v>45</v>
      </c>
      <c r="B20" s="116" t="s">
        <v>46</v>
      </c>
      <c r="C20" s="148" t="s">
        <v>47</v>
      </c>
      <c r="D20" s="148" t="s">
        <v>40</v>
      </c>
      <c r="E20" s="148" t="s">
        <v>48</v>
      </c>
      <c r="F20" s="148" t="s">
        <v>42</v>
      </c>
      <c r="G20" s="148" t="s">
        <v>43</v>
      </c>
      <c r="H20" s="149" t="s">
        <v>49</v>
      </c>
      <c r="I20" s="148" t="s">
        <v>50</v>
      </c>
      <c r="J20" s="148" t="s">
        <v>34</v>
      </c>
      <c r="K20" s="148" t="s">
        <v>35</v>
      </c>
      <c r="L20" s="150"/>
      <c r="M20" s="151"/>
      <c r="N20" s="152" t="s">
        <v>51</v>
      </c>
      <c r="O20" s="153" t="s">
        <v>52</v>
      </c>
      <c r="P20" s="154"/>
      <c r="Q20" s="155"/>
      <c r="R20" s="156"/>
      <c r="S20" s="156"/>
      <c r="T20" s="157"/>
      <c r="V20" s="158"/>
      <c r="W20" s="152" t="s">
        <v>53</v>
      </c>
      <c r="X20" s="153" t="s">
        <v>54</v>
      </c>
      <c r="Y20" s="159"/>
      <c r="Z20" s="159"/>
      <c r="AA20" s="159" t="s">
        <v>55</v>
      </c>
      <c r="AB20" s="159"/>
      <c r="AC20" s="160"/>
    </row>
    <row r="21" spans="1:29" ht="12.75" hidden="1" customHeight="1" x14ac:dyDescent="0.3">
      <c r="A21" s="161">
        <f>C7</f>
        <v>149</v>
      </c>
      <c r="B21" s="162">
        <f>E7</f>
        <v>2605</v>
      </c>
      <c r="C21" s="163">
        <f>A21/B21</f>
        <v>5.7197696737044147E-2</v>
      </c>
      <c r="D21" s="164">
        <f>2*A21+H21^2</f>
        <v>301.84145882069413</v>
      </c>
      <c r="E21" s="164">
        <f>H21*SQRT((H21^2)+(4*A21*(1-C21)))</f>
        <v>46.618790153746581</v>
      </c>
      <c r="F21" s="165">
        <f>2*(B21+H21^2)</f>
        <v>5217.6829176413885</v>
      </c>
      <c r="G21" s="166" t="s">
        <v>56</v>
      </c>
      <c r="H21" s="120">
        <f>-NORMSINV((1-H2)/2)</f>
        <v>1.9599639845400536</v>
      </c>
      <c r="I21" s="167">
        <f>C21</f>
        <v>5.7197696737044147E-2</v>
      </c>
      <c r="J21" s="167">
        <f>(D21-E21)/F21</f>
        <v>4.8914944180302719E-2</v>
      </c>
      <c r="K21" s="167">
        <f>(D21+E21)/F21</f>
        <v>6.6784481631927031E-2</v>
      </c>
      <c r="L21" s="150"/>
      <c r="M21" s="168">
        <f>E9/2</f>
        <v>2619</v>
      </c>
      <c r="N21" s="10" t="s">
        <v>57</v>
      </c>
      <c r="O21" s="6"/>
      <c r="P21" s="144"/>
      <c r="Q21" s="142"/>
      <c r="R21" s="145"/>
      <c r="S21" s="145"/>
      <c r="T21" s="169"/>
      <c r="V21" s="170">
        <f>ABS(C21-C22)</f>
        <v>1.6179846376238982E-2</v>
      </c>
      <c r="W21" s="10" t="s">
        <v>58</v>
      </c>
      <c r="X21" s="6"/>
      <c r="Y21" s="10"/>
      <c r="Z21" s="10"/>
      <c r="AA21" s="10" t="s">
        <v>59</v>
      </c>
      <c r="AB21" s="10"/>
      <c r="AC21" s="171"/>
    </row>
    <row r="22" spans="1:29" ht="14.25" hidden="1" customHeight="1" x14ac:dyDescent="0.4">
      <c r="A22" s="161">
        <f>C8</f>
        <v>108</v>
      </c>
      <c r="B22" s="162">
        <f>E8</f>
        <v>2633</v>
      </c>
      <c r="C22" s="163">
        <f>A22/B22</f>
        <v>4.1017850360805165E-2</v>
      </c>
      <c r="D22" s="164">
        <f>2*A22+H22^2</f>
        <v>219.84145882069413</v>
      </c>
      <c r="E22" s="164">
        <f>H22*SQRT((H22^2)+(4*A22*(1-C22)))</f>
        <v>40.077393564487174</v>
      </c>
      <c r="F22" s="165">
        <f>2*(B22+H22^2)</f>
        <v>5273.6829176413885</v>
      </c>
      <c r="G22" s="166" t="s">
        <v>56</v>
      </c>
      <c r="H22" s="120">
        <f>-NORMSINV((1-H2)/2)</f>
        <v>1.9599639845400536</v>
      </c>
      <c r="I22" s="167">
        <f>C22</f>
        <v>4.1017850360805165E-2</v>
      </c>
      <c r="J22" s="167">
        <f>(D22-E22)/F22</f>
        <v>3.4087006758571854E-2</v>
      </c>
      <c r="K22" s="167">
        <f>(D22+E22)/F22</f>
        <v>4.9286022016171556E-2</v>
      </c>
      <c r="L22" s="150"/>
      <c r="M22" s="172">
        <f>I26</f>
        <v>-1.6179846376238982E-2</v>
      </c>
      <c r="N22" s="10" t="s">
        <v>60</v>
      </c>
      <c r="O22" s="10"/>
      <c r="P22" s="10"/>
      <c r="Q22" s="10"/>
      <c r="R22" s="10"/>
      <c r="S22" s="10"/>
      <c r="T22" s="173"/>
      <c r="V22" s="174">
        <f>SQRT((C23*(1-C23)/B21)+(C23*(1-C23)/B22))</f>
        <v>5.9691541180130333E-3</v>
      </c>
      <c r="W22" s="146" t="s">
        <v>61</v>
      </c>
      <c r="X22" s="10"/>
      <c r="Y22" s="10"/>
      <c r="Z22" s="10"/>
      <c r="AA22" s="10"/>
      <c r="AB22" s="10"/>
      <c r="AC22" s="171"/>
    </row>
    <row r="23" spans="1:29" ht="12.75" hidden="1" customHeight="1" x14ac:dyDescent="0.3">
      <c r="A23" s="161">
        <f>C9</f>
        <v>257</v>
      </c>
      <c r="B23" s="162">
        <f>E9</f>
        <v>5238</v>
      </c>
      <c r="C23" s="163">
        <f>A23/B23</f>
        <v>4.9064528445971742E-2</v>
      </c>
      <c r="D23" s="164">
        <f>2*A23+H23^2</f>
        <v>517.84145882069413</v>
      </c>
      <c r="E23" s="164">
        <f>H23*SQRT((H23^2)+(4*A23*(1-C23)))</f>
        <v>61.40048603819335</v>
      </c>
      <c r="F23" s="165">
        <f>2*(B23+H23^2)</f>
        <v>10483.682917641388</v>
      </c>
      <c r="G23" s="166" t="s">
        <v>56</v>
      </c>
      <c r="H23" s="120">
        <f>-NORMSINV((1-H2)/2)</f>
        <v>1.9599639845400536</v>
      </c>
      <c r="I23" s="167">
        <f>C23</f>
        <v>4.9064528445971742E-2</v>
      </c>
      <c r="J23" s="167">
        <f>(D23-E23)/F23</f>
        <v>4.353822758359336E-2</v>
      </c>
      <c r="K23" s="167">
        <f>(D23+E23)/F23</f>
        <v>5.5251761180621903E-2</v>
      </c>
      <c r="L23" s="150"/>
      <c r="M23" s="175">
        <f>(A21+A22)/(B21+B22)</f>
        <v>4.9064528445971742E-2</v>
      </c>
      <c r="N23" s="10" t="s">
        <v>62</v>
      </c>
      <c r="O23" s="6"/>
      <c r="P23" s="144"/>
      <c r="Q23" s="142"/>
      <c r="R23" s="145"/>
      <c r="S23" s="145"/>
      <c r="T23" s="171"/>
      <c r="V23" s="176">
        <f>V21/V22</f>
        <v>2.7105760810251631</v>
      </c>
      <c r="W23" s="10" t="s">
        <v>63</v>
      </c>
      <c r="X23" s="6"/>
      <c r="Y23" s="10"/>
      <c r="Z23" s="10"/>
      <c r="AA23" s="10"/>
      <c r="AB23" s="10"/>
      <c r="AC23" s="171"/>
    </row>
    <row r="24" spans="1:29" ht="15" hidden="1" customHeight="1" x14ac:dyDescent="0.3">
      <c r="A24" s="93"/>
      <c r="B24" s="177" t="s">
        <v>64</v>
      </c>
      <c r="E24" s="178"/>
      <c r="F24" s="136"/>
      <c r="G24" s="136"/>
      <c r="H24" s="136"/>
      <c r="I24" s="136"/>
      <c r="J24" s="137"/>
      <c r="K24" s="92"/>
      <c r="L24" s="150"/>
      <c r="M24" s="179">
        <f>SQRT(M21*M22^2/(2*M23*(1-M23)))-H21</f>
        <v>0.75065082456701093</v>
      </c>
      <c r="N24" s="10" t="s">
        <v>65</v>
      </c>
      <c r="O24" s="10"/>
      <c r="P24" s="10"/>
      <c r="Q24" s="10"/>
      <c r="R24" s="10"/>
      <c r="S24" s="9"/>
      <c r="T24" s="169"/>
      <c r="V24" s="180">
        <f>NORMSDIST(-V23)</f>
        <v>3.358321875560268E-3</v>
      </c>
      <c r="W24" s="139" t="s">
        <v>66</v>
      </c>
      <c r="X24" s="10"/>
      <c r="Y24" s="9"/>
      <c r="Z24" s="9"/>
      <c r="AA24" s="9"/>
      <c r="AB24" s="9"/>
      <c r="AC24" s="173"/>
    </row>
    <row r="25" spans="1:29" ht="13.5" hidden="1" customHeight="1" x14ac:dyDescent="0.3">
      <c r="A25" s="93"/>
      <c r="B25" s="177" t="s">
        <v>67</v>
      </c>
      <c r="C25" s="4"/>
      <c r="D25" s="181"/>
      <c r="E25" s="178"/>
      <c r="F25" s="136"/>
      <c r="G25" s="92"/>
      <c r="H25" s="92"/>
      <c r="I25" s="182"/>
      <c r="J25" s="182"/>
      <c r="K25" s="182"/>
      <c r="L25" s="150"/>
      <c r="M25" s="183">
        <f>NORMSDIST(M24)</f>
        <v>0.77356858742338686</v>
      </c>
      <c r="N25" s="139" t="s">
        <v>68</v>
      </c>
      <c r="O25" s="184"/>
      <c r="P25" s="10"/>
      <c r="Q25" s="10"/>
      <c r="R25" s="10"/>
      <c r="S25" s="10"/>
      <c r="T25" s="171"/>
      <c r="V25" s="185">
        <f>1-V24</f>
        <v>0.99664167812443971</v>
      </c>
      <c r="W25" s="186" t="s">
        <v>69</v>
      </c>
      <c r="X25" s="184"/>
      <c r="Y25" s="9"/>
      <c r="Z25" s="9"/>
      <c r="AA25" s="9"/>
      <c r="AB25" s="9"/>
      <c r="AC25" s="173"/>
    </row>
    <row r="26" spans="1:29" ht="15" hidden="1" customHeight="1" x14ac:dyDescent="0.35">
      <c r="E26" s="187"/>
      <c r="F26" s="92"/>
      <c r="G26" s="92"/>
      <c r="H26" s="73" t="s">
        <v>70</v>
      </c>
      <c r="I26" s="188">
        <f>C22-C21</f>
        <v>-1.6179846376238982E-2</v>
      </c>
      <c r="J26" s="189">
        <f>I26+SQRT((C22-J22)^2+(K21-C21)^2)</f>
        <v>-4.3500941531629204E-3</v>
      </c>
      <c r="K26" s="190">
        <f>I26-SQRT((C21-J21)^2+(K22-C22)^2)</f>
        <v>-2.7883121663046982E-2</v>
      </c>
      <c r="L26" s="91"/>
      <c r="M26" s="191">
        <f>1-M25</f>
        <v>0.22643141257661314</v>
      </c>
      <c r="N26" s="192" t="s">
        <v>71</v>
      </c>
      <c r="O26" s="193"/>
      <c r="P26" s="194"/>
      <c r="Q26" s="193"/>
      <c r="R26" s="193"/>
      <c r="S26" s="193"/>
      <c r="T26" s="195"/>
      <c r="V26" s="196"/>
      <c r="W26" s="197"/>
      <c r="X26" s="193"/>
      <c r="Y26" s="197"/>
      <c r="Z26" s="197"/>
      <c r="AA26" s="197"/>
      <c r="AB26" s="197"/>
      <c r="AC26" s="198"/>
    </row>
    <row r="27" spans="1:29" ht="13.5" hidden="1" customHeight="1" x14ac:dyDescent="0.3">
      <c r="E27" s="199"/>
      <c r="F27" s="92"/>
      <c r="G27" s="92"/>
      <c r="H27" s="73" t="s">
        <v>72</v>
      </c>
      <c r="I27" s="200">
        <f>1/I26</f>
        <v>-61.80528397776115</v>
      </c>
      <c r="J27" s="201">
        <f>1/J26</f>
        <v>-229.88008185360945</v>
      </c>
      <c r="K27" s="202">
        <f>1/K26</f>
        <v>-35.863990125800107</v>
      </c>
      <c r="L27" s="91"/>
      <c r="M27" s="92"/>
      <c r="N27" s="2"/>
      <c r="O27" s="2"/>
      <c r="T27" s="2"/>
      <c r="U27" s="2"/>
      <c r="V27" s="8"/>
      <c r="W27" s="8"/>
      <c r="X27" s="8"/>
      <c r="Y27" s="8"/>
      <c r="Z27" s="8"/>
      <c r="AA27" s="8"/>
      <c r="AB27" s="8"/>
    </row>
    <row r="28" spans="1:29" ht="14.25" hidden="1" customHeight="1" x14ac:dyDescent="0.4">
      <c r="F28" s="92"/>
      <c r="G28" s="92"/>
      <c r="J28" s="203"/>
      <c r="K28" s="203"/>
      <c r="L28" s="204"/>
      <c r="M28" s="151"/>
      <c r="N28" s="205"/>
      <c r="O28" s="205" t="s">
        <v>61</v>
      </c>
      <c r="P28" s="206">
        <f>SQRT((C23*(1-C23)/B21)+(C23*(1-C23)/B22))</f>
        <v>5.9691541180130333E-3</v>
      </c>
      <c r="Q28" s="207"/>
      <c r="R28" s="207"/>
      <c r="S28" s="207"/>
      <c r="T28" s="160"/>
      <c r="U28" s="2"/>
    </row>
    <row r="29" spans="1:29" ht="31.5" hidden="1" customHeight="1" x14ac:dyDescent="0.35">
      <c r="E29" s="208"/>
      <c r="F29" s="209"/>
      <c r="G29" s="210" t="s">
        <v>73</v>
      </c>
      <c r="H29" s="211" t="s">
        <v>11</v>
      </c>
      <c r="I29" s="212">
        <f>I27</f>
        <v>-61.80528397776115</v>
      </c>
      <c r="J29" s="212">
        <f>J27</f>
        <v>-229.88008185360945</v>
      </c>
      <c r="K29" s="212">
        <f>K27</f>
        <v>-35.863990125800107</v>
      </c>
      <c r="L29" s="92"/>
      <c r="M29" s="213" t="s">
        <v>74</v>
      </c>
      <c r="N29" s="214"/>
      <c r="O29" s="10" t="s">
        <v>75</v>
      </c>
      <c r="P29" s="10"/>
      <c r="Q29" s="144"/>
      <c r="R29" s="215" t="s">
        <v>76</v>
      </c>
      <c r="S29" s="10"/>
      <c r="T29" s="171"/>
      <c r="U29" s="2"/>
    </row>
    <row r="30" spans="1:29" s="9" customFormat="1" ht="14.25" hidden="1" customHeight="1" x14ac:dyDescent="0.4">
      <c r="E30" s="216"/>
      <c r="F30" s="217"/>
      <c r="G30" s="218"/>
      <c r="H30" s="219" t="s">
        <v>77</v>
      </c>
      <c r="I30" s="364">
        <f>(1-C22)*I27</f>
        <v>-59.270164088054273</v>
      </c>
      <c r="J30" s="220">
        <f>(1-C22)*J27</f>
        <v>-220.45089505520846</v>
      </c>
      <c r="K30" s="220">
        <f>(1-C22)*K27</f>
        <v>-34.392926345478642</v>
      </c>
      <c r="L30" s="92"/>
      <c r="M30" s="221"/>
      <c r="N30" s="222" t="s">
        <v>78</v>
      </c>
      <c r="P30" s="223" t="s">
        <v>79</v>
      </c>
      <c r="Q30" s="222" t="s">
        <v>80</v>
      </c>
      <c r="R30" s="10"/>
      <c r="S30" s="10"/>
      <c r="T30" s="173"/>
    </row>
    <row r="31" spans="1:29" s="9" customFormat="1" ht="14.25" hidden="1" customHeight="1" x14ac:dyDescent="0.4">
      <c r="E31" s="224"/>
      <c r="F31" s="225"/>
      <c r="G31" s="226"/>
      <c r="H31" s="227" t="s">
        <v>81</v>
      </c>
      <c r="I31" s="228">
        <f>I27*I26</f>
        <v>1</v>
      </c>
      <c r="J31" s="228">
        <f>J27*J26</f>
        <v>1</v>
      </c>
      <c r="K31" s="228">
        <f>K27*K26</f>
        <v>1</v>
      </c>
      <c r="L31" s="113"/>
      <c r="M31" s="179">
        <f>ABS((I26/P28))-H21</f>
        <v>0.75061209648510951</v>
      </c>
      <c r="N31" s="222" t="s">
        <v>82</v>
      </c>
      <c r="O31" s="10"/>
      <c r="P31" s="10"/>
      <c r="Q31" s="142"/>
      <c r="R31" s="145"/>
      <c r="S31" s="145"/>
      <c r="T31" s="169"/>
    </row>
    <row r="32" spans="1:29" s="9" customFormat="1" ht="12.75" hidden="1" customHeight="1" x14ac:dyDescent="0.3">
      <c r="A32" s="229"/>
      <c r="B32" s="230"/>
      <c r="D32" s="231"/>
      <c r="F32" s="232"/>
      <c r="G32" s="233"/>
      <c r="H32" s="234" t="s">
        <v>83</v>
      </c>
      <c r="I32" s="363">
        <f>(C22-I26)*I27</f>
        <v>-3.5351198897068756</v>
      </c>
      <c r="J32" s="235">
        <f>(C22-J26)*J27</f>
        <v>-10.429186798400995</v>
      </c>
      <c r="K32" s="235">
        <f>(C22-K26)*K27</f>
        <v>-2.471063780321463</v>
      </c>
      <c r="L32" s="113"/>
      <c r="M32" s="183">
        <f>NORMSDIST(M31)</f>
        <v>0.77355693047256202</v>
      </c>
      <c r="N32" s="146" t="s">
        <v>84</v>
      </c>
      <c r="O32" s="184"/>
      <c r="P32" s="10"/>
      <c r="Q32" s="10"/>
      <c r="R32" s="10"/>
      <c r="S32" s="10"/>
      <c r="T32" s="173"/>
    </row>
    <row r="33" spans="1:21" s="9" customFormat="1" ht="12.75" hidden="1" customHeight="1" x14ac:dyDescent="0.3">
      <c r="A33" s="229"/>
      <c r="F33" s="236"/>
      <c r="G33" s="237"/>
      <c r="H33" s="237"/>
      <c r="I33" s="238"/>
      <c r="J33" s="238"/>
      <c r="K33" s="238"/>
      <c r="L33" s="113"/>
      <c r="M33" s="191">
        <f>1-M32</f>
        <v>0.22644306952743798</v>
      </c>
      <c r="N33" s="193" t="s">
        <v>85</v>
      </c>
      <c r="O33" s="193"/>
      <c r="P33" s="194"/>
      <c r="Q33" s="239"/>
      <c r="R33" s="240"/>
      <c r="S33" s="240"/>
      <c r="T33" s="195"/>
    </row>
    <row r="34" spans="1:21" s="9" customFormat="1" ht="31.5" hidden="1" customHeight="1" x14ac:dyDescent="0.3">
      <c r="A34" s="126"/>
      <c r="E34" s="110"/>
      <c r="F34" s="241"/>
      <c r="G34" s="210" t="s">
        <v>86</v>
      </c>
      <c r="H34" s="242" t="s">
        <v>87</v>
      </c>
      <c r="I34" s="243">
        <f>ABS(I27)</f>
        <v>61.80528397776115</v>
      </c>
      <c r="J34" s="243">
        <f>ABS(K27)</f>
        <v>35.863990125800107</v>
      </c>
      <c r="K34" s="243">
        <f>ABS(J27)</f>
        <v>229.88008185360945</v>
      </c>
      <c r="L34" s="113"/>
      <c r="M34" s="91"/>
      <c r="N34" s="10"/>
      <c r="O34" s="10"/>
      <c r="P34" s="10"/>
      <c r="Q34" s="10"/>
      <c r="R34" s="10"/>
      <c r="S34" s="10"/>
      <c r="T34" s="10"/>
      <c r="U34" s="10"/>
    </row>
    <row r="35" spans="1:21" s="9" customFormat="1" ht="13.5" hidden="1" customHeight="1" x14ac:dyDescent="0.3">
      <c r="A35" s="126"/>
      <c r="F35" s="217"/>
      <c r="G35" s="218"/>
      <c r="H35" s="219" t="s">
        <v>77</v>
      </c>
      <c r="I35" s="220">
        <f>ABS((1-(C22-I26))*I27)</f>
        <v>58.270164088054273</v>
      </c>
      <c r="J35" s="220">
        <f>ABS((1-(C22-K26))*K27)</f>
        <v>33.392926345478642</v>
      </c>
      <c r="K35" s="220">
        <f>ABS((1-(C22-J26))*J27)</f>
        <v>219.45089505520846</v>
      </c>
      <c r="L35" s="113"/>
      <c r="M35" s="91"/>
      <c r="N35" s="10"/>
      <c r="O35" s="10"/>
      <c r="P35" s="10"/>
      <c r="Q35" s="10"/>
      <c r="R35" s="10"/>
      <c r="S35" s="10"/>
      <c r="T35" s="10"/>
      <c r="U35" s="10"/>
    </row>
    <row r="36" spans="1:21" s="9" customFormat="1" ht="12.75" hidden="1" customHeight="1" x14ac:dyDescent="0.3">
      <c r="A36" s="126"/>
      <c r="E36" s="244"/>
      <c r="F36" s="245"/>
      <c r="G36" s="246"/>
      <c r="H36" s="247" t="s">
        <v>88</v>
      </c>
      <c r="I36" s="248">
        <f>I27*I26</f>
        <v>1</v>
      </c>
      <c r="J36" s="248">
        <f>K27*K26</f>
        <v>1</v>
      </c>
      <c r="K36" s="248">
        <f>J27*J26</f>
        <v>1</v>
      </c>
      <c r="L36" s="113"/>
      <c r="M36" s="91"/>
      <c r="N36" s="10"/>
      <c r="O36" s="10"/>
      <c r="P36" s="10"/>
      <c r="Q36" s="10"/>
      <c r="R36" s="10"/>
      <c r="S36" s="10"/>
      <c r="T36" s="10"/>
      <c r="U36" s="10"/>
    </row>
    <row r="37" spans="1:21" ht="15.75" hidden="1" customHeight="1" x14ac:dyDescent="0.35">
      <c r="A37" s="249" t="s">
        <v>89</v>
      </c>
      <c r="B37" s="250"/>
      <c r="C37" s="250"/>
      <c r="D37" s="250"/>
      <c r="E37" s="251"/>
      <c r="F37" s="232"/>
      <c r="G37" s="233"/>
      <c r="H37" s="234" t="s">
        <v>90</v>
      </c>
      <c r="I37" s="235">
        <f>ABS(C22*I27)</f>
        <v>2.5351198897068761</v>
      </c>
      <c r="J37" s="235">
        <f>ABS(C22*K27)</f>
        <v>1.4710637803214628</v>
      </c>
      <c r="K37" s="235">
        <f>ABS(C22*J27)</f>
        <v>9.4291867984009947</v>
      </c>
      <c r="L37" s="92"/>
      <c r="M37" s="91"/>
      <c r="N37" s="10"/>
      <c r="O37" s="10"/>
      <c r="P37" s="10"/>
      <c r="Q37" s="10"/>
      <c r="R37" s="10"/>
      <c r="S37" s="10"/>
      <c r="T37" s="10"/>
      <c r="U37" s="10"/>
    </row>
    <row r="38" spans="1:21" s="8" customFormat="1" ht="12.75" hidden="1" customHeight="1" x14ac:dyDescent="0.3">
      <c r="A38" s="93"/>
      <c r="B38" s="252" t="s">
        <v>18</v>
      </c>
      <c r="C38" s="253" t="s">
        <v>19</v>
      </c>
      <c r="D38" s="10"/>
      <c r="E38" s="251"/>
      <c r="F38" s="254"/>
      <c r="G38" s="255"/>
      <c r="H38" s="256"/>
      <c r="I38" s="257"/>
      <c r="J38" s="257"/>
      <c r="K38" s="257"/>
      <c r="L38" s="137"/>
      <c r="M38" s="113"/>
      <c r="N38" s="9"/>
      <c r="O38" s="9"/>
      <c r="P38" s="9"/>
      <c r="Q38" s="9"/>
    </row>
    <row r="39" spans="1:21" ht="12.75" hidden="1" customHeight="1" x14ac:dyDescent="0.3">
      <c r="A39" s="258" t="s">
        <v>91</v>
      </c>
      <c r="B39" s="259" t="s">
        <v>20</v>
      </c>
      <c r="C39" s="260" t="s">
        <v>21</v>
      </c>
      <c r="D39" s="5" t="s">
        <v>22</v>
      </c>
      <c r="F39" s="92"/>
      <c r="G39" s="92"/>
      <c r="H39" s="92"/>
      <c r="I39" s="92"/>
      <c r="J39" s="92"/>
      <c r="K39" s="92"/>
      <c r="L39" s="92"/>
      <c r="M39" s="113"/>
      <c r="N39" s="9"/>
      <c r="O39" s="9"/>
      <c r="P39" s="9"/>
      <c r="Q39" s="9"/>
      <c r="T39" s="2"/>
      <c r="U39" s="2"/>
    </row>
    <row r="40" spans="1:21" ht="12.75" hidden="1" customHeight="1" x14ac:dyDescent="0.3">
      <c r="A40" s="261" t="s">
        <v>92</v>
      </c>
      <c r="B40" s="262">
        <f>E7*C9/E9</f>
        <v>127.8130966017564</v>
      </c>
      <c r="C40" s="262">
        <f>E7*D9/E9</f>
        <v>2477.1869033982434</v>
      </c>
      <c r="D40" s="262">
        <f>E7</f>
        <v>2605</v>
      </c>
      <c r="F40" s="12"/>
      <c r="G40" s="263" t="s">
        <v>93</v>
      </c>
      <c r="H40" s="264">
        <f>CHIINV(0.05,J41)</f>
        <v>3.8414588206941236</v>
      </c>
      <c r="I40" s="92"/>
      <c r="J40" s="92"/>
      <c r="K40" s="92"/>
      <c r="L40" s="92"/>
      <c r="M40" s="113"/>
      <c r="N40" s="265"/>
      <c r="O40" s="265"/>
      <c r="P40" s="265"/>
      <c r="Q40" s="9"/>
      <c r="T40" s="2"/>
      <c r="U40" s="2"/>
    </row>
    <row r="41" spans="1:21" ht="12.75" hidden="1" customHeight="1" x14ac:dyDescent="0.3">
      <c r="A41" s="266" t="s">
        <v>94</v>
      </c>
      <c r="B41" s="262">
        <f>E8*C9/E9</f>
        <v>129.1869033982436</v>
      </c>
      <c r="C41" s="262">
        <f>E8*D9/E9</f>
        <v>2503.8130966017566</v>
      </c>
      <c r="D41" s="262">
        <f>E8</f>
        <v>2633</v>
      </c>
      <c r="E41" s="8"/>
      <c r="F41" s="267"/>
      <c r="G41" s="267"/>
      <c r="H41" s="268"/>
      <c r="I41" s="269" t="s">
        <v>95</v>
      </c>
      <c r="J41" s="270">
        <f>(COUNT(B40:C40)-1)*(COUNT(B40:B41)-1)</f>
        <v>1</v>
      </c>
      <c r="K41" s="92"/>
      <c r="L41" s="92"/>
      <c r="M41" s="92"/>
      <c r="N41" s="265"/>
      <c r="O41" s="265"/>
      <c r="P41" s="265"/>
      <c r="Q41" s="9"/>
      <c r="T41" s="2"/>
      <c r="U41" s="2"/>
    </row>
    <row r="42" spans="1:21" ht="12.75" hidden="1" customHeight="1" x14ac:dyDescent="0.3">
      <c r="A42" s="271" t="s">
        <v>96</v>
      </c>
      <c r="B42" s="262">
        <f>SUM(B40:B41)</f>
        <v>257</v>
      </c>
      <c r="C42" s="262">
        <f>SUM(C40:C41)</f>
        <v>4981</v>
      </c>
      <c r="D42" s="272">
        <f>SUM(D40:D41)</f>
        <v>5238</v>
      </c>
      <c r="E42" s="8"/>
      <c r="F42" s="137"/>
      <c r="G42" s="273" t="s">
        <v>97</v>
      </c>
      <c r="H42" s="274" t="s">
        <v>98</v>
      </c>
      <c r="I42" s="92"/>
      <c r="J42" s="92"/>
      <c r="K42" s="92"/>
      <c r="L42" s="92"/>
      <c r="M42" s="92"/>
      <c r="N42" s="265"/>
      <c r="O42" s="275"/>
      <c r="P42" s="265"/>
      <c r="Q42" s="9"/>
      <c r="T42" s="2"/>
      <c r="U42" s="2"/>
    </row>
    <row r="43" spans="1:21" ht="12.75" hidden="1" customHeight="1" x14ac:dyDescent="0.3">
      <c r="A43" s="271"/>
      <c r="B43" s="276"/>
      <c r="C43" s="276"/>
      <c r="D43" s="277"/>
      <c r="E43" s="8"/>
      <c r="F43" s="137"/>
      <c r="G43" s="273" t="s">
        <v>99</v>
      </c>
      <c r="H43" s="274" t="s">
        <v>100</v>
      </c>
      <c r="I43" s="92"/>
      <c r="J43" s="92"/>
      <c r="K43" s="92"/>
      <c r="L43" s="92"/>
      <c r="M43" s="92"/>
      <c r="N43" s="278"/>
      <c r="O43" s="278"/>
      <c r="P43" s="278"/>
      <c r="Q43" s="9"/>
      <c r="T43" s="2"/>
      <c r="U43" s="2"/>
    </row>
    <row r="44" spans="1:21" ht="26.25" hidden="1" customHeight="1" x14ac:dyDescent="0.3">
      <c r="A44" s="279"/>
      <c r="B44" s="465" t="s">
        <v>101</v>
      </c>
      <c r="C44" s="466"/>
      <c r="F44" s="92"/>
      <c r="G44" s="280"/>
      <c r="H44" s="92"/>
      <c r="I44" s="92"/>
      <c r="J44" s="92"/>
      <c r="K44" s="92"/>
      <c r="L44" s="92"/>
      <c r="M44" s="92"/>
      <c r="N44" s="2"/>
      <c r="O44" s="2"/>
      <c r="T44" s="2"/>
      <c r="U44" s="2"/>
    </row>
    <row r="45" spans="1:21" ht="12.75" hidden="1" customHeight="1" x14ac:dyDescent="0.3">
      <c r="A45" s="279"/>
      <c r="B45" s="281">
        <f>(C7-B40)^2/B40</f>
        <v>3.5120413129896555</v>
      </c>
      <c r="C45" s="281">
        <f>(D7-C40)^2/C40</f>
        <v>0.1812075120333923</v>
      </c>
      <c r="E45" s="282"/>
      <c r="F45" s="283"/>
      <c r="G45" s="92"/>
      <c r="H45" s="92"/>
      <c r="I45" s="113"/>
      <c r="J45" s="113"/>
      <c r="K45" s="284"/>
      <c r="L45" s="92"/>
      <c r="M45" s="92"/>
      <c r="N45" s="2"/>
      <c r="O45" s="2"/>
      <c r="T45" s="2"/>
      <c r="U45" s="2"/>
    </row>
    <row r="46" spans="1:21" ht="12.75" hidden="1" customHeight="1" x14ac:dyDescent="0.3">
      <c r="A46" s="279"/>
      <c r="B46" s="281">
        <f>(C8-B41)^2/B41</f>
        <v>3.474693361313351</v>
      </c>
      <c r="C46" s="281">
        <f>(D8-C41)^2/C41</f>
        <v>0.17928050468932277</v>
      </c>
      <c r="D46" s="83"/>
      <c r="E46" s="285" t="s">
        <v>102</v>
      </c>
      <c r="F46" s="286">
        <f>B48-H40</f>
        <v>3.5057638703315979</v>
      </c>
      <c r="G46" s="92"/>
      <c r="H46" s="92"/>
      <c r="I46" s="113"/>
      <c r="J46" s="113"/>
      <c r="K46" s="92"/>
      <c r="L46" s="92"/>
      <c r="M46" s="92"/>
      <c r="N46" s="2"/>
      <c r="O46" s="2"/>
      <c r="T46" s="2"/>
      <c r="U46" s="2"/>
    </row>
    <row r="47" spans="1:21" ht="12.75" hidden="1" customHeight="1" x14ac:dyDescent="0.3">
      <c r="A47" s="274" t="s">
        <v>103</v>
      </c>
      <c r="C47" s="287"/>
      <c r="F47" s="288" t="s">
        <v>104</v>
      </c>
      <c r="G47" s="92"/>
      <c r="H47" s="92"/>
      <c r="I47" s="113"/>
      <c r="J47" s="113"/>
      <c r="K47" s="92"/>
      <c r="L47" s="92"/>
      <c r="M47" s="92"/>
      <c r="N47" s="2"/>
      <c r="O47" s="2"/>
      <c r="T47" s="2"/>
      <c r="U47" s="2"/>
    </row>
    <row r="48" spans="1:21" ht="13.5" hidden="1" customHeight="1" x14ac:dyDescent="0.3">
      <c r="A48" s="289" t="s">
        <v>105</v>
      </c>
      <c r="B48" s="290">
        <f>SUM(B45:C46)</f>
        <v>7.3472226910257215</v>
      </c>
      <c r="C48" s="10"/>
      <c r="F48" s="288" t="s">
        <v>106</v>
      </c>
      <c r="G48" s="92"/>
      <c r="H48" s="291"/>
      <c r="I48" s="113"/>
      <c r="J48" s="113"/>
      <c r="K48" s="292"/>
      <c r="L48" s="92"/>
      <c r="M48" s="92"/>
      <c r="N48" s="2"/>
      <c r="O48" s="2"/>
      <c r="T48" s="2"/>
      <c r="U48" s="2"/>
    </row>
    <row r="49" spans="1:21" ht="12.75" hidden="1" customHeight="1" x14ac:dyDescent="0.3">
      <c r="A49" s="293" t="s">
        <v>107</v>
      </c>
      <c r="B49" s="294">
        <f>CHIDIST(B48,1)</f>
        <v>6.7166437511205716E-3</v>
      </c>
      <c r="D49" s="10"/>
      <c r="E49" s="10"/>
      <c r="F49" s="91"/>
      <c r="G49" s="295"/>
      <c r="H49" s="91"/>
      <c r="I49" s="113"/>
      <c r="J49" s="113"/>
      <c r="K49" s="91"/>
      <c r="L49" s="92"/>
      <c r="M49" s="92"/>
      <c r="N49" s="2"/>
      <c r="O49" s="2"/>
      <c r="T49" s="2"/>
      <c r="U49" s="2"/>
    </row>
    <row r="50" spans="1:21" s="9" customFormat="1" ht="12.75" hidden="1" customHeight="1" x14ac:dyDescent="0.3">
      <c r="A50" s="126"/>
      <c r="D50" s="296"/>
      <c r="E50" s="296"/>
      <c r="F50" s="113"/>
      <c r="G50" s="113"/>
      <c r="H50" s="297"/>
      <c r="I50" s="113"/>
      <c r="J50" s="113"/>
      <c r="K50" s="113"/>
      <c r="L50" s="113"/>
      <c r="M50" s="113"/>
    </row>
    <row r="51" spans="1:21" ht="13.5" hidden="1" customHeight="1" x14ac:dyDescent="0.3">
      <c r="A51" s="93"/>
      <c r="F51" s="92"/>
      <c r="G51" s="92"/>
      <c r="H51" s="92"/>
      <c r="I51" s="113"/>
      <c r="J51" s="113"/>
      <c r="K51" s="92"/>
      <c r="L51" s="92"/>
      <c r="M51" s="92"/>
      <c r="N51" s="2"/>
      <c r="O51" s="2"/>
      <c r="T51" s="2"/>
      <c r="U51" s="2"/>
    </row>
    <row r="52" spans="1:21" ht="12.75" hidden="1" customHeight="1" x14ac:dyDescent="0.3">
      <c r="A52" s="298" t="s">
        <v>108</v>
      </c>
      <c r="B52" s="299"/>
      <c r="C52" s="299"/>
      <c r="D52" s="299"/>
      <c r="E52" s="299"/>
      <c r="F52" s="299"/>
      <c r="G52" s="300"/>
      <c r="H52" s="92"/>
      <c r="I52" s="301" t="s">
        <v>109</v>
      </c>
      <c r="J52" s="302"/>
      <c r="K52" s="303"/>
      <c r="L52" s="303"/>
      <c r="M52" s="303"/>
      <c r="N52" s="160"/>
      <c r="O52" s="2"/>
      <c r="T52" s="2"/>
      <c r="U52" s="2"/>
    </row>
    <row r="53" spans="1:21" ht="12.75" hidden="1" customHeight="1" x14ac:dyDescent="0.3">
      <c r="A53" s="304">
        <f>H2*100</f>
        <v>95</v>
      </c>
      <c r="B53" s="251"/>
      <c r="C53" s="251"/>
      <c r="D53" s="9"/>
      <c r="E53" s="9"/>
      <c r="F53" s="9"/>
      <c r="G53" s="173"/>
      <c r="H53" s="92"/>
      <c r="I53" s="305"/>
      <c r="J53" s="113"/>
      <c r="K53" s="91"/>
      <c r="L53" s="91"/>
      <c r="M53" s="91"/>
      <c r="N53" s="171"/>
      <c r="O53" s="2"/>
      <c r="T53" s="2"/>
      <c r="U53" s="2"/>
    </row>
    <row r="54" spans="1:21" ht="12.75" hidden="1" customHeight="1" x14ac:dyDescent="0.3">
      <c r="A54" s="306" t="s">
        <v>110</v>
      </c>
      <c r="B54" s="307"/>
      <c r="C54" s="307"/>
      <c r="D54" s="308">
        <f>ROUND(F14,2)</f>
        <v>1.39</v>
      </c>
      <c r="E54" s="309">
        <f>ROUND(I26,4)</f>
        <v>-1.6199999999999999E-2</v>
      </c>
      <c r="F54" s="310">
        <f>ROUND(I27,0)</f>
        <v>-62</v>
      </c>
      <c r="G54" s="311"/>
      <c r="H54" s="92"/>
      <c r="I54" s="312" t="s">
        <v>110</v>
      </c>
      <c r="J54" s="9"/>
      <c r="K54" s="9"/>
      <c r="L54" s="9"/>
      <c r="M54" s="91"/>
      <c r="N54" s="171"/>
      <c r="O54" s="2"/>
      <c r="T54" s="2"/>
      <c r="U54" s="2"/>
    </row>
    <row r="55" spans="1:21" ht="12.75" hidden="1" customHeight="1" x14ac:dyDescent="0.3">
      <c r="A55" s="306" t="s">
        <v>111</v>
      </c>
      <c r="B55" s="10"/>
      <c r="C55" s="10"/>
      <c r="D55" s="308">
        <f>ROUND(G14,2)</f>
        <v>1.1000000000000001</v>
      </c>
      <c r="E55" s="309">
        <f>ROUND(K26,4)</f>
        <v>-2.7900000000000001E-2</v>
      </c>
      <c r="F55" s="310">
        <f>ROUND(K27,0)</f>
        <v>-36</v>
      </c>
      <c r="G55" s="311"/>
      <c r="H55" s="92"/>
      <c r="I55" s="312" t="s">
        <v>111</v>
      </c>
      <c r="J55" s="313" t="str">
        <f>ROUND(I21,4)*100&amp;I57</f>
        <v>5,72%</v>
      </c>
      <c r="K55" s="313" t="str">
        <f>ROUND(J21,4)*100&amp;I57</f>
        <v>4,89%</v>
      </c>
      <c r="L55" s="313" t="str">
        <f>ROUND(K21,4)*100&amp;I57</f>
        <v>6,68%</v>
      </c>
      <c r="M55" s="314" t="str">
        <f>CONCATENATE(J55," ",I54,K55," ",I58," ",L55,I56)</f>
        <v>5,72% (4,89% a 6,68%)</v>
      </c>
      <c r="N55" s="171"/>
      <c r="O55" s="2"/>
      <c r="T55" s="2"/>
      <c r="U55" s="2"/>
    </row>
    <row r="56" spans="1:21" s="8" customFormat="1" ht="12.75" hidden="1" customHeight="1" x14ac:dyDescent="0.3">
      <c r="A56" s="306" t="s">
        <v>112</v>
      </c>
      <c r="B56" s="307">
        <f>ROUND(C7,0)</f>
        <v>149</v>
      </c>
      <c r="C56" s="307">
        <f>ROUND(C8,0)</f>
        <v>108</v>
      </c>
      <c r="D56" s="308">
        <f>ROUND(H14,2)</f>
        <v>1.78</v>
      </c>
      <c r="E56" s="309">
        <f>ROUND(J26,4)</f>
        <v>-4.4000000000000003E-3</v>
      </c>
      <c r="F56" s="310">
        <f>ROUND(J27,0)</f>
        <v>-230</v>
      </c>
      <c r="G56" s="315">
        <f>ROUND(M32,4)</f>
        <v>0.77359999999999995</v>
      </c>
      <c r="H56" s="137"/>
      <c r="I56" s="312" t="s">
        <v>112</v>
      </c>
      <c r="J56" s="316" t="str">
        <f>ROUND(I22,4)*100&amp;I57</f>
        <v>4,1%</v>
      </c>
      <c r="K56" s="316" t="str">
        <f>ROUND(J22,4)*100&amp;I57</f>
        <v>3,41%</v>
      </c>
      <c r="L56" s="316" t="str">
        <f>ROUND(K22,4)*100&amp;I57</f>
        <v>4,93%</v>
      </c>
      <c r="M56" s="314" t="str">
        <f>CONCATENATE(J56," ",I54,K56," ",I58," ",L56,I56)</f>
        <v>4,1% (3,41% a 4,93%)</v>
      </c>
      <c r="N56" s="173"/>
    </row>
    <row r="57" spans="1:21" ht="12.75" hidden="1" customHeight="1" x14ac:dyDescent="0.3">
      <c r="A57" s="306" t="s">
        <v>113</v>
      </c>
      <c r="B57" s="317" t="s">
        <v>114</v>
      </c>
      <c r="C57" s="317" t="s">
        <v>115</v>
      </c>
      <c r="D57" s="317" t="s">
        <v>30</v>
      </c>
      <c r="E57" s="317" t="s">
        <v>116</v>
      </c>
      <c r="F57" s="318" t="s">
        <v>11</v>
      </c>
      <c r="G57" s="12" t="s">
        <v>117</v>
      </c>
      <c r="H57" s="92"/>
      <c r="I57" s="312" t="s">
        <v>113</v>
      </c>
      <c r="J57" s="316" t="str">
        <f>ROUND(I23,4)*100&amp;I57</f>
        <v>4,91%</v>
      </c>
      <c r="K57" s="316" t="str">
        <f>ROUND(J23,4)*100&amp;I57</f>
        <v>4,35%</v>
      </c>
      <c r="L57" s="316" t="str">
        <f>ROUND(K23,4)*100&amp;I57</f>
        <v>5,53%</v>
      </c>
      <c r="M57" s="314" t="str">
        <f>CONCATENATE(J57," ",I54,K57," ",I58," ",L57,I56)</f>
        <v>4,91% (4,35% a 5,53%)</v>
      </c>
      <c r="N57" s="173"/>
    </row>
    <row r="58" spans="1:21" ht="12.75" hidden="1" customHeight="1" x14ac:dyDescent="0.3">
      <c r="A58" s="319" t="s">
        <v>118</v>
      </c>
      <c r="B58" s="320" t="str">
        <f>CONCATENATE(B56,A59,B21," ",A54,J55,A56)</f>
        <v>149/2605 (5,72%)</v>
      </c>
      <c r="C58" s="73" t="str">
        <f>CONCATENATE(C56,A59,B22," ",A54,J56,A56)</f>
        <v>108/2633 (4,1%)</v>
      </c>
      <c r="D58" s="320" t="str">
        <f>CONCATENATE(D54," ",A54,D55,A55,D56,A56)</f>
        <v>1,39 (1,1-1,78)</v>
      </c>
      <c r="E58" s="320" t="str">
        <f>CONCATENATE(E54*100,A57," ",A54,E55*100,A57," ",A58," ",E56*100,A57,A56)</f>
        <v>-1,62% (-2,79% a -0,44%)</v>
      </c>
      <c r="F58" s="12" t="str">
        <f>CONCATENATE(F54," ",A54,F56," ",A58," ",F55,A56)</f>
        <v>-62 (-230 a -36)</v>
      </c>
      <c r="G58" s="12" t="str">
        <f>CONCATENATE(G56*100,A57)</f>
        <v>77,36%</v>
      </c>
      <c r="H58" s="92"/>
      <c r="I58" s="321" t="s">
        <v>118</v>
      </c>
      <c r="J58" s="10"/>
      <c r="K58" s="10"/>
      <c r="L58" s="10"/>
      <c r="M58" s="91"/>
      <c r="N58" s="171"/>
      <c r="O58" s="2"/>
      <c r="T58" s="2"/>
      <c r="U58" s="2"/>
    </row>
    <row r="59" spans="1:21" ht="13.5" hidden="1" customHeight="1" x14ac:dyDescent="0.3">
      <c r="A59" s="322" t="s">
        <v>119</v>
      </c>
      <c r="B59" s="197"/>
      <c r="C59" s="197"/>
      <c r="D59" s="197"/>
      <c r="E59" s="197"/>
      <c r="F59" s="323"/>
      <c r="G59" s="324"/>
      <c r="H59" s="92"/>
      <c r="I59" s="325" t="s">
        <v>119</v>
      </c>
      <c r="J59" s="197"/>
      <c r="K59" s="197"/>
      <c r="L59" s="197"/>
      <c r="M59" s="326"/>
      <c r="N59" s="195"/>
      <c r="O59" s="2"/>
      <c r="T59" s="2"/>
      <c r="U59" s="2"/>
    </row>
    <row r="60" spans="1:21" x14ac:dyDescent="0.3">
      <c r="A60" s="93"/>
      <c r="F60" s="92"/>
      <c r="G60" s="92"/>
      <c r="H60" s="92"/>
      <c r="I60" s="92"/>
      <c r="J60" s="92"/>
      <c r="K60" s="113"/>
      <c r="L60" s="92"/>
      <c r="M60" s="92"/>
      <c r="N60" s="2"/>
      <c r="O60" s="2"/>
      <c r="T60" s="2"/>
      <c r="U60" s="2"/>
    </row>
    <row r="61" spans="1:21" ht="27" customHeight="1" x14ac:dyDescent="0.3">
      <c r="A61" s="93"/>
      <c r="B61" s="327" t="s">
        <v>114</v>
      </c>
      <c r="C61" s="327" t="s">
        <v>115</v>
      </c>
      <c r="D61" s="328" t="str">
        <f>CONCATENATE(D57," ",A54,G2," ",A53,A57,A56)</f>
        <v>RR (IC 95%)</v>
      </c>
      <c r="E61" s="328" t="str">
        <f>CONCATENATE(E57," ",A54,G2," ",A53,A57,A56)</f>
        <v>RAR (IC 95%)</v>
      </c>
      <c r="F61" s="328" t="str">
        <f>CONCATENATE(F57," ",A54,G2," ",A53,A57,A56)</f>
        <v>NNT (IC 95%)</v>
      </c>
      <c r="G61" s="328" t="s">
        <v>74</v>
      </c>
      <c r="H61" s="329"/>
      <c r="I61" s="366" t="s">
        <v>130</v>
      </c>
      <c r="K61" s="337" t="s">
        <v>121</v>
      </c>
      <c r="L61" s="337" t="s">
        <v>122</v>
      </c>
      <c r="N61" s="440" t="s">
        <v>144</v>
      </c>
      <c r="O61" s="397" t="s">
        <v>122</v>
      </c>
      <c r="Q61" s="347" t="s">
        <v>2</v>
      </c>
      <c r="R61" s="348" t="s">
        <v>3</v>
      </c>
      <c r="S61" s="393" t="s">
        <v>1</v>
      </c>
      <c r="T61" s="338" t="s">
        <v>142</v>
      </c>
      <c r="U61" s="2"/>
    </row>
    <row r="62" spans="1:21" ht="21" customHeight="1" x14ac:dyDescent="0.3">
      <c r="A62" s="93"/>
      <c r="B62" s="73" t="str">
        <f t="shared" ref="B62:G62" si="0">B58</f>
        <v>149/2605 (5,72%)</v>
      </c>
      <c r="C62" s="73" t="str">
        <f t="shared" si="0"/>
        <v>108/2633 (4,1%)</v>
      </c>
      <c r="D62" s="73" t="str">
        <f t="shared" si="0"/>
        <v>1,39 (1,1-1,78)</v>
      </c>
      <c r="E62" s="73" t="str">
        <f t="shared" si="0"/>
        <v>-1,62% (-2,79% a -0,44%)</v>
      </c>
      <c r="F62" s="73" t="str">
        <f t="shared" si="0"/>
        <v>-62 (-230 a -36)</v>
      </c>
      <c r="G62" s="73" t="str">
        <f t="shared" si="0"/>
        <v>77,36%</v>
      </c>
      <c r="H62" s="330"/>
      <c r="I62" s="331">
        <f>B49</f>
        <v>6.7166437511205716E-3</v>
      </c>
      <c r="K62" s="332">
        <f>IF((J26*K26&lt;0),I23,I21)</f>
        <v>5.7197696737044147E-2</v>
      </c>
      <c r="L62" s="332">
        <f>IF((J26*K26&lt;0),I23,I22)</f>
        <v>4.1017850360805165E-2</v>
      </c>
      <c r="N62" s="441">
        <f>K62*100</f>
        <v>5.7197696737044144</v>
      </c>
      <c r="O62" s="441">
        <f>L62*100</f>
        <v>4.1017850360805168</v>
      </c>
      <c r="Q62" s="349">
        <f>P14</f>
        <v>2.9627429940231504</v>
      </c>
      <c r="R62" s="350">
        <f>Q14</f>
        <v>-2.4269769564358473E-2</v>
      </c>
      <c r="S62" s="394">
        <f>R14</f>
        <v>6.1526775541207751E-2</v>
      </c>
      <c r="T62" s="395">
        <f>Q62+R62+S62</f>
        <v>3</v>
      </c>
      <c r="U62" s="288" t="str">
        <f>H4</f>
        <v>años</v>
      </c>
    </row>
    <row r="63" spans="1:21" x14ac:dyDescent="0.3">
      <c r="A63" s="93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333"/>
    </row>
    <row r="64" spans="1:21" x14ac:dyDescent="0.3">
      <c r="A64" s="411" t="s">
        <v>153</v>
      </c>
      <c r="B64" s="334"/>
      <c r="C64" s="334"/>
      <c r="D64" s="334"/>
      <c r="E64" s="334"/>
      <c r="F64" s="334"/>
      <c r="G64" s="334"/>
      <c r="H64" s="335"/>
      <c r="I64" s="336"/>
      <c r="J64" s="288"/>
      <c r="K64" s="288"/>
      <c r="L64" s="288"/>
      <c r="M64" s="288"/>
      <c r="N64" s="333"/>
    </row>
    <row r="65" spans="1:21" ht="13.5" thickBot="1" x14ac:dyDescent="0.35">
      <c r="A65" s="412" t="s">
        <v>152</v>
      </c>
      <c r="B65" s="334"/>
      <c r="C65" s="334"/>
      <c r="D65" s="334"/>
      <c r="E65" s="334"/>
      <c r="F65" s="334"/>
      <c r="G65" s="334"/>
      <c r="H65" s="335"/>
      <c r="I65" s="336"/>
      <c r="J65" s="288"/>
      <c r="K65" s="288"/>
      <c r="L65" s="288"/>
      <c r="M65" s="288"/>
      <c r="N65" s="333"/>
    </row>
    <row r="66" spans="1:21" ht="39.75" customHeight="1" thickBot="1" x14ac:dyDescent="0.35">
      <c r="A66" s="430" t="s">
        <v>158</v>
      </c>
      <c r="B66" s="431"/>
      <c r="C66" s="431"/>
      <c r="D66" s="431"/>
      <c r="E66" s="431"/>
      <c r="F66" s="431"/>
      <c r="G66" s="432"/>
      <c r="H66" s="409"/>
      <c r="I66" s="409"/>
      <c r="J66" s="409"/>
      <c r="K66" s="409"/>
      <c r="L66" s="409"/>
      <c r="M66" s="409"/>
      <c r="N66" s="473" t="s">
        <v>164</v>
      </c>
      <c r="O66" s="474"/>
      <c r="Q66" s="467" t="s">
        <v>139</v>
      </c>
      <c r="R66" s="470" t="s">
        <v>140</v>
      </c>
      <c r="S66" s="456" t="s">
        <v>141</v>
      </c>
      <c r="T66" s="459" t="s">
        <v>143</v>
      </c>
    </row>
    <row r="67" spans="1:21" ht="37" customHeight="1" thickBot="1" x14ac:dyDescent="0.35">
      <c r="A67" s="486" t="s">
        <v>159</v>
      </c>
      <c r="B67" s="433" t="s">
        <v>160</v>
      </c>
      <c r="C67" s="433" t="s">
        <v>161</v>
      </c>
      <c r="D67" s="475" t="s">
        <v>162</v>
      </c>
      <c r="E67" s="476"/>
      <c r="F67" s="476"/>
      <c r="G67" s="477"/>
      <c r="H67" s="409"/>
      <c r="I67" s="409"/>
      <c r="J67" s="409"/>
      <c r="K67" s="409"/>
      <c r="L67" s="409"/>
      <c r="M67" s="409"/>
      <c r="N67" s="478" t="s">
        <v>165</v>
      </c>
      <c r="O67" s="479"/>
      <c r="Q67" s="468"/>
      <c r="R67" s="471"/>
      <c r="S67" s="457"/>
      <c r="T67" s="460"/>
    </row>
    <row r="68" spans="1:21" ht="26.25" customHeight="1" thickBot="1" x14ac:dyDescent="0.35">
      <c r="A68" s="487"/>
      <c r="B68" s="434" t="s">
        <v>163</v>
      </c>
      <c r="C68" s="434" t="s">
        <v>163</v>
      </c>
      <c r="D68" s="435" t="s">
        <v>136</v>
      </c>
      <c r="E68" s="436" t="s">
        <v>137</v>
      </c>
      <c r="F68" s="435" t="s">
        <v>138</v>
      </c>
      <c r="G68" s="437" t="s">
        <v>120</v>
      </c>
      <c r="H68" s="409"/>
      <c r="I68" s="410" t="s">
        <v>148</v>
      </c>
      <c r="K68" s="397" t="s">
        <v>121</v>
      </c>
      <c r="L68" s="397" t="s">
        <v>122</v>
      </c>
      <c r="M68" s="409"/>
      <c r="N68" s="438" t="s">
        <v>157</v>
      </c>
      <c r="O68" s="439" t="s">
        <v>14</v>
      </c>
      <c r="Q68" s="469"/>
      <c r="R68" s="472"/>
      <c r="S68" s="458"/>
      <c r="T68" s="461"/>
    </row>
    <row r="69" spans="1:21" ht="7.5" customHeight="1" x14ac:dyDescent="0.3">
      <c r="A69" s="376"/>
      <c r="B69" s="377"/>
      <c r="C69" s="377"/>
      <c r="D69" s="378"/>
      <c r="E69" s="378"/>
      <c r="F69" s="378"/>
      <c r="G69" s="378"/>
      <c r="H69" s="375"/>
      <c r="I69" s="379"/>
      <c r="J69" s="380"/>
      <c r="K69" s="380"/>
      <c r="L69" s="380"/>
      <c r="M69" s="380"/>
      <c r="N69" s="380"/>
      <c r="O69" s="380"/>
    </row>
    <row r="70" spans="1:21" ht="27.75" customHeight="1" x14ac:dyDescent="0.3">
      <c r="A70" s="446" t="s">
        <v>156</v>
      </c>
      <c r="B70" s="447" t="s">
        <v>154</v>
      </c>
      <c r="C70" s="447" t="s">
        <v>155</v>
      </c>
      <c r="D70" s="447" t="s">
        <v>166</v>
      </c>
      <c r="E70" s="447" t="s">
        <v>167</v>
      </c>
      <c r="F70" s="448" t="s">
        <v>168</v>
      </c>
      <c r="G70" s="449" t="s">
        <v>169</v>
      </c>
      <c r="H70" s="450"/>
      <c r="I70" s="451">
        <v>2.5875364087346739E-2</v>
      </c>
      <c r="J70" s="452"/>
      <c r="K70" s="453">
        <v>0.11554702495201535</v>
      </c>
      <c r="L70" s="453">
        <v>0.13596657804785417</v>
      </c>
      <c r="M70" s="452"/>
      <c r="N70" s="454">
        <v>11.554702495201536</v>
      </c>
      <c r="O70" s="455">
        <v>13.596657804785417</v>
      </c>
      <c r="Q70" s="390">
        <v>2.7654208032844605</v>
      </c>
      <c r="R70" s="391">
        <v>3.0629329643758224E-2</v>
      </c>
      <c r="S70" s="392">
        <v>0.20394986707178125</v>
      </c>
      <c r="T70" s="396">
        <v>3</v>
      </c>
      <c r="U70" s="404" t="s">
        <v>145</v>
      </c>
    </row>
    <row r="71" spans="1:21" ht="30" customHeight="1" x14ac:dyDescent="0.3">
      <c r="A71" s="422" t="s">
        <v>170</v>
      </c>
      <c r="B71" s="381" t="s">
        <v>171</v>
      </c>
      <c r="C71" s="381" t="s">
        <v>172</v>
      </c>
      <c r="D71" s="381" t="s">
        <v>173</v>
      </c>
      <c r="E71" s="381" t="s">
        <v>174</v>
      </c>
      <c r="F71" s="382" t="s">
        <v>175</v>
      </c>
      <c r="G71" s="405" t="s">
        <v>176</v>
      </c>
      <c r="H71" s="334"/>
      <c r="I71" s="336">
        <v>6.7166437511205716E-3</v>
      </c>
      <c r="J71" s="288"/>
      <c r="K71" s="288">
        <v>5.7197696737044147E-2</v>
      </c>
      <c r="L71" s="288">
        <v>4.1017850360805165E-2</v>
      </c>
      <c r="M71" s="288"/>
      <c r="N71" s="420">
        <v>5.7197696737044144</v>
      </c>
      <c r="O71" s="421">
        <v>4.1017850360805168</v>
      </c>
      <c r="Q71" s="390">
        <v>2.9627429940231504</v>
      </c>
      <c r="R71" s="391">
        <v>-2.4269769564358473E-2</v>
      </c>
      <c r="S71" s="392">
        <v>6.1526775541207751E-2</v>
      </c>
      <c r="T71" s="396">
        <v>3</v>
      </c>
      <c r="U71" s="404" t="s">
        <v>145</v>
      </c>
    </row>
    <row r="72" spans="1:21" x14ac:dyDescent="0.3">
      <c r="A72" s="334"/>
      <c r="B72" s="334"/>
      <c r="C72" s="334"/>
      <c r="D72" s="334"/>
      <c r="E72" s="334"/>
      <c r="F72" s="334"/>
      <c r="G72" s="334"/>
      <c r="H72" s="334"/>
      <c r="I72" s="336"/>
      <c r="J72" s="288"/>
    </row>
    <row r="73" spans="1:21" x14ac:dyDescent="0.3">
      <c r="A73" s="10"/>
      <c r="B73" s="10"/>
      <c r="C73" s="10"/>
      <c r="D73" s="10"/>
      <c r="E73" s="10"/>
      <c r="F73" s="10"/>
      <c r="G73" s="10"/>
      <c r="H73" s="10"/>
      <c r="I73" s="10"/>
    </row>
  </sheetData>
  <mergeCells count="10">
    <mergeCell ref="S66:S68"/>
    <mergeCell ref="T66:T68"/>
    <mergeCell ref="A3:E3"/>
    <mergeCell ref="B44:C44"/>
    <mergeCell ref="Q66:Q68"/>
    <mergeCell ref="R66:R68"/>
    <mergeCell ref="N66:O66"/>
    <mergeCell ref="D67:G67"/>
    <mergeCell ref="N67:O67"/>
    <mergeCell ref="A67:A68"/>
  </mergeCells>
  <pageMargins left="0.7" right="0.7" top="0.75" bottom="0.75" header="0.3" footer="0.3"/>
  <pageSetup paperSize="9" orientation="portrait" horizontalDpi="300" verticalDpi="300" r:id="rId1"/>
  <ignoredErrors>
    <ignoredError sqref="G70:G7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1"/>
  <sheetViews>
    <sheetView topLeftCell="A3" zoomScale="70" zoomScaleNormal="70" workbookViewId="0">
      <selection activeCell="A4" sqref="A4:AA4"/>
    </sheetView>
  </sheetViews>
  <sheetFormatPr baseColWidth="10" defaultRowHeight="14.5" x14ac:dyDescent="0.35"/>
  <cols>
    <col min="1" max="1" width="15.453125" customWidth="1"/>
    <col min="2" max="3" width="9.90625" customWidth="1"/>
    <col min="4" max="4" width="9.6328125" customWidth="1"/>
    <col min="5" max="5" width="5.81640625" customWidth="1"/>
    <col min="6" max="6" width="5.1796875" customWidth="1"/>
    <col min="7" max="13" width="3.7265625" customWidth="1"/>
    <col min="14" max="14" width="5.453125" style="25" customWidth="1"/>
    <col min="15" max="22" width="3.7265625" style="25" customWidth="1"/>
  </cols>
  <sheetData>
    <row r="1" spans="1:27" hidden="1" x14ac:dyDescent="0.35">
      <c r="A1" s="24" t="str">
        <f>B7</f>
        <v>años</v>
      </c>
      <c r="B1" s="24" t="s">
        <v>4</v>
      </c>
      <c r="C1" s="24" t="s">
        <v>5</v>
      </c>
      <c r="D1" s="24" t="s">
        <v>6</v>
      </c>
      <c r="E1" s="24"/>
      <c r="F1" s="24"/>
      <c r="N1"/>
      <c r="O1"/>
      <c r="P1"/>
      <c r="Q1"/>
      <c r="R1"/>
    </row>
    <row r="2" spans="1:27" hidden="1" x14ac:dyDescent="0.35">
      <c r="A2" s="24" t="s">
        <v>7</v>
      </c>
      <c r="B2" s="24" t="s">
        <v>8</v>
      </c>
      <c r="C2" s="24" t="s">
        <v>9</v>
      </c>
      <c r="D2" s="24" t="s">
        <v>10</v>
      </c>
      <c r="E2" s="24" t="str">
        <f>CONCATENATE(B2," ",B5," ",C2," ",B11," ",B7)</f>
        <v>puede representarse llegando los 49 pacientes, a los 3 años</v>
      </c>
      <c r="F2" s="24"/>
      <c r="G2" s="26" t="str">
        <f>CONCATENATE(A2," ",E2,D2)</f>
        <v>NO puede representarse llegando los 49 pacientes, a los 3 años, pues habría que recortar o ampliar los tiempos respectivos de uno o más pacientes "libres de evento" o "con evento"</v>
      </c>
      <c r="H2" s="26"/>
      <c r="N2"/>
      <c r="O2"/>
      <c r="P2"/>
      <c r="Q2"/>
      <c r="R2"/>
    </row>
    <row r="3" spans="1:27" ht="8.25" customHeight="1" thickBot="1" x14ac:dyDescent="0.4">
      <c r="A3" s="27"/>
      <c r="C3" s="27"/>
      <c r="D3" s="27"/>
      <c r="E3" s="27"/>
      <c r="F3" s="27"/>
      <c r="G3" s="27"/>
      <c r="H3" s="27"/>
      <c r="I3" s="27"/>
      <c r="J3" s="28"/>
      <c r="N3"/>
      <c r="O3"/>
      <c r="P3"/>
      <c r="Q3"/>
      <c r="R3"/>
    </row>
    <row r="4" spans="1:27" ht="45.5" customHeight="1" thickBot="1" x14ac:dyDescent="0.4">
      <c r="A4" s="488" t="s">
        <v>182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90"/>
    </row>
    <row r="5" spans="1:27" ht="26" x14ac:dyDescent="0.35">
      <c r="A5" s="428" t="s">
        <v>150</v>
      </c>
      <c r="B5" s="29">
        <f>C5+D5+E5</f>
        <v>49</v>
      </c>
      <c r="C5" s="383">
        <v>6</v>
      </c>
      <c r="D5" s="30">
        <v>1</v>
      </c>
      <c r="E5" s="31">
        <v>42</v>
      </c>
      <c r="G5" s="27"/>
      <c r="H5" s="411" t="s">
        <v>153</v>
      </c>
      <c r="I5" s="3"/>
      <c r="J5" s="27"/>
      <c r="N5"/>
      <c r="O5"/>
      <c r="P5"/>
      <c r="Q5"/>
      <c r="R5"/>
    </row>
    <row r="6" spans="1:27" ht="22" customHeight="1" x14ac:dyDescent="0.35">
      <c r="A6" s="27"/>
      <c r="C6" s="32"/>
      <c r="D6" s="33"/>
      <c r="E6" s="34"/>
      <c r="F6" s="27"/>
      <c r="G6" s="27"/>
      <c r="H6" s="412" t="s">
        <v>152</v>
      </c>
      <c r="I6" s="27"/>
      <c r="J6" s="27"/>
      <c r="N6"/>
      <c r="O6"/>
      <c r="P6"/>
      <c r="Q6"/>
      <c r="R6"/>
    </row>
    <row r="7" spans="1:27" ht="39.75" customHeight="1" x14ac:dyDescent="0.35">
      <c r="A7" s="429" t="s">
        <v>151</v>
      </c>
      <c r="B7" s="35" t="s">
        <v>145</v>
      </c>
      <c r="C7" s="36" t="str">
        <f>CONCATENATE(A1," ",B1," ",B5," ",C1)</f>
        <v>años de los 49 del grupo Interv</v>
      </c>
      <c r="D7" s="36" t="str">
        <f>CONCATENATE(A1," ",B1," ",B5," ",D1)</f>
        <v>años de los 49 del grupo Contr</v>
      </c>
      <c r="E7" s="27"/>
      <c r="F7" s="27"/>
      <c r="G7" s="27"/>
      <c r="H7" s="27"/>
      <c r="I7" s="27"/>
      <c r="J7" s="27"/>
      <c r="N7"/>
      <c r="O7"/>
      <c r="P7"/>
      <c r="Q7"/>
      <c r="R7"/>
    </row>
    <row r="8" spans="1:27" ht="26.5" x14ac:dyDescent="0.35">
      <c r="A8" s="37" t="s">
        <v>1</v>
      </c>
      <c r="B8" s="38">
        <v>0.20394986707178125</v>
      </c>
      <c r="C8" s="39">
        <f>B8*B5</f>
        <v>9.9935434865172823</v>
      </c>
      <c r="D8" s="480">
        <f>(B8+B9)*B5</f>
        <v>11.494380639061434</v>
      </c>
      <c r="E8" s="40"/>
      <c r="F8" s="40"/>
      <c r="G8" s="41"/>
      <c r="H8" s="41"/>
      <c r="I8" s="27"/>
      <c r="J8" s="27"/>
      <c r="N8"/>
      <c r="O8"/>
      <c r="P8"/>
      <c r="Q8"/>
      <c r="R8"/>
    </row>
    <row r="9" spans="1:27" ht="26.5" x14ac:dyDescent="0.35">
      <c r="A9" s="42" t="s">
        <v>3</v>
      </c>
      <c r="B9" s="43">
        <v>3.0629329643758224E-2</v>
      </c>
      <c r="C9" s="481">
        <f>(B10+B9)*B5</f>
        <v>137.00645651348273</v>
      </c>
      <c r="D9" s="480"/>
      <c r="E9" s="33"/>
      <c r="F9" s="44"/>
      <c r="G9" s="41"/>
      <c r="H9" s="41"/>
      <c r="I9" s="27"/>
      <c r="J9" s="27"/>
      <c r="N9"/>
      <c r="O9"/>
      <c r="P9"/>
      <c r="Q9"/>
      <c r="R9"/>
    </row>
    <row r="10" spans="1:27" ht="26.5" x14ac:dyDescent="0.35">
      <c r="A10" s="45" t="s">
        <v>2</v>
      </c>
      <c r="B10" s="46">
        <v>2.7654208032844605</v>
      </c>
      <c r="C10" s="481"/>
      <c r="D10" s="47">
        <f>B10*B5</f>
        <v>135.50561936093857</v>
      </c>
      <c r="E10" s="32"/>
      <c r="F10" s="44"/>
      <c r="G10" s="48"/>
      <c r="H10" s="48"/>
      <c r="I10" s="27"/>
      <c r="J10" s="27"/>
      <c r="N10"/>
      <c r="O10"/>
      <c r="P10"/>
      <c r="Q10"/>
      <c r="R10"/>
    </row>
    <row r="11" spans="1:27" x14ac:dyDescent="0.35">
      <c r="A11" s="4"/>
      <c r="B11" s="49">
        <v>3</v>
      </c>
      <c r="C11" s="50">
        <f>C8+C9</f>
        <v>147</v>
      </c>
      <c r="D11" s="50">
        <f>D8+D10</f>
        <v>147</v>
      </c>
      <c r="E11" s="51"/>
      <c r="F11" s="51"/>
      <c r="G11" s="51"/>
      <c r="H11" s="51"/>
      <c r="I11" s="27"/>
      <c r="J11" s="27"/>
      <c r="N11"/>
      <c r="O11"/>
      <c r="P11"/>
      <c r="Q11"/>
      <c r="R11"/>
    </row>
    <row r="12" spans="1:27" ht="9" customHeight="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N12"/>
      <c r="O12"/>
      <c r="P12"/>
      <c r="Q12"/>
      <c r="R12"/>
    </row>
    <row r="13" spans="1:27" x14ac:dyDescent="0.35">
      <c r="A13" s="27"/>
      <c r="B13" s="27"/>
      <c r="C13" s="23">
        <f>(E5+D5)*B11</f>
        <v>129</v>
      </c>
      <c r="D13" s="23">
        <f>E5*B11</f>
        <v>126</v>
      </c>
      <c r="E13" s="27"/>
      <c r="F13" s="52" t="s">
        <v>12</v>
      </c>
      <c r="G13" s="27"/>
      <c r="H13" s="27"/>
      <c r="I13" s="27"/>
      <c r="J13" s="27"/>
      <c r="N13"/>
      <c r="O13"/>
      <c r="P13"/>
      <c r="Q13"/>
      <c r="R13"/>
    </row>
    <row r="14" spans="1:27" ht="36" customHeight="1" x14ac:dyDescent="0.35">
      <c r="A14" s="482" t="s">
        <v>13</v>
      </c>
      <c r="B14" s="482"/>
      <c r="C14" s="53">
        <f>C9-C13</f>
        <v>8.0064565134827319</v>
      </c>
      <c r="D14" s="53">
        <f>D10-D13</f>
        <v>9.5056193609385673</v>
      </c>
      <c r="F14" s="483" t="str">
        <f>IF((AND(((B9+B10)/B11)&gt;((D5+E5)/B5),(B10/B11)&gt;(E5/B5))),E2,G2)</f>
        <v>puede representarse llegando los 49 pacientes, a los 3 años</v>
      </c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5"/>
      <c r="R14"/>
    </row>
    <row r="15" spans="1:27" ht="18.75" customHeight="1" x14ac:dyDescent="0.35">
      <c r="A15" s="54"/>
      <c r="B15" s="54"/>
      <c r="C15" s="54"/>
      <c r="D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7" ht="17.25" customHeight="1" x14ac:dyDescent="0.35">
      <c r="A16" s="425" t="s">
        <v>178</v>
      </c>
      <c r="B16" s="423"/>
      <c r="C16" s="424"/>
      <c r="G16" s="56" t="s">
        <v>157</v>
      </c>
      <c r="H16" s="56"/>
      <c r="I16" s="55"/>
      <c r="J16" s="55"/>
      <c r="K16" s="56" t="s">
        <v>14</v>
      </c>
      <c r="L16" s="56"/>
      <c r="M16" s="55"/>
      <c r="N16" s="55"/>
      <c r="O16" s="55"/>
      <c r="P16" s="55"/>
      <c r="Q16" s="55"/>
      <c r="R16" s="55"/>
    </row>
    <row r="17" spans="1:22" x14ac:dyDescent="0.35">
      <c r="A17" t="s">
        <v>160</v>
      </c>
      <c r="G17" s="56" t="s">
        <v>146</v>
      </c>
      <c r="H17" s="56"/>
      <c r="I17" s="56"/>
      <c r="K17" s="56" t="s">
        <v>127</v>
      </c>
      <c r="L17" s="56"/>
    </row>
    <row r="18" spans="1:22" x14ac:dyDescent="0.35">
      <c r="A18" t="s">
        <v>161</v>
      </c>
      <c r="F18" s="25"/>
      <c r="G18" s="419">
        <v>1</v>
      </c>
      <c r="H18" s="419">
        <v>2</v>
      </c>
      <c r="I18" s="419">
        <v>3</v>
      </c>
      <c r="J18" s="25"/>
      <c r="K18" s="419">
        <v>1</v>
      </c>
      <c r="L18" s="419">
        <v>2</v>
      </c>
      <c r="M18" s="419">
        <v>3</v>
      </c>
      <c r="R18" s="417"/>
      <c r="S18" s="417"/>
      <c r="T18" s="418"/>
    </row>
    <row r="19" spans="1:22" x14ac:dyDescent="0.35">
      <c r="E19" s="57" t="s">
        <v>15</v>
      </c>
      <c r="F19" s="63">
        <v>49</v>
      </c>
      <c r="G19" s="60"/>
      <c r="H19" s="406"/>
      <c r="I19" s="406"/>
      <c r="J19" s="25"/>
      <c r="K19" s="60"/>
      <c r="L19" s="406"/>
      <c r="M19" s="406"/>
      <c r="N19" s="63">
        <v>49</v>
      </c>
      <c r="O19" s="58" t="s">
        <v>15</v>
      </c>
      <c r="P19" s="59"/>
      <c r="Q19" s="59"/>
      <c r="R19" s="59"/>
      <c r="S19" s="59"/>
      <c r="T19" s="59"/>
      <c r="U19" s="59"/>
      <c r="V19" s="59"/>
    </row>
    <row r="20" spans="1:22" ht="15" thickBot="1" x14ac:dyDescent="0.4">
      <c r="F20" s="63">
        <v>48</v>
      </c>
      <c r="G20" s="60"/>
      <c r="H20" s="406"/>
      <c r="I20" s="406"/>
      <c r="J20" s="25"/>
      <c r="K20" s="60"/>
      <c r="L20" s="406"/>
      <c r="M20" s="406"/>
      <c r="N20" s="63">
        <v>48</v>
      </c>
      <c r="O20" s="59"/>
      <c r="P20" s="59"/>
      <c r="Q20" s="59"/>
      <c r="R20" s="59"/>
      <c r="S20" s="59"/>
      <c r="T20" s="59"/>
      <c r="U20" s="59"/>
      <c r="V20" s="59"/>
    </row>
    <row r="21" spans="1:22" x14ac:dyDescent="0.35">
      <c r="A21" s="351" t="s">
        <v>132</v>
      </c>
      <c r="B21" s="352"/>
      <c r="C21" s="352"/>
      <c r="D21" s="353"/>
      <c r="F21" s="63">
        <v>47</v>
      </c>
      <c r="G21" s="60"/>
      <c r="H21" s="406"/>
      <c r="I21" s="406"/>
      <c r="J21" s="25"/>
      <c r="K21" s="60"/>
      <c r="L21" s="406"/>
      <c r="M21" s="406"/>
      <c r="N21" s="63">
        <v>47</v>
      </c>
      <c r="O21" s="59"/>
      <c r="P21" s="59"/>
      <c r="Q21" s="59"/>
      <c r="R21" s="59"/>
      <c r="S21" s="59"/>
      <c r="T21" s="59"/>
      <c r="U21" s="59"/>
      <c r="V21" s="59"/>
    </row>
    <row r="22" spans="1:22" x14ac:dyDescent="0.35">
      <c r="A22" s="354" t="s">
        <v>128</v>
      </c>
      <c r="B22" s="492" t="s">
        <v>129</v>
      </c>
      <c r="C22" s="492" t="s">
        <v>116</v>
      </c>
      <c r="D22" s="356" t="s">
        <v>11</v>
      </c>
      <c r="F22" s="63">
        <v>46</v>
      </c>
      <c r="G22" s="60"/>
      <c r="H22" s="406"/>
      <c r="I22" s="406"/>
      <c r="J22" s="25"/>
      <c r="K22" s="60"/>
      <c r="L22" s="406"/>
      <c r="M22" s="406"/>
      <c r="N22" s="63">
        <v>46</v>
      </c>
      <c r="O22" s="59"/>
      <c r="P22" s="59"/>
      <c r="Q22" s="59"/>
      <c r="R22" s="59"/>
      <c r="S22" s="59"/>
      <c r="T22" s="59"/>
      <c r="U22" s="59"/>
      <c r="V22" s="59"/>
    </row>
    <row r="23" spans="1:22" x14ac:dyDescent="0.35">
      <c r="A23" s="357">
        <v>0.11554702495201535</v>
      </c>
      <c r="B23" s="358">
        <v>0.13596657804785417</v>
      </c>
      <c r="C23" s="359">
        <f>B23-A23</f>
        <v>2.0419553095838816E-2</v>
      </c>
      <c r="D23" s="360">
        <f>1/C23</f>
        <v>48.972668270775443</v>
      </c>
      <c r="F23" s="63">
        <v>45</v>
      </c>
      <c r="G23" s="60"/>
      <c r="H23" s="60"/>
      <c r="I23" s="406"/>
      <c r="J23" s="25"/>
      <c r="K23" s="60"/>
      <c r="L23" s="60"/>
      <c r="M23" s="406"/>
      <c r="N23" s="63">
        <v>45</v>
      </c>
      <c r="O23" s="59"/>
      <c r="P23" s="59"/>
      <c r="Q23" s="59"/>
      <c r="R23" s="59"/>
      <c r="S23" s="59"/>
      <c r="T23" s="59"/>
      <c r="U23" s="59"/>
      <c r="V23" s="59"/>
    </row>
    <row r="24" spans="1:22" ht="15" thickBot="1" x14ac:dyDescent="0.4">
      <c r="A24" s="491" t="s">
        <v>179</v>
      </c>
      <c r="B24" s="365">
        <f>A23*D23</f>
        <v>5.6586461226500608</v>
      </c>
      <c r="C24" s="361">
        <f>C23*D23</f>
        <v>1</v>
      </c>
      <c r="D24" s="362">
        <f>(1-B23)*D23</f>
        <v>42.314022148125382</v>
      </c>
      <c r="F24" s="63">
        <v>44</v>
      </c>
      <c r="G24" s="60"/>
      <c r="H24" s="60"/>
      <c r="I24" s="406"/>
      <c r="J24" s="25"/>
      <c r="K24" s="60"/>
      <c r="L24" s="60"/>
      <c r="M24" s="406"/>
      <c r="N24" s="63">
        <v>44</v>
      </c>
      <c r="O24" s="59"/>
      <c r="P24" s="59"/>
      <c r="Q24" s="59"/>
      <c r="R24" s="59"/>
      <c r="S24" s="59"/>
      <c r="T24" s="59"/>
      <c r="U24" s="59"/>
      <c r="V24" s="59"/>
    </row>
    <row r="25" spans="1:22" ht="15.5" x14ac:dyDescent="0.35">
      <c r="F25" s="407">
        <v>43</v>
      </c>
      <c r="G25" s="384"/>
      <c r="H25" s="384"/>
      <c r="I25" s="384"/>
      <c r="J25" s="25"/>
      <c r="K25" s="384"/>
      <c r="L25" s="384"/>
      <c r="M25" s="406"/>
      <c r="N25" s="408">
        <v>43</v>
      </c>
      <c r="O25" s="59"/>
      <c r="P25" s="59"/>
      <c r="Q25" s="59"/>
      <c r="R25" s="59"/>
      <c r="S25" s="59"/>
      <c r="T25" s="59"/>
      <c r="U25" s="59"/>
      <c r="V25" s="59"/>
    </row>
    <row r="26" spans="1:22" x14ac:dyDescent="0.35">
      <c r="F26" s="61">
        <v>42</v>
      </c>
      <c r="G26" s="60"/>
      <c r="H26" s="60"/>
      <c r="I26" s="60"/>
      <c r="J26" s="62"/>
      <c r="K26" s="60"/>
      <c r="L26" s="60"/>
      <c r="M26" s="60"/>
      <c r="N26" s="61">
        <v>42</v>
      </c>
      <c r="O26" s="59"/>
      <c r="P26" s="59"/>
      <c r="Q26" s="59"/>
      <c r="R26" s="59"/>
      <c r="S26" s="59"/>
      <c r="T26" s="59"/>
      <c r="U26" s="59"/>
      <c r="V26" s="59"/>
    </row>
    <row r="27" spans="1:22" x14ac:dyDescent="0.35">
      <c r="F27" s="61">
        <v>41</v>
      </c>
      <c r="G27" s="60"/>
      <c r="H27" s="60"/>
      <c r="I27" s="60"/>
      <c r="J27" s="62"/>
      <c r="K27" s="60"/>
      <c r="L27" s="60"/>
      <c r="M27" s="60"/>
      <c r="N27" s="61">
        <v>41</v>
      </c>
      <c r="O27" s="59"/>
      <c r="P27" s="59"/>
      <c r="Q27" s="59"/>
      <c r="R27" s="59"/>
      <c r="S27" s="59"/>
      <c r="T27" s="59"/>
      <c r="U27" s="59"/>
      <c r="V27" s="59"/>
    </row>
    <row r="28" spans="1:22" x14ac:dyDescent="0.35">
      <c r="F28" s="61">
        <v>40</v>
      </c>
      <c r="G28" s="60"/>
      <c r="H28" s="60"/>
      <c r="I28" s="60"/>
      <c r="K28" s="60"/>
      <c r="L28" s="60"/>
      <c r="M28" s="60"/>
      <c r="N28" s="61">
        <v>40</v>
      </c>
    </row>
    <row r="29" spans="1:22" x14ac:dyDescent="0.35">
      <c r="F29" s="61">
        <v>39</v>
      </c>
      <c r="G29" s="60"/>
      <c r="H29" s="60"/>
      <c r="I29" s="60"/>
      <c r="K29" s="60"/>
      <c r="L29" s="60"/>
      <c r="M29" s="60"/>
      <c r="N29" s="61">
        <v>39</v>
      </c>
    </row>
    <row r="30" spans="1:22" x14ac:dyDescent="0.35">
      <c r="F30" s="61">
        <v>38</v>
      </c>
      <c r="G30" s="60"/>
      <c r="H30" s="60"/>
      <c r="I30" s="60"/>
      <c r="K30" s="60"/>
      <c r="L30" s="60"/>
      <c r="M30" s="60"/>
      <c r="N30" s="61">
        <v>38</v>
      </c>
    </row>
    <row r="31" spans="1:22" x14ac:dyDescent="0.35">
      <c r="F31" s="61">
        <v>37</v>
      </c>
      <c r="G31" s="60"/>
      <c r="H31" s="60"/>
      <c r="I31" s="60"/>
      <c r="K31" s="60"/>
      <c r="L31" s="60"/>
      <c r="M31" s="60"/>
      <c r="N31" s="61">
        <v>37</v>
      </c>
    </row>
    <row r="32" spans="1:22" x14ac:dyDescent="0.35">
      <c r="F32" s="61">
        <v>36</v>
      </c>
      <c r="G32" s="60"/>
      <c r="H32" s="60"/>
      <c r="I32" s="60"/>
      <c r="K32" s="60"/>
      <c r="L32" s="60"/>
      <c r="M32" s="60"/>
      <c r="N32" s="61">
        <v>36</v>
      </c>
    </row>
    <row r="33" spans="6:14" x14ac:dyDescent="0.35">
      <c r="F33" s="61">
        <v>35</v>
      </c>
      <c r="G33" s="60"/>
      <c r="H33" s="60"/>
      <c r="I33" s="60"/>
      <c r="K33" s="60"/>
      <c r="L33" s="60"/>
      <c r="M33" s="60"/>
      <c r="N33" s="61">
        <v>35</v>
      </c>
    </row>
    <row r="34" spans="6:14" x14ac:dyDescent="0.35">
      <c r="F34" s="61">
        <v>34</v>
      </c>
      <c r="G34" s="60"/>
      <c r="H34" s="60"/>
      <c r="I34" s="60"/>
      <c r="K34" s="60"/>
      <c r="L34" s="60"/>
      <c r="M34" s="60"/>
      <c r="N34" s="61">
        <v>34</v>
      </c>
    </row>
    <row r="35" spans="6:14" x14ac:dyDescent="0.35">
      <c r="F35" s="61">
        <v>33</v>
      </c>
      <c r="G35" s="60"/>
      <c r="H35" s="60"/>
      <c r="I35" s="60"/>
      <c r="K35" s="60"/>
      <c r="L35" s="60"/>
      <c r="M35" s="60"/>
      <c r="N35" s="61">
        <v>33</v>
      </c>
    </row>
    <row r="36" spans="6:14" x14ac:dyDescent="0.35">
      <c r="F36" s="61">
        <v>32</v>
      </c>
      <c r="G36" s="60"/>
      <c r="H36" s="60"/>
      <c r="I36" s="60"/>
      <c r="K36" s="60"/>
      <c r="L36" s="60"/>
      <c r="M36" s="60"/>
      <c r="N36" s="61">
        <v>32</v>
      </c>
    </row>
    <row r="37" spans="6:14" x14ac:dyDescent="0.35">
      <c r="F37" s="61">
        <v>31</v>
      </c>
      <c r="G37" s="60"/>
      <c r="H37" s="60"/>
      <c r="I37" s="60"/>
      <c r="K37" s="60"/>
      <c r="L37" s="60"/>
      <c r="M37" s="60"/>
      <c r="N37" s="61">
        <v>31</v>
      </c>
    </row>
    <row r="38" spans="6:14" x14ac:dyDescent="0.35">
      <c r="F38" s="61">
        <v>30</v>
      </c>
      <c r="G38" s="60"/>
      <c r="H38" s="60"/>
      <c r="I38" s="60"/>
      <c r="K38" s="60"/>
      <c r="L38" s="60"/>
      <c r="M38" s="60"/>
      <c r="N38" s="61">
        <v>30</v>
      </c>
    </row>
    <row r="39" spans="6:14" x14ac:dyDescent="0.35">
      <c r="F39" s="61">
        <v>29</v>
      </c>
      <c r="G39" s="60"/>
      <c r="H39" s="60"/>
      <c r="I39" s="60"/>
      <c r="K39" s="60"/>
      <c r="L39" s="60"/>
      <c r="M39" s="60"/>
      <c r="N39" s="61">
        <v>29</v>
      </c>
    </row>
    <row r="40" spans="6:14" x14ac:dyDescent="0.35">
      <c r="F40" s="61">
        <v>28</v>
      </c>
      <c r="G40" s="60"/>
      <c r="H40" s="60"/>
      <c r="I40" s="60"/>
      <c r="K40" s="60"/>
      <c r="L40" s="60"/>
      <c r="M40" s="60"/>
      <c r="N40" s="61">
        <v>28</v>
      </c>
    </row>
    <row r="41" spans="6:14" x14ac:dyDescent="0.35">
      <c r="F41" s="61">
        <v>27</v>
      </c>
      <c r="G41" s="60"/>
      <c r="H41" s="60"/>
      <c r="I41" s="60"/>
      <c r="K41" s="60"/>
      <c r="L41" s="60"/>
      <c r="M41" s="60"/>
      <c r="N41" s="61">
        <v>27</v>
      </c>
    </row>
    <row r="42" spans="6:14" x14ac:dyDescent="0.35">
      <c r="F42" s="61">
        <v>26</v>
      </c>
      <c r="G42" s="60"/>
      <c r="H42" s="60"/>
      <c r="I42" s="60"/>
      <c r="K42" s="60"/>
      <c r="L42" s="60"/>
      <c r="M42" s="60"/>
      <c r="N42" s="61">
        <v>26</v>
      </c>
    </row>
    <row r="43" spans="6:14" x14ac:dyDescent="0.35">
      <c r="F43" s="61">
        <v>25</v>
      </c>
      <c r="G43" s="60"/>
      <c r="H43" s="60"/>
      <c r="I43" s="60"/>
      <c r="K43" s="60"/>
      <c r="L43" s="60"/>
      <c r="M43" s="60"/>
      <c r="N43" s="61">
        <v>25</v>
      </c>
    </row>
    <row r="44" spans="6:14" x14ac:dyDescent="0.35">
      <c r="F44" s="61">
        <v>24</v>
      </c>
      <c r="G44" s="60"/>
      <c r="H44" s="60"/>
      <c r="I44" s="60"/>
      <c r="K44" s="60"/>
      <c r="L44" s="60"/>
      <c r="M44" s="60"/>
      <c r="N44" s="61">
        <v>24</v>
      </c>
    </row>
    <row r="45" spans="6:14" x14ac:dyDescent="0.35">
      <c r="F45" s="61">
        <v>23</v>
      </c>
      <c r="G45" s="60"/>
      <c r="H45" s="60"/>
      <c r="I45" s="60"/>
      <c r="K45" s="60"/>
      <c r="L45" s="60"/>
      <c r="M45" s="60"/>
      <c r="N45" s="61">
        <v>23</v>
      </c>
    </row>
    <row r="46" spans="6:14" x14ac:dyDescent="0.35">
      <c r="F46" s="61">
        <v>22</v>
      </c>
      <c r="G46" s="60"/>
      <c r="H46" s="60"/>
      <c r="I46" s="60"/>
      <c r="K46" s="60"/>
      <c r="L46" s="60"/>
      <c r="M46" s="60"/>
      <c r="N46" s="61">
        <v>22</v>
      </c>
    </row>
    <row r="47" spans="6:14" x14ac:dyDescent="0.35">
      <c r="F47" s="61">
        <v>21</v>
      </c>
      <c r="G47" s="60"/>
      <c r="H47" s="60"/>
      <c r="I47" s="60"/>
      <c r="K47" s="60"/>
      <c r="L47" s="60"/>
      <c r="M47" s="60"/>
      <c r="N47" s="61">
        <v>21</v>
      </c>
    </row>
    <row r="48" spans="6:14" x14ac:dyDescent="0.35">
      <c r="F48" s="61">
        <v>20</v>
      </c>
      <c r="G48" s="60"/>
      <c r="H48" s="60"/>
      <c r="I48" s="60"/>
      <c r="K48" s="60"/>
      <c r="L48" s="60"/>
      <c r="M48" s="60"/>
      <c r="N48" s="61">
        <v>20</v>
      </c>
    </row>
    <row r="49" spans="6:14" x14ac:dyDescent="0.35">
      <c r="F49" s="61">
        <v>19</v>
      </c>
      <c r="G49" s="60"/>
      <c r="H49" s="60"/>
      <c r="I49" s="60"/>
      <c r="K49" s="60"/>
      <c r="L49" s="60"/>
      <c r="M49" s="60"/>
      <c r="N49" s="61">
        <v>19</v>
      </c>
    </row>
    <row r="50" spans="6:14" x14ac:dyDescent="0.35">
      <c r="F50" s="61">
        <v>18</v>
      </c>
      <c r="G50" s="60"/>
      <c r="H50" s="60"/>
      <c r="I50" s="60"/>
      <c r="K50" s="60"/>
      <c r="L50" s="60"/>
      <c r="M50" s="60"/>
      <c r="N50" s="61">
        <v>18</v>
      </c>
    </row>
    <row r="51" spans="6:14" x14ac:dyDescent="0.35">
      <c r="F51" s="61">
        <v>17</v>
      </c>
      <c r="G51" s="60"/>
      <c r="H51" s="60"/>
      <c r="I51" s="60"/>
      <c r="K51" s="60"/>
      <c r="L51" s="60"/>
      <c r="M51" s="60"/>
      <c r="N51" s="61">
        <v>17</v>
      </c>
    </row>
    <row r="52" spans="6:14" x14ac:dyDescent="0.35">
      <c r="F52" s="61">
        <v>16</v>
      </c>
      <c r="G52" s="60"/>
      <c r="H52" s="60"/>
      <c r="I52" s="60"/>
      <c r="K52" s="60"/>
      <c r="L52" s="60"/>
      <c r="M52" s="60"/>
      <c r="N52" s="61">
        <v>16</v>
      </c>
    </row>
    <row r="53" spans="6:14" x14ac:dyDescent="0.35">
      <c r="F53" s="61">
        <v>15</v>
      </c>
      <c r="G53" s="60"/>
      <c r="H53" s="60"/>
      <c r="I53" s="60"/>
      <c r="K53" s="60"/>
      <c r="L53" s="60"/>
      <c r="M53" s="60"/>
      <c r="N53" s="61">
        <v>15</v>
      </c>
    </row>
    <row r="54" spans="6:14" x14ac:dyDescent="0.35">
      <c r="F54" s="61">
        <v>14</v>
      </c>
      <c r="G54" s="60"/>
      <c r="H54" s="60"/>
      <c r="I54" s="60"/>
      <c r="K54" s="60"/>
      <c r="L54" s="60"/>
      <c r="M54" s="60"/>
      <c r="N54" s="61">
        <v>14</v>
      </c>
    </row>
    <row r="55" spans="6:14" x14ac:dyDescent="0.35">
      <c r="F55" s="61">
        <v>13</v>
      </c>
      <c r="G55" s="60"/>
      <c r="H55" s="60"/>
      <c r="I55" s="60"/>
      <c r="K55" s="60"/>
      <c r="L55" s="60"/>
      <c r="M55" s="60"/>
      <c r="N55" s="61">
        <v>13</v>
      </c>
    </row>
    <row r="56" spans="6:14" x14ac:dyDescent="0.35">
      <c r="F56" s="61">
        <v>12</v>
      </c>
      <c r="G56" s="60"/>
      <c r="H56" s="60"/>
      <c r="I56" s="60"/>
      <c r="K56" s="60"/>
      <c r="L56" s="60"/>
      <c r="M56" s="60"/>
      <c r="N56" s="61">
        <v>12</v>
      </c>
    </row>
    <row r="57" spans="6:14" x14ac:dyDescent="0.35">
      <c r="F57" s="61">
        <v>11</v>
      </c>
      <c r="G57" s="60"/>
      <c r="H57" s="60"/>
      <c r="I57" s="60"/>
      <c r="K57" s="60"/>
      <c r="L57" s="60"/>
      <c r="M57" s="60"/>
      <c r="N57" s="61">
        <v>11</v>
      </c>
    </row>
    <row r="58" spans="6:14" x14ac:dyDescent="0.35">
      <c r="F58" s="61">
        <v>10</v>
      </c>
      <c r="G58" s="60"/>
      <c r="H58" s="60"/>
      <c r="I58" s="60"/>
      <c r="K58" s="60"/>
      <c r="L58" s="60"/>
      <c r="M58" s="60"/>
      <c r="N58" s="61">
        <v>10</v>
      </c>
    </row>
    <row r="59" spans="6:14" x14ac:dyDescent="0.35">
      <c r="F59" s="61">
        <v>9</v>
      </c>
      <c r="G59" s="60"/>
      <c r="H59" s="60"/>
      <c r="I59" s="60"/>
      <c r="K59" s="60"/>
      <c r="L59" s="60"/>
      <c r="M59" s="60"/>
      <c r="N59" s="61">
        <v>9</v>
      </c>
    </row>
    <row r="60" spans="6:14" x14ac:dyDescent="0.35">
      <c r="F60" s="61">
        <v>8</v>
      </c>
      <c r="G60" s="60"/>
      <c r="H60" s="60"/>
      <c r="I60" s="60"/>
      <c r="K60" s="60"/>
      <c r="L60" s="60"/>
      <c r="M60" s="60"/>
      <c r="N60" s="61">
        <v>8</v>
      </c>
    </row>
    <row r="61" spans="6:14" x14ac:dyDescent="0.35">
      <c r="F61" s="61">
        <v>7</v>
      </c>
      <c r="G61" s="60"/>
      <c r="H61" s="60"/>
      <c r="I61" s="60"/>
      <c r="K61" s="60"/>
      <c r="L61" s="60"/>
      <c r="M61" s="60"/>
      <c r="N61" s="61">
        <v>7</v>
      </c>
    </row>
    <row r="62" spans="6:14" x14ac:dyDescent="0.35">
      <c r="F62" s="61">
        <v>6</v>
      </c>
      <c r="G62" s="60"/>
      <c r="H62" s="60"/>
      <c r="I62" s="60"/>
      <c r="K62" s="60"/>
      <c r="L62" s="60"/>
      <c r="M62" s="60"/>
      <c r="N62" s="61">
        <v>6</v>
      </c>
    </row>
    <row r="63" spans="6:14" x14ac:dyDescent="0.35">
      <c r="F63" s="61">
        <v>5</v>
      </c>
      <c r="G63" s="60"/>
      <c r="H63" s="60"/>
      <c r="I63" s="60"/>
      <c r="K63" s="60"/>
      <c r="L63" s="60"/>
      <c r="M63" s="60"/>
      <c r="N63" s="61">
        <v>5</v>
      </c>
    </row>
    <row r="64" spans="6:14" x14ac:dyDescent="0.35">
      <c r="F64" s="61">
        <v>4</v>
      </c>
      <c r="G64" s="60"/>
      <c r="H64" s="60"/>
      <c r="I64" s="60"/>
      <c r="K64" s="60"/>
      <c r="L64" s="60"/>
      <c r="M64" s="60"/>
      <c r="N64" s="61">
        <v>4</v>
      </c>
    </row>
    <row r="65" spans="6:14" x14ac:dyDescent="0.35">
      <c r="F65" s="61">
        <v>3</v>
      </c>
      <c r="G65" s="60"/>
      <c r="H65" s="60"/>
      <c r="I65" s="60"/>
      <c r="K65" s="60"/>
      <c r="L65" s="60"/>
      <c r="M65" s="60"/>
      <c r="N65" s="61">
        <v>3</v>
      </c>
    </row>
    <row r="66" spans="6:14" x14ac:dyDescent="0.35">
      <c r="F66" s="61">
        <v>2</v>
      </c>
      <c r="G66" s="60"/>
      <c r="H66" s="60"/>
      <c r="I66" s="60"/>
      <c r="K66" s="60"/>
      <c r="L66" s="60"/>
      <c r="M66" s="60"/>
      <c r="N66" s="61">
        <v>2</v>
      </c>
    </row>
    <row r="67" spans="6:14" x14ac:dyDescent="0.35">
      <c r="F67" s="61">
        <v>1</v>
      </c>
      <c r="G67" s="60"/>
      <c r="H67" s="60"/>
      <c r="I67" s="60"/>
      <c r="K67" s="60"/>
      <c r="L67" s="60"/>
      <c r="M67" s="60"/>
      <c r="N67" s="61">
        <v>1</v>
      </c>
    </row>
    <row r="68" spans="6:14" x14ac:dyDescent="0.35">
      <c r="G68" s="419">
        <v>1</v>
      </c>
      <c r="H68" s="419">
        <v>2</v>
      </c>
      <c r="I68" s="419">
        <v>3</v>
      </c>
      <c r="J68" s="25"/>
      <c r="K68" s="419">
        <v>1</v>
      </c>
      <c r="L68" s="419">
        <v>2</v>
      </c>
      <c r="M68" s="419">
        <v>3</v>
      </c>
    </row>
    <row r="69" spans="6:14" x14ac:dyDescent="0.35">
      <c r="G69" s="56" t="s">
        <v>146</v>
      </c>
      <c r="H69" s="56"/>
      <c r="I69" s="56"/>
      <c r="K69" s="56" t="s">
        <v>146</v>
      </c>
    </row>
    <row r="70" spans="6:14" x14ac:dyDescent="0.35">
      <c r="G70" s="56" t="s">
        <v>157</v>
      </c>
      <c r="H70" s="56"/>
      <c r="I70" s="55"/>
      <c r="J70" s="55"/>
      <c r="K70" s="56" t="s">
        <v>14</v>
      </c>
      <c r="L70" s="55"/>
    </row>
    <row r="71" spans="6:14" x14ac:dyDescent="0.35">
      <c r="K71" s="56"/>
    </row>
  </sheetData>
  <mergeCells count="5">
    <mergeCell ref="D8:D9"/>
    <mergeCell ref="C9:C10"/>
    <mergeCell ref="A14:B14"/>
    <mergeCell ref="F14:Q14"/>
    <mergeCell ref="A4:AA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4"/>
  <sheetViews>
    <sheetView topLeftCell="A3" zoomScale="70" zoomScaleNormal="70" workbookViewId="0">
      <selection activeCell="S18" sqref="S18"/>
    </sheetView>
  </sheetViews>
  <sheetFormatPr baseColWidth="10" defaultRowHeight="14.5" x14ac:dyDescent="0.35"/>
  <cols>
    <col min="1" max="1" width="15.26953125" customWidth="1"/>
    <col min="2" max="2" width="9.81640625" customWidth="1"/>
    <col min="3" max="3" width="11.36328125" customWidth="1"/>
    <col min="4" max="4" width="11.7265625" customWidth="1"/>
    <col min="5" max="5" width="5.81640625" customWidth="1"/>
    <col min="6" max="6" width="5.1796875" customWidth="1"/>
    <col min="7" max="13" width="3.7265625" customWidth="1"/>
    <col min="14" max="14" width="5.453125" style="25" customWidth="1"/>
    <col min="15" max="22" width="3.7265625" style="25" customWidth="1"/>
  </cols>
  <sheetData>
    <row r="1" spans="1:27" hidden="1" x14ac:dyDescent="0.35">
      <c r="A1" s="24" t="str">
        <f>B7</f>
        <v>años</v>
      </c>
      <c r="B1" s="24" t="s">
        <v>4</v>
      </c>
      <c r="C1" s="24" t="s">
        <v>5</v>
      </c>
      <c r="D1" s="24" t="s">
        <v>6</v>
      </c>
      <c r="E1" s="24"/>
      <c r="F1" s="24"/>
      <c r="N1"/>
      <c r="O1"/>
      <c r="P1"/>
      <c r="Q1"/>
      <c r="R1"/>
    </row>
    <row r="2" spans="1:27" hidden="1" x14ac:dyDescent="0.35">
      <c r="A2" s="24" t="s">
        <v>7</v>
      </c>
      <c r="B2" s="24" t="s">
        <v>8</v>
      </c>
      <c r="C2" s="24" t="s">
        <v>9</v>
      </c>
      <c r="D2" s="24" t="s">
        <v>10</v>
      </c>
      <c r="E2" s="24" t="str">
        <f>CONCATENATE(B2," ",B5," ",C2," ",B11," ",B7)</f>
        <v>puede representarse llegando los 62 pacientes, a los 3 años</v>
      </c>
      <c r="F2" s="24"/>
      <c r="G2" s="26" t="str">
        <f>CONCATENATE(A2," ",E2,D2)</f>
        <v>NO puede representarse llegando los 62 pacientes, a los 3 años, pues habría que recortar o ampliar los tiempos respectivos de uno o más pacientes "libres de evento" o "con evento"</v>
      </c>
      <c r="H2" s="26"/>
      <c r="N2"/>
      <c r="O2"/>
      <c r="P2"/>
      <c r="Q2"/>
      <c r="R2"/>
    </row>
    <row r="3" spans="1:27" ht="8.25" customHeight="1" thickBot="1" x14ac:dyDescent="0.4">
      <c r="A3" s="27"/>
      <c r="C3" s="27"/>
      <c r="D3" s="27"/>
      <c r="E3" s="27"/>
      <c r="F3" s="27"/>
      <c r="G3" s="27"/>
      <c r="H3" s="27"/>
      <c r="I3" s="27"/>
      <c r="J3" s="28"/>
      <c r="N3"/>
      <c r="O3"/>
      <c r="P3"/>
      <c r="Q3"/>
      <c r="R3"/>
    </row>
    <row r="4" spans="1:27" ht="48" customHeight="1" thickBot="1" x14ac:dyDescent="0.4">
      <c r="A4" s="488" t="s">
        <v>183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90"/>
    </row>
    <row r="5" spans="1:27" ht="26" x14ac:dyDescent="0.35">
      <c r="A5" s="428" t="s">
        <v>150</v>
      </c>
      <c r="B5" s="29">
        <f>C5+D5+E5</f>
        <v>62</v>
      </c>
      <c r="C5" s="426">
        <v>3</v>
      </c>
      <c r="D5" s="427">
        <v>1</v>
      </c>
      <c r="E5" s="31">
        <v>58</v>
      </c>
      <c r="G5" s="27"/>
      <c r="H5" s="411" t="s">
        <v>153</v>
      </c>
      <c r="I5" s="3"/>
      <c r="J5" s="27"/>
      <c r="N5"/>
      <c r="O5"/>
      <c r="P5"/>
      <c r="Q5"/>
      <c r="R5"/>
    </row>
    <row r="6" spans="1:27" ht="15" customHeight="1" x14ac:dyDescent="0.35">
      <c r="A6" s="27"/>
      <c r="C6" s="32"/>
      <c r="D6" s="33"/>
      <c r="E6" s="34"/>
      <c r="F6" s="27"/>
      <c r="G6" s="27"/>
      <c r="H6" s="412" t="s">
        <v>152</v>
      </c>
      <c r="I6" s="27"/>
      <c r="J6" s="27"/>
      <c r="N6"/>
      <c r="O6"/>
      <c r="P6"/>
      <c r="Q6"/>
      <c r="R6"/>
    </row>
    <row r="7" spans="1:27" ht="39.75" customHeight="1" x14ac:dyDescent="0.35">
      <c r="A7" s="429" t="s">
        <v>151</v>
      </c>
      <c r="B7" s="35" t="s">
        <v>145</v>
      </c>
      <c r="C7" s="36" t="str">
        <f>CONCATENATE(A1," ",B1," ",B5," ",C1)</f>
        <v>años de los 62 del grupo Interv</v>
      </c>
      <c r="D7" s="36" t="str">
        <f>CONCATENATE(A1," ",B1," ",B5," ",D1)</f>
        <v>años de los 62 del grupo Contr</v>
      </c>
      <c r="E7" s="27"/>
      <c r="F7" s="27"/>
      <c r="G7" s="27"/>
      <c r="H7" s="27"/>
      <c r="I7" s="27"/>
      <c r="J7" s="27"/>
      <c r="N7"/>
      <c r="O7"/>
      <c r="P7"/>
      <c r="Q7"/>
      <c r="R7"/>
    </row>
    <row r="8" spans="1:27" ht="26.5" x14ac:dyDescent="0.35">
      <c r="A8" s="37" t="s">
        <v>1</v>
      </c>
      <c r="B8" s="38">
        <v>8.5796545105566224E-2</v>
      </c>
      <c r="C8" s="39">
        <f>B8*B5</f>
        <v>5.3193857965451059</v>
      </c>
      <c r="D8" s="480">
        <f>(B8+B9)*B5</f>
        <v>6.8241115095353315</v>
      </c>
      <c r="E8" s="40"/>
      <c r="F8" s="40"/>
      <c r="G8" s="41"/>
      <c r="H8" s="41"/>
      <c r="I8" s="27"/>
      <c r="J8" s="27"/>
      <c r="N8"/>
      <c r="O8"/>
      <c r="P8"/>
      <c r="Q8"/>
      <c r="R8"/>
    </row>
    <row r="9" spans="1:27" ht="26.5" x14ac:dyDescent="0.35">
      <c r="A9" s="42" t="s">
        <v>3</v>
      </c>
      <c r="B9" s="43">
        <v>2.4269769564358473E-2</v>
      </c>
      <c r="C9" s="481">
        <f>(B10+B9)*B5</f>
        <v>180.68061420345489</v>
      </c>
      <c r="D9" s="480"/>
      <c r="E9" s="33"/>
      <c r="F9" s="44"/>
      <c r="G9" s="41"/>
      <c r="H9" s="41"/>
      <c r="I9" s="27"/>
      <c r="J9" s="27"/>
      <c r="N9"/>
      <c r="O9"/>
      <c r="P9"/>
      <c r="Q9"/>
      <c r="R9"/>
    </row>
    <row r="10" spans="1:27" ht="26.5" x14ac:dyDescent="0.35">
      <c r="A10" s="45" t="s">
        <v>2</v>
      </c>
      <c r="B10" s="46">
        <v>2.8899336853300754</v>
      </c>
      <c r="C10" s="481"/>
      <c r="D10" s="47">
        <f>B10*B5</f>
        <v>179.17588849046467</v>
      </c>
      <c r="E10" s="32"/>
      <c r="F10" s="44"/>
      <c r="G10" s="48"/>
      <c r="H10" s="48"/>
      <c r="I10" s="27"/>
      <c r="J10" s="27"/>
      <c r="N10"/>
      <c r="O10"/>
      <c r="P10"/>
      <c r="Q10"/>
      <c r="R10"/>
    </row>
    <row r="11" spans="1:27" x14ac:dyDescent="0.35">
      <c r="A11" s="4"/>
      <c r="B11" s="49">
        <v>3</v>
      </c>
      <c r="C11" s="50">
        <f>C8+C9</f>
        <v>186</v>
      </c>
      <c r="D11" s="50">
        <f>D8+D10</f>
        <v>186</v>
      </c>
      <c r="E11" s="51"/>
      <c r="F11" s="51"/>
      <c r="G11" s="51"/>
      <c r="H11" s="51"/>
      <c r="I11" s="27"/>
      <c r="J11" s="27"/>
      <c r="N11"/>
      <c r="O11"/>
      <c r="P11"/>
      <c r="Q11"/>
      <c r="R11"/>
    </row>
    <row r="12" spans="1:27" ht="9" customHeight="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N12"/>
      <c r="O12"/>
      <c r="P12"/>
      <c r="Q12"/>
      <c r="R12"/>
    </row>
    <row r="13" spans="1:27" x14ac:dyDescent="0.35">
      <c r="A13" s="27"/>
      <c r="B13" s="27"/>
      <c r="C13" s="23">
        <f>(E5+D5)*B11</f>
        <v>177</v>
      </c>
      <c r="D13" s="23">
        <f>E5*B11</f>
        <v>174</v>
      </c>
      <c r="E13" s="27"/>
      <c r="F13" s="52" t="s">
        <v>12</v>
      </c>
      <c r="G13" s="27"/>
      <c r="H13" s="27"/>
      <c r="I13" s="27"/>
      <c r="J13" s="27"/>
      <c r="N13"/>
      <c r="O13"/>
      <c r="P13"/>
      <c r="Q13"/>
      <c r="R13"/>
      <c r="S13"/>
    </row>
    <row r="14" spans="1:27" ht="36" customHeight="1" x14ac:dyDescent="0.35">
      <c r="A14" s="482" t="s">
        <v>13</v>
      </c>
      <c r="B14" s="482"/>
      <c r="C14" s="53">
        <f>C9-C13</f>
        <v>3.6806142034548941</v>
      </c>
      <c r="D14" s="53">
        <f>D10-D13</f>
        <v>5.175888490464672</v>
      </c>
      <c r="F14" s="483" t="str">
        <f>IF((AND(((B9+B10)/B11)&gt;((D5+E5)/B5),(B10/B11)&gt;(E5/B5))),E2,G2)</f>
        <v>puede representarse llegando los 62 pacientes, a los 3 años</v>
      </c>
      <c r="G14" s="484"/>
      <c r="H14" s="484"/>
      <c r="I14" s="484"/>
      <c r="J14" s="484"/>
      <c r="K14" s="484"/>
      <c r="L14" s="484"/>
      <c r="M14" s="484"/>
      <c r="N14" s="484"/>
      <c r="O14" s="484"/>
      <c r="P14" s="485"/>
      <c r="Q14"/>
      <c r="R14"/>
      <c r="S14"/>
    </row>
    <row r="15" spans="1:27" ht="18.75" customHeight="1" x14ac:dyDescent="0.35">
      <c r="A15" s="54"/>
      <c r="B15" s="54"/>
      <c r="C15" s="54"/>
      <c r="D15" s="54"/>
      <c r="F15" s="442" t="s">
        <v>177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7" ht="17.25" customHeight="1" x14ac:dyDescent="0.35">
      <c r="A16" s="425" t="s">
        <v>149</v>
      </c>
      <c r="B16" s="423"/>
      <c r="C16" s="424"/>
      <c r="G16" s="1" t="s">
        <v>14</v>
      </c>
      <c r="H16" s="1"/>
      <c r="I16" s="443"/>
      <c r="J16" s="443"/>
      <c r="K16" s="1" t="s">
        <v>157</v>
      </c>
      <c r="L16" s="56"/>
      <c r="M16" s="55"/>
      <c r="N16" s="55"/>
      <c r="O16" s="55"/>
      <c r="P16" s="55"/>
      <c r="Q16" s="55"/>
      <c r="R16" s="55"/>
    </row>
    <row r="17" spans="1:22" x14ac:dyDescent="0.35">
      <c r="A17" t="s">
        <v>160</v>
      </c>
      <c r="G17" s="56" t="s">
        <v>146</v>
      </c>
      <c r="H17" s="56"/>
      <c r="I17" s="56"/>
      <c r="K17" s="56" t="s">
        <v>146</v>
      </c>
      <c r="L17" s="56"/>
    </row>
    <row r="18" spans="1:22" x14ac:dyDescent="0.35">
      <c r="A18" t="s">
        <v>161</v>
      </c>
      <c r="F18" s="25"/>
      <c r="G18" s="419">
        <v>1</v>
      </c>
      <c r="H18" s="419">
        <v>2</v>
      </c>
      <c r="I18" s="419">
        <v>3</v>
      </c>
      <c r="J18" s="25"/>
      <c r="K18" s="419">
        <v>1</v>
      </c>
      <c r="L18" s="419">
        <v>2</v>
      </c>
      <c r="M18" s="419">
        <v>3</v>
      </c>
      <c r="R18" s="417"/>
      <c r="S18" s="417"/>
      <c r="T18" s="418"/>
    </row>
    <row r="19" spans="1:22" x14ac:dyDescent="0.35">
      <c r="E19" s="57" t="s">
        <v>15</v>
      </c>
      <c r="F19" s="63">
        <v>62</v>
      </c>
      <c r="G19" s="60"/>
      <c r="H19" s="493"/>
      <c r="I19" s="493"/>
      <c r="J19" s="25"/>
      <c r="K19" s="60"/>
      <c r="L19" s="493"/>
      <c r="M19" s="493"/>
      <c r="N19" s="63">
        <v>62</v>
      </c>
      <c r="O19" s="58" t="s">
        <v>15</v>
      </c>
      <c r="P19" s="59"/>
      <c r="Q19" s="59"/>
      <c r="R19" s="59"/>
      <c r="S19" s="59"/>
      <c r="T19" s="59"/>
      <c r="U19" s="59"/>
      <c r="V19" s="59"/>
    </row>
    <row r="20" spans="1:22" ht="15" thickBot="1" x14ac:dyDescent="0.4">
      <c r="F20" s="63">
        <v>61</v>
      </c>
      <c r="G20" s="60"/>
      <c r="H20" s="493"/>
      <c r="I20" s="493"/>
      <c r="J20" s="25"/>
      <c r="K20" s="60"/>
      <c r="L20" s="493"/>
      <c r="M20" s="493"/>
      <c r="N20" s="63">
        <v>61</v>
      </c>
      <c r="O20" s="59"/>
      <c r="P20" s="59"/>
      <c r="Q20" s="59"/>
      <c r="R20" s="59"/>
      <c r="S20" s="59"/>
      <c r="T20" s="59"/>
      <c r="U20" s="59"/>
      <c r="V20" s="59"/>
    </row>
    <row r="21" spans="1:22" x14ac:dyDescent="0.35">
      <c r="A21" s="351" t="s">
        <v>132</v>
      </c>
      <c r="B21" s="352"/>
      <c r="C21" s="352"/>
      <c r="D21" s="353"/>
      <c r="F21" s="63">
        <v>60</v>
      </c>
      <c r="G21" s="60"/>
      <c r="H21" s="60"/>
      <c r="I21" s="493"/>
      <c r="J21" s="25"/>
      <c r="K21" s="60"/>
      <c r="L21" s="493"/>
      <c r="M21" s="493"/>
      <c r="N21" s="63">
        <v>60</v>
      </c>
      <c r="O21" s="59"/>
      <c r="P21" s="59"/>
      <c r="Q21" s="59"/>
      <c r="R21" s="59"/>
      <c r="S21" s="59"/>
      <c r="T21" s="59"/>
      <c r="U21" s="59"/>
      <c r="V21" s="59"/>
    </row>
    <row r="22" spans="1:22" ht="15.5" x14ac:dyDescent="0.35">
      <c r="A22" s="444" t="s">
        <v>128</v>
      </c>
      <c r="B22" s="445" t="s">
        <v>129</v>
      </c>
      <c r="C22" s="355" t="s">
        <v>116</v>
      </c>
      <c r="D22" s="356" t="s">
        <v>11</v>
      </c>
      <c r="F22" s="407">
        <v>59</v>
      </c>
      <c r="G22" s="384"/>
      <c r="H22" s="384"/>
      <c r="I22" s="384"/>
      <c r="J22" s="25"/>
      <c r="K22" s="384"/>
      <c r="L22" s="384"/>
      <c r="M22" s="493"/>
      <c r="N22" s="408">
        <v>59</v>
      </c>
      <c r="O22" s="59"/>
      <c r="P22" s="59"/>
      <c r="Q22" s="59"/>
      <c r="R22" s="59"/>
      <c r="S22" s="59"/>
      <c r="T22" s="59"/>
      <c r="U22" s="59"/>
      <c r="V22" s="59"/>
    </row>
    <row r="23" spans="1:22" x14ac:dyDescent="0.35">
      <c r="A23" s="357">
        <v>4.1017850360805165E-2</v>
      </c>
      <c r="B23" s="358">
        <v>5.7197696737044147E-2</v>
      </c>
      <c r="C23" s="359">
        <f>B23-A23</f>
        <v>1.6179846376238982E-2</v>
      </c>
      <c r="D23" s="360">
        <f>1/C23</f>
        <v>61.80528397776115</v>
      </c>
      <c r="F23" s="61">
        <v>58</v>
      </c>
      <c r="G23" s="60"/>
      <c r="H23" s="60"/>
      <c r="I23" s="60"/>
      <c r="J23" s="25"/>
      <c r="K23" s="60"/>
      <c r="L23" s="60"/>
      <c r="M23" s="60"/>
      <c r="N23" s="61">
        <v>58</v>
      </c>
      <c r="O23" s="59"/>
      <c r="P23" s="59"/>
      <c r="Q23" s="59"/>
      <c r="R23" s="59"/>
      <c r="S23" s="59"/>
      <c r="T23" s="59"/>
      <c r="U23" s="59"/>
      <c r="V23" s="59"/>
    </row>
    <row r="24" spans="1:22" ht="15" thickBot="1" x14ac:dyDescent="0.4">
      <c r="A24" s="491" t="s">
        <v>179</v>
      </c>
      <c r="B24" s="365">
        <f>A23*D23</f>
        <v>2.5351198897068761</v>
      </c>
      <c r="C24" s="361">
        <f>C23*D23</f>
        <v>1</v>
      </c>
      <c r="D24" s="362">
        <f>(1-B23)*D23</f>
        <v>58.270164088054273</v>
      </c>
      <c r="F24" s="61">
        <v>57</v>
      </c>
      <c r="G24" s="60"/>
      <c r="H24" s="60"/>
      <c r="I24" s="60"/>
      <c r="J24" s="25"/>
      <c r="K24" s="60"/>
      <c r="L24" s="60"/>
      <c r="M24" s="60"/>
      <c r="N24" s="61">
        <v>57</v>
      </c>
      <c r="O24" s="59"/>
      <c r="P24" s="59"/>
      <c r="Q24" s="59"/>
      <c r="R24" s="59"/>
      <c r="S24" s="59"/>
      <c r="T24" s="59"/>
      <c r="U24" s="59"/>
      <c r="V24" s="59"/>
    </row>
    <row r="25" spans="1:22" x14ac:dyDescent="0.35">
      <c r="F25" s="61">
        <v>56</v>
      </c>
      <c r="G25" s="60"/>
      <c r="H25" s="60"/>
      <c r="I25" s="60"/>
      <c r="J25" s="25"/>
      <c r="K25" s="60"/>
      <c r="L25" s="60"/>
      <c r="M25" s="60"/>
      <c r="N25" s="61">
        <v>56</v>
      </c>
      <c r="O25" s="59"/>
      <c r="P25" s="59"/>
      <c r="Q25" s="59"/>
      <c r="R25" s="59"/>
      <c r="S25" s="59"/>
      <c r="T25" s="59"/>
      <c r="U25" s="59"/>
      <c r="V25" s="59"/>
    </row>
    <row r="26" spans="1:22" x14ac:dyDescent="0.35">
      <c r="F26" s="61">
        <v>55</v>
      </c>
      <c r="G26" s="60"/>
      <c r="H26" s="60"/>
      <c r="I26" s="60"/>
      <c r="J26" s="62"/>
      <c r="K26" s="60"/>
      <c r="L26" s="60"/>
      <c r="M26" s="60"/>
      <c r="N26" s="61">
        <v>55</v>
      </c>
      <c r="O26" s="59"/>
      <c r="P26" s="59"/>
      <c r="Q26" s="59"/>
      <c r="R26" s="59"/>
      <c r="S26" s="59"/>
      <c r="T26" s="59"/>
      <c r="U26" s="59"/>
      <c r="V26" s="59"/>
    </row>
    <row r="27" spans="1:22" x14ac:dyDescent="0.35">
      <c r="F27" s="61">
        <v>54</v>
      </c>
      <c r="G27" s="60"/>
      <c r="H27" s="60"/>
      <c r="I27" s="60"/>
      <c r="J27" s="62"/>
      <c r="K27" s="60"/>
      <c r="L27" s="60"/>
      <c r="M27" s="60"/>
      <c r="N27" s="61">
        <v>54</v>
      </c>
      <c r="O27" s="59"/>
      <c r="P27" s="59"/>
      <c r="Q27" s="59"/>
      <c r="R27" s="59"/>
      <c r="S27" s="59"/>
      <c r="T27" s="59"/>
      <c r="U27" s="59"/>
      <c r="V27" s="59"/>
    </row>
    <row r="28" spans="1:22" x14ac:dyDescent="0.35">
      <c r="F28" s="61">
        <v>53</v>
      </c>
      <c r="G28" s="60"/>
      <c r="H28" s="60"/>
      <c r="I28" s="60"/>
      <c r="K28" s="60"/>
      <c r="L28" s="60"/>
      <c r="M28" s="60"/>
      <c r="N28" s="61">
        <v>53</v>
      </c>
    </row>
    <row r="29" spans="1:22" x14ac:dyDescent="0.35">
      <c r="F29" s="61">
        <v>52</v>
      </c>
      <c r="G29" s="60"/>
      <c r="H29" s="60"/>
      <c r="I29" s="60"/>
      <c r="K29" s="60"/>
      <c r="L29" s="60"/>
      <c r="M29" s="60"/>
      <c r="N29" s="61">
        <v>52</v>
      </c>
    </row>
    <row r="30" spans="1:22" x14ac:dyDescent="0.35">
      <c r="F30" s="61">
        <v>51</v>
      </c>
      <c r="G30" s="60"/>
      <c r="H30" s="60"/>
      <c r="I30" s="60"/>
      <c r="K30" s="60"/>
      <c r="L30" s="60"/>
      <c r="M30" s="60"/>
      <c r="N30" s="61">
        <v>51</v>
      </c>
    </row>
    <row r="31" spans="1:22" x14ac:dyDescent="0.35">
      <c r="F31" s="61">
        <v>50</v>
      </c>
      <c r="G31" s="60"/>
      <c r="H31" s="60"/>
      <c r="I31" s="60"/>
      <c r="K31" s="60"/>
      <c r="L31" s="60"/>
      <c r="M31" s="60"/>
      <c r="N31" s="61">
        <v>50</v>
      </c>
    </row>
    <row r="32" spans="1:22" x14ac:dyDescent="0.35">
      <c r="F32" s="61">
        <v>49</v>
      </c>
      <c r="G32" s="60"/>
      <c r="H32" s="60"/>
      <c r="I32" s="60"/>
      <c r="K32" s="60"/>
      <c r="L32" s="60"/>
      <c r="M32" s="60"/>
      <c r="N32" s="61">
        <v>49</v>
      </c>
    </row>
    <row r="33" spans="6:14" x14ac:dyDescent="0.35">
      <c r="F33" s="61">
        <v>48</v>
      </c>
      <c r="G33" s="60"/>
      <c r="H33" s="60"/>
      <c r="I33" s="60"/>
      <c r="K33" s="60"/>
      <c r="L33" s="60"/>
      <c r="M33" s="60"/>
      <c r="N33" s="61">
        <v>48</v>
      </c>
    </row>
    <row r="34" spans="6:14" x14ac:dyDescent="0.35">
      <c r="F34" s="61">
        <v>47</v>
      </c>
      <c r="G34" s="60"/>
      <c r="H34" s="60"/>
      <c r="I34" s="60"/>
      <c r="K34" s="60"/>
      <c r="L34" s="60"/>
      <c r="M34" s="60"/>
      <c r="N34" s="61">
        <v>47</v>
      </c>
    </row>
    <row r="35" spans="6:14" x14ac:dyDescent="0.35">
      <c r="F35" s="61">
        <v>46</v>
      </c>
      <c r="G35" s="60"/>
      <c r="H35" s="60"/>
      <c r="I35" s="60"/>
      <c r="K35" s="60"/>
      <c r="L35" s="60"/>
      <c r="M35" s="60"/>
      <c r="N35" s="61">
        <v>46</v>
      </c>
    </row>
    <row r="36" spans="6:14" x14ac:dyDescent="0.35">
      <c r="F36" s="61">
        <v>45</v>
      </c>
      <c r="G36" s="60"/>
      <c r="H36" s="60"/>
      <c r="I36" s="60"/>
      <c r="K36" s="60"/>
      <c r="L36" s="60"/>
      <c r="M36" s="60"/>
      <c r="N36" s="61">
        <v>45</v>
      </c>
    </row>
    <row r="37" spans="6:14" x14ac:dyDescent="0.35">
      <c r="F37" s="61">
        <v>44</v>
      </c>
      <c r="G37" s="60"/>
      <c r="H37" s="60"/>
      <c r="I37" s="60"/>
      <c r="K37" s="60"/>
      <c r="L37" s="60"/>
      <c r="M37" s="60"/>
      <c r="N37" s="61">
        <v>44</v>
      </c>
    </row>
    <row r="38" spans="6:14" x14ac:dyDescent="0.35">
      <c r="F38" s="61">
        <v>43</v>
      </c>
      <c r="G38" s="60"/>
      <c r="H38" s="60"/>
      <c r="I38" s="60"/>
      <c r="K38" s="60"/>
      <c r="L38" s="60"/>
      <c r="M38" s="60"/>
      <c r="N38" s="61">
        <v>43</v>
      </c>
    </row>
    <row r="39" spans="6:14" x14ac:dyDescent="0.35">
      <c r="F39" s="61">
        <v>42</v>
      </c>
      <c r="G39" s="60"/>
      <c r="H39" s="60"/>
      <c r="I39" s="60"/>
      <c r="K39" s="60"/>
      <c r="L39" s="60"/>
      <c r="M39" s="60"/>
      <c r="N39" s="61">
        <v>42</v>
      </c>
    </row>
    <row r="40" spans="6:14" x14ac:dyDescent="0.35">
      <c r="F40" s="61">
        <v>41</v>
      </c>
      <c r="G40" s="60"/>
      <c r="H40" s="60"/>
      <c r="I40" s="60"/>
      <c r="K40" s="60"/>
      <c r="L40" s="60"/>
      <c r="M40" s="60"/>
      <c r="N40" s="61">
        <v>41</v>
      </c>
    </row>
    <row r="41" spans="6:14" x14ac:dyDescent="0.35">
      <c r="F41" s="61">
        <v>40</v>
      </c>
      <c r="G41" s="60"/>
      <c r="H41" s="60"/>
      <c r="I41" s="60"/>
      <c r="K41" s="60"/>
      <c r="L41" s="60"/>
      <c r="M41" s="60"/>
      <c r="N41" s="61">
        <v>40</v>
      </c>
    </row>
    <row r="42" spans="6:14" x14ac:dyDescent="0.35">
      <c r="F42" s="61">
        <v>39</v>
      </c>
      <c r="G42" s="60"/>
      <c r="H42" s="60"/>
      <c r="I42" s="60"/>
      <c r="K42" s="60"/>
      <c r="L42" s="60"/>
      <c r="M42" s="60"/>
      <c r="N42" s="61">
        <v>39</v>
      </c>
    </row>
    <row r="43" spans="6:14" x14ac:dyDescent="0.35">
      <c r="F43" s="61">
        <v>38</v>
      </c>
      <c r="G43" s="60"/>
      <c r="H43" s="60"/>
      <c r="I43" s="60"/>
      <c r="K43" s="60"/>
      <c r="L43" s="60"/>
      <c r="M43" s="60"/>
      <c r="N43" s="61">
        <v>38</v>
      </c>
    </row>
    <row r="44" spans="6:14" x14ac:dyDescent="0.35">
      <c r="F44" s="61">
        <v>37</v>
      </c>
      <c r="G44" s="60"/>
      <c r="H44" s="60"/>
      <c r="I44" s="60"/>
      <c r="K44" s="60"/>
      <c r="L44" s="60"/>
      <c r="M44" s="60"/>
      <c r="N44" s="61">
        <v>37</v>
      </c>
    </row>
    <row r="45" spans="6:14" x14ac:dyDescent="0.35">
      <c r="F45" s="61">
        <v>36</v>
      </c>
      <c r="G45" s="60"/>
      <c r="H45" s="60"/>
      <c r="I45" s="60"/>
      <c r="K45" s="60"/>
      <c r="L45" s="60"/>
      <c r="M45" s="60"/>
      <c r="N45" s="61">
        <v>36</v>
      </c>
    </row>
    <row r="46" spans="6:14" x14ac:dyDescent="0.35">
      <c r="F46" s="61">
        <v>35</v>
      </c>
      <c r="G46" s="60"/>
      <c r="H46" s="60"/>
      <c r="I46" s="60"/>
      <c r="K46" s="60"/>
      <c r="L46" s="60"/>
      <c r="M46" s="60"/>
      <c r="N46" s="61">
        <v>35</v>
      </c>
    </row>
    <row r="47" spans="6:14" x14ac:dyDescent="0.35">
      <c r="F47" s="61">
        <v>34</v>
      </c>
      <c r="G47" s="60"/>
      <c r="H47" s="60"/>
      <c r="I47" s="60"/>
      <c r="K47" s="60"/>
      <c r="L47" s="60"/>
      <c r="M47" s="60"/>
      <c r="N47" s="61">
        <v>34</v>
      </c>
    </row>
    <row r="48" spans="6:14" x14ac:dyDescent="0.35">
      <c r="F48" s="61">
        <v>33</v>
      </c>
      <c r="G48" s="60"/>
      <c r="H48" s="60"/>
      <c r="I48" s="60"/>
      <c r="K48" s="60"/>
      <c r="L48" s="60"/>
      <c r="M48" s="60"/>
      <c r="N48" s="61">
        <v>33</v>
      </c>
    </row>
    <row r="49" spans="6:14" x14ac:dyDescent="0.35">
      <c r="F49" s="61">
        <v>32</v>
      </c>
      <c r="G49" s="60"/>
      <c r="H49" s="60"/>
      <c r="I49" s="60"/>
      <c r="K49" s="60"/>
      <c r="L49" s="60"/>
      <c r="M49" s="60"/>
      <c r="N49" s="61">
        <v>32</v>
      </c>
    </row>
    <row r="50" spans="6:14" x14ac:dyDescent="0.35">
      <c r="F50" s="61">
        <v>31</v>
      </c>
      <c r="G50" s="60"/>
      <c r="H50" s="60"/>
      <c r="I50" s="60"/>
      <c r="K50" s="60"/>
      <c r="L50" s="60"/>
      <c r="M50" s="60"/>
      <c r="N50" s="61">
        <v>31</v>
      </c>
    </row>
    <row r="51" spans="6:14" x14ac:dyDescent="0.35">
      <c r="F51" s="61">
        <v>30</v>
      </c>
      <c r="G51" s="60"/>
      <c r="H51" s="60"/>
      <c r="I51" s="60"/>
      <c r="K51" s="60"/>
      <c r="L51" s="60"/>
      <c r="M51" s="60"/>
      <c r="N51" s="61">
        <v>30</v>
      </c>
    </row>
    <row r="52" spans="6:14" x14ac:dyDescent="0.35">
      <c r="F52" s="61">
        <v>29</v>
      </c>
      <c r="G52" s="60"/>
      <c r="H52" s="60"/>
      <c r="I52" s="60"/>
      <c r="K52" s="60"/>
      <c r="L52" s="60"/>
      <c r="M52" s="60"/>
      <c r="N52" s="61">
        <v>29</v>
      </c>
    </row>
    <row r="53" spans="6:14" x14ac:dyDescent="0.35">
      <c r="F53" s="61">
        <v>28</v>
      </c>
      <c r="G53" s="60"/>
      <c r="H53" s="60"/>
      <c r="I53" s="60"/>
      <c r="K53" s="60"/>
      <c r="L53" s="60"/>
      <c r="M53" s="60"/>
      <c r="N53" s="61">
        <v>28</v>
      </c>
    </row>
    <row r="54" spans="6:14" x14ac:dyDescent="0.35">
      <c r="F54" s="61">
        <v>27</v>
      </c>
      <c r="G54" s="60"/>
      <c r="H54" s="60"/>
      <c r="I54" s="60"/>
      <c r="K54" s="60"/>
      <c r="L54" s="60"/>
      <c r="M54" s="60"/>
      <c r="N54" s="61">
        <v>27</v>
      </c>
    </row>
    <row r="55" spans="6:14" x14ac:dyDescent="0.35">
      <c r="F55" s="61">
        <v>26</v>
      </c>
      <c r="G55" s="60"/>
      <c r="H55" s="60"/>
      <c r="I55" s="60"/>
      <c r="K55" s="60"/>
      <c r="L55" s="60"/>
      <c r="M55" s="60"/>
      <c r="N55" s="61">
        <v>26</v>
      </c>
    </row>
    <row r="56" spans="6:14" x14ac:dyDescent="0.35">
      <c r="F56" s="61">
        <v>25</v>
      </c>
      <c r="G56" s="60"/>
      <c r="H56" s="60"/>
      <c r="I56" s="60"/>
      <c r="K56" s="60"/>
      <c r="L56" s="60"/>
      <c r="M56" s="60"/>
      <c r="N56" s="61">
        <v>25</v>
      </c>
    </row>
    <row r="57" spans="6:14" x14ac:dyDescent="0.35">
      <c r="F57" s="61">
        <v>24</v>
      </c>
      <c r="G57" s="60"/>
      <c r="H57" s="60"/>
      <c r="I57" s="60"/>
      <c r="K57" s="60"/>
      <c r="L57" s="60"/>
      <c r="M57" s="60"/>
      <c r="N57" s="61">
        <v>24</v>
      </c>
    </row>
    <row r="58" spans="6:14" x14ac:dyDescent="0.35">
      <c r="F58" s="61">
        <v>23</v>
      </c>
      <c r="G58" s="60"/>
      <c r="H58" s="60"/>
      <c r="I58" s="60"/>
      <c r="K58" s="60"/>
      <c r="L58" s="60"/>
      <c r="M58" s="60"/>
      <c r="N58" s="61">
        <v>23</v>
      </c>
    </row>
    <row r="59" spans="6:14" x14ac:dyDescent="0.35">
      <c r="F59" s="61">
        <v>22</v>
      </c>
      <c r="G59" s="60"/>
      <c r="H59" s="60"/>
      <c r="I59" s="60"/>
      <c r="K59" s="60"/>
      <c r="L59" s="60"/>
      <c r="M59" s="60"/>
      <c r="N59" s="61">
        <v>22</v>
      </c>
    </row>
    <row r="60" spans="6:14" x14ac:dyDescent="0.35">
      <c r="F60" s="61">
        <v>21</v>
      </c>
      <c r="G60" s="60"/>
      <c r="H60" s="60"/>
      <c r="I60" s="60"/>
      <c r="K60" s="60"/>
      <c r="L60" s="60"/>
      <c r="M60" s="60"/>
      <c r="N60" s="61">
        <v>21</v>
      </c>
    </row>
    <row r="61" spans="6:14" x14ac:dyDescent="0.35">
      <c r="F61" s="61">
        <v>20</v>
      </c>
      <c r="G61" s="60"/>
      <c r="H61" s="60"/>
      <c r="I61" s="60"/>
      <c r="K61" s="60"/>
      <c r="L61" s="60"/>
      <c r="M61" s="60"/>
      <c r="N61" s="61">
        <v>20</v>
      </c>
    </row>
    <row r="62" spans="6:14" x14ac:dyDescent="0.35">
      <c r="F62" s="61">
        <v>19</v>
      </c>
      <c r="G62" s="60"/>
      <c r="H62" s="60"/>
      <c r="I62" s="60"/>
      <c r="K62" s="60"/>
      <c r="L62" s="60"/>
      <c r="M62" s="60"/>
      <c r="N62" s="61">
        <v>19</v>
      </c>
    </row>
    <row r="63" spans="6:14" x14ac:dyDescent="0.35">
      <c r="F63" s="61">
        <v>18</v>
      </c>
      <c r="G63" s="60"/>
      <c r="H63" s="60"/>
      <c r="I63" s="60"/>
      <c r="K63" s="60"/>
      <c r="L63" s="60"/>
      <c r="M63" s="60"/>
      <c r="N63" s="61">
        <v>18</v>
      </c>
    </row>
    <row r="64" spans="6:14" x14ac:dyDescent="0.35">
      <c r="F64" s="61">
        <v>17</v>
      </c>
      <c r="G64" s="60"/>
      <c r="H64" s="60"/>
      <c r="I64" s="60"/>
      <c r="K64" s="60"/>
      <c r="L64" s="60"/>
      <c r="M64" s="60"/>
      <c r="N64" s="61">
        <v>17</v>
      </c>
    </row>
    <row r="65" spans="6:14" x14ac:dyDescent="0.35">
      <c r="F65" s="61">
        <v>16</v>
      </c>
      <c r="G65" s="60"/>
      <c r="H65" s="60"/>
      <c r="I65" s="60"/>
      <c r="K65" s="60"/>
      <c r="L65" s="60"/>
      <c r="M65" s="60"/>
      <c r="N65" s="61">
        <v>16</v>
      </c>
    </row>
    <row r="66" spans="6:14" x14ac:dyDescent="0.35">
      <c r="F66" s="61">
        <v>15</v>
      </c>
      <c r="G66" s="60"/>
      <c r="H66" s="60"/>
      <c r="I66" s="60"/>
      <c r="K66" s="60"/>
      <c r="L66" s="60"/>
      <c r="M66" s="60"/>
      <c r="N66" s="61">
        <v>15</v>
      </c>
    </row>
    <row r="67" spans="6:14" x14ac:dyDescent="0.35">
      <c r="F67" s="61">
        <v>14</v>
      </c>
      <c r="G67" s="60"/>
      <c r="H67" s="60"/>
      <c r="I67" s="60"/>
      <c r="K67" s="60"/>
      <c r="L67" s="60"/>
      <c r="M67" s="60"/>
      <c r="N67" s="61">
        <v>14</v>
      </c>
    </row>
    <row r="68" spans="6:14" x14ac:dyDescent="0.35">
      <c r="F68" s="61">
        <v>13</v>
      </c>
      <c r="G68" s="60"/>
      <c r="H68" s="60"/>
      <c r="I68" s="60"/>
      <c r="K68" s="60"/>
      <c r="L68" s="60"/>
      <c r="M68" s="60"/>
      <c r="N68" s="61">
        <v>13</v>
      </c>
    </row>
    <row r="69" spans="6:14" x14ac:dyDescent="0.35">
      <c r="F69" s="61">
        <v>12</v>
      </c>
      <c r="G69" s="60"/>
      <c r="H69" s="60"/>
      <c r="I69" s="60"/>
      <c r="K69" s="60"/>
      <c r="L69" s="60"/>
      <c r="M69" s="60"/>
      <c r="N69" s="61">
        <v>12</v>
      </c>
    </row>
    <row r="70" spans="6:14" x14ac:dyDescent="0.35">
      <c r="F70" s="61">
        <v>11</v>
      </c>
      <c r="G70" s="60"/>
      <c r="H70" s="60"/>
      <c r="I70" s="60"/>
      <c r="K70" s="60"/>
      <c r="L70" s="60"/>
      <c r="M70" s="60"/>
      <c r="N70" s="61">
        <v>11</v>
      </c>
    </row>
    <row r="71" spans="6:14" x14ac:dyDescent="0.35">
      <c r="F71" s="61">
        <v>10</v>
      </c>
      <c r="G71" s="60"/>
      <c r="H71" s="60"/>
      <c r="I71" s="60"/>
      <c r="K71" s="60"/>
      <c r="L71" s="60"/>
      <c r="M71" s="60"/>
      <c r="N71" s="61">
        <v>10</v>
      </c>
    </row>
    <row r="72" spans="6:14" x14ac:dyDescent="0.35">
      <c r="F72" s="61">
        <v>9</v>
      </c>
      <c r="G72" s="60"/>
      <c r="H72" s="60"/>
      <c r="I72" s="60"/>
      <c r="K72" s="60"/>
      <c r="L72" s="60"/>
      <c r="M72" s="60"/>
      <c r="N72" s="61">
        <v>9</v>
      </c>
    </row>
    <row r="73" spans="6:14" x14ac:dyDescent="0.35">
      <c r="F73" s="61">
        <v>8</v>
      </c>
      <c r="G73" s="60"/>
      <c r="H73" s="60"/>
      <c r="I73" s="60"/>
      <c r="K73" s="60"/>
      <c r="L73" s="60"/>
      <c r="M73" s="60"/>
      <c r="N73" s="61">
        <v>8</v>
      </c>
    </row>
    <row r="74" spans="6:14" x14ac:dyDescent="0.35">
      <c r="F74" s="61">
        <v>7</v>
      </c>
      <c r="G74" s="60"/>
      <c r="H74" s="60"/>
      <c r="I74" s="60"/>
      <c r="K74" s="60"/>
      <c r="L74" s="60"/>
      <c r="M74" s="60"/>
      <c r="N74" s="61">
        <v>7</v>
      </c>
    </row>
    <row r="75" spans="6:14" x14ac:dyDescent="0.35">
      <c r="F75" s="61">
        <v>6</v>
      </c>
      <c r="G75" s="60"/>
      <c r="H75" s="60"/>
      <c r="I75" s="60"/>
      <c r="K75" s="60"/>
      <c r="L75" s="60"/>
      <c r="M75" s="60"/>
      <c r="N75" s="61">
        <v>6</v>
      </c>
    </row>
    <row r="76" spans="6:14" x14ac:dyDescent="0.35">
      <c r="F76" s="61">
        <v>5</v>
      </c>
      <c r="G76" s="60"/>
      <c r="H76" s="60"/>
      <c r="I76" s="60"/>
      <c r="K76" s="60"/>
      <c r="L76" s="60"/>
      <c r="M76" s="60"/>
      <c r="N76" s="61">
        <v>5</v>
      </c>
    </row>
    <row r="77" spans="6:14" x14ac:dyDescent="0.35">
      <c r="F77" s="61">
        <v>4</v>
      </c>
      <c r="G77" s="60"/>
      <c r="H77" s="60"/>
      <c r="I77" s="60"/>
      <c r="K77" s="60"/>
      <c r="L77" s="60"/>
      <c r="M77" s="60"/>
      <c r="N77" s="61">
        <v>4</v>
      </c>
    </row>
    <row r="78" spans="6:14" x14ac:dyDescent="0.35">
      <c r="F78" s="61">
        <v>3</v>
      </c>
      <c r="G78" s="60"/>
      <c r="H78" s="60"/>
      <c r="I78" s="60"/>
      <c r="K78" s="60"/>
      <c r="L78" s="60"/>
      <c r="M78" s="60"/>
      <c r="N78" s="61">
        <v>3</v>
      </c>
    </row>
    <row r="79" spans="6:14" x14ac:dyDescent="0.35">
      <c r="F79" s="61">
        <v>2</v>
      </c>
      <c r="G79" s="60"/>
      <c r="H79" s="60"/>
      <c r="I79" s="60"/>
      <c r="K79" s="60"/>
      <c r="L79" s="60"/>
      <c r="M79" s="60"/>
      <c r="N79" s="61">
        <v>2</v>
      </c>
    </row>
    <row r="80" spans="6:14" x14ac:dyDescent="0.35">
      <c r="F80" s="61">
        <v>1</v>
      </c>
      <c r="G80" s="60"/>
      <c r="H80" s="60"/>
      <c r="I80" s="60"/>
      <c r="K80" s="60"/>
      <c r="L80" s="60"/>
      <c r="M80" s="60"/>
      <c r="N80" s="61">
        <v>1</v>
      </c>
    </row>
    <row r="81" spans="7:13" x14ac:dyDescent="0.35">
      <c r="G81" s="419">
        <v>1</v>
      </c>
      <c r="H81" s="419">
        <v>2</v>
      </c>
      <c r="I81" s="419">
        <v>3</v>
      </c>
      <c r="J81" s="25"/>
      <c r="K81" s="419">
        <v>1</v>
      </c>
      <c r="L81" s="419">
        <v>2</v>
      </c>
      <c r="M81" s="419">
        <v>3</v>
      </c>
    </row>
    <row r="82" spans="7:13" x14ac:dyDescent="0.35">
      <c r="G82" s="56" t="s">
        <v>146</v>
      </c>
      <c r="H82" s="56"/>
      <c r="I82" s="56"/>
      <c r="K82" s="56" t="s">
        <v>146</v>
      </c>
    </row>
    <row r="83" spans="7:13" x14ac:dyDescent="0.35">
      <c r="G83" s="1" t="s">
        <v>14</v>
      </c>
      <c r="H83" s="1"/>
      <c r="I83" s="443"/>
      <c r="J83" s="443"/>
      <c r="K83" s="1" t="s">
        <v>157</v>
      </c>
      <c r="L83" s="443"/>
      <c r="M83" s="3"/>
    </row>
    <row r="84" spans="7:13" x14ac:dyDescent="0.35">
      <c r="K84" s="56"/>
    </row>
  </sheetData>
  <mergeCells count="5">
    <mergeCell ref="D8:D9"/>
    <mergeCell ref="C9:C10"/>
    <mergeCell ref="A14:B14"/>
    <mergeCell ref="F14:P14"/>
    <mergeCell ref="A4:A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IncAcum</vt:lpstr>
      <vt:lpstr>Gráf Mort, IAM o ACV xRg1</vt:lpstr>
      <vt:lpstr>Gráf Hosp InsCar xRg1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2022-03-22T17:24:25Z</dcterms:modified>
</cp:coreProperties>
</file>