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aloa\Desktop\20221121-VÑ EMPA-Kidney\Docencia Mód 4.14\"/>
    </mc:Choice>
  </mc:AlternateContent>
  <xr:revisionPtr revIDLastSave="0" documentId="13_ncr:1_{FAD5FE91-CE88-4A82-8AAB-B8216FF00A65}" xr6:coauthVersionLast="36" xr6:coauthVersionMax="36" xr10:uidLastSave="{00000000-0000-0000-0000-000000000000}"/>
  <bookViews>
    <workbookView xWindow="-110" yWindow="-110" windowWidth="19420" windowHeight="10420" tabRatio="642" xr2:uid="{00000000-000D-0000-FFFF-FFFF00000000}"/>
  </bookViews>
  <sheets>
    <sheet name="IncAcum" sheetId="6" r:id="rId1"/>
    <sheet name="Gr1.1 FGe40 3x3" sheetId="15" r:id="rId2"/>
    <sheet name="Gr1.2 FGe10 3x3" sheetId="16" r:id="rId3"/>
    <sheet name="Gr1.3 ERT 3x3" sheetId="14" r:id="rId4"/>
    <sheet name="Gr1.4 VarPrim 3x3" sheetId="13" r:id="rId5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3" l="1"/>
  <c r="D8" i="13"/>
  <c r="E8" i="14"/>
  <c r="D8" i="14"/>
  <c r="F2" i="14"/>
  <c r="E8" i="16"/>
  <c r="D8" i="16"/>
  <c r="F2" i="16"/>
  <c r="E8" i="15"/>
  <c r="D8" i="15"/>
  <c r="F2" i="15"/>
  <c r="C6" i="13" l="1"/>
  <c r="F7" i="15" l="1"/>
  <c r="D7" i="15"/>
  <c r="D25" i="16" l="1"/>
  <c r="F7" i="16"/>
  <c r="D7" i="16"/>
  <c r="C6" i="16"/>
  <c r="B1" i="16"/>
  <c r="D9" i="16" l="1"/>
  <c r="E9" i="16"/>
  <c r="D10" i="16"/>
  <c r="E11" i="16"/>
  <c r="G15" i="16"/>
  <c r="E25" i="16"/>
  <c r="D7" i="13"/>
  <c r="F7" i="13"/>
  <c r="D7" i="14"/>
  <c r="F7" i="14"/>
  <c r="E7" i="14"/>
  <c r="C7" i="14"/>
  <c r="E7" i="16" l="1"/>
  <c r="E12" i="16"/>
  <c r="E26" i="16"/>
  <c r="C26" i="16"/>
  <c r="C7" i="16"/>
  <c r="D12" i="16"/>
  <c r="D26" i="16"/>
  <c r="E9" i="13"/>
  <c r="E7" i="13" s="1"/>
  <c r="D25" i="13"/>
  <c r="E25" i="13" s="1"/>
  <c r="E11" i="13" l="1"/>
  <c r="E12" i="13" s="1"/>
  <c r="D9" i="13"/>
  <c r="C7" i="13" s="1"/>
  <c r="C26" i="13"/>
  <c r="E26" i="13"/>
  <c r="D10" i="13"/>
  <c r="D26" i="13"/>
  <c r="D12" i="13" l="1"/>
  <c r="C6" i="15" l="1"/>
  <c r="E11" i="15" s="1"/>
  <c r="D25" i="15"/>
  <c r="E25" i="15" s="1"/>
  <c r="E26" i="15" s="1"/>
  <c r="B1" i="15"/>
  <c r="D25" i="14"/>
  <c r="E25" i="14" s="1"/>
  <c r="C6" i="14"/>
  <c r="D9" i="14" s="1"/>
  <c r="B1" i="14"/>
  <c r="F2" i="13"/>
  <c r="G15" i="13" s="1"/>
  <c r="B1" i="13"/>
  <c r="D10" i="15" l="1"/>
  <c r="G15" i="15"/>
  <c r="D9" i="15"/>
  <c r="E9" i="15"/>
  <c r="C26" i="15"/>
  <c r="D26" i="15"/>
  <c r="C26" i="14"/>
  <c r="E26" i="14"/>
  <c r="D26" i="14"/>
  <c r="E9" i="14"/>
  <c r="D10" i="14"/>
  <c r="E11" i="14"/>
  <c r="G15" i="14"/>
  <c r="E8" i="6"/>
  <c r="E7" i="6"/>
  <c r="E12" i="15" l="1"/>
  <c r="E7" i="15"/>
  <c r="D12" i="15"/>
  <c r="C7" i="15"/>
  <c r="E12" i="14"/>
  <c r="D12" i="14"/>
  <c r="G7" i="6" l="1"/>
  <c r="I7" i="6" s="1"/>
  <c r="G8" i="6"/>
  <c r="I8" i="6" s="1"/>
  <c r="O8" i="6" s="1"/>
  <c r="O7" i="6" l="1"/>
  <c r="B14" i="6"/>
  <c r="B21" i="6"/>
  <c r="B22" i="6"/>
  <c r="B53" i="6"/>
  <c r="S5" i="6" l="1"/>
  <c r="V62" i="6" l="1"/>
  <c r="P14" i="6"/>
  <c r="T14" i="6"/>
  <c r="O14" i="6"/>
  <c r="S14" i="6" l="1"/>
  <c r="R14" i="6"/>
  <c r="Q14" i="6" l="1"/>
  <c r="S7" i="6"/>
  <c r="V7" i="6" s="1"/>
  <c r="T62" i="6"/>
  <c r="S6" i="6"/>
  <c r="V6" i="6" s="1"/>
  <c r="S62" i="6"/>
  <c r="R62" i="6" l="1"/>
  <c r="U62" i="6" s="1"/>
  <c r="S8" i="6"/>
  <c r="D56" i="6"/>
  <c r="E41" i="6"/>
  <c r="E40" i="6"/>
  <c r="I23" i="6"/>
  <c r="I22" i="6"/>
  <c r="C22" i="6"/>
  <c r="I21" i="6"/>
  <c r="C21" i="6"/>
  <c r="G14" i="6"/>
  <c r="E54" i="6" s="1"/>
  <c r="D14" i="6"/>
  <c r="F9" i="6"/>
  <c r="I9" i="6" s="1"/>
  <c r="O9" i="6" s="1"/>
  <c r="D9" i="6"/>
  <c r="V8" i="6" l="1"/>
  <c r="V9" i="6" s="1"/>
  <c r="G9" i="6"/>
  <c r="B23" i="6"/>
  <c r="C23" i="6"/>
  <c r="G23" i="6" s="1"/>
  <c r="S9" i="6"/>
  <c r="T8" i="6" s="1"/>
  <c r="E22" i="6"/>
  <c r="E42" i="6"/>
  <c r="N21" i="6"/>
  <c r="C41" i="6"/>
  <c r="C46" i="6" s="1"/>
  <c r="G21" i="6"/>
  <c r="G22" i="6"/>
  <c r="D22" i="6"/>
  <c r="C56" i="6"/>
  <c r="K14" i="6"/>
  <c r="C40" i="6"/>
  <c r="J22" i="6" l="1"/>
  <c r="K56" i="6" s="1"/>
  <c r="T7" i="6"/>
  <c r="T6" i="6"/>
  <c r="F22" i="6"/>
  <c r="C42" i="6"/>
  <c r="E21" i="6"/>
  <c r="N23" i="6"/>
  <c r="D21" i="6"/>
  <c r="F21" i="6" s="1"/>
  <c r="E9" i="6"/>
  <c r="C14" i="6"/>
  <c r="F14" i="6" s="1"/>
  <c r="C45" i="6"/>
  <c r="L22" i="6" l="1"/>
  <c r="M56" i="6" s="1"/>
  <c r="I14" i="6"/>
  <c r="M14" i="6" s="1"/>
  <c r="K22" i="6"/>
  <c r="L56" i="6" s="1"/>
  <c r="E14" i="6"/>
  <c r="H14" i="6" s="1"/>
  <c r="E55" i="6" s="1"/>
  <c r="W21" i="6"/>
  <c r="J21" i="6"/>
  <c r="K55" i="6" s="1"/>
  <c r="J26" i="6"/>
  <c r="D41" i="6"/>
  <c r="D46" i="6" s="1"/>
  <c r="D40" i="6"/>
  <c r="L21" i="6"/>
  <c r="M55" i="6" s="1"/>
  <c r="K21" i="6"/>
  <c r="L55" i="6" s="1"/>
  <c r="N56" i="6" l="1"/>
  <c r="E56" i="6"/>
  <c r="D23" i="6"/>
  <c r="E23" i="6"/>
  <c r="L14" i="6"/>
  <c r="D42" i="6"/>
  <c r="D45" i="6"/>
  <c r="C48" i="6" s="1"/>
  <c r="K41" i="6"/>
  <c r="I40" i="6" s="1"/>
  <c r="F54" i="6"/>
  <c r="K26" i="6"/>
  <c r="L26" i="6"/>
  <c r="N22" i="6"/>
  <c r="N24" i="6" s="1"/>
  <c r="N25" i="6" s="1"/>
  <c r="N26" i="6" s="1"/>
  <c r="J27" i="6"/>
  <c r="N55" i="6"/>
  <c r="J36" i="6" l="1"/>
  <c r="J29" i="6"/>
  <c r="J34" i="6"/>
  <c r="J31" i="6"/>
  <c r="U3" i="6" s="1"/>
  <c r="J30" i="6"/>
  <c r="V3" i="6" s="1"/>
  <c r="J37" i="6"/>
  <c r="J35" i="6"/>
  <c r="J32" i="6"/>
  <c r="T3" i="6" s="1"/>
  <c r="F23" i="6"/>
  <c r="L23" i="6" s="1"/>
  <c r="M57" i="6" s="1"/>
  <c r="W22" i="6"/>
  <c r="W23" i="6" s="1"/>
  <c r="W24" i="6" s="1"/>
  <c r="W25" i="6" s="1"/>
  <c r="J23" i="6"/>
  <c r="K57" i="6" s="1"/>
  <c r="Q28" i="6"/>
  <c r="N31" i="6" s="1"/>
  <c r="N32" i="6" s="1"/>
  <c r="H56" i="6" s="1"/>
  <c r="H58" i="6" s="1"/>
  <c r="H62" i="6" s="1"/>
  <c r="F55" i="6"/>
  <c r="L27" i="6"/>
  <c r="F56" i="6"/>
  <c r="K27" i="6"/>
  <c r="G46" i="6"/>
  <c r="C49" i="6"/>
  <c r="J62" i="6" s="1"/>
  <c r="G54" i="6"/>
  <c r="K31" i="6" l="1"/>
  <c r="L36" i="6"/>
  <c r="L34" i="6"/>
  <c r="K29" i="6"/>
  <c r="L37" i="6"/>
  <c r="K30" i="6"/>
  <c r="L29" i="6"/>
  <c r="L31" i="6"/>
  <c r="K36" i="6"/>
  <c r="K34" i="6"/>
  <c r="K37" i="6"/>
  <c r="L30" i="6"/>
  <c r="K32" i="6"/>
  <c r="L32" i="6"/>
  <c r="L35" i="6"/>
  <c r="K35" i="6"/>
  <c r="L62" i="6"/>
  <c r="O62" i="6" s="1"/>
  <c r="M62" i="6"/>
  <c r="P62" i="6" s="1"/>
  <c r="N33" i="6"/>
  <c r="E58" i="6"/>
  <c r="E62" i="6" s="1"/>
  <c r="K23" i="6"/>
  <c r="L57" i="6" s="1"/>
  <c r="N57" i="6" s="1"/>
  <c r="S3" i="6"/>
  <c r="G55" i="6"/>
  <c r="G56" i="6"/>
  <c r="F61" i="6" l="1"/>
  <c r="D58" i="6"/>
  <c r="D62" i="6" s="1"/>
  <c r="C58" i="6"/>
  <c r="C62" i="6" s="1"/>
  <c r="E61" i="6"/>
  <c r="F58" i="6"/>
  <c r="F62" i="6" s="1"/>
  <c r="G61" i="6"/>
  <c r="G58" i="6"/>
  <c r="G62" i="6" s="1"/>
</calcChain>
</file>

<file path=xl/sharedStrings.xml><?xml version="1.0" encoding="utf-8"?>
<sst xmlns="http://schemas.openxmlformats.org/spreadsheetml/2006/main" count="413" uniqueCount="230">
  <si>
    <t>días</t>
  </si>
  <si>
    <t>Resto de t sin éxito</t>
  </si>
  <si>
    <t>tSLEv sin la intervención</t>
  </si>
  <si>
    <t>PtSLEv por la intervención</t>
  </si>
  <si>
    <t>de los</t>
  </si>
  <si>
    <t>del grupo Interv</t>
  </si>
  <si>
    <t>del grupo Contr</t>
  </si>
  <si>
    <t>NO</t>
  </si>
  <si>
    <t>puede representarse llegando los</t>
  </si>
  <si>
    <t>pacientes, a los</t>
  </si>
  <si>
    <t>, pues habría que recortar o ampliar los tiempos respectivos de uno o más pacientes "libres de evento" o "con evento"</t>
  </si>
  <si>
    <t>NNT</t>
  </si>
  <si>
    <t xml:space="preserve">NOTA: </t>
  </si>
  <si>
    <t>Placebo</t>
  </si>
  <si>
    <t>IC</t>
  </si>
  <si>
    <t>Enferman</t>
  </si>
  <si>
    <t>No enferman</t>
  </si>
  <si>
    <t>Con eventos</t>
  </si>
  <si>
    <t>Sin eventos</t>
  </si>
  <si>
    <t>Total</t>
  </si>
  <si>
    <r>
      <t xml:space="preserve">Los límites del intervalos de confianza son los exponentes neperianos o antilogaritmos de la ecuación [ ln RR + - Z </t>
    </r>
    <r>
      <rPr>
        <b/>
        <vertAlign val="subscript"/>
        <sz val="10"/>
        <rFont val="Calibri"/>
        <family val="2"/>
      </rPr>
      <t>α/2</t>
    </r>
    <r>
      <rPr>
        <b/>
        <sz val="10"/>
        <rFont val="Calibri"/>
        <family val="2"/>
      </rPr>
      <t xml:space="preserve"> * EE (ln RR) ]</t>
    </r>
  </si>
  <si>
    <t>EE del ln RR = Raíz (varianza del ln RR) = Raíz [b/ a(a+b)]+[d / c(c+d)]. También es igual a Raíz (1/a + 1/c - 1/a+b -1/c+d)</t>
  </si>
  <si>
    <t>ln RR</t>
  </si>
  <si>
    <t>EE del ln RR = Raíz (varianza del ln RR) = Raíz [b / a(a+b)]+[d/ c(c+d)]</t>
  </si>
  <si>
    <r>
      <t xml:space="preserve">Z </t>
    </r>
    <r>
      <rPr>
        <b/>
        <vertAlign val="subscript"/>
        <sz val="10"/>
        <rFont val="Calibri"/>
        <family val="2"/>
      </rPr>
      <t>α/2</t>
    </r>
  </si>
  <si>
    <t>ln del LI IC</t>
  </si>
  <si>
    <t>ln del LS IC</t>
  </si>
  <si>
    <t>RR</t>
  </si>
  <si>
    <t>LI del IC</t>
  </si>
  <si>
    <t>LS del IC</t>
  </si>
  <si>
    <t>RRR</t>
  </si>
  <si>
    <t>Límite inferior del IC</t>
  </si>
  <si>
    <t>Límite superior del IC</t>
  </si>
  <si>
    <r>
      <t xml:space="preserve">MÉTODO DE NEWCOMBE-WILSON: </t>
    </r>
    <r>
      <rPr>
        <sz val="10"/>
        <rFont val="Calibri"/>
        <family val="2"/>
      </rPr>
      <t>Que puede utilizarse sin necesidad de estar pendientes del tamaño del amuestra o de proporciones cuyo p &lt;5 / n. Por ello puede utilizarse para las excepciones anteriores y para todas todas</t>
    </r>
  </si>
  <si>
    <t>Para calcular el IC 95% se sigue la iteración de calcular tres valores, que denominamos A, B y C. Pues bien, el IC = (A+-B) / C; y sale directamente sin sumar ni restar a la estimación puntual. Se observará que los extremos tienen distinta extensión.</t>
  </si>
  <si>
    <t>Aunque es mejor calcularlo por ji^2 de Pearson, puede utilizarse una aproximación al cálculo de la "p de la diferencia"</t>
  </si>
  <si>
    <r>
      <t>p</t>
    </r>
    <r>
      <rPr>
        <sz val="10"/>
        <rFont val="Calibri"/>
        <family val="2"/>
      </rPr>
      <t xml:space="preserve"> = eventos / n</t>
    </r>
  </si>
  <si>
    <t>A= 2*eventos + z^2</t>
  </si>
  <si>
    <r>
      <t xml:space="preserve">B= z * Raíz [z^2 + 4*eventos (1 - </t>
    </r>
    <r>
      <rPr>
        <i/>
        <sz val="10"/>
        <rFont val="Calibri"/>
        <family val="2"/>
      </rPr>
      <t>p</t>
    </r>
    <r>
      <rPr>
        <sz val="10"/>
        <rFont val="Calibri"/>
        <family val="2"/>
      </rPr>
      <t xml:space="preserve">)] </t>
    </r>
  </si>
  <si>
    <t>C= 2(n+z^2)</t>
  </si>
  <si>
    <t>IC = (A+-B)/C</t>
  </si>
  <si>
    <t>Coinciden z^2 de una distribución normal tipificada (=&gt; muestras grandes) con ji^2 con un grado de libertad (EA, pág 254)</t>
  </si>
  <si>
    <t>eventos</t>
  </si>
  <si>
    <t>n (de muestra)</t>
  </si>
  <si>
    <t>p (proporción) = eventos / n</t>
  </si>
  <si>
    <r>
      <t xml:space="preserve">B= z * Raíz [z^2 + 4*eventos (1 - </t>
    </r>
    <r>
      <rPr>
        <b/>
        <i/>
        <sz val="10"/>
        <rFont val="Calibri"/>
        <family val="2"/>
      </rPr>
      <t>p</t>
    </r>
    <r>
      <rPr>
        <b/>
        <sz val="10"/>
        <rFont val="Calibri"/>
        <family val="2"/>
      </rPr>
      <t xml:space="preserve">)] </t>
    </r>
  </si>
  <si>
    <t>Z α/2 (0,05)</t>
  </si>
  <si>
    <t>Proporción</t>
  </si>
  <si>
    <t>CÁLCULO DE LA POTENCIA:</t>
  </si>
  <si>
    <r>
      <t>Zβ = [Raíz (nd^2 /2</t>
    </r>
    <r>
      <rPr>
        <i/>
        <sz val="10"/>
        <rFont val="Calibri"/>
        <family val="2"/>
      </rPr>
      <t>p</t>
    </r>
    <r>
      <rPr>
        <sz val="10"/>
        <rFont val="Calibri"/>
        <family val="2"/>
      </rPr>
      <t>m*</t>
    </r>
    <r>
      <rPr>
        <i/>
        <sz val="10"/>
        <rFont val="Calibri"/>
        <family val="2"/>
      </rPr>
      <t>q</t>
    </r>
    <r>
      <rPr>
        <sz val="10"/>
        <rFont val="Calibri"/>
        <family val="2"/>
      </rPr>
      <t>m)] - Z α/2 (0,05)</t>
    </r>
  </si>
  <si>
    <r>
      <t xml:space="preserve">CÁLCULO DE LA </t>
    </r>
    <r>
      <rPr>
        <b/>
        <i/>
        <sz val="9"/>
        <rFont val="Calibri"/>
        <family val="2"/>
      </rPr>
      <t>p</t>
    </r>
  </si>
  <si>
    <r>
      <t xml:space="preserve">Z </t>
    </r>
    <r>
      <rPr>
        <vertAlign val="subscript"/>
        <sz val="10"/>
        <rFont val="Calibri"/>
        <family val="2"/>
      </rPr>
      <t>α/2</t>
    </r>
    <r>
      <rPr>
        <sz val="10"/>
        <rFont val="Calibri"/>
        <family val="2"/>
      </rPr>
      <t xml:space="preserve"> = Dif Proporc / EE</t>
    </r>
    <r>
      <rPr>
        <vertAlign val="subscript"/>
        <sz val="10"/>
        <rFont val="Calibri"/>
        <family val="2"/>
      </rPr>
      <t xml:space="preserve"> dif proporc</t>
    </r>
  </si>
  <si>
    <t xml:space="preserve"> p (no rechazar Ho │ Ho verdadera)</t>
  </si>
  <si>
    <t>Operar</t>
  </si>
  <si>
    <t>n = nº de los que hay en cada grupo (ojo, no de la suma de ambos)</t>
  </si>
  <si>
    <t>Dif Proporc =  RAR</t>
  </si>
  <si>
    <r>
      <t xml:space="preserve">1-α =  p (no rechazar Ho </t>
    </r>
    <r>
      <rPr>
        <sz val="10"/>
        <rFont val="Calibri"/>
        <family val="2"/>
      </rPr>
      <t>│ Ho verdadera)</t>
    </r>
  </si>
  <si>
    <t>d = diferencia de proporciones de ambos grupos o RAR</t>
  </si>
  <si>
    <r>
      <t xml:space="preserve">EE </t>
    </r>
    <r>
      <rPr>
        <vertAlign val="subscript"/>
        <sz val="10"/>
        <rFont val="Calibri"/>
        <family val="2"/>
      </rPr>
      <t>dif proporc</t>
    </r>
    <r>
      <rPr>
        <sz val="10"/>
        <rFont val="Calibri"/>
        <family val="2"/>
      </rPr>
      <t xml:space="preserve"> = Raíz{ [PM*(1-PM)/n</t>
    </r>
    <r>
      <rPr>
        <vertAlign val="subscript"/>
        <sz val="10"/>
        <rFont val="Calibri"/>
        <family val="2"/>
      </rPr>
      <t>1</t>
    </r>
    <r>
      <rPr>
        <sz val="10"/>
        <rFont val="Calibri"/>
        <family val="2"/>
      </rPr>
      <t>] + [PM*(1-PM)/n</t>
    </r>
    <r>
      <rPr>
        <vertAlign val="subscript"/>
        <sz val="10"/>
        <rFont val="Calibri"/>
        <family val="2"/>
      </rPr>
      <t>2</t>
    </r>
    <r>
      <rPr>
        <sz val="10"/>
        <rFont val="Calibri"/>
        <family val="2"/>
      </rPr>
      <t xml:space="preserve">] }= </t>
    </r>
  </si>
  <si>
    <t>pM = proporción "media" de los eventos = nº total eventos / nº suma de ambos grupos; qM= complementario</t>
  </si>
  <si>
    <t>Z α/2 = Dif Proporc / EE Dif proporc</t>
  </si>
  <si>
    <t>A continuación, se aplica: IC = RAR - Raíz [(p1-Li1)^2 + (Ls2-p2)^2]  hasta RAR + Raíz [(p2-Li2)^2 + (Ls1-p1)^2], cuidando colocar arriba la proporción mayor y abajo la menor</t>
  </si>
  <si>
    <r>
      <t>Zβ = [Raíz (n* Dif Proporc</t>
    </r>
    <r>
      <rPr>
        <vertAlign val="superscript"/>
        <sz val="10"/>
        <rFont val="Calibri"/>
        <family val="2"/>
      </rPr>
      <t>2</t>
    </r>
    <r>
      <rPr>
        <sz val="10"/>
        <rFont val="Calibri"/>
        <family val="2"/>
      </rPr>
      <t xml:space="preserve"> /2PM</t>
    </r>
    <r>
      <rPr>
        <sz val="10"/>
        <rFont val="Calibri"/>
        <family val="2"/>
      </rPr>
      <t>*(1-PM)] - Z α/2</t>
    </r>
  </si>
  <si>
    <t>α = probab de que la diferencia detectada entre ambos sea debida al azar, en caso de que no exista</t>
  </si>
  <si>
    <r>
      <t>Ls1:</t>
    </r>
    <r>
      <rPr>
        <sz val="10"/>
        <rFont val="Calibri"/>
        <family val="2"/>
      </rPr>
      <t xml:space="preserve"> límite superior del grupo 1; </t>
    </r>
    <r>
      <rPr>
        <b/>
        <sz val="10"/>
        <rFont val="Calibri"/>
        <family val="2"/>
      </rPr>
      <t xml:space="preserve">Li2: </t>
    </r>
    <r>
      <rPr>
        <sz val="10"/>
        <rFont val="Calibri"/>
        <family val="2"/>
      </rPr>
      <t>límite inferior del grupo 2</t>
    </r>
  </si>
  <si>
    <t>1 -β = potencia estadística resultante =&gt; probab de detectar una diferencia entre ambos, en caso de que exista</t>
  </si>
  <si>
    <t>1-α = nivel e confianza =  p (no rechazar Ho │ Ho verdadera)</t>
  </si>
  <si>
    <t>RAR =</t>
  </si>
  <si>
    <t xml:space="preserve"> β =&gt; probabilidad de no detectar una diferencia que sí exista.</t>
  </si>
  <si>
    <t>NNT =</t>
  </si>
  <si>
    <t>Potencia de contraste</t>
  </si>
  <si>
    <r>
      <t xml:space="preserve">1 -β =  p (rechazar Ho </t>
    </r>
    <r>
      <rPr>
        <sz val="10"/>
        <rFont val="Calibri"/>
        <family val="2"/>
      </rPr>
      <t>│ Ho falsa)</t>
    </r>
  </si>
  <si>
    <t>DM: diferencia de proporciones</t>
  </si>
  <si>
    <r>
      <t>Z</t>
    </r>
    <r>
      <rPr>
        <vertAlign val="subscript"/>
        <sz val="10"/>
        <rFont val="Calibri"/>
        <family val="2"/>
      </rPr>
      <t>1-</t>
    </r>
    <r>
      <rPr>
        <vertAlign val="subscript"/>
        <sz val="10"/>
        <rFont val="Calibri"/>
        <family val="2"/>
      </rPr>
      <t>α/2</t>
    </r>
    <r>
      <rPr>
        <sz val="10"/>
        <rFont val="Calibri"/>
        <family val="2"/>
      </rPr>
      <t xml:space="preserve"> * EE</t>
    </r>
    <r>
      <rPr>
        <vertAlign val="subscript"/>
        <sz val="10"/>
        <rFont val="Calibri"/>
        <family val="2"/>
      </rPr>
      <t>DM</t>
    </r>
    <r>
      <rPr>
        <sz val="10"/>
        <rFont val="Calibri"/>
        <family val="2"/>
      </rPr>
      <t xml:space="preserve"> + Z</t>
    </r>
    <r>
      <rPr>
        <vertAlign val="subscript"/>
        <sz val="10"/>
        <rFont val="Calibri"/>
        <family val="2"/>
      </rPr>
      <t>β</t>
    </r>
    <r>
      <rPr>
        <sz val="10"/>
        <rFont val="Calibri"/>
        <family val="2"/>
      </rPr>
      <t xml:space="preserve"> * EE</t>
    </r>
    <r>
      <rPr>
        <vertAlign val="subscript"/>
        <sz val="10"/>
        <rFont val="Calibri"/>
        <family val="2"/>
      </rPr>
      <t>DM</t>
    </r>
    <r>
      <rPr>
        <sz val="10"/>
        <rFont val="Calibri"/>
        <family val="2"/>
      </rPr>
      <t xml:space="preserve"> = DM</t>
    </r>
  </si>
  <si>
    <t>=&gt;</t>
  </si>
  <si>
    <r>
      <t>EEDM (Z</t>
    </r>
    <r>
      <rPr>
        <vertAlign val="subscript"/>
        <sz val="10"/>
        <rFont val="Calibri"/>
        <family val="2"/>
      </rPr>
      <t>1-</t>
    </r>
    <r>
      <rPr>
        <vertAlign val="subscript"/>
        <sz val="10"/>
        <rFont val="Calibri"/>
        <family val="2"/>
      </rPr>
      <t>α/2</t>
    </r>
    <r>
      <rPr>
        <sz val="10"/>
        <rFont val="Calibri"/>
        <family val="2"/>
      </rPr>
      <t xml:space="preserve"> + Z</t>
    </r>
    <r>
      <rPr>
        <vertAlign val="subscript"/>
        <sz val="10"/>
        <rFont val="Calibri"/>
        <family val="2"/>
      </rPr>
      <t>β</t>
    </r>
    <r>
      <rPr>
        <sz val="10"/>
        <rFont val="Calibri"/>
        <family val="2"/>
      </rPr>
      <t xml:space="preserve">) </t>
    </r>
    <r>
      <rPr>
        <sz val="10"/>
        <rFont val="Calibri"/>
        <family val="2"/>
      </rPr>
      <t>= DM</t>
    </r>
  </si>
  <si>
    <r>
      <t>Z</t>
    </r>
    <r>
      <rPr>
        <vertAlign val="subscript"/>
        <sz val="10"/>
        <rFont val="Calibri"/>
        <family val="2"/>
      </rPr>
      <t>β</t>
    </r>
    <r>
      <rPr>
        <sz val="10"/>
        <rFont val="Calibri"/>
        <family val="2"/>
      </rPr>
      <t xml:space="preserve">  =  (DM/EE</t>
    </r>
    <r>
      <rPr>
        <vertAlign val="subscript"/>
        <sz val="10"/>
        <rFont val="Calibri"/>
        <family val="2"/>
      </rPr>
      <t>DM</t>
    </r>
    <r>
      <rPr>
        <sz val="10"/>
        <rFont val="Calibri"/>
        <family val="2"/>
      </rPr>
      <t>) - Z</t>
    </r>
    <r>
      <rPr>
        <vertAlign val="subscript"/>
        <sz val="10"/>
        <rFont val="Calibri"/>
        <family val="2"/>
      </rPr>
      <t>1-α/2</t>
    </r>
    <r>
      <rPr>
        <sz val="10"/>
        <rFont val="Calibri"/>
        <family val="2"/>
      </rPr>
      <t xml:space="preserve"> </t>
    </r>
  </si>
  <si>
    <t>1 -β =  potencia estadística resultante =  p de detectar una diferencia entre ambos, en caso de que exista</t>
  </si>
  <si>
    <t>β =  probabilidad de no detectar una diferencia que sí exista =  p (no rechazar Ho │ Ho falsa)</t>
  </si>
  <si>
    <t>Chi cuadrado de Pearson</t>
  </si>
  <si>
    <t>Esperadas</t>
  </si>
  <si>
    <t>Expuestos</t>
  </si>
  <si>
    <t xml:space="preserve">χ² teórico alfa 0,05, y 1 g.l = </t>
  </si>
  <si>
    <t>No expuestos</t>
  </si>
  <si>
    <t>Grados de libertad = (Nº filas - 1 ) x (Nº columnas -1) =</t>
  </si>
  <si>
    <t>Totales</t>
  </si>
  <si>
    <t>Si χ² cal &lt; χ² teórico =&gt;</t>
  </si>
  <si>
    <t>Se acepta Ho =&gt; existe homogeneidad o independencia de la intervención estudiada</t>
  </si>
  <si>
    <t>Si χ² cal &gt; χ² teórico =&gt;</t>
  </si>
  <si>
    <t>Se rechaza Ho =&gt; existe heterogenicidad o dependencia de la intervención estudiada</t>
  </si>
  <si>
    <r>
      <t>χ² cal= Sumat (observado</t>
    </r>
    <r>
      <rPr>
        <vertAlign val="subscript"/>
        <sz val="10"/>
        <rFont val="Calibri"/>
        <family val="2"/>
      </rPr>
      <t xml:space="preserve"> i </t>
    </r>
    <r>
      <rPr>
        <sz val="10"/>
        <rFont val="Calibri"/>
        <family val="2"/>
      </rPr>
      <t xml:space="preserve">- esperado </t>
    </r>
    <r>
      <rPr>
        <vertAlign val="subscript"/>
        <sz val="10"/>
        <rFont val="Calibri"/>
        <family val="2"/>
      </rPr>
      <t>i</t>
    </r>
    <r>
      <rPr>
        <sz val="10"/>
        <rFont val="Calibri"/>
        <family val="2"/>
      </rPr>
      <t>)</t>
    </r>
    <r>
      <rPr>
        <vertAlign val="superscript"/>
        <sz val="10"/>
        <rFont val="Calibri"/>
        <family val="2"/>
      </rPr>
      <t>2</t>
    </r>
    <r>
      <rPr>
        <sz val="10"/>
        <rFont val="Calibri"/>
        <family val="2"/>
      </rPr>
      <t xml:space="preserve"> / esperado </t>
    </r>
    <r>
      <rPr>
        <vertAlign val="subscript"/>
        <sz val="10"/>
        <rFont val="Calibri"/>
        <family val="2"/>
      </rPr>
      <t>i</t>
    </r>
    <r>
      <rPr>
        <sz val="10"/>
        <rFont val="Calibri"/>
        <family val="2"/>
      </rPr>
      <t>)</t>
    </r>
  </si>
  <si>
    <t>χ² cal - χ² teórico =</t>
  </si>
  <si>
    <t>χ² cal= Suma [(ao-ae)^2/ae +(bo-be)^2/be + (co-ce)^2/ce + (do-de)^2/de)]</t>
  </si>
  <si>
    <t>Es &lt; 0 =&gt;Acepto Ho =&gt; Homogeneidad o independencia (o tratamiento no eficaz)</t>
  </si>
  <si>
    <t>χ² cal=</t>
  </si>
  <si>
    <t>Es &gt; 0 =&gt;Rechazo Ho =&gt; Heterogenicidad o dependencia (o tratamiento eficaz)</t>
  </si>
  <si>
    <r>
      <t>Corresponde a</t>
    </r>
    <r>
      <rPr>
        <b/>
        <i/>
        <sz val="10"/>
        <rFont val="Calibri"/>
        <family val="2"/>
      </rPr>
      <t xml:space="preserve"> p</t>
    </r>
    <r>
      <rPr>
        <sz val="10"/>
        <rFont val="Calibri"/>
        <family val="2"/>
      </rPr>
      <t>=</t>
    </r>
  </si>
  <si>
    <t>Cálculo por incidencias acumuladas</t>
  </si>
  <si>
    <t>Estimación puntual e IC de cada proporción</t>
  </si>
  <si>
    <t>(</t>
  </si>
  <si>
    <t>-</t>
  </si>
  <si>
    <t>)</t>
  </si>
  <si>
    <t>%</t>
  </si>
  <si>
    <t>Nº event Interv (%)</t>
  </si>
  <si>
    <t>Nº event Control (%)</t>
  </si>
  <si>
    <t>RAR</t>
  </si>
  <si>
    <t>potencia</t>
  </si>
  <si>
    <t>a</t>
  </si>
  <si>
    <t>/</t>
  </si>
  <si>
    <t>Potencia</t>
  </si>
  <si>
    <t>% Intervención (Fact Box)</t>
  </si>
  <si>
    <t>% Control (Fact Box)</t>
  </si>
  <si>
    <t>t medio con Ev, con ABC por polígonos</t>
  </si>
  <si>
    <t>t x ABC, Intev</t>
  </si>
  <si>
    <t>t x ABC, Contr</t>
  </si>
  <si>
    <t>tiempo</t>
  </si>
  <si>
    <t>RA interv</t>
  </si>
  <si>
    <t>RA contr</t>
  </si>
  <si>
    <r>
      <rPr>
        <i/>
        <sz val="10"/>
        <rFont val="Calibri"/>
        <family val="2"/>
      </rPr>
      <t xml:space="preserve">p </t>
    </r>
    <r>
      <rPr>
        <b/>
        <sz val="10"/>
        <rFont val="Calibri"/>
        <family val="2"/>
      </rPr>
      <t>para la diferencia</t>
    </r>
  </si>
  <si>
    <t>Cálculo por incidencias acumuladas de RR, RAR, NNT, potencia estadística y valor de p</t>
  </si>
  <si>
    <t>Estimación puntual de las incidencias acumuladas</t>
  </si>
  <si>
    <t>Permanecenn sin Ev gracias a Mto Intervención</t>
  </si>
  <si>
    <t>Permanen sin Ev sin tomar Mto Intervención</t>
  </si>
  <si>
    <t>Tendrán el Ev, incluso tomando Mto Intervención</t>
  </si>
  <si>
    <t>RR (IC 95%)</t>
  </si>
  <si>
    <t>tiempo medio de Supervivencia Libre de Evento (tSLEv) sin la intervención</t>
  </si>
  <si>
    <t>Prolongación del tiempo medio de Supervivencia Libre de Evento (PtSLEv) por la intervención</t>
  </si>
  <si>
    <t>Total de t de seguimiento</t>
  </si>
  <si>
    <t>Total del tiempo medio de seguimiento</t>
  </si>
  <si>
    <t>% Interv (Fact Box)</t>
  </si>
  <si>
    <r>
      <t>Abreviaturas</t>
    </r>
    <r>
      <rPr>
        <sz val="8"/>
        <rFont val="Calibri"/>
        <family val="2"/>
      </rPr>
      <t xml:space="preserve">: </t>
    </r>
    <r>
      <rPr>
        <b/>
        <sz val="8"/>
        <rFont val="Calibri"/>
        <family val="2"/>
      </rPr>
      <t xml:space="preserve">IC: </t>
    </r>
    <r>
      <rPr>
        <sz val="8"/>
        <rFont val="Calibri"/>
        <family val="2"/>
      </rPr>
      <t xml:space="preserve">intervalo de confianza; </t>
    </r>
    <r>
      <rPr>
        <b/>
        <sz val="8"/>
        <rFont val="Calibri"/>
        <family val="2"/>
      </rPr>
      <t>RA</t>
    </r>
    <r>
      <rPr>
        <sz val="8"/>
        <rFont val="Calibri"/>
        <family val="2"/>
      </rPr>
      <t>: Riesgo Absoluto;</t>
    </r>
    <r>
      <rPr>
        <b/>
        <sz val="8"/>
        <rFont val="Calibri"/>
        <family val="2"/>
      </rPr>
      <t xml:space="preserve"> RR</t>
    </r>
    <r>
      <rPr>
        <sz val="8"/>
        <rFont val="Calibri"/>
        <family val="2"/>
      </rPr>
      <t xml:space="preserve">: Riesgo Relativo; </t>
    </r>
    <r>
      <rPr>
        <b/>
        <sz val="8"/>
        <rFont val="Calibri"/>
        <family val="2"/>
      </rPr>
      <t>RAR</t>
    </r>
    <r>
      <rPr>
        <sz val="8"/>
        <rFont val="Calibri"/>
        <family val="2"/>
      </rPr>
      <t xml:space="preserve">: Reducción Absoluta del Riesgo; </t>
    </r>
    <r>
      <rPr>
        <b/>
        <sz val="8"/>
        <rFont val="Calibri"/>
        <family val="2"/>
      </rPr>
      <t>NNT</t>
    </r>
    <r>
      <rPr>
        <sz val="8"/>
        <rFont val="Calibri"/>
        <family val="2"/>
      </rPr>
      <t xml:space="preserve">: Número Necesario a Tratar para evitar un evento; </t>
    </r>
    <r>
      <rPr>
        <b/>
        <sz val="8"/>
        <rFont val="Calibri"/>
        <family val="2"/>
      </rPr>
      <t xml:space="preserve">tSLEv: </t>
    </r>
    <r>
      <rPr>
        <sz val="8"/>
        <rFont val="Calibri"/>
        <family val="2"/>
      </rPr>
      <t xml:space="preserve">tiempo medio de Supervivencia Libre de Evento; </t>
    </r>
    <r>
      <rPr>
        <b/>
        <sz val="8"/>
        <rFont val="Calibri"/>
        <family val="2"/>
      </rPr>
      <t>PtSLEv:</t>
    </r>
    <r>
      <rPr>
        <sz val="8"/>
        <rFont val="Calibri"/>
        <family val="2"/>
      </rPr>
      <t xml:space="preserve"> Prolongación del tiempo medio de Supervivencia Libre de Evento.</t>
    </r>
  </si>
  <si>
    <t>Hoja información al usuario (FACT BOX)</t>
  </si>
  <si>
    <t>Nº Eventos crudos (%)</t>
  </si>
  <si>
    <r>
      <t>Valor de</t>
    </r>
    <r>
      <rPr>
        <b/>
        <i/>
        <sz val="10"/>
        <rFont val="Calibri"/>
        <family val="2"/>
      </rPr>
      <t xml:space="preserve"> p</t>
    </r>
  </si>
  <si>
    <t>meses</t>
  </si>
  <si>
    <t>Medidas del efecto obtenidas por incidencias acumuladas</t>
  </si>
  <si>
    <t>RAR (IC 95%)</t>
  </si>
  <si>
    <t>por año</t>
  </si>
  <si>
    <t>nº años</t>
  </si>
  <si>
    <t>nº meses</t>
  </si>
  <si>
    <t>NNT (IC 95%) en 24 meses</t>
  </si>
  <si>
    <r>
      <t>Nº de pacientes con evento en</t>
    </r>
    <r>
      <rPr>
        <b/>
        <sz val="10"/>
        <rFont val="Calibri"/>
        <family val="2"/>
      </rPr>
      <t xml:space="preserve"> 24 meses </t>
    </r>
    <r>
      <rPr>
        <sz val="10"/>
        <rFont val="Calibri"/>
        <family val="2"/>
      </rPr>
      <t>por cada 100 tratados con</t>
    </r>
    <r>
      <rPr>
        <b/>
        <sz val="10"/>
        <rFont val="Calibri"/>
        <family val="2"/>
      </rPr>
      <t>:</t>
    </r>
  </si>
  <si>
    <t>Los 3 tiempos biográficos (3tB)</t>
  </si>
  <si>
    <t>Los 3 destinos del NNT (3dNNT)</t>
  </si>
  <si>
    <t>Variables experienciales</t>
  </si>
  <si>
    <t>Variables NO experienciales</t>
  </si>
  <si>
    <t>Mortalidad por causa cardiovascular</t>
  </si>
  <si>
    <t>Mortalidad por causa renal</t>
  </si>
  <si>
    <t>EFECTOS ADVERSOS (EA) sin especificar los atribuidos a los tratamientos estudiados</t>
  </si>
  <si>
    <r>
      <rPr>
        <u/>
        <sz val="10"/>
        <rFont val="Calibri"/>
        <family val="2"/>
      </rPr>
      <t>Abreviaturas</t>
    </r>
    <r>
      <rPr>
        <sz val="10"/>
        <rFont val="Calibri"/>
        <family val="2"/>
      </rPr>
      <t xml:space="preserve">:  </t>
    </r>
    <r>
      <rPr>
        <b/>
        <sz val="10"/>
        <rFont val="Calibri"/>
        <family val="2"/>
      </rPr>
      <t xml:space="preserve">CV: </t>
    </r>
    <r>
      <rPr>
        <sz val="10"/>
        <rFont val="Calibri"/>
        <family val="2"/>
      </rPr>
      <t xml:space="preserve">cardiovascular; </t>
    </r>
    <r>
      <rPr>
        <b/>
        <sz val="10"/>
        <rFont val="Calibri"/>
        <family val="2"/>
      </rPr>
      <t>EA:</t>
    </r>
    <r>
      <rPr>
        <sz val="10"/>
        <rFont val="Calibri"/>
        <family val="2"/>
      </rPr>
      <t xml:space="preserve"> efectos adversos; </t>
    </r>
    <r>
      <rPr>
        <b/>
        <sz val="10"/>
        <rFont val="Calibri"/>
        <family val="2"/>
      </rPr>
      <t>IC 95%:</t>
    </r>
    <r>
      <rPr>
        <sz val="10"/>
        <rFont val="Calibri"/>
        <family val="2"/>
      </rPr>
      <t xml:space="preserve"> intervalo de confianza al 95%; </t>
    </r>
    <r>
      <rPr>
        <b/>
        <sz val="10"/>
        <rFont val="Calibri"/>
        <family val="2"/>
      </rPr>
      <t xml:space="preserve">NNT: </t>
    </r>
    <r>
      <rPr>
        <sz val="10"/>
        <rFont val="Calibri"/>
        <family val="2"/>
      </rPr>
      <t xml:space="preserve">número necesario a tratar con la intervención para evitar 1 evento más que con el control; </t>
    </r>
    <r>
      <rPr>
        <b/>
        <sz val="10"/>
        <rFont val="Calibri"/>
        <family val="2"/>
      </rPr>
      <t xml:space="preserve">RAR: </t>
    </r>
    <r>
      <rPr>
        <sz val="10"/>
        <rFont val="Calibri"/>
        <family val="2"/>
      </rPr>
      <t xml:space="preserve">reducción absoluta del riesgo; </t>
    </r>
    <r>
      <rPr>
        <b/>
        <sz val="10"/>
        <rFont val="Calibri"/>
        <family val="2"/>
      </rPr>
      <t>RR:</t>
    </r>
    <r>
      <rPr>
        <sz val="10"/>
        <rFont val="Calibri"/>
        <family val="2"/>
      </rPr>
      <t xml:space="preserve"> riesgo relativo.</t>
    </r>
  </si>
  <si>
    <t>Los 3 destinos NNT</t>
  </si>
  <si>
    <t>Participantes -----&gt;</t>
  </si>
  <si>
    <t xml:space="preserve">Herrington WG, Staplin N, Wanner C, Green JB, on behalf of the EMPA-KIDNEY Collaborative Group. Empagliflozin in Patients with Chronic Kidney Disease. N Engl J Med. 2022 Nov 4. doi: 10.1056/NEJMoa2204233. </t>
  </si>
  <si>
    <t>Tto estándar + Placebo, n= 3305</t>
  </si>
  <si>
    <t>384/3304 (11,62%)</t>
  </si>
  <si>
    <t>504/3305 (15,25%)</t>
  </si>
  <si>
    <t>0,76 (0,67-0,86)</t>
  </si>
  <si>
    <t>3,63% (1,98% a 5,27%)</t>
  </si>
  <si>
    <t>99,09%</t>
  </si>
  <si>
    <t>148/3304 (4,48%)</t>
  </si>
  <si>
    <t>167/3305 (5,05%)</t>
  </si>
  <si>
    <t>0,89 (0,71-1,1)</t>
  </si>
  <si>
    <t>0,57% (-0,46% a 1,6%)</t>
  </si>
  <si>
    <t>174 (62 a -217)</t>
  </si>
  <si>
    <t>19,33%</t>
  </si>
  <si>
    <t>29 (19 a 50)</t>
  </si>
  <si>
    <t>131/3304 (3,96%)</t>
  </si>
  <si>
    <t>152/3305 (4,6%)</t>
  </si>
  <si>
    <t>0,86 (0,69-1,08)</t>
  </si>
  <si>
    <t>0,63% (-0,35% a 1,61%)</t>
  </si>
  <si>
    <t>359/3304 (10,87%)</t>
  </si>
  <si>
    <t>474/3305 (14,34%)</t>
  </si>
  <si>
    <t>3,48% (1,88% a 5,08%)</t>
  </si>
  <si>
    <t>29 (20 a 53)</t>
  </si>
  <si>
    <t>98,92%</t>
  </si>
  <si>
    <r>
      <t xml:space="preserve">ERT = </t>
    </r>
    <r>
      <rPr>
        <sz val="10"/>
        <rFont val="Calibri"/>
        <family val="2"/>
        <scheme val="minor"/>
      </rPr>
      <t>1</t>
    </r>
    <r>
      <rPr>
        <vertAlign val="superscript"/>
        <sz val="10"/>
        <rFont val="Calibri"/>
        <family val="2"/>
        <scheme val="minor"/>
      </rPr>
      <t>er</t>
    </r>
    <r>
      <rPr>
        <sz val="10"/>
        <rFont val="Calibri"/>
        <family val="2"/>
        <scheme val="minor"/>
      </rPr>
      <t xml:space="preserve"> evento de </t>
    </r>
    <r>
      <rPr>
        <b/>
        <sz val="10"/>
        <rFont val="Calibri"/>
        <family val="2"/>
        <scheme val="minor"/>
      </rPr>
      <t>[Diálisis de inicio o de mantenimiento, o Trasplante renal]</t>
    </r>
  </si>
  <si>
    <t>Meses ---&gt;</t>
  </si>
  <si>
    <t>158 (62 a -286)</t>
  </si>
  <si>
    <t>24,62%</t>
  </si>
  <si>
    <r>
      <rPr>
        <b/>
        <sz val="12"/>
        <color indexed="60"/>
        <rFont val="Calibri"/>
        <family val="2"/>
      </rPr>
      <t xml:space="preserve">Tabla nnt-1: </t>
    </r>
    <r>
      <rPr>
        <b/>
        <sz val="12"/>
        <rFont val="Calibri"/>
        <family val="2"/>
      </rPr>
      <t>Pacientes de 64 años (DE 14) con Enfermedad Renal Crónica [FGe 37 ml/min (DE 14)], y con DM2 en un 45% y/o Enfermedad CV en un 26%.</t>
    </r>
  </si>
  <si>
    <t>Daño hepático</t>
  </si>
  <si>
    <t>Amputación en extremidades inferiores</t>
  </si>
  <si>
    <t>Fractura ósea</t>
  </si>
  <si>
    <t>Hipoglucemia que requiere asistencia</t>
  </si>
  <si>
    <t>Deshidratación sintomática</t>
  </si>
  <si>
    <t>Deshidratación "serious" (grave)</t>
  </si>
  <si>
    <t>Fallo renal agudo "serious" (grave)</t>
  </si>
  <si>
    <t>Infección genital "serious" (grave)</t>
  </si>
  <si>
    <t>Hiperpotasemia "serious" (grave)</t>
  </si>
  <si>
    <t>Infección del trato urinario "serious" (grave)</t>
  </si>
  <si>
    <t>52/3304 (1,57%)</t>
  </si>
  <si>
    <t>54/3305 (1,63%)</t>
  </si>
  <si>
    <t>0,96 (0,66-1,41)</t>
  </si>
  <si>
    <t>0,06% (-0,56% a 0,68%)</t>
  </si>
  <si>
    <t>1666 (148 a -180)</t>
  </si>
  <si>
    <t>3,87%</t>
  </si>
  <si>
    <t>Cetoacidosis</t>
  </si>
  <si>
    <r>
      <rPr>
        <b/>
        <sz val="12"/>
        <color rgb="FF993300"/>
        <rFont val="Calibri"/>
        <family val="2"/>
        <scheme val="minor"/>
      </rPr>
      <t>Tabla nnt-2:</t>
    </r>
    <r>
      <rPr>
        <b/>
        <sz val="12"/>
        <rFont val="Calibri"/>
        <family val="2"/>
        <scheme val="minor"/>
      </rPr>
      <t xml:space="preserve"> EFECTOS ADVERSOS ACUMULADOS MÁS RELEVANTES INFORMADOS POR LOS INVESTIGADORES</t>
    </r>
  </si>
  <si>
    <t>ECA EMPA-KIDNEY, media de seguimiento 23,57 meses</t>
  </si>
  <si>
    <r>
      <rPr>
        <b/>
        <sz val="12"/>
        <color theme="1"/>
        <rFont val="Calibri"/>
        <family val="2"/>
        <scheme val="minor"/>
      </rPr>
      <t>ERT</t>
    </r>
    <r>
      <rPr>
        <sz val="12"/>
        <color theme="1"/>
        <rFont val="Calibri"/>
        <family val="2"/>
        <scheme val="minor"/>
      </rPr>
      <t xml:space="preserve"> = 1</t>
    </r>
    <r>
      <rPr>
        <vertAlign val="superscript"/>
        <sz val="12"/>
        <color theme="1"/>
        <rFont val="Calibri"/>
        <family val="2"/>
        <scheme val="minor"/>
      </rPr>
      <t>er</t>
    </r>
    <r>
      <rPr>
        <sz val="12"/>
        <color theme="1"/>
        <rFont val="Calibri"/>
        <family val="2"/>
        <scheme val="minor"/>
      </rPr>
      <t xml:space="preserve"> evento de </t>
    </r>
    <r>
      <rPr>
        <b/>
        <sz val="12"/>
        <color rgb="FF000000"/>
        <rFont val="Calibri"/>
        <family val="2"/>
        <scheme val="minor"/>
      </rPr>
      <t>[Diálisis o Trasplante renal]</t>
    </r>
  </si>
  <si>
    <r>
      <t xml:space="preserve">ECA EMPA-KIDNEY, media de seguimiento 23,57 meses </t>
    </r>
    <r>
      <rPr>
        <b/>
        <sz val="11"/>
        <color theme="0" tint="-0.249977111117893"/>
        <rFont val="Calibri"/>
        <family val="2"/>
        <scheme val="minor"/>
      </rPr>
      <t>(23,54 en Mort y 23,59 en Mort CV)</t>
    </r>
  </si>
  <si>
    <t>Los datos se toman del artículo original y de la tabla S5 del apéndice, pág 52</t>
  </si>
  <si>
    <t>Declinación FGe en &gt; 40% desde el inicio</t>
  </si>
  <si>
    <t>Declinación FGe a &lt; 10 ml/min sostenida</t>
  </si>
  <si>
    <t>20221104-ECA EMP-KN 2y, ERC [Empa vs Pl], -Progr ERC =Mort. Herrington</t>
  </si>
  <si>
    <r>
      <t>1</t>
    </r>
    <r>
      <rPr>
        <vertAlign val="superscript"/>
        <sz val="10"/>
        <rFont val="Calibri"/>
        <family val="2"/>
        <scheme val="minor"/>
      </rPr>
      <t>er</t>
    </r>
    <r>
      <rPr>
        <sz val="10"/>
        <rFont val="Calibri"/>
        <family val="2"/>
        <scheme val="minor"/>
      </rPr>
      <t xml:space="preserve"> evento de </t>
    </r>
    <r>
      <rPr>
        <b/>
        <sz val="10"/>
        <rFont val="Calibri"/>
        <family val="2"/>
        <scheme val="minor"/>
      </rPr>
      <t xml:space="preserve">[Mort CV </t>
    </r>
    <r>
      <rPr>
        <b/>
        <u/>
        <sz val="10"/>
        <rFont val="Calibri"/>
        <family val="2"/>
        <scheme val="minor"/>
      </rPr>
      <t>u</t>
    </r>
    <r>
      <rPr>
        <b/>
        <sz val="10"/>
        <rFont val="Calibri"/>
        <family val="2"/>
        <scheme val="minor"/>
      </rPr>
      <t xml:space="preserve"> Hospitalización por Insuficiencia Cardiaca]</t>
    </r>
    <r>
      <rPr>
        <sz val="10"/>
        <rFont val="Calibri"/>
        <family val="2"/>
        <scheme val="minor"/>
      </rPr>
      <t xml:space="preserve"> </t>
    </r>
    <r>
      <rPr>
        <sz val="10"/>
        <color theme="0" tint="-0.249977111117893"/>
        <rFont val="Calibri"/>
        <family val="2"/>
        <scheme val="minor"/>
      </rPr>
      <t>MortCvinsucár</t>
    </r>
  </si>
  <si>
    <r>
      <t>"Progresión Enfermedad"</t>
    </r>
    <r>
      <rPr>
        <sz val="10"/>
        <rFont val="Calibri"/>
        <family val="2"/>
        <scheme val="minor"/>
      </rPr>
      <t>: 1</t>
    </r>
    <r>
      <rPr>
        <vertAlign val="superscript"/>
        <sz val="10"/>
        <rFont val="Calibri"/>
        <family val="2"/>
        <scheme val="minor"/>
      </rPr>
      <t>er</t>
    </r>
    <r>
      <rPr>
        <sz val="10"/>
        <rFont val="Calibri"/>
        <family val="2"/>
        <scheme val="minor"/>
      </rPr>
      <t xml:space="preserve"> evento de </t>
    </r>
    <r>
      <rPr>
        <b/>
        <sz val="10"/>
        <rFont val="Calibri"/>
        <family val="2"/>
        <scheme val="minor"/>
      </rPr>
      <t xml:space="preserve">[Declinac FGe de ≥40%, Declinac FGe a &lt;10 ml/min, Diálisis, Traspl renal, o Mort renal] </t>
    </r>
    <r>
      <rPr>
        <sz val="10"/>
        <color theme="0" tint="-0.249977111117893"/>
        <rFont val="Calibri"/>
        <family val="2"/>
        <scheme val="minor"/>
      </rPr>
      <t>Defi40 bajo10 dialtran morrén</t>
    </r>
  </si>
  <si>
    <r>
      <t xml:space="preserve">"Progresión Enfermedad" o Mortalidad CV: </t>
    </r>
    <r>
      <rPr>
        <sz val="10"/>
        <rFont val="Calibri"/>
        <family val="2"/>
        <scheme val="minor"/>
      </rPr>
      <t>1</t>
    </r>
    <r>
      <rPr>
        <vertAlign val="superscript"/>
        <sz val="10"/>
        <rFont val="Calibri"/>
        <family val="2"/>
        <scheme val="minor"/>
      </rPr>
      <t>er</t>
    </r>
    <r>
      <rPr>
        <sz val="10"/>
        <rFont val="Calibri"/>
        <family val="2"/>
        <scheme val="minor"/>
      </rPr>
      <t xml:space="preserve"> evento de </t>
    </r>
    <r>
      <rPr>
        <b/>
        <sz val="10"/>
        <rFont val="Calibri"/>
        <family val="2"/>
        <scheme val="minor"/>
      </rPr>
      <t xml:space="preserve">[Declinac FGe de ≥40%, Declinac FGe a &lt;10 ml/min, Diálisis, Traspl renal,  Mort CV, o Mort renal] </t>
    </r>
    <r>
      <rPr>
        <sz val="10"/>
        <color theme="0" tint="-0.249977111117893"/>
        <rFont val="Calibri"/>
        <family val="2"/>
        <scheme val="minor"/>
      </rPr>
      <t>Defi40 bajo10 dialtran mortcarrén</t>
    </r>
  </si>
  <si>
    <t>Mortalidad por todas las causas</t>
  </si>
  <si>
    <r>
      <rPr>
        <u/>
        <sz val="10"/>
        <rFont val="Calibri"/>
        <family val="2"/>
      </rPr>
      <t>Abreviaturas</t>
    </r>
    <r>
      <rPr>
        <sz val="10"/>
        <rFont val="Calibri"/>
        <family val="2"/>
      </rPr>
      <t xml:space="preserve">: </t>
    </r>
    <r>
      <rPr>
        <b/>
        <sz val="10"/>
        <rFont val="Calibri"/>
        <family val="2"/>
      </rPr>
      <t>CV:</t>
    </r>
    <r>
      <rPr>
        <sz val="10"/>
        <rFont val="Calibri"/>
        <family val="2"/>
      </rPr>
      <t xml:space="preserve"> cardiovascular; </t>
    </r>
    <r>
      <rPr>
        <b/>
        <sz val="10"/>
        <rFont val="Calibri"/>
        <family val="2"/>
      </rPr>
      <t xml:space="preserve">DM2: </t>
    </r>
    <r>
      <rPr>
        <sz val="10"/>
        <rFont val="Calibri"/>
        <family val="2"/>
      </rPr>
      <t xml:space="preserve">diabetes mellitus tipo 2; </t>
    </r>
    <r>
      <rPr>
        <b/>
        <sz val="10"/>
        <rFont val="Calibri"/>
        <family val="2"/>
      </rPr>
      <t>ERC:</t>
    </r>
    <r>
      <rPr>
        <sz val="10"/>
        <rFont val="Calibri"/>
        <family val="2"/>
      </rPr>
      <t xml:space="preserve"> enfermedad renal crónica; </t>
    </r>
    <r>
      <rPr>
        <b/>
        <sz val="10"/>
        <rFont val="Calibri"/>
        <family val="2"/>
      </rPr>
      <t xml:space="preserve">ERT: </t>
    </r>
    <r>
      <rPr>
        <sz val="10"/>
        <rFont val="Calibri"/>
        <family val="2"/>
      </rPr>
      <t xml:space="preserve">enfermedad renal en etapa terminal (diálisis de inicio o de mantenimiento o trasplante renal); </t>
    </r>
    <r>
      <rPr>
        <b/>
        <sz val="10"/>
        <rFont val="Calibri"/>
        <family val="2"/>
      </rPr>
      <t>FGe:</t>
    </r>
    <r>
      <rPr>
        <sz val="10"/>
        <rFont val="Calibri"/>
        <family val="2"/>
      </rPr>
      <t xml:space="preserve"> filtración glomerular estimada, en ml/ min/ 1,73 m</t>
    </r>
    <r>
      <rPr>
        <vertAlign val="superscript"/>
        <sz val="10"/>
        <rFont val="Calibri"/>
        <family val="2"/>
      </rPr>
      <t>2</t>
    </r>
    <r>
      <rPr>
        <sz val="10"/>
        <rFont val="Calibri"/>
        <family val="2"/>
      </rPr>
      <t xml:space="preserve"> de superficie corporal; </t>
    </r>
    <r>
      <rPr>
        <b/>
        <sz val="10"/>
        <rFont val="Calibri"/>
        <family val="2"/>
      </rPr>
      <t xml:space="preserve">IC: </t>
    </r>
    <r>
      <rPr>
        <sz val="10"/>
        <rFont val="Calibri"/>
        <family val="2"/>
      </rPr>
      <t xml:space="preserve">intervalo de confianza; </t>
    </r>
    <r>
      <rPr>
        <b/>
        <sz val="10"/>
        <rFont val="Calibri"/>
        <family val="2"/>
      </rPr>
      <t>ml/min:</t>
    </r>
    <r>
      <rPr>
        <sz val="10"/>
        <rFont val="Calibri"/>
        <family val="2"/>
      </rPr>
      <t xml:space="preserve"> mililitros por minuto; </t>
    </r>
    <r>
      <rPr>
        <b/>
        <sz val="10"/>
        <rFont val="Calibri"/>
        <family val="2"/>
      </rPr>
      <t xml:space="preserve">Mort: </t>
    </r>
    <r>
      <rPr>
        <sz val="10"/>
        <rFont val="Calibri"/>
        <family val="2"/>
      </rPr>
      <t xml:space="preserve">mortalidad por cualquier causa; </t>
    </r>
    <r>
      <rPr>
        <b/>
        <sz val="10"/>
        <rFont val="Calibri"/>
        <family val="2"/>
      </rPr>
      <t>Mort CV:</t>
    </r>
    <r>
      <rPr>
        <sz val="10"/>
        <rFont val="Calibri"/>
        <family val="2"/>
      </rPr>
      <t xml:space="preserve"> Mortalidad por todas las causas; </t>
    </r>
    <r>
      <rPr>
        <b/>
        <sz val="10"/>
        <rFont val="Calibri"/>
        <family val="2"/>
      </rPr>
      <t xml:space="preserve">NNT: </t>
    </r>
    <r>
      <rPr>
        <sz val="10"/>
        <rFont val="Calibri"/>
        <family val="2"/>
      </rPr>
      <t xml:space="preserve">número necesario a tratar para proteger a 1 paciente más que sin tratar; </t>
    </r>
    <r>
      <rPr>
        <b/>
        <sz val="10"/>
        <rFont val="Calibri"/>
        <family val="2"/>
      </rPr>
      <t xml:space="preserve">RAR: </t>
    </r>
    <r>
      <rPr>
        <sz val="10"/>
        <rFont val="Calibri"/>
        <family val="2"/>
      </rPr>
      <t xml:space="preserve">reducción absoluta del riesgo; </t>
    </r>
    <r>
      <rPr>
        <b/>
        <sz val="10"/>
        <rFont val="Calibri"/>
        <family val="2"/>
      </rPr>
      <t xml:space="preserve">RR: </t>
    </r>
    <r>
      <rPr>
        <sz val="10"/>
        <rFont val="Calibri"/>
        <family val="2"/>
      </rPr>
      <t xml:space="preserve">riesgo relativo (obtenido por incidencias acumuladas); </t>
    </r>
    <r>
      <rPr>
        <b/>
        <sz val="10"/>
        <rFont val="Calibri"/>
        <family val="2"/>
      </rPr>
      <t>Tto estándar:</t>
    </r>
    <r>
      <rPr>
        <sz val="10"/>
        <rFont val="Calibri"/>
        <family val="2"/>
      </rPr>
      <t xml:space="preserve"> tratamiento estándar; </t>
    </r>
    <r>
      <rPr>
        <b/>
        <sz val="10"/>
        <rFont val="Calibri"/>
        <family val="2"/>
      </rPr>
      <t xml:space="preserve">Sostenida: </t>
    </r>
    <r>
      <rPr>
        <sz val="10"/>
        <rFont val="Calibri"/>
        <family val="2"/>
      </rPr>
      <t xml:space="preserve"> presente en dos visitas de seguimiento del estudio programadas consecutivas o la última visita de seguimiento programada antes de la muerte o el seguimiento final (o la retirada del consentimiento).</t>
    </r>
  </si>
  <si>
    <t>Tto estándar + Empagliflozina, n= 3304</t>
  </si>
  <si>
    <t>Empagliflozina</t>
  </si>
  <si>
    <r>
      <rPr>
        <b/>
        <sz val="12"/>
        <color rgb="FF993300"/>
        <rFont val="Calibri"/>
        <family val="2"/>
        <scheme val="minor"/>
      </rPr>
      <t xml:space="preserve">Tabla 3tB-1: </t>
    </r>
    <r>
      <rPr>
        <b/>
        <sz val="12"/>
        <rFont val="Calibri"/>
        <family val="2"/>
        <scheme val="minor"/>
      </rPr>
      <t>Los 3 tiempos biográficos de cada variable, asumiendo que la incidencia asciende linealmente a lo largo del tiempo.</t>
    </r>
  </si>
  <si>
    <t>Resto de tiempo medio sin éxito durante todo el tiempo de seguimiento</t>
  </si>
  <si>
    <t>Variable no experiencial</t>
  </si>
  <si>
    <t>Meses -----&gt;</t>
  </si>
  <si>
    <r>
      <rPr>
        <b/>
        <sz val="20"/>
        <color rgb="FF993300"/>
        <rFont val="Calibri"/>
        <family val="2"/>
        <scheme val="minor"/>
      </rPr>
      <t xml:space="preserve">Gráfico g-1.4: </t>
    </r>
    <r>
      <rPr>
        <b/>
        <sz val="20"/>
        <color theme="1"/>
        <rFont val="Calibri"/>
        <family val="2"/>
        <scheme val="minor"/>
      </rPr>
      <t>Distribución de "Los 3 tiempos biográficos (3tB)" sobre "Los 3 destinos del NNT (3dNNT)" en la ["Progresión enfermedad" o Mortalidad CV], durante un seguimiento de 24 meses.</t>
    </r>
  </si>
  <si>
    <r>
      <rPr>
        <b/>
        <sz val="20"/>
        <color rgb="FF993300"/>
        <rFont val="Calibri"/>
        <family val="2"/>
        <scheme val="minor"/>
      </rPr>
      <t xml:space="preserve">Gráfico g-1.3: </t>
    </r>
    <r>
      <rPr>
        <b/>
        <sz val="20"/>
        <color theme="1"/>
        <rFont val="Calibri"/>
        <family val="2"/>
        <scheme val="minor"/>
      </rPr>
      <t>Distribución de "Los 3 tiempos biográficos (3tB)" sobre "Los 3 destinos del NNT (3dNNT)” en "Enfermedad Renal en etapa Terminal [Diálisis de inicio o de mantenimiento, o Trasplante renal]", durante un seguimiento de 24 meses.</t>
    </r>
  </si>
  <si>
    <r>
      <rPr>
        <b/>
        <sz val="20"/>
        <color rgb="FF993300"/>
        <rFont val="Calibri"/>
        <family val="2"/>
        <scheme val="minor"/>
      </rPr>
      <t>Gráfico g-1.2:</t>
    </r>
    <r>
      <rPr>
        <b/>
        <sz val="20"/>
        <color theme="1"/>
        <rFont val="Calibri"/>
        <family val="2"/>
        <scheme val="minor"/>
      </rPr>
      <t xml:space="preserve"> Distribución de "Los 3 tiempos biográficos (3tB)" sobre "Los 3 destinos del NNT (3dNNT)" en "Declinación FGe a &lt; 10 ml/min sostenida", durante un seguimiento de 24 meses.</t>
    </r>
  </si>
  <si>
    <r>
      <rPr>
        <b/>
        <sz val="20"/>
        <color rgb="FF993300"/>
        <rFont val="Calibri"/>
        <family val="2"/>
        <scheme val="minor"/>
      </rPr>
      <t xml:space="preserve">Gráfico g-1.1: </t>
    </r>
    <r>
      <rPr>
        <b/>
        <sz val="20"/>
        <color theme="1"/>
        <rFont val="Calibri"/>
        <family val="2"/>
        <scheme val="minor"/>
      </rPr>
      <t>Distribución de "Los 3 tiempos biográficos (3tB)" sobre "Los 3 destinos del NNT (3dNNT)" en "Declinación FGe &gt; 40% desde el inicio", durante un seguimiento de 24 meses.</t>
    </r>
  </si>
  <si>
    <r>
      <rPr>
        <b/>
        <sz val="10"/>
        <color rgb="FF0000FF"/>
        <rFont val="Calibri"/>
        <family val="2"/>
        <scheme val="minor"/>
      </rPr>
      <t xml:space="preserve">(*) </t>
    </r>
    <r>
      <rPr>
        <sz val="10"/>
        <rFont val="Calibri"/>
        <family val="2"/>
        <scheme val="minor"/>
      </rPr>
      <t>La FDA define un evento adverso grave (serious adverse event, SAE) cuando el resultado del paciente es uno de los siguientes: 1) Mortalidad; 2) Amenaza de la vida; 3) Hospitalización (inicial o prolongada); 4) Discapacidad o cambios significativos, persistentes o permanentes, deterioro, daño o interrupción en la función o en la estructura del cuerpo del paciente, actividades físicas o calidad de vida; 5) Anomalía congénita; ó 6) Requiere intervención para prevenir un empeoramiento o daño permanentes.</t>
    </r>
  </si>
  <si>
    <t>APLICAR SÓLO SI EL NNT Y SUS IC SON POSITIVOS</t>
  </si>
  <si>
    <t>Permanecerán sanos sin tomar el Mto de Intervención</t>
  </si>
  <si>
    <t>Permanecerán sanos por tomar el Mto de Intervención</t>
  </si>
  <si>
    <t>Enfermarán incluso tomando el Mto de Intervención</t>
  </si>
  <si>
    <t>APLICAR SÓLO SI EL NNT Y SUS IC SON NEGATIVOS</t>
  </si>
  <si>
    <t>NND</t>
  </si>
  <si>
    <t>Enfermarán por tomar el Mto de Intervención</t>
  </si>
  <si>
    <t>Enfermarán incluso sin tomar el Mto de Intervención</t>
  </si>
  <si>
    <r>
      <t xml:space="preserve">"Progresión enfermedad" o Mortalidad CV: </t>
    </r>
    <r>
      <rPr>
        <sz val="10"/>
        <rFont val="Calibri"/>
        <family val="2"/>
        <scheme val="minor"/>
      </rPr>
      <t>1</t>
    </r>
    <r>
      <rPr>
        <vertAlign val="superscript"/>
        <sz val="10"/>
        <rFont val="Calibri"/>
        <family val="2"/>
        <scheme val="minor"/>
      </rPr>
      <t>er</t>
    </r>
    <r>
      <rPr>
        <sz val="10"/>
        <rFont val="Calibri"/>
        <family val="2"/>
        <scheme val="minor"/>
      </rPr>
      <t xml:space="preserve"> evento de</t>
    </r>
    <r>
      <rPr>
        <b/>
        <sz val="10"/>
        <rFont val="Calibri"/>
        <family val="2"/>
        <scheme val="minor"/>
      </rPr>
      <t xml:space="preserve"> [Declinac FGe de ≥40%, Declinac FGe a &lt;10 ml/min, Diálisis, Traspl renal,  Mort CV, o Mort renal]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</si>
</sst>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43" formatCode="_-* #,##0.00\ _€_-;\-* #,##0.00\ _€_-;_-* &quot;-&quot;??\ _€_-;_-@_-"/>
    <numFmt numFmtId="164" formatCode="0.0"/>
    <numFmt numFmtId="165" formatCode="_-* #,##0.0\ _€_-;\-* #,##0.0\ _€_-;_-* &quot;-&quot;??\ _€_-;_-@_-"/>
    <numFmt numFmtId="166" formatCode="0.0%"/>
    <numFmt numFmtId="167" formatCode="_-* #,##0\ _€_-;\-* #,##0\ _€_-;_-* &quot;-&quot;??\ _€_-;_-@_-"/>
    <numFmt numFmtId="168" formatCode="_-* #,##0.000\ _€_-;\-* #,##0.000\ _€_-;_-* &quot;-&quot;??\ _€_-;_-@_-"/>
    <numFmt numFmtId="169" formatCode="#,##0.00_ ;\-#,##0.00\ "/>
    <numFmt numFmtId="170" formatCode="_-* #,##0.0000\ _€_-;\-* #,##0.0000\ _€_-;_-* &quot;-&quot;??\ _€_-;_-@_-"/>
    <numFmt numFmtId="171" formatCode="_-* #,##0.00000\ _€_-;\-* #,##0.00000\ _€_-;_-* &quot;-&quot;??\ _€_-;_-@_-"/>
    <numFmt numFmtId="172" formatCode="_-* #,##0.0\ _€_-;\-* #,##0.0\ _€_-;_-* &quot;-&quot;?\ _€_-;_-@_-"/>
    <numFmt numFmtId="173" formatCode="_-* #,##0.000000\ _€_-;\-* #,##0.000000\ _€_-;_-* &quot;-&quot;??\ _€_-;_-@_-"/>
    <numFmt numFmtId="174" formatCode="_-* #,##0.0000\ _€_-;\-* #,##0.0000\ _€_-;_-* &quot;-&quot;?\ _€_-;_-@_-"/>
    <numFmt numFmtId="175" formatCode="0.000"/>
    <numFmt numFmtId="176" formatCode="_-* #,##0.000\ _€_-;\-* #,##0.000\ _€_-;_-* &quot;-&quot;???\ _€_-;_-@_-"/>
    <numFmt numFmtId="177" formatCode="0.0000"/>
  </numFmts>
  <fonts count="10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0"/>
      <color rgb="FFFF0000"/>
      <name val="Calibri"/>
      <family val="2"/>
      <scheme val="minor"/>
    </font>
    <font>
      <i/>
      <sz val="10"/>
      <color rgb="FFFF0000"/>
      <name val="Calibri"/>
      <family val="2"/>
      <scheme val="minor"/>
    </font>
    <font>
      <sz val="10"/>
      <color rgb="FF008000"/>
      <name val="Calibri"/>
      <family val="2"/>
      <scheme val="minor"/>
    </font>
    <font>
      <i/>
      <sz val="10"/>
      <color rgb="FF008000"/>
      <name val="Calibri"/>
      <family val="2"/>
      <scheme val="minor"/>
    </font>
    <font>
      <sz val="10"/>
      <color rgb="FF669900"/>
      <name val="Calibri"/>
      <family val="2"/>
      <scheme val="minor"/>
    </font>
    <font>
      <i/>
      <sz val="10"/>
      <color rgb="FF6699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9900"/>
      <name val="Calibri"/>
      <family val="2"/>
      <scheme val="minor"/>
    </font>
    <font>
      <i/>
      <sz val="10"/>
      <color rgb="FF0099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rgb="FF008000"/>
      <name val="Calibri"/>
      <family val="2"/>
      <scheme val="minor"/>
    </font>
    <font>
      <sz val="11"/>
      <color rgb="FF669900"/>
      <name val="Calibri"/>
      <family val="2"/>
      <scheme val="minor"/>
    </font>
    <font>
      <b/>
      <sz val="10"/>
      <color indexed="50"/>
      <name val="Calibri"/>
      <family val="2"/>
      <scheme val="minor"/>
    </font>
    <font>
      <b/>
      <i/>
      <sz val="10"/>
      <name val="Calibri"/>
      <family val="2"/>
      <scheme val="minor"/>
    </font>
    <font>
      <sz val="10"/>
      <color indexed="12"/>
      <name val="Calibri"/>
      <family val="2"/>
      <scheme val="minor"/>
    </font>
    <font>
      <sz val="10"/>
      <color indexed="52"/>
      <name val="Calibri"/>
      <family val="2"/>
      <scheme val="minor"/>
    </font>
    <font>
      <b/>
      <sz val="10"/>
      <color indexed="12"/>
      <name val="Calibri"/>
      <family val="2"/>
      <scheme val="minor"/>
    </font>
    <font>
      <sz val="10"/>
      <name val="Calibri"/>
      <family val="2"/>
    </font>
    <font>
      <b/>
      <sz val="10"/>
      <name val="Calibri"/>
      <family val="2"/>
    </font>
    <font>
      <sz val="8"/>
      <name val="Calibri"/>
      <family val="2"/>
      <scheme val="minor"/>
    </font>
    <font>
      <b/>
      <sz val="10"/>
      <color indexed="57"/>
      <name val="Calibri"/>
      <family val="2"/>
      <scheme val="minor"/>
    </font>
    <font>
      <b/>
      <vertAlign val="subscript"/>
      <sz val="10"/>
      <name val="Calibri"/>
      <family val="2"/>
    </font>
    <font>
      <sz val="10"/>
      <color indexed="20"/>
      <name val="Calibri"/>
      <family val="2"/>
      <scheme val="minor"/>
    </font>
    <font>
      <i/>
      <sz val="10"/>
      <name val="Calibri"/>
      <family val="2"/>
      <scheme val="minor"/>
    </font>
    <font>
      <i/>
      <sz val="10"/>
      <name val="Calibri"/>
      <family val="2"/>
    </font>
    <font>
      <b/>
      <i/>
      <sz val="10"/>
      <name val="Calibri"/>
      <family val="2"/>
    </font>
    <font>
      <b/>
      <sz val="9"/>
      <name val="Calibri"/>
      <family val="2"/>
      <scheme val="minor"/>
    </font>
    <font>
      <b/>
      <i/>
      <sz val="9"/>
      <name val="Calibri"/>
      <family val="2"/>
    </font>
    <font>
      <vertAlign val="subscript"/>
      <sz val="10"/>
      <name val="Calibri"/>
      <family val="2"/>
    </font>
    <font>
      <vertAlign val="superscript"/>
      <sz val="10"/>
      <name val="Calibri"/>
      <family val="2"/>
    </font>
    <font>
      <b/>
      <sz val="10"/>
      <color indexed="14"/>
      <name val="Calibri"/>
      <family val="2"/>
      <scheme val="minor"/>
    </font>
    <font>
      <sz val="10"/>
      <color indexed="14"/>
      <name val="Calibri"/>
      <family val="2"/>
      <scheme val="minor"/>
    </font>
    <font>
      <sz val="10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rgb="FF000000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sz val="10"/>
      <color indexed="61"/>
      <name val="Calibri"/>
      <family val="2"/>
      <scheme val="minor"/>
    </font>
    <font>
      <sz val="9"/>
      <name val="Calibri"/>
      <family val="2"/>
      <scheme val="minor"/>
    </font>
    <font>
      <sz val="6"/>
      <color rgb="FF669900"/>
      <name val="Calibri"/>
      <family val="2"/>
      <scheme val="minor"/>
    </font>
    <font>
      <sz val="6"/>
      <color rgb="FF009900"/>
      <name val="Calibri"/>
      <family val="2"/>
      <scheme val="minor"/>
    </font>
    <font>
      <sz val="6"/>
      <color rgb="FFFF000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6"/>
      <color rgb="FF009900"/>
      <name val="Calibri"/>
      <family val="2"/>
      <scheme val="minor"/>
    </font>
    <font>
      <b/>
      <sz val="12"/>
      <color indexed="60"/>
      <name val="Calibri"/>
      <family val="2"/>
    </font>
    <font>
      <b/>
      <sz val="12"/>
      <name val="Calibri"/>
      <family val="2"/>
    </font>
    <font>
      <sz val="10"/>
      <color rgb="FF0000FF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669900"/>
      <name val="Calibri"/>
      <family val="2"/>
      <scheme val="minor"/>
    </font>
    <font>
      <b/>
      <sz val="11"/>
      <color rgb="FF008000"/>
      <name val="Calibri"/>
      <family val="2"/>
      <scheme val="minor"/>
    </font>
    <font>
      <b/>
      <sz val="16"/>
      <color rgb="FF669900"/>
      <name val="Calibri"/>
      <family val="2"/>
      <scheme val="minor"/>
    </font>
    <font>
      <b/>
      <sz val="16"/>
      <color rgb="FF008000"/>
      <name val="Calibri"/>
      <family val="2"/>
      <scheme val="minor"/>
    </font>
    <font>
      <b/>
      <sz val="16"/>
      <name val="Calibri"/>
      <family val="2"/>
      <scheme val="minor"/>
    </font>
    <font>
      <b/>
      <sz val="10"/>
      <color rgb="FF0099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color rgb="FF0000FF"/>
      <name val="Calibri"/>
      <family val="2"/>
    </font>
    <font>
      <sz val="8"/>
      <color indexed="12"/>
      <name val="Calibri"/>
      <family val="2"/>
      <scheme val="minor"/>
    </font>
    <font>
      <sz val="8"/>
      <name val="Calibri"/>
      <family val="2"/>
    </font>
    <font>
      <b/>
      <sz val="8"/>
      <name val="Calibri"/>
      <family val="2"/>
    </font>
    <font>
      <b/>
      <sz val="10"/>
      <color rgb="FF669900"/>
      <name val="Calibri"/>
      <family val="2"/>
      <scheme val="minor"/>
    </font>
    <font>
      <b/>
      <sz val="10"/>
      <color rgb="FF008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u/>
      <sz val="10"/>
      <name val="Calibri"/>
      <family val="2"/>
    </font>
    <font>
      <b/>
      <sz val="12"/>
      <color rgb="FF66990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rgb="FF0000FF"/>
      <name val="Calibri"/>
      <family val="2"/>
      <scheme val="minor"/>
    </font>
    <font>
      <b/>
      <sz val="12"/>
      <color rgb="FF009900"/>
      <name val="Calibri"/>
      <family val="2"/>
      <scheme val="minor"/>
    </font>
    <font>
      <vertAlign val="superscript"/>
      <sz val="10"/>
      <name val="Calibri"/>
      <family val="2"/>
      <scheme val="minor"/>
    </font>
    <font>
      <b/>
      <u/>
      <sz val="12"/>
      <color rgb="FFC000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</font>
    <font>
      <sz val="12"/>
      <color rgb="FF008000"/>
      <name val="Calibri"/>
      <family val="2"/>
      <scheme val="minor"/>
    </font>
    <font>
      <sz val="10"/>
      <color theme="0" tint="-0.249977111117893"/>
      <name val="Calibri"/>
      <family val="2"/>
      <scheme val="minor"/>
    </font>
    <font>
      <b/>
      <u/>
      <sz val="10"/>
      <name val="Calibri"/>
      <family val="2"/>
      <scheme val="minor"/>
    </font>
    <font>
      <sz val="10"/>
      <color rgb="FF99CCFF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sz val="11"/>
      <color rgb="FFFF6600"/>
      <name val="Calibri"/>
      <family val="2"/>
      <scheme val="minor"/>
    </font>
    <font>
      <b/>
      <sz val="12"/>
      <color rgb="FFFF66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vertAlign val="superscript"/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1"/>
      <color theme="0" tint="-0.249977111117893"/>
      <name val="Calibri"/>
      <family val="2"/>
      <scheme val="minor"/>
    </font>
    <font>
      <b/>
      <sz val="12"/>
      <color rgb="FF993300"/>
      <name val="Calibri"/>
      <family val="2"/>
      <scheme val="minor"/>
    </font>
    <font>
      <b/>
      <sz val="12"/>
      <color rgb="FF0000FF"/>
      <name val="Calibri"/>
      <family val="2"/>
      <scheme val="minor"/>
    </font>
    <font>
      <b/>
      <sz val="14"/>
      <color rgb="FF0099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0"/>
      <color theme="0" tint="-0.14999847407452621"/>
      <name val="Calibri"/>
      <family val="2"/>
      <scheme val="minor"/>
    </font>
    <font>
      <b/>
      <sz val="10"/>
      <color theme="0" tint="-0.14999847407452621"/>
      <name val="Calibri"/>
      <family val="2"/>
      <scheme val="minor"/>
    </font>
    <font>
      <sz val="10"/>
      <color indexed="63"/>
      <name val="Calibri"/>
      <family val="2"/>
      <scheme val="minor"/>
    </font>
    <font>
      <b/>
      <sz val="20"/>
      <color rgb="FF993300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6699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0" tint="-0.14999847407452621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09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/>
    </xf>
    <xf numFmtId="2" fontId="2" fillId="0" borderId="0" xfId="0" applyNumberFormat="1" applyFont="1"/>
    <xf numFmtId="0" fontId="2" fillId="0" borderId="0" xfId="0" applyFont="1" applyFill="1"/>
    <xf numFmtId="0" fontId="2" fillId="0" borderId="0" xfId="0" applyFont="1" applyFill="1" applyBorder="1"/>
    <xf numFmtId="0" fontId="2" fillId="0" borderId="0" xfId="0" applyFont="1" applyBorder="1"/>
    <xf numFmtId="2" fontId="4" fillId="0" borderId="7" xfId="0" applyNumberFormat="1" applyFont="1" applyBorder="1"/>
    <xf numFmtId="0" fontId="2" fillId="0" borderId="7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2" fontId="7" fillId="0" borderId="0" xfId="0" applyNumberFormat="1" applyFont="1"/>
    <xf numFmtId="166" fontId="8" fillId="0" borderId="0" xfId="2" applyNumberFormat="1" applyFont="1" applyAlignment="1">
      <alignment horizontal="center"/>
    </xf>
    <xf numFmtId="0" fontId="9" fillId="0" borderId="0" xfId="0" applyFont="1" applyAlignment="1">
      <alignment horizontal="right"/>
    </xf>
    <xf numFmtId="2" fontId="9" fillId="0" borderId="0" xfId="0" applyNumberFormat="1" applyFont="1"/>
    <xf numFmtId="166" fontId="10" fillId="0" borderId="0" xfId="2" applyNumberFormat="1" applyFont="1" applyAlignment="1">
      <alignment horizontal="center"/>
    </xf>
    <xf numFmtId="0" fontId="11" fillId="0" borderId="0" xfId="0" applyFont="1" applyAlignment="1">
      <alignment horizontal="right"/>
    </xf>
    <xf numFmtId="2" fontId="11" fillId="0" borderId="0" xfId="0" applyNumberFormat="1" applyFont="1"/>
    <xf numFmtId="166" fontId="12" fillId="0" borderId="0" xfId="2" applyNumberFormat="1" applyFont="1" applyAlignment="1">
      <alignment horizontal="center"/>
    </xf>
    <xf numFmtId="3" fontId="4" fillId="0" borderId="7" xfId="0" applyNumberFormat="1" applyFont="1" applyBorder="1"/>
    <xf numFmtId="0" fontId="15" fillId="0" borderId="0" xfId="0" applyFont="1" applyAlignment="1">
      <alignment vertical="center"/>
    </xf>
    <xf numFmtId="0" fontId="0" fillId="0" borderId="0" xfId="0" applyBorder="1"/>
    <xf numFmtId="166" fontId="15" fillId="0" borderId="0" xfId="2" applyNumberFormat="1" applyFont="1" applyAlignment="1">
      <alignment horizontal="left" vertical="center"/>
    </xf>
    <xf numFmtId="0" fontId="15" fillId="0" borderId="0" xfId="0" applyFont="1"/>
    <xf numFmtId="1" fontId="15" fillId="3" borderId="0" xfId="0" applyNumberFormat="1" applyFont="1" applyFill="1" applyAlignment="1">
      <alignment horizontal="center" vertical="center"/>
    </xf>
    <xf numFmtId="9" fontId="12" fillId="0" borderId="0" xfId="2" applyFont="1" applyFill="1" applyBorder="1" applyAlignment="1">
      <alignment horizontal="center" vertical="center"/>
    </xf>
    <xf numFmtId="9" fontId="17" fillId="0" borderId="0" xfId="2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right" vertical="top" wrapText="1"/>
    </xf>
    <xf numFmtId="0" fontId="15" fillId="0" borderId="7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right" wrapText="1"/>
    </xf>
    <xf numFmtId="2" fontId="7" fillId="2" borderId="7" xfId="0" applyNumberFormat="1" applyFont="1" applyFill="1" applyBorder="1" applyAlignment="1">
      <alignment vertical="center"/>
    </xf>
    <xf numFmtId="166" fontId="8" fillId="0" borderId="0" xfId="2" applyNumberFormat="1" applyFont="1" applyAlignment="1">
      <alignment horizontal="center" vertical="center"/>
    </xf>
    <xf numFmtId="166" fontId="8" fillId="0" borderId="0" xfId="0" applyNumberFormat="1" applyFont="1" applyAlignment="1">
      <alignment vertical="center" wrapText="1"/>
    </xf>
    <xf numFmtId="0" fontId="16" fillId="0" borderId="7" xfId="0" applyFont="1" applyBorder="1" applyAlignment="1">
      <alignment horizontal="right" wrapText="1"/>
    </xf>
    <xf numFmtId="2" fontId="16" fillId="2" borderId="7" xfId="0" applyNumberFormat="1" applyFont="1" applyFill="1" applyBorder="1" applyAlignment="1">
      <alignment vertical="center"/>
    </xf>
    <xf numFmtId="166" fontId="12" fillId="0" borderId="0" xfId="2" applyNumberFormat="1" applyFont="1" applyFill="1" applyBorder="1" applyAlignment="1">
      <alignment vertical="center"/>
    </xf>
    <xf numFmtId="0" fontId="11" fillId="0" borderId="7" xfId="0" applyFont="1" applyBorder="1" applyAlignment="1">
      <alignment horizontal="right" wrapText="1"/>
    </xf>
    <xf numFmtId="2" fontId="11" fillId="2" borderId="7" xfId="0" applyNumberFormat="1" applyFont="1" applyFill="1" applyBorder="1" applyAlignment="1">
      <alignment vertical="center"/>
    </xf>
    <xf numFmtId="1" fontId="11" fillId="0" borderId="7" xfId="0" applyNumberFormat="1" applyFont="1" applyBorder="1" applyAlignment="1">
      <alignment vertical="center"/>
    </xf>
    <xf numFmtId="166" fontId="12" fillId="0" borderId="0" xfId="2" applyNumberFormat="1" applyFont="1" applyFill="1" applyBorder="1" applyAlignment="1">
      <alignment horizontal="center" vertical="center"/>
    </xf>
    <xf numFmtId="2" fontId="4" fillId="2" borderId="10" xfId="0" applyNumberFormat="1" applyFont="1" applyFill="1" applyBorder="1" applyAlignment="1">
      <alignment vertical="center"/>
    </xf>
    <xf numFmtId="1" fontId="18" fillId="0" borderId="7" xfId="0" applyNumberFormat="1" applyFont="1" applyBorder="1" applyAlignment="1">
      <alignment horizontal="right" vertical="center"/>
    </xf>
    <xf numFmtId="9" fontId="15" fillId="0" borderId="0" xfId="0" applyNumberFormat="1" applyFont="1"/>
    <xf numFmtId="0" fontId="15" fillId="0" borderId="0" xfId="0" applyFont="1" applyAlignment="1">
      <alignment horizontal="left" vertical="top"/>
    </xf>
    <xf numFmtId="0" fontId="15" fillId="0" borderId="0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left" vertical="top" wrapText="1"/>
    </xf>
    <xf numFmtId="0" fontId="14" fillId="0" borderId="0" xfId="0" applyFont="1"/>
    <xf numFmtId="0" fontId="0" fillId="0" borderId="0" xfId="0" applyFill="1" applyBorder="1"/>
    <xf numFmtId="0" fontId="0" fillId="5" borderId="7" xfId="0" applyFill="1" applyBorder="1"/>
    <xf numFmtId="0" fontId="20" fillId="0" borderId="0" xfId="0" applyFont="1" applyAlignment="1">
      <alignment horizontal="center" vertical="center"/>
    </xf>
    <xf numFmtId="0" fontId="0" fillId="0" borderId="0" xfId="0" applyFill="1"/>
    <xf numFmtId="0" fontId="13" fillId="0" borderId="0" xfId="0" applyFont="1" applyBorder="1" applyAlignment="1">
      <alignment horizontal="center" vertical="center"/>
    </xf>
    <xf numFmtId="167" fontId="4" fillId="0" borderId="0" xfId="1" applyNumberFormat="1" applyFont="1" applyFill="1" applyBorder="1" applyAlignment="1"/>
    <xf numFmtId="167" fontId="21" fillId="0" borderId="0" xfId="1" applyNumberFormat="1" applyFont="1" applyFill="1" applyBorder="1" applyAlignment="1"/>
    <xf numFmtId="167" fontId="22" fillId="0" borderId="0" xfId="0" applyNumberFormat="1" applyFont="1" applyFill="1" applyBorder="1" applyAlignment="1">
      <alignment horizontal="left"/>
    </xf>
    <xf numFmtId="2" fontId="2" fillId="0" borderId="0" xfId="0" applyNumberFormat="1" applyFont="1" applyBorder="1"/>
    <xf numFmtId="10" fontId="23" fillId="0" borderId="0" xfId="2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0" fontId="2" fillId="0" borderId="0" xfId="0" applyNumberFormat="1" applyFont="1" applyFill="1" applyBorder="1" applyAlignment="1">
      <alignment horizontal="center"/>
    </xf>
    <xf numFmtId="0" fontId="24" fillId="0" borderId="0" xfId="0" applyFont="1" applyFill="1" applyBorder="1" applyAlignment="1">
      <alignment horizontal="right"/>
    </xf>
    <xf numFmtId="0" fontId="5" fillId="0" borderId="0" xfId="0" applyFont="1" applyBorder="1" applyAlignment="1">
      <alignment vertical="distributed"/>
    </xf>
    <xf numFmtId="0" fontId="2" fillId="0" borderId="7" xfId="0" applyFont="1" applyBorder="1" applyAlignment="1">
      <alignment horizontal="center" vertical="center"/>
    </xf>
    <xf numFmtId="9" fontId="2" fillId="2" borderId="7" xfId="0" applyNumberFormat="1" applyFont="1" applyFill="1" applyBorder="1" applyAlignment="1">
      <alignment horizontal="center" vertical="center"/>
    </xf>
    <xf numFmtId="10" fontId="2" fillId="0" borderId="0" xfId="2" applyNumberFormat="1" applyFont="1" applyBorder="1" applyAlignment="1">
      <alignment horizontal="center"/>
    </xf>
    <xf numFmtId="0" fontId="25" fillId="0" borderId="0" xfId="0" applyFont="1" applyFill="1" applyBorder="1" applyAlignment="1">
      <alignment vertical="distributed"/>
    </xf>
    <xf numFmtId="0" fontId="2" fillId="0" borderId="0" xfId="0" applyFont="1" applyFill="1" applyAlignment="1">
      <alignment horizontal="center"/>
    </xf>
    <xf numFmtId="10" fontId="2" fillId="0" borderId="0" xfId="0" applyNumberFormat="1" applyFont="1" applyFill="1" applyAlignment="1">
      <alignment horizontal="center"/>
    </xf>
    <xf numFmtId="0" fontId="23" fillId="0" borderId="0" xfId="0" applyFont="1" applyBorder="1" applyAlignment="1">
      <alignment vertical="center" wrapText="1"/>
    </xf>
    <xf numFmtId="18" fontId="2" fillId="0" borderId="0" xfId="1" applyNumberFormat="1" applyFont="1" applyBorder="1" applyAlignment="1">
      <alignment horizontal="center"/>
    </xf>
    <xf numFmtId="9" fontId="2" fillId="0" borderId="0" xfId="0" applyNumberFormat="1" applyFont="1" applyBorder="1"/>
    <xf numFmtId="43" fontId="2" fillId="0" borderId="0" xfId="0" applyNumberFormat="1" applyFont="1"/>
    <xf numFmtId="43" fontId="2" fillId="0" borderId="0" xfId="1" applyFont="1" applyFill="1"/>
    <xf numFmtId="0" fontId="29" fillId="0" borderId="0" xfId="0" applyFont="1" applyFill="1"/>
    <xf numFmtId="168" fontId="2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43" fontId="2" fillId="0" borderId="0" xfId="1" applyFont="1" applyFill="1" applyBorder="1" applyAlignment="1">
      <alignment horizontal="center" vertical="center" wrapText="1"/>
    </xf>
    <xf numFmtId="10" fontId="2" fillId="0" borderId="0" xfId="2" applyNumberFormat="1" applyFont="1" applyFill="1"/>
    <xf numFmtId="10" fontId="2" fillId="0" borderId="0" xfId="0" applyNumberFormat="1" applyFont="1" applyFill="1"/>
    <xf numFmtId="0" fontId="4" fillId="0" borderId="0" xfId="0" applyFont="1" applyAlignment="1">
      <alignment horizontal="left" vertical="center"/>
    </xf>
    <xf numFmtId="0" fontId="4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43" fontId="2" fillId="0" borderId="0" xfId="1" applyFont="1" applyFill="1" applyBorder="1"/>
    <xf numFmtId="43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0" fontId="2" fillId="0" borderId="0" xfId="2" applyNumberFormat="1" applyFont="1" applyFill="1" applyBorder="1" applyAlignment="1">
      <alignment horizontal="center"/>
    </xf>
    <xf numFmtId="10" fontId="2" fillId="0" borderId="0" xfId="2" applyNumberFormat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43" fontId="4" fillId="0" borderId="15" xfId="1" applyFont="1" applyFill="1" applyBorder="1" applyAlignment="1">
      <alignment horizontal="center" vertical="center" wrapText="1"/>
    </xf>
    <xf numFmtId="43" fontId="4" fillId="0" borderId="15" xfId="1" applyFont="1" applyBorder="1" applyAlignment="1">
      <alignment horizontal="center" vertical="center" wrapText="1"/>
    </xf>
    <xf numFmtId="2" fontId="2" fillId="0" borderId="7" xfId="1" applyNumberFormat="1" applyFont="1" applyBorder="1" applyAlignment="1">
      <alignment horizontal="center" vertical="center" wrapText="1"/>
    </xf>
    <xf numFmtId="169" fontId="2" fillId="0" borderId="7" xfId="1" applyNumberFormat="1" applyFont="1" applyFill="1" applyBorder="1" applyAlignment="1">
      <alignment horizontal="center" vertical="center"/>
    </xf>
    <xf numFmtId="2" fontId="2" fillId="0" borderId="7" xfId="1" applyNumberFormat="1" applyFont="1" applyFill="1" applyBorder="1" applyAlignment="1">
      <alignment horizontal="center" vertical="center" wrapText="1"/>
    </xf>
    <xf numFmtId="2" fontId="2" fillId="0" borderId="11" xfId="1" applyNumberFormat="1" applyFont="1" applyFill="1" applyBorder="1" applyAlignment="1">
      <alignment horizontal="center" vertical="center" wrapText="1"/>
    </xf>
    <xf numFmtId="2" fontId="4" fillId="0" borderId="7" xfId="0" applyNumberFormat="1" applyFont="1" applyFill="1" applyBorder="1" applyAlignment="1">
      <alignment horizontal="center" vertical="center" wrapText="1"/>
    </xf>
    <xf numFmtId="166" fontId="4" fillId="0" borderId="7" xfId="2" applyNumberFormat="1" applyFont="1" applyFill="1" applyBorder="1" applyAlignment="1">
      <alignment horizontal="center" vertical="center" wrapText="1"/>
    </xf>
    <xf numFmtId="43" fontId="4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43" fontId="31" fillId="0" borderId="0" xfId="1" applyFont="1" applyFill="1" applyBorder="1"/>
    <xf numFmtId="168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/>
    </xf>
    <xf numFmtId="43" fontId="31" fillId="0" borderId="0" xfId="1" applyFont="1" applyFill="1" applyAlignment="1">
      <alignment horizontal="right"/>
    </xf>
    <xf numFmtId="0" fontId="31" fillId="0" borderId="0" xfId="0" applyFont="1" applyFill="1" applyBorder="1"/>
    <xf numFmtId="43" fontId="2" fillId="0" borderId="0" xfId="0" applyNumberFormat="1" applyFont="1" applyFill="1"/>
    <xf numFmtId="170" fontId="2" fillId="0" borderId="0" xfId="0" applyNumberFormat="1" applyFont="1" applyFill="1" applyBorder="1" applyAlignment="1">
      <alignment horizontal="center" vertical="center" wrapText="1"/>
    </xf>
    <xf numFmtId="171" fontId="2" fillId="0" borderId="0" xfId="1" applyNumberFormat="1" applyFont="1" applyFill="1" applyBorder="1" applyAlignment="1">
      <alignment horizontal="center" vertical="center" wrapText="1"/>
    </xf>
    <xf numFmtId="165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72" fontId="2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/>
    </xf>
    <xf numFmtId="43" fontId="2" fillId="0" borderId="0" xfId="1" applyFont="1" applyBorder="1" applyAlignment="1">
      <alignment horizontal="center"/>
    </xf>
    <xf numFmtId="173" fontId="2" fillId="0" borderId="0" xfId="1" applyNumberFormat="1" applyFont="1" applyBorder="1" applyAlignment="1">
      <alignment horizontal="center"/>
    </xf>
    <xf numFmtId="43" fontId="2" fillId="0" borderId="0" xfId="1" applyFont="1" applyFill="1" applyBorder="1" applyAlignment="1">
      <alignment horizontal="center"/>
    </xf>
    <xf numFmtId="10" fontId="4" fillId="0" borderId="0" xfId="2" applyNumberFormat="1" applyFont="1" applyFill="1" applyBorder="1" applyAlignment="1"/>
    <xf numFmtId="173" fontId="2" fillId="0" borderId="0" xfId="1" applyNumberFormat="1" applyFont="1" applyFill="1" applyBorder="1" applyAlignment="1">
      <alignment horizontal="center"/>
    </xf>
    <xf numFmtId="43" fontId="4" fillId="0" borderId="0" xfId="1" applyFont="1" applyFill="1" applyBorder="1" applyAlignment="1"/>
    <xf numFmtId="0" fontId="2" fillId="0" borderId="0" xfId="0" applyFont="1" applyFill="1" applyBorder="1" applyAlignment="1">
      <alignment horizontal="left"/>
    </xf>
    <xf numFmtId="0" fontId="32" fillId="0" borderId="0" xfId="0" applyFont="1"/>
    <xf numFmtId="0" fontId="4" fillId="0" borderId="7" xfId="0" applyFont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wrapText="1"/>
    </xf>
    <xf numFmtId="43" fontId="35" fillId="0" borderId="2" xfId="1" applyFont="1" applyFill="1" applyBorder="1" applyAlignment="1">
      <alignment horizontal="right"/>
    </xf>
    <xf numFmtId="0" fontId="2" fillId="0" borderId="2" xfId="0" applyFont="1" applyFill="1" applyBorder="1" applyAlignment="1">
      <alignment horizontal="left"/>
    </xf>
    <xf numFmtId="173" fontId="2" fillId="0" borderId="2" xfId="1" applyNumberFormat="1" applyFont="1" applyFill="1" applyBorder="1" applyAlignment="1">
      <alignment horizontal="center"/>
    </xf>
    <xf numFmtId="43" fontId="2" fillId="0" borderId="2" xfId="1" applyFont="1" applyFill="1" applyBorder="1" applyAlignment="1">
      <alignment horizontal="center"/>
    </xf>
    <xf numFmtId="43" fontId="4" fillId="0" borderId="2" xfId="1" applyFont="1" applyFill="1" applyBorder="1" applyAlignment="1"/>
    <xf numFmtId="43" fontId="4" fillId="0" borderId="3" xfId="1" applyFont="1" applyFill="1" applyBorder="1" applyAlignment="1"/>
    <xf numFmtId="0" fontId="2" fillId="0" borderId="1" xfId="0" applyFont="1" applyFill="1" applyBorder="1"/>
    <xf numFmtId="0" fontId="2" fillId="0" borderId="2" xfId="0" applyFont="1" applyBorder="1"/>
    <xf numFmtId="0" fontId="2" fillId="0" borderId="3" xfId="0" applyFont="1" applyBorder="1"/>
    <xf numFmtId="10" fontId="4" fillId="8" borderId="7" xfId="2" applyNumberFormat="1" applyFont="1" applyFill="1" applyBorder="1" applyAlignment="1"/>
    <xf numFmtId="1" fontId="2" fillId="0" borderId="23" xfId="0" applyNumberFormat="1" applyFont="1" applyFill="1" applyBorder="1" applyAlignment="1">
      <alignment horizontal="center" vertical="center" wrapText="1"/>
    </xf>
    <xf numFmtId="43" fontId="4" fillId="0" borderId="22" xfId="1" applyFont="1" applyFill="1" applyBorder="1" applyAlignment="1"/>
    <xf numFmtId="10" fontId="2" fillId="0" borderId="23" xfId="2" applyNumberFormat="1" applyFont="1" applyFill="1" applyBorder="1"/>
    <xf numFmtId="0" fontId="2" fillId="0" borderId="22" xfId="0" applyFont="1" applyBorder="1"/>
    <xf numFmtId="2" fontId="2" fillId="0" borderId="23" xfId="1" applyNumberFormat="1" applyFont="1" applyFill="1" applyBorder="1" applyAlignment="1">
      <alignment horizontal="center" vertical="center" wrapText="1"/>
    </xf>
    <xf numFmtId="0" fontId="2" fillId="0" borderId="22" xfId="0" applyFont="1" applyFill="1" applyBorder="1"/>
    <xf numFmtId="174" fontId="2" fillId="0" borderId="23" xfId="0" applyNumberFormat="1" applyFont="1" applyBorder="1"/>
    <xf numFmtId="166" fontId="2" fillId="0" borderId="23" xfId="2" applyNumberFormat="1" applyFont="1" applyFill="1" applyBorder="1" applyAlignment="1">
      <alignment horizontal="center" vertical="center" wrapText="1"/>
    </xf>
    <xf numFmtId="168" fontId="4" fillId="0" borderId="23" xfId="1" applyNumberFormat="1" applyFont="1" applyFill="1" applyBorder="1"/>
    <xf numFmtId="0" fontId="4" fillId="0" borderId="0" xfId="0" applyFont="1" applyAlignment="1">
      <alignment horizontal="left"/>
    </xf>
    <xf numFmtId="165" fontId="2" fillId="0" borderId="0" xfId="0" applyNumberFormat="1" applyFont="1" applyFill="1" applyBorder="1"/>
    <xf numFmtId="175" fontId="2" fillId="0" borderId="23" xfId="0" applyNumberFormat="1" applyFont="1" applyFill="1" applyBorder="1" applyAlignment="1">
      <alignment horizontal="center" vertical="center" wrapText="1"/>
    </xf>
    <xf numFmtId="170" fontId="2" fillId="9" borderId="23" xfId="1" applyNumberFormat="1" applyFont="1" applyFill="1" applyBorder="1"/>
    <xf numFmtId="0" fontId="4" fillId="0" borderId="0" xfId="0" applyFont="1" applyBorder="1"/>
    <xf numFmtId="166" fontId="2" fillId="0" borderId="0" xfId="2" applyNumberFormat="1" applyFont="1" applyAlignment="1">
      <alignment horizontal="center" vertical="center" wrapText="1"/>
    </xf>
    <xf numFmtId="10" fontId="2" fillId="3" borderId="23" xfId="2" applyNumberFormat="1" applyFont="1" applyFill="1" applyBorder="1" applyAlignment="1">
      <alignment horizontal="center" vertical="center" wrapText="1"/>
    </xf>
    <xf numFmtId="173" fontId="2" fillId="0" borderId="0" xfId="0" applyNumberFormat="1" applyFont="1" applyBorder="1"/>
    <xf numFmtId="10" fontId="39" fillId="0" borderId="23" xfId="0" applyNumberFormat="1" applyFont="1" applyBorder="1"/>
    <xf numFmtId="0" fontId="40" fillId="0" borderId="0" xfId="0" applyFont="1" applyBorder="1"/>
    <xf numFmtId="49" fontId="5" fillId="0" borderId="0" xfId="0" applyNumberFormat="1" applyFont="1"/>
    <xf numFmtId="10" fontId="2" fillId="9" borderId="7" xfId="2" applyNumberFormat="1" applyFont="1" applyFill="1" applyBorder="1" applyAlignment="1">
      <alignment horizontal="center"/>
    </xf>
    <xf numFmtId="10" fontId="2" fillId="10" borderId="7" xfId="2" applyNumberFormat="1" applyFont="1" applyFill="1" applyBorder="1" applyAlignment="1">
      <alignment horizontal="center"/>
    </xf>
    <xf numFmtId="10" fontId="2" fillId="11" borderId="7" xfId="2" applyNumberFormat="1" applyFont="1" applyFill="1" applyBorder="1" applyAlignment="1">
      <alignment horizontal="center"/>
    </xf>
    <xf numFmtId="10" fontId="2" fillId="0" borderId="4" xfId="2" applyNumberFormat="1" applyFont="1" applyBorder="1" applyAlignment="1">
      <alignment horizontal="center" vertical="center" wrapText="1"/>
    </xf>
    <xf numFmtId="0" fontId="40" fillId="0" borderId="5" xfId="0" applyFont="1" applyBorder="1"/>
    <xf numFmtId="0" fontId="2" fillId="0" borderId="5" xfId="0" applyFont="1" applyBorder="1"/>
    <xf numFmtId="176" fontId="2" fillId="0" borderId="5" xfId="0" applyNumberFormat="1" applyFont="1" applyBorder="1"/>
    <xf numFmtId="0" fontId="2" fillId="0" borderId="6" xfId="0" applyFont="1" applyBorder="1"/>
    <xf numFmtId="0" fontId="2" fillId="0" borderId="4" xfId="0" applyFont="1" applyFill="1" applyBorder="1"/>
    <xf numFmtId="0" fontId="2" fillId="0" borderId="5" xfId="0" applyFont="1" applyFill="1" applyBorder="1"/>
    <xf numFmtId="0" fontId="2" fillId="0" borderId="6" xfId="0" applyFont="1" applyFill="1" applyBorder="1"/>
    <xf numFmtId="10" fontId="2" fillId="0" borderId="0" xfId="0" applyNumberFormat="1" applyFont="1"/>
    <xf numFmtId="1" fontId="2" fillId="9" borderId="7" xfId="0" applyNumberFormat="1" applyFont="1" applyFill="1" applyBorder="1" applyAlignment="1">
      <alignment horizontal="center"/>
    </xf>
    <xf numFmtId="1" fontId="2" fillId="10" borderId="7" xfId="0" applyNumberFormat="1" applyFont="1" applyFill="1" applyBorder="1" applyAlignment="1">
      <alignment horizontal="center"/>
    </xf>
    <xf numFmtId="1" fontId="2" fillId="11" borderId="7" xfId="0" applyNumberFormat="1" applyFont="1" applyFill="1" applyBorder="1" applyAlignment="1">
      <alignment horizontal="center"/>
    </xf>
    <xf numFmtId="1" fontId="2" fillId="0" borderId="0" xfId="0" applyNumberFormat="1" applyFont="1" applyAlignment="1">
      <alignment horizontal="center" vertical="center" wrapText="1"/>
    </xf>
    <xf numFmtId="2" fontId="2" fillId="0" borderId="0" xfId="0" applyNumberFormat="1" applyFont="1" applyAlignment="1">
      <alignment horizontal="center" vertical="center" wrapText="1"/>
    </xf>
    <xf numFmtId="0" fontId="2" fillId="0" borderId="2" xfId="0" applyFont="1" applyFill="1" applyBorder="1" applyAlignment="1">
      <alignment horizontal="right"/>
    </xf>
    <xf numFmtId="177" fontId="2" fillId="0" borderId="2" xfId="1" applyNumberFormat="1" applyFont="1" applyBorder="1" applyAlignment="1">
      <alignment horizontal="center" vertical="center"/>
    </xf>
    <xf numFmtId="2" fontId="2" fillId="0" borderId="2" xfId="0" applyNumberFormat="1" applyFont="1" applyBorder="1"/>
    <xf numFmtId="10" fontId="24" fillId="0" borderId="0" xfId="2" applyNumberFormat="1" applyFont="1" applyFill="1" applyBorder="1" applyAlignment="1">
      <alignment horizontal="right"/>
    </xf>
    <xf numFmtId="1" fontId="42" fillId="0" borderId="0" xfId="0" applyNumberFormat="1" applyFont="1" applyFill="1" applyBorder="1" applyAlignment="1">
      <alignment horizontal="center"/>
    </xf>
    <xf numFmtId="43" fontId="4" fillId="0" borderId="23" xfId="1" applyFont="1" applyFill="1" applyBorder="1" applyAlignment="1">
      <alignment horizontal="center" vertical="center" wrapText="1"/>
    </xf>
    <xf numFmtId="0" fontId="28" fillId="0" borderId="0" xfId="0" applyFont="1" applyFill="1" applyBorder="1"/>
    <xf numFmtId="43" fontId="2" fillId="0" borderId="0" xfId="1" applyFont="1" applyFill="1" applyBorder="1" applyAlignment="1"/>
    <xf numFmtId="10" fontId="24" fillId="0" borderId="0" xfId="2" applyNumberFormat="1" applyFont="1" applyFill="1" applyBorder="1" applyAlignment="1">
      <alignment horizontal="center"/>
    </xf>
    <xf numFmtId="1" fontId="41" fillId="12" borderId="0" xfId="0" applyNumberFormat="1" applyFont="1" applyFill="1" applyBorder="1" applyAlignment="1">
      <alignment horizontal="center" vertical="distributed"/>
    </xf>
    <xf numFmtId="0" fontId="2" fillId="0" borderId="2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49" fontId="2" fillId="0" borderId="0" xfId="0" applyNumberFormat="1" applyFont="1" applyBorder="1" applyAlignment="1">
      <alignment horizontal="center"/>
    </xf>
    <xf numFmtId="167" fontId="24" fillId="0" borderId="0" xfId="1" applyNumberFormat="1" applyFont="1" applyFill="1" applyBorder="1" applyAlignment="1">
      <alignment horizontal="center"/>
    </xf>
    <xf numFmtId="1" fontId="41" fillId="13" borderId="0" xfId="0" applyNumberFormat="1" applyFont="1" applyFill="1" applyBorder="1" applyAlignment="1">
      <alignment horizontal="center" vertical="distributed"/>
    </xf>
    <xf numFmtId="43" fontId="2" fillId="0" borderId="0" xfId="0" applyNumberFormat="1" applyFont="1" applyFill="1" applyBorder="1" applyAlignment="1">
      <alignment horizontal="left" vertical="center"/>
    </xf>
    <xf numFmtId="168" fontId="2" fillId="0" borderId="0" xfId="0" applyNumberFormat="1" applyFont="1" applyFill="1" applyBorder="1"/>
    <xf numFmtId="43" fontId="2" fillId="0" borderId="0" xfId="0" applyNumberFormat="1" applyFont="1" applyFill="1" applyBorder="1"/>
    <xf numFmtId="1" fontId="41" fillId="14" borderId="0" xfId="0" applyNumberFormat="1" applyFont="1" applyFill="1" applyBorder="1" applyAlignment="1">
      <alignment horizontal="center" vertical="distributed"/>
    </xf>
    <xf numFmtId="49" fontId="41" fillId="0" borderId="0" xfId="0" applyNumberFormat="1" applyFont="1" applyFill="1" applyBorder="1" applyAlignment="1">
      <alignment horizontal="center" vertical="center" wrapText="1"/>
    </xf>
    <xf numFmtId="49" fontId="41" fillId="0" borderId="0" xfId="0" applyNumberFormat="1" applyFont="1" applyFill="1" applyBorder="1"/>
    <xf numFmtId="1" fontId="41" fillId="0" borderId="0" xfId="0" applyNumberFormat="1" applyFont="1" applyBorder="1" applyAlignment="1">
      <alignment horizontal="center"/>
    </xf>
    <xf numFmtId="43" fontId="2" fillId="0" borderId="5" xfId="1" applyFont="1" applyFill="1" applyBorder="1" applyAlignment="1">
      <alignment horizontal="center"/>
    </xf>
    <xf numFmtId="43" fontId="4" fillId="0" borderId="5" xfId="1" applyFont="1" applyFill="1" applyBorder="1" applyAlignment="1"/>
    <xf numFmtId="0" fontId="41" fillId="0" borderId="0" xfId="0" applyFont="1" applyFill="1" applyBorder="1" applyAlignment="1">
      <alignment horizontal="right" vertical="center"/>
    </xf>
    <xf numFmtId="0" fontId="44" fillId="0" borderId="0" xfId="0" applyFont="1" applyFill="1" applyAlignment="1">
      <alignment horizontal="left" vertical="center"/>
    </xf>
    <xf numFmtId="0" fontId="45" fillId="0" borderId="0" xfId="0" applyFont="1" applyFill="1" applyBorder="1"/>
    <xf numFmtId="49" fontId="2" fillId="0" borderId="0" xfId="0" applyNumberFormat="1" applyFont="1" applyFill="1" applyBorder="1"/>
    <xf numFmtId="0" fontId="2" fillId="0" borderId="1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49" fontId="2" fillId="0" borderId="0" xfId="0" applyNumberFormat="1" applyFont="1" applyFill="1" applyBorder="1" applyAlignment="1">
      <alignment horizontal="center" vertical="center" wrapText="1"/>
    </xf>
    <xf numFmtId="43" fontId="28" fillId="0" borderId="0" xfId="1" applyFont="1" applyFill="1" applyBorder="1" applyAlignment="1">
      <alignment horizontal="center" vertical="center" wrapText="1"/>
    </xf>
    <xf numFmtId="43" fontId="4" fillId="0" borderId="0" xfId="1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 wrapText="1"/>
    </xf>
    <xf numFmtId="0" fontId="25" fillId="0" borderId="0" xfId="0" applyFont="1" applyAlignment="1">
      <alignment horizontal="left" vertical="center"/>
    </xf>
    <xf numFmtId="0" fontId="2" fillId="0" borderId="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3" fillId="0" borderId="7" xfId="0" applyFont="1" applyBorder="1" applyAlignment="1">
      <alignment horizontal="left" vertical="center"/>
    </xf>
    <xf numFmtId="167" fontId="23" fillId="0" borderId="7" xfId="1" applyNumberFormat="1" applyFont="1" applyFill="1" applyBorder="1"/>
    <xf numFmtId="0" fontId="22" fillId="0" borderId="7" xfId="0" applyFont="1" applyFill="1" applyBorder="1" applyAlignment="1">
      <alignment horizontal="right" vertical="center"/>
    </xf>
    <xf numFmtId="43" fontId="2" fillId="0" borderId="7" xfId="1" applyFont="1" applyFill="1" applyBorder="1" applyAlignment="1">
      <alignment horizontal="center" vertical="center" wrapText="1"/>
    </xf>
    <xf numFmtId="167" fontId="4" fillId="0" borderId="0" xfId="0" applyNumberFormat="1" applyFont="1" applyFill="1" applyBorder="1"/>
    <xf numFmtId="0" fontId="31" fillId="0" borderId="7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right" vertical="center"/>
    </xf>
    <xf numFmtId="167" fontId="4" fillId="0" borderId="7" xfId="0" applyNumberFormat="1" applyFont="1" applyBorder="1" applyAlignment="1">
      <alignment horizontal="center" vertical="center" wrapText="1"/>
    </xf>
    <xf numFmtId="0" fontId="23" fillId="0" borderId="0" xfId="0" applyFont="1" applyAlignment="1">
      <alignment horizontal="left" vertical="center"/>
    </xf>
    <xf numFmtId="167" fontId="25" fillId="0" borderId="7" xfId="1" applyNumberFormat="1" applyFont="1" applyFill="1" applyBorder="1"/>
    <xf numFmtId="0" fontId="4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167" fontId="4" fillId="0" borderId="0" xfId="0" applyNumberFormat="1" applyFont="1" applyFill="1" applyBorder="1" applyAlignment="1">
      <alignment horizontal="center"/>
    </xf>
    <xf numFmtId="167" fontId="23" fillId="0" borderId="0" xfId="1" applyNumberFormat="1" applyFont="1" applyFill="1" applyBorder="1"/>
    <xf numFmtId="167" fontId="25" fillId="0" borderId="0" xfId="1" applyNumberFormat="1" applyFont="1" applyFill="1" applyBorder="1"/>
    <xf numFmtId="167" fontId="32" fillId="0" borderId="0" xfId="0" applyNumberFormat="1" applyFont="1" applyFill="1" applyBorder="1"/>
    <xf numFmtId="0" fontId="46" fillId="0" borderId="20" xfId="0" applyFont="1" applyBorder="1" applyAlignment="1">
      <alignment horizontal="left" vertical="center"/>
    </xf>
    <xf numFmtId="167" fontId="2" fillId="0" borderId="0" xfId="1" applyNumberFormat="1" applyFont="1" applyAlignment="1">
      <alignment horizontal="center" vertical="center" wrapText="1"/>
    </xf>
    <xf numFmtId="43" fontId="46" fillId="0" borderId="7" xfId="1" applyFont="1" applyBorder="1"/>
    <xf numFmtId="0" fontId="25" fillId="0" borderId="0" xfId="0" applyFont="1" applyAlignment="1">
      <alignment horizontal="right"/>
    </xf>
    <xf numFmtId="43" fontId="4" fillId="0" borderId="0" xfId="1" applyFont="1" applyAlignment="1">
      <alignment horizontal="center" vertical="center" wrapText="1"/>
    </xf>
    <xf numFmtId="167" fontId="2" fillId="0" borderId="0" xfId="0" applyNumberFormat="1" applyFont="1" applyAlignment="1">
      <alignment horizontal="center" vertical="center" wrapText="1"/>
    </xf>
    <xf numFmtId="0" fontId="25" fillId="0" borderId="0" xfId="0" applyFont="1" applyBorder="1" applyAlignment="1">
      <alignment horizontal="right"/>
    </xf>
    <xf numFmtId="43" fontId="2" fillId="3" borderId="0" xfId="0" applyNumberFormat="1" applyFont="1" applyFill="1" applyAlignment="1">
      <alignment horizontal="center" vertical="center" wrapText="1"/>
    </xf>
    <xf numFmtId="43" fontId="2" fillId="0" borderId="0" xfId="1" applyFont="1" applyBorder="1"/>
    <xf numFmtId="0" fontId="2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43" fontId="4" fillId="0" borderId="7" xfId="0" applyNumberFormat="1" applyFont="1" applyBorder="1"/>
    <xf numFmtId="43" fontId="2" fillId="0" borderId="0" xfId="0" applyNumberFormat="1" applyFont="1" applyAlignment="1">
      <alignment horizontal="center" vertical="center" wrapText="1"/>
    </xf>
    <xf numFmtId="165" fontId="2" fillId="0" borderId="0" xfId="0" applyNumberFormat="1" applyFont="1" applyAlignment="1">
      <alignment horizontal="center" vertical="center" wrapText="1"/>
    </xf>
    <xf numFmtId="0" fontId="2" fillId="0" borderId="7" xfId="0" applyFont="1" applyFill="1" applyBorder="1" applyAlignment="1">
      <alignment horizontal="left" vertical="center"/>
    </xf>
    <xf numFmtId="168" fontId="4" fillId="3" borderId="7" xfId="1" applyNumberFormat="1" applyFont="1" applyFill="1" applyBorder="1"/>
    <xf numFmtId="173" fontId="2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9" fontId="2" fillId="0" borderId="0" xfId="2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left" vertical="center"/>
    </xf>
    <xf numFmtId="0" fontId="2" fillId="0" borderId="2" xfId="0" applyFont="1" applyFill="1" applyBorder="1"/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center" vertical="center" wrapText="1"/>
    </xf>
    <xf numFmtId="49" fontId="2" fillId="0" borderId="23" xfId="0" applyNumberFormat="1" applyFont="1" applyFill="1" applyBorder="1" applyAlignment="1">
      <alignment horizontal="left" vertical="center"/>
    </xf>
    <xf numFmtId="167" fontId="2" fillId="0" borderId="0" xfId="0" applyNumberFormat="1" applyFont="1" applyFill="1" applyBorder="1"/>
    <xf numFmtId="2" fontId="2" fillId="0" borderId="0" xfId="0" applyNumberFormat="1" applyFont="1" applyFill="1" applyBorder="1"/>
    <xf numFmtId="10" fontId="2" fillId="0" borderId="0" xfId="0" applyNumberFormat="1" applyFont="1" applyFill="1" applyBorder="1"/>
    <xf numFmtId="1" fontId="2" fillId="0" borderId="0" xfId="0" applyNumberFormat="1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49" fontId="2" fillId="0" borderId="23" xfId="0" applyNumberFormat="1" applyFont="1" applyFill="1" applyBorder="1"/>
    <xf numFmtId="168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/>
    <xf numFmtId="10" fontId="2" fillId="0" borderId="22" xfId="0" applyNumberFormat="1" applyFont="1" applyFill="1" applyBorder="1" applyAlignment="1">
      <alignment horizontal="center" vertical="center" wrapText="1"/>
    </xf>
    <xf numFmtId="168" fontId="2" fillId="0" borderId="0" xfId="0" applyNumberFormat="1" applyFont="1" applyFill="1" applyBorder="1" applyAlignment="1">
      <alignment horizontal="center"/>
    </xf>
    <xf numFmtId="49" fontId="2" fillId="0" borderId="7" xfId="0" applyNumberFormat="1" applyFont="1" applyFill="1" applyBorder="1" applyAlignment="1">
      <alignment horizontal="center"/>
    </xf>
    <xf numFmtId="49" fontId="2" fillId="0" borderId="7" xfId="0" applyNumberFormat="1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center"/>
    </xf>
    <xf numFmtId="0" fontId="2" fillId="0" borderId="23" xfId="0" applyFont="1" applyFill="1" applyBorder="1"/>
    <xf numFmtId="49" fontId="2" fillId="0" borderId="4" xfId="0" applyNumberFormat="1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49" fontId="2" fillId="0" borderId="4" xfId="0" applyNumberFormat="1" applyFont="1" applyFill="1" applyBorder="1"/>
    <xf numFmtId="0" fontId="2" fillId="0" borderId="5" xfId="0" applyFont="1" applyBorder="1" applyAlignment="1">
      <alignment horizontal="center" vertical="center" wrapText="1"/>
    </xf>
    <xf numFmtId="49" fontId="4" fillId="15" borderId="7" xfId="0" applyNumberFormat="1" applyFont="1" applyFill="1" applyBorder="1" applyAlignment="1">
      <alignment horizontal="center" vertical="center" wrapText="1"/>
    </xf>
    <xf numFmtId="0" fontId="4" fillId="15" borderId="7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168" fontId="2" fillId="0" borderId="0" xfId="0" applyNumberFormat="1" applyFont="1" applyAlignment="1">
      <alignment vertical="center"/>
    </xf>
    <xf numFmtId="175" fontId="2" fillId="0" borderId="7" xfId="0" applyNumberFormat="1" applyFont="1" applyBorder="1" applyAlignment="1">
      <alignment horizontal="center" vertical="center"/>
    </xf>
    <xf numFmtId="10" fontId="2" fillId="0" borderId="7" xfId="2" applyNumberFormat="1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8" fontId="2" fillId="0" borderId="0" xfId="0" applyNumberFormat="1" applyFont="1" applyBorder="1"/>
    <xf numFmtId="175" fontId="2" fillId="0" borderId="0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47" fillId="0" borderId="7" xfId="0" applyFont="1" applyFill="1" applyBorder="1" applyAlignment="1">
      <alignment horizontal="center" vertical="center" wrapText="1"/>
    </xf>
    <xf numFmtId="2" fontId="2" fillId="2" borderId="7" xfId="0" applyNumberFormat="1" applyFont="1" applyFill="1" applyBorder="1" applyAlignment="1">
      <alignment horizontal="center" vertical="center"/>
    </xf>
    <xf numFmtId="177" fontId="2" fillId="0" borderId="0" xfId="1" applyNumberFormat="1" applyFont="1" applyFill="1" applyBorder="1" applyAlignment="1">
      <alignment horizontal="center"/>
    </xf>
    <xf numFmtId="177" fontId="2" fillId="0" borderId="0" xfId="0" applyNumberFormat="1" applyFont="1" applyFill="1" applyBorder="1" applyAlignment="1">
      <alignment horizontal="center"/>
    </xf>
    <xf numFmtId="0" fontId="11" fillId="0" borderId="7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2" fontId="2" fillId="0" borderId="7" xfId="0" applyNumberFormat="1" applyFont="1" applyFill="1" applyBorder="1" applyAlignment="1">
      <alignment horizontal="center"/>
    </xf>
    <xf numFmtId="2" fontId="11" fillId="0" borderId="7" xfId="0" applyNumberFormat="1" applyFont="1" applyBorder="1" applyAlignment="1">
      <alignment horizontal="center" vertical="center"/>
    </xf>
    <xf numFmtId="2" fontId="9" fillId="0" borderId="7" xfId="0" applyNumberFormat="1" applyFont="1" applyBorder="1" applyAlignment="1">
      <alignment horizontal="center" vertical="center"/>
    </xf>
    <xf numFmtId="0" fontId="15" fillId="0" borderId="17" xfId="0" applyFont="1" applyBorder="1"/>
    <xf numFmtId="0" fontId="15" fillId="0" borderId="18" xfId="0" applyFont="1" applyBorder="1"/>
    <xf numFmtId="0" fontId="15" fillId="0" borderId="19" xfId="0" applyFont="1" applyBorder="1"/>
    <xf numFmtId="0" fontId="15" fillId="0" borderId="2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21" xfId="0" applyFont="1" applyBorder="1" applyAlignment="1">
      <alignment horizontal="center"/>
    </xf>
    <xf numFmtId="10" fontId="15" fillId="0" borderId="20" xfId="0" applyNumberFormat="1" applyFont="1" applyBorder="1" applyAlignment="1">
      <alignment horizontal="center"/>
    </xf>
    <xf numFmtId="10" fontId="15" fillId="0" borderId="0" xfId="0" applyNumberFormat="1" applyFont="1" applyBorder="1" applyAlignment="1">
      <alignment horizontal="center"/>
    </xf>
    <xf numFmtId="9" fontId="15" fillId="0" borderId="0" xfId="0" applyNumberFormat="1" applyFont="1" applyBorder="1" applyAlignment="1">
      <alignment horizontal="center"/>
    </xf>
    <xf numFmtId="164" fontId="15" fillId="2" borderId="21" xfId="0" applyNumberFormat="1" applyFont="1" applyFill="1" applyBorder="1" applyAlignment="1">
      <alignment horizontal="center"/>
    </xf>
    <xf numFmtId="164" fontId="16" fillId="2" borderId="25" xfId="0" applyNumberFormat="1" applyFont="1" applyFill="1" applyBorder="1" applyAlignment="1">
      <alignment horizontal="center" vertical="center"/>
    </xf>
    <xf numFmtId="2" fontId="41" fillId="14" borderId="0" xfId="0" applyNumberFormat="1" applyFont="1" applyFill="1" applyBorder="1" applyAlignment="1">
      <alignment horizontal="center" vertical="distributed"/>
    </xf>
    <xf numFmtId="164" fontId="41" fillId="12" borderId="0" xfId="0" applyNumberFormat="1" applyFont="1" applyFill="1" applyBorder="1" applyAlignment="1">
      <alignment horizontal="center" vertical="distributed"/>
    </xf>
    <xf numFmtId="0" fontId="27" fillId="15" borderId="7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1" fontId="48" fillId="0" borderId="7" xfId="0" applyNumberFormat="1" applyFont="1" applyFill="1" applyBorder="1" applyAlignment="1">
      <alignment horizontal="center" vertical="center" wrapText="1"/>
    </xf>
    <xf numFmtId="1" fontId="49" fillId="0" borderId="7" xfId="0" applyNumberFormat="1" applyFont="1" applyFill="1" applyBorder="1" applyAlignment="1">
      <alignment horizontal="center" vertical="center" wrapText="1"/>
    </xf>
    <xf numFmtId="1" fontId="50" fillId="0" borderId="7" xfId="0" applyNumberFormat="1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right" vertical="center" wrapText="1"/>
    </xf>
    <xf numFmtId="1" fontId="15" fillId="0" borderId="14" xfId="0" applyNumberFormat="1" applyFont="1" applyFill="1" applyBorder="1" applyAlignment="1">
      <alignment horizontal="center" vertical="center" wrapText="1"/>
    </xf>
    <xf numFmtId="168" fontId="2" fillId="4" borderId="0" xfId="0" applyNumberFormat="1" applyFont="1" applyFill="1" applyBorder="1"/>
    <xf numFmtId="0" fontId="2" fillId="4" borderId="0" xfId="0" applyFont="1" applyFill="1" applyAlignment="1">
      <alignment horizontal="center" vertical="center"/>
    </xf>
    <xf numFmtId="0" fontId="2" fillId="4" borderId="0" xfId="0" applyFont="1" applyFill="1" applyBorder="1" applyAlignment="1">
      <alignment horizontal="left" vertical="center" wrapText="1"/>
    </xf>
    <xf numFmtId="0" fontId="4" fillId="4" borderId="0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/>
    </xf>
    <xf numFmtId="175" fontId="2" fillId="4" borderId="0" xfId="0" applyNumberFormat="1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center"/>
    </xf>
    <xf numFmtId="9" fontId="2" fillId="4" borderId="0" xfId="2" applyNumberFormat="1" applyFont="1" applyFill="1" applyAlignment="1">
      <alignment horizontal="center" vertical="center"/>
    </xf>
    <xf numFmtId="0" fontId="44" fillId="4" borderId="7" xfId="0" applyFont="1" applyFill="1" applyBorder="1" applyAlignment="1">
      <alignment horizontal="center" vertical="center"/>
    </xf>
    <xf numFmtId="0" fontId="44" fillId="0" borderId="7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left" vertical="center"/>
    </xf>
    <xf numFmtId="0" fontId="47" fillId="2" borderId="7" xfId="0" applyFont="1" applyFill="1" applyBorder="1" applyAlignment="1">
      <alignment horizontal="center" vertical="center"/>
    </xf>
    <xf numFmtId="0" fontId="47" fillId="0" borderId="0" xfId="0" applyFont="1" applyBorder="1" applyAlignment="1">
      <alignment horizontal="right" vertical="center" wrapText="1"/>
    </xf>
    <xf numFmtId="2" fontId="7" fillId="0" borderId="11" xfId="0" applyNumberFormat="1" applyFont="1" applyBorder="1" applyAlignment="1">
      <alignment horizontal="center" vertical="center"/>
    </xf>
    <xf numFmtId="2" fontId="2" fillId="0" borderId="7" xfId="0" applyNumberFormat="1" applyFont="1" applyFill="1" applyBorder="1" applyAlignment="1">
      <alignment horizontal="center" vertical="center"/>
    </xf>
    <xf numFmtId="164" fontId="11" fillId="2" borderId="26" xfId="0" applyNumberFormat="1" applyFont="1" applyFill="1" applyBorder="1" applyAlignment="1">
      <alignment horizontal="center" vertical="center"/>
    </xf>
    <xf numFmtId="164" fontId="7" fillId="2" borderId="25" xfId="0" applyNumberFormat="1" applyFont="1" applyFill="1" applyBorder="1" applyAlignment="1">
      <alignment horizontal="center" vertical="center"/>
    </xf>
    <xf numFmtId="0" fontId="2" fillId="4" borderId="0" xfId="0" applyFont="1" applyFill="1"/>
    <xf numFmtId="49" fontId="4" fillId="0" borderId="27" xfId="0" applyNumberFormat="1" applyFont="1" applyFill="1" applyBorder="1" applyAlignment="1">
      <alignment horizontal="center" vertical="center" wrapText="1"/>
    </xf>
    <xf numFmtId="49" fontId="4" fillId="0" borderId="26" xfId="0" applyNumberFormat="1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55" fillId="0" borderId="0" xfId="0" applyFont="1" applyAlignment="1">
      <alignment horizontal="left" vertical="center"/>
    </xf>
    <xf numFmtId="0" fontId="64" fillId="0" borderId="0" xfId="0" applyFont="1" applyAlignment="1">
      <alignment horizontal="left" vertical="center"/>
    </xf>
    <xf numFmtId="1" fontId="7" fillId="0" borderId="9" xfId="0" applyNumberFormat="1" applyFont="1" applyFill="1" applyBorder="1" applyAlignment="1">
      <alignment horizontal="center" vertical="center" wrapText="1"/>
    </xf>
    <xf numFmtId="1" fontId="16" fillId="0" borderId="7" xfId="0" applyNumberFormat="1" applyFont="1" applyFill="1" applyBorder="1" applyAlignment="1">
      <alignment horizontal="center" vertical="center" wrapText="1"/>
    </xf>
    <xf numFmtId="1" fontId="11" fillId="0" borderId="7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18" fillId="0" borderId="0" xfId="0" applyFont="1" applyFill="1" applyAlignment="1">
      <alignment horizontal="right" vertical="center" wrapText="1"/>
    </xf>
    <xf numFmtId="0" fontId="4" fillId="0" borderId="0" xfId="0" applyFont="1" applyAlignment="1">
      <alignment horizontal="right" vertical="top" wrapText="1"/>
    </xf>
    <xf numFmtId="1" fontId="61" fillId="4" borderId="7" xfId="0" applyNumberFormat="1" applyFont="1" applyFill="1" applyBorder="1" applyAlignment="1">
      <alignment horizontal="center" vertical="center"/>
    </xf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5" borderId="7" xfId="0" applyFill="1" applyBorder="1" applyAlignment="1">
      <alignment horizontal="center"/>
    </xf>
    <xf numFmtId="176" fontId="2" fillId="0" borderId="0" xfId="0" applyNumberFormat="1" applyFont="1" applyAlignment="1">
      <alignment horizontal="left" vertical="center"/>
    </xf>
    <xf numFmtId="10" fontId="44" fillId="4" borderId="7" xfId="0" applyNumberFormat="1" applyFont="1" applyFill="1" applyBorder="1" applyAlignment="1">
      <alignment horizontal="center" vertical="center"/>
    </xf>
    <xf numFmtId="9" fontId="2" fillId="4" borderId="0" xfId="0" applyNumberFormat="1" applyFont="1" applyFill="1" applyBorder="1" applyAlignment="1">
      <alignment horizontal="center" vertical="center"/>
    </xf>
    <xf numFmtId="175" fontId="2" fillId="4" borderId="0" xfId="0" applyNumberFormat="1" applyFont="1" applyFill="1" applyBorder="1" applyAlignment="1">
      <alignment horizontal="center" vertical="center"/>
    </xf>
    <xf numFmtId="1" fontId="62" fillId="4" borderId="0" xfId="0" applyNumberFormat="1" applyFont="1" applyFill="1" applyBorder="1" applyAlignment="1">
      <alignment horizontal="center" vertical="center"/>
    </xf>
    <xf numFmtId="1" fontId="63" fillId="4" borderId="0" xfId="0" applyNumberFormat="1" applyFont="1" applyFill="1" applyBorder="1" applyAlignment="1">
      <alignment horizontal="center" vertical="center"/>
    </xf>
    <xf numFmtId="2" fontId="68" fillId="0" borderId="0" xfId="0" applyNumberFormat="1" applyFont="1" applyBorder="1" applyAlignment="1">
      <alignment horizontal="center" vertical="center"/>
    </xf>
    <xf numFmtId="2" fontId="69" fillId="0" borderId="0" xfId="0" applyNumberFormat="1" applyFont="1" applyBorder="1" applyAlignment="1">
      <alignment horizontal="center" vertical="center"/>
    </xf>
    <xf numFmtId="2" fontId="63" fillId="0" borderId="0" xfId="0" applyNumberFormat="1" applyFont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" vertical="center"/>
    </xf>
    <xf numFmtId="0" fontId="9" fillId="4" borderId="0" xfId="0" applyFont="1" applyFill="1" applyBorder="1" applyAlignment="1">
      <alignment horizontal="center" vertical="center"/>
    </xf>
    <xf numFmtId="164" fontId="61" fillId="4" borderId="7" xfId="0" applyNumberFormat="1" applyFont="1" applyFill="1" applyBorder="1" applyAlignment="1">
      <alignment horizontal="center" vertical="center"/>
    </xf>
    <xf numFmtId="49" fontId="44" fillId="4" borderId="7" xfId="0" applyNumberFormat="1" applyFont="1" applyFill="1" applyBorder="1" applyAlignment="1">
      <alignment horizontal="center" vertical="center"/>
    </xf>
    <xf numFmtId="168" fontId="32" fillId="4" borderId="0" xfId="0" applyNumberFormat="1" applyFont="1" applyFill="1" applyBorder="1" applyAlignment="1">
      <alignment horizontal="right"/>
    </xf>
    <xf numFmtId="175" fontId="32" fillId="4" borderId="0" xfId="0" applyNumberFormat="1" applyFont="1" applyFill="1" applyBorder="1" applyAlignment="1">
      <alignment horizontal="right" vertical="center"/>
    </xf>
    <xf numFmtId="0" fontId="32" fillId="4" borderId="0" xfId="0" applyFont="1" applyFill="1" applyAlignment="1">
      <alignment horizontal="right" vertical="center"/>
    </xf>
    <xf numFmtId="9" fontId="32" fillId="4" borderId="0" xfId="2" applyNumberFormat="1" applyFont="1" applyFill="1" applyAlignment="1">
      <alignment horizontal="right" vertical="center"/>
    </xf>
    <xf numFmtId="2" fontId="68" fillId="4" borderId="0" xfId="0" applyNumberFormat="1" applyFont="1" applyFill="1" applyBorder="1" applyAlignment="1">
      <alignment horizontal="center" vertical="center"/>
    </xf>
    <xf numFmtId="2" fontId="69" fillId="4" borderId="0" xfId="0" applyNumberFormat="1" applyFont="1" applyFill="1" applyBorder="1" applyAlignment="1">
      <alignment horizontal="center" vertical="center"/>
    </xf>
    <xf numFmtId="2" fontId="63" fillId="4" borderId="0" xfId="0" applyNumberFormat="1" applyFont="1" applyFill="1" applyBorder="1" applyAlignment="1">
      <alignment horizontal="center" vertical="center"/>
    </xf>
    <xf numFmtId="2" fontId="4" fillId="4" borderId="0" xfId="0" applyNumberFormat="1" applyFont="1" applyFill="1" applyBorder="1" applyAlignment="1">
      <alignment horizontal="center" vertical="center"/>
    </xf>
    <xf numFmtId="3" fontId="7" fillId="0" borderId="0" xfId="0" applyNumberFormat="1" applyFont="1"/>
    <xf numFmtId="3" fontId="9" fillId="0" borderId="0" xfId="0" applyNumberFormat="1" applyFont="1"/>
    <xf numFmtId="3" fontId="11" fillId="0" borderId="0" xfId="0" applyNumberFormat="1" applyFont="1"/>
    <xf numFmtId="2" fontId="59" fillId="4" borderId="7" xfId="0" applyNumberFormat="1" applyFont="1" applyFill="1" applyBorder="1" applyAlignment="1">
      <alignment horizontal="center" vertical="center"/>
    </xf>
    <xf numFmtId="2" fontId="51" fillId="4" borderId="7" xfId="0" applyNumberFormat="1" applyFont="1" applyFill="1" applyBorder="1" applyAlignment="1">
      <alignment horizontal="center" vertical="center"/>
    </xf>
    <xf numFmtId="0" fontId="2" fillId="4" borderId="0" xfId="0" applyFont="1" applyFill="1" applyAlignment="1">
      <alignment horizontal="left"/>
    </xf>
    <xf numFmtId="0" fontId="45" fillId="4" borderId="0" xfId="0" applyFont="1" applyFill="1" applyAlignment="1">
      <alignment horizontal="left" vertical="center"/>
    </xf>
    <xf numFmtId="1" fontId="7" fillId="0" borderId="7" xfId="0" applyNumberFormat="1" applyFont="1" applyBorder="1" applyAlignment="1">
      <alignment vertical="center"/>
    </xf>
    <xf numFmtId="2" fontId="5" fillId="4" borderId="7" xfId="0" applyNumberFormat="1" applyFont="1" applyFill="1" applyBorder="1" applyAlignment="1">
      <alignment horizontal="center" vertical="center"/>
    </xf>
    <xf numFmtId="9" fontId="73" fillId="0" borderId="0" xfId="0" applyNumberFormat="1" applyFont="1"/>
    <xf numFmtId="0" fontId="74" fillId="0" borderId="0" xfId="0" applyFont="1" applyAlignment="1">
      <alignment vertical="center"/>
    </xf>
    <xf numFmtId="0" fontId="55" fillId="0" borderId="0" xfId="0" applyFont="1" applyAlignment="1">
      <alignment vertical="center"/>
    </xf>
    <xf numFmtId="43" fontId="2" fillId="4" borderId="0" xfId="1" applyFont="1" applyFill="1"/>
    <xf numFmtId="43" fontId="2" fillId="4" borderId="0" xfId="1" applyFont="1" applyFill="1" applyBorder="1" applyAlignment="1">
      <alignment horizontal="center" vertical="center"/>
    </xf>
    <xf numFmtId="43" fontId="2" fillId="4" borderId="0" xfId="1" applyFont="1" applyFill="1" applyAlignment="1">
      <alignment horizontal="center" vertical="center"/>
    </xf>
    <xf numFmtId="43" fontId="2" fillId="4" borderId="0" xfId="1" applyFont="1" applyFill="1" applyAlignment="1">
      <alignment horizontal="left"/>
    </xf>
    <xf numFmtId="43" fontId="2" fillId="0" borderId="0" xfId="1" applyFont="1"/>
    <xf numFmtId="0" fontId="2" fillId="0" borderId="7" xfId="0" applyFont="1" applyFill="1" applyBorder="1" applyAlignment="1">
      <alignment horizontal="left" vertical="center" wrapText="1"/>
    </xf>
    <xf numFmtId="0" fontId="2" fillId="4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166" fontId="2" fillId="4" borderId="7" xfId="0" applyNumberFormat="1" applyFont="1" applyFill="1" applyBorder="1" applyAlignment="1">
      <alignment horizontal="center" vertical="center"/>
    </xf>
    <xf numFmtId="1" fontId="75" fillId="4" borderId="7" xfId="0" applyNumberFormat="1" applyFont="1" applyFill="1" applyBorder="1" applyAlignment="1">
      <alignment horizontal="center" vertical="center"/>
    </xf>
    <xf numFmtId="1" fontId="70" fillId="4" borderId="7" xfId="0" applyNumberFormat="1" applyFont="1" applyFill="1" applyBorder="1" applyAlignment="1">
      <alignment horizontal="center" vertical="center"/>
    </xf>
    <xf numFmtId="0" fontId="74" fillId="0" borderId="0" xfId="0" applyFont="1" applyAlignment="1">
      <alignment horizontal="left"/>
    </xf>
    <xf numFmtId="0" fontId="77" fillId="4" borderId="0" xfId="0" applyFont="1" applyFill="1" applyBorder="1" applyAlignment="1">
      <alignment horizontal="left" vertical="center"/>
    </xf>
    <xf numFmtId="0" fontId="54" fillId="16" borderId="13" xfId="0" applyFont="1" applyFill="1" applyBorder="1" applyAlignment="1">
      <alignment vertical="center"/>
    </xf>
    <xf numFmtId="0" fontId="54" fillId="16" borderId="14" xfId="0" applyFont="1" applyFill="1" applyBorder="1" applyAlignment="1">
      <alignment vertical="center"/>
    </xf>
    <xf numFmtId="0" fontId="18" fillId="0" borderId="24" xfId="0" applyFont="1" applyBorder="1" applyAlignment="1">
      <alignment horizontal="center"/>
    </xf>
    <xf numFmtId="0" fontId="4" fillId="0" borderId="7" xfId="0" applyFont="1" applyBorder="1" applyAlignment="1">
      <alignment horizontal="left" vertical="center" wrapText="1"/>
    </xf>
    <xf numFmtId="0" fontId="79" fillId="0" borderId="29" xfId="0" applyFont="1" applyFill="1" applyBorder="1" applyAlignment="1">
      <alignment horizontal="center" vertical="center" wrapText="1"/>
    </xf>
    <xf numFmtId="0" fontId="79" fillId="0" borderId="31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left" vertical="center" wrapText="1"/>
    </xf>
    <xf numFmtId="0" fontId="5" fillId="4" borderId="7" xfId="0" applyFont="1" applyFill="1" applyBorder="1" applyAlignment="1">
      <alignment horizontal="left" vertical="center"/>
    </xf>
    <xf numFmtId="0" fontId="5" fillId="0" borderId="7" xfId="0" applyFont="1" applyBorder="1" applyAlignment="1">
      <alignment horizontal="left" vertical="center" wrapText="1"/>
    </xf>
    <xf numFmtId="0" fontId="45" fillId="4" borderId="7" xfId="0" applyFont="1" applyFill="1" applyBorder="1" applyAlignment="1">
      <alignment horizontal="center" vertical="center"/>
    </xf>
    <xf numFmtId="0" fontId="81" fillId="2" borderId="7" xfId="0" applyFont="1" applyFill="1" applyBorder="1" applyAlignment="1">
      <alignment horizontal="center" vertical="center"/>
    </xf>
    <xf numFmtId="166" fontId="45" fillId="4" borderId="7" xfId="0" applyNumberFormat="1" applyFont="1" applyFill="1" applyBorder="1" applyAlignment="1">
      <alignment horizontal="center" vertical="center"/>
    </xf>
    <xf numFmtId="0" fontId="45" fillId="0" borderId="7" xfId="0" applyFont="1" applyFill="1" applyBorder="1" applyAlignment="1">
      <alignment horizontal="center" vertical="center"/>
    </xf>
    <xf numFmtId="0" fontId="11" fillId="0" borderId="7" xfId="0" applyFont="1" applyBorder="1" applyAlignment="1">
      <alignment horizontal="center" vertical="top" wrapText="1"/>
    </xf>
    <xf numFmtId="0" fontId="9" fillId="0" borderId="7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0" fillId="5" borderId="15" xfId="0" applyFill="1" applyBorder="1"/>
    <xf numFmtId="0" fontId="0" fillId="5" borderId="10" xfId="0" applyFill="1" applyBorder="1"/>
    <xf numFmtId="0" fontId="20" fillId="0" borderId="16" xfId="0" applyFont="1" applyBorder="1" applyAlignment="1">
      <alignment horizontal="center" vertical="center"/>
    </xf>
    <xf numFmtId="0" fontId="0" fillId="6" borderId="35" xfId="0" applyFill="1" applyBorder="1" applyAlignment="1">
      <alignment horizontal="center"/>
    </xf>
    <xf numFmtId="0" fontId="0" fillId="6" borderId="35" xfId="0" applyFill="1" applyBorder="1"/>
    <xf numFmtId="0" fontId="0" fillId="6" borderId="36" xfId="0" applyFill="1" applyBorder="1"/>
    <xf numFmtId="0" fontId="70" fillId="0" borderId="14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82" fillId="0" borderId="0" xfId="0" applyFont="1" applyBorder="1" applyAlignment="1">
      <alignment horizontal="center" vertical="center" wrapText="1"/>
    </xf>
    <xf numFmtId="1" fontId="5" fillId="4" borderId="7" xfId="0" applyNumberFormat="1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10" fontId="2" fillId="4" borderId="7" xfId="0" applyNumberFormat="1" applyFont="1" applyFill="1" applyBorder="1" applyAlignment="1">
      <alignment horizontal="center" vertical="center"/>
    </xf>
    <xf numFmtId="49" fontId="45" fillId="0" borderId="7" xfId="0" applyNumberFormat="1" applyFont="1" applyFill="1" applyBorder="1" applyAlignment="1">
      <alignment horizontal="center" vertical="center"/>
    </xf>
    <xf numFmtId="164" fontId="59" fillId="4" borderId="7" xfId="0" applyNumberFormat="1" applyFont="1" applyFill="1" applyBorder="1" applyAlignment="1">
      <alignment horizontal="center" vertical="center"/>
    </xf>
    <xf numFmtId="164" fontId="51" fillId="4" borderId="7" xfId="0" applyNumberFormat="1" applyFont="1" applyFill="1" applyBorder="1" applyAlignment="1">
      <alignment horizontal="center" vertical="center"/>
    </xf>
    <xf numFmtId="164" fontId="2" fillId="4" borderId="0" xfId="0" applyNumberFormat="1" applyFont="1" applyFill="1"/>
    <xf numFmtId="164" fontId="72" fillId="4" borderId="7" xfId="0" applyNumberFormat="1" applyFont="1" applyFill="1" applyBorder="1" applyAlignment="1">
      <alignment horizontal="center" vertical="center"/>
    </xf>
    <xf numFmtId="164" fontId="70" fillId="4" borderId="7" xfId="0" applyNumberFormat="1" applyFont="1" applyFill="1" applyBorder="1" applyAlignment="1">
      <alignment horizontal="center" vertical="center"/>
    </xf>
    <xf numFmtId="1" fontId="60" fillId="4" borderId="7" xfId="0" applyNumberFormat="1" applyFont="1" applyFill="1" applyBorder="1" applyAlignment="1">
      <alignment horizontal="center" vertical="center"/>
    </xf>
    <xf numFmtId="1" fontId="19" fillId="4" borderId="7" xfId="0" applyNumberFormat="1" applyFont="1" applyFill="1" applyBorder="1" applyAlignment="1">
      <alignment horizontal="center" vertical="center"/>
    </xf>
    <xf numFmtId="164" fontId="85" fillId="0" borderId="0" xfId="0" applyNumberFormat="1" applyFont="1" applyAlignment="1">
      <alignment horizontal="left"/>
    </xf>
    <xf numFmtId="0" fontId="85" fillId="0" borderId="0" xfId="0" applyFont="1" applyAlignment="1">
      <alignment horizontal="left"/>
    </xf>
    <xf numFmtId="164" fontId="85" fillId="0" borderId="0" xfId="0" applyNumberFormat="1" applyFont="1"/>
    <xf numFmtId="0" fontId="85" fillId="0" borderId="0" xfId="0" applyFont="1" applyAlignment="1">
      <alignment horizontal="right"/>
    </xf>
    <xf numFmtId="0" fontId="0" fillId="18" borderId="7" xfId="0" applyFill="1" applyBorder="1"/>
    <xf numFmtId="0" fontId="0" fillId="18" borderId="15" xfId="0" applyFill="1" applyBorder="1"/>
    <xf numFmtId="0" fontId="86" fillId="0" borderId="0" xfId="0" applyFont="1" applyBorder="1" applyAlignment="1">
      <alignment horizontal="center" vertical="center"/>
    </xf>
    <xf numFmtId="0" fontId="84" fillId="4" borderId="0" xfId="0" applyFont="1" applyFill="1" applyBorder="1" applyAlignment="1">
      <alignment horizontal="left" vertical="center"/>
    </xf>
    <xf numFmtId="0" fontId="7" fillId="0" borderId="7" xfId="0" applyFont="1" applyBorder="1" applyAlignment="1">
      <alignment horizontal="right" vertical="center" wrapText="1"/>
    </xf>
    <xf numFmtId="0" fontId="16" fillId="0" borderId="7" xfId="0" applyFont="1" applyBorder="1" applyAlignment="1">
      <alignment horizontal="right" vertical="center" wrapText="1"/>
    </xf>
    <xf numFmtId="0" fontId="11" fillId="0" borderId="7" xfId="0" applyFont="1" applyBorder="1" applyAlignment="1">
      <alignment horizontal="right" vertical="center" wrapText="1"/>
    </xf>
    <xf numFmtId="0" fontId="87" fillId="0" borderId="14" xfId="0" applyFont="1" applyFill="1" applyBorder="1" applyAlignment="1">
      <alignment horizontal="center" vertical="center"/>
    </xf>
    <xf numFmtId="0" fontId="0" fillId="18" borderId="35" xfId="0" applyFill="1" applyBorder="1"/>
    <xf numFmtId="0" fontId="15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 wrapText="1"/>
    </xf>
    <xf numFmtId="0" fontId="63" fillId="0" borderId="0" xfId="0" applyFont="1" applyFill="1" applyBorder="1" applyAlignment="1">
      <alignment vertical="center" wrapText="1"/>
    </xf>
    <xf numFmtId="0" fontId="4" fillId="0" borderId="27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right"/>
    </xf>
    <xf numFmtId="0" fontId="41" fillId="0" borderId="0" xfId="0" applyFont="1" applyFill="1" applyBorder="1" applyAlignment="1">
      <alignment horizontal="center" vertical="center" wrapText="1"/>
    </xf>
    <xf numFmtId="0" fontId="41" fillId="0" borderId="0" xfId="0" applyFont="1" applyFill="1" applyBorder="1"/>
    <xf numFmtId="167" fontId="41" fillId="0" borderId="0" xfId="0" applyNumberFormat="1" applyFont="1" applyFill="1" applyBorder="1" applyAlignment="1">
      <alignment horizontal="center" vertical="center" wrapText="1"/>
    </xf>
    <xf numFmtId="43" fontId="43" fillId="0" borderId="0" xfId="1" applyFont="1" applyFill="1" applyBorder="1"/>
    <xf numFmtId="43" fontId="41" fillId="0" borderId="0" xfId="1" applyFont="1" applyFill="1" applyBorder="1" applyAlignment="1">
      <alignment horizontal="right"/>
    </xf>
    <xf numFmtId="167" fontId="2" fillId="0" borderId="7" xfId="0" applyNumberFormat="1" applyFont="1" applyFill="1" applyBorder="1" applyAlignment="1">
      <alignment horizontal="center"/>
    </xf>
    <xf numFmtId="1" fontId="2" fillId="0" borderId="7" xfId="0" applyNumberFormat="1" applyFont="1" applyFill="1" applyBorder="1" applyAlignment="1">
      <alignment horizontal="center"/>
    </xf>
    <xf numFmtId="10" fontId="2" fillId="0" borderId="7" xfId="2" applyNumberFormat="1" applyFont="1" applyBorder="1" applyAlignment="1">
      <alignment horizontal="center"/>
    </xf>
    <xf numFmtId="43" fontId="2" fillId="0" borderId="7" xfId="1" applyFont="1" applyBorder="1" applyAlignment="1">
      <alignment horizontal="center"/>
    </xf>
    <xf numFmtId="43" fontId="2" fillId="0" borderId="7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44" fillId="0" borderId="7" xfId="0" applyFont="1" applyBorder="1" applyAlignment="1">
      <alignment horizontal="left" vertical="center" wrapText="1"/>
    </xf>
    <xf numFmtId="0" fontId="5" fillId="16" borderId="16" xfId="0" applyFont="1" applyFill="1" applyBorder="1" applyAlignment="1">
      <alignment vertical="center"/>
    </xf>
    <xf numFmtId="164" fontId="5" fillId="4" borderId="7" xfId="0" applyNumberFormat="1" applyFont="1" applyFill="1" applyBorder="1" applyAlignment="1">
      <alignment horizontal="center" vertical="center"/>
    </xf>
    <xf numFmtId="1" fontId="88" fillId="4" borderId="7" xfId="0" applyNumberFormat="1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left" vertical="top" wrapText="1"/>
    </xf>
    <xf numFmtId="0" fontId="94" fillId="0" borderId="0" xfId="0" applyFont="1" applyAlignment="1">
      <alignment horizontal="left" vertical="center"/>
    </xf>
    <xf numFmtId="0" fontId="6" fillId="0" borderId="28" xfId="0" applyFont="1" applyFill="1" applyBorder="1" applyAlignment="1">
      <alignment vertical="center" wrapText="1"/>
    </xf>
    <xf numFmtId="0" fontId="18" fillId="0" borderId="30" xfId="0" applyFont="1" applyFill="1" applyBorder="1" applyAlignment="1">
      <alignment vertical="center" wrapText="1"/>
    </xf>
    <xf numFmtId="0" fontId="6" fillId="0" borderId="27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 wrapText="1"/>
    </xf>
    <xf numFmtId="0" fontId="55" fillId="0" borderId="0" xfId="0" applyFont="1" applyAlignment="1">
      <alignment vertical="top"/>
    </xf>
    <xf numFmtId="1" fontId="95" fillId="4" borderId="7" xfId="0" applyNumberFormat="1" applyFont="1" applyFill="1" applyBorder="1" applyAlignment="1">
      <alignment horizontal="center" vertical="center"/>
    </xf>
    <xf numFmtId="1" fontId="96" fillId="4" borderId="7" xfId="0" applyNumberFormat="1" applyFont="1" applyFill="1" applyBorder="1" applyAlignment="1">
      <alignment horizontal="center" vertical="center"/>
    </xf>
    <xf numFmtId="164" fontId="95" fillId="4" borderId="7" xfId="0" applyNumberFormat="1" applyFont="1" applyFill="1" applyBorder="1" applyAlignment="1">
      <alignment horizontal="center" vertical="center"/>
    </xf>
    <xf numFmtId="164" fontId="96" fillId="4" borderId="7" xfId="0" applyNumberFormat="1" applyFont="1" applyFill="1" applyBorder="1" applyAlignment="1">
      <alignment horizontal="center" vertical="center"/>
    </xf>
    <xf numFmtId="164" fontId="52" fillId="4" borderId="7" xfId="0" applyNumberFormat="1" applyFont="1" applyFill="1" applyBorder="1" applyAlignment="1">
      <alignment horizontal="center" vertical="center"/>
    </xf>
    <xf numFmtId="3" fontId="2" fillId="7" borderId="7" xfId="0" applyNumberFormat="1" applyFont="1" applyFill="1" applyBorder="1" applyAlignment="1">
      <alignment horizontal="center" vertical="center"/>
    </xf>
    <xf numFmtId="3" fontId="2" fillId="0" borderId="7" xfId="0" applyNumberFormat="1" applyFont="1" applyBorder="1" applyAlignment="1">
      <alignment horizontal="center" vertical="center"/>
    </xf>
    <xf numFmtId="3" fontId="2" fillId="7" borderId="7" xfId="1" applyNumberFormat="1" applyFont="1" applyFill="1" applyBorder="1" applyAlignment="1">
      <alignment horizontal="center" vertical="center"/>
    </xf>
    <xf numFmtId="164" fontId="60" fillId="2" borderId="7" xfId="0" applyNumberFormat="1" applyFont="1" applyFill="1" applyBorder="1" applyAlignment="1">
      <alignment horizontal="center" vertical="center"/>
    </xf>
    <xf numFmtId="164" fontId="19" fillId="2" borderId="7" xfId="0" applyNumberFormat="1" applyFont="1" applyFill="1" applyBorder="1" applyAlignment="1">
      <alignment horizontal="center" vertical="center"/>
    </xf>
    <xf numFmtId="1" fontId="2" fillId="4" borderId="0" xfId="0" applyNumberFormat="1" applyFont="1" applyFill="1"/>
    <xf numFmtId="1" fontId="2" fillId="4" borderId="0" xfId="1" applyNumberFormat="1" applyFont="1" applyFill="1"/>
    <xf numFmtId="0" fontId="15" fillId="4" borderId="0" xfId="0" applyFont="1" applyFill="1" applyAlignment="1">
      <alignment vertical="center"/>
    </xf>
    <xf numFmtId="0" fontId="0" fillId="4" borderId="0" xfId="0" applyFill="1"/>
    <xf numFmtId="166" fontId="15" fillId="4" borderId="0" xfId="2" applyNumberFormat="1" applyFont="1" applyFill="1" applyAlignment="1">
      <alignment horizontal="left" vertical="center"/>
    </xf>
    <xf numFmtId="0" fontId="15" fillId="4" borderId="0" xfId="0" applyFont="1" applyFill="1"/>
    <xf numFmtId="49" fontId="15" fillId="4" borderId="0" xfId="0" applyNumberFormat="1" applyFont="1" applyFill="1"/>
    <xf numFmtId="0" fontId="78" fillId="4" borderId="0" xfId="0" applyFont="1" applyFill="1" applyBorder="1" applyAlignment="1">
      <alignment vertical="center" wrapText="1"/>
    </xf>
    <xf numFmtId="0" fontId="78" fillId="4" borderId="0" xfId="0" applyFont="1" applyFill="1" applyBorder="1" applyAlignment="1">
      <alignment horizontal="left" vertical="center" wrapText="1"/>
    </xf>
    <xf numFmtId="1" fontId="7" fillId="2" borderId="7" xfId="0" applyNumberFormat="1" applyFont="1" applyFill="1" applyBorder="1" applyAlignment="1">
      <alignment horizontal="center" vertical="center"/>
    </xf>
    <xf numFmtId="1" fontId="16" fillId="2" borderId="7" xfId="0" applyNumberFormat="1" applyFont="1" applyFill="1" applyBorder="1" applyAlignment="1">
      <alignment horizontal="center" vertical="center"/>
    </xf>
    <xf numFmtId="1" fontId="11" fillId="2" borderId="7" xfId="0" applyNumberFormat="1" applyFont="1" applyFill="1" applyBorder="1" applyAlignment="1">
      <alignment horizontal="center" vertical="center"/>
    </xf>
    <xf numFmtId="1" fontId="15" fillId="3" borderId="7" xfId="0" applyNumberFormat="1" applyFont="1" applyFill="1" applyBorder="1" applyAlignment="1">
      <alignment horizontal="center" vertical="center"/>
    </xf>
    <xf numFmtId="2" fontId="60" fillId="4" borderId="7" xfId="0" applyNumberFormat="1" applyFont="1" applyFill="1" applyBorder="1" applyAlignment="1">
      <alignment horizontal="center" vertical="center"/>
    </xf>
    <xf numFmtId="0" fontId="97" fillId="0" borderId="0" xfId="0" applyFont="1"/>
    <xf numFmtId="0" fontId="97" fillId="0" borderId="0" xfId="0" applyFont="1" applyAlignment="1">
      <alignment horizontal="center"/>
    </xf>
    <xf numFmtId="0" fontId="97" fillId="0" borderId="0" xfId="0" applyFont="1" applyBorder="1" applyAlignment="1">
      <alignment horizontal="center" vertical="center" wrapText="1"/>
    </xf>
    <xf numFmtId="0" fontId="97" fillId="0" borderId="0" xfId="0" applyFont="1" applyAlignment="1">
      <alignment horizontal="center" vertical="center" wrapText="1"/>
    </xf>
    <xf numFmtId="10" fontId="97" fillId="0" borderId="0" xfId="2" applyNumberFormat="1" applyFont="1"/>
    <xf numFmtId="10" fontId="97" fillId="0" borderId="0" xfId="2" applyNumberFormat="1" applyFont="1" applyAlignment="1">
      <alignment horizontal="center"/>
    </xf>
    <xf numFmtId="2" fontId="97" fillId="0" borderId="0" xfId="0" applyNumberFormat="1" applyFont="1" applyAlignment="1">
      <alignment horizontal="center"/>
    </xf>
    <xf numFmtId="164" fontId="97" fillId="0" borderId="0" xfId="0" applyNumberFormat="1" applyFont="1" applyAlignment="1">
      <alignment horizontal="center"/>
    </xf>
    <xf numFmtId="43" fontId="97" fillId="0" borderId="0" xfId="1" applyFont="1" applyFill="1" applyBorder="1" applyAlignment="1">
      <alignment horizontal="center" vertical="center" wrapText="1"/>
    </xf>
    <xf numFmtId="168" fontId="98" fillId="0" borderId="0" xfId="1" applyNumberFormat="1" applyFont="1"/>
    <xf numFmtId="2" fontId="97" fillId="0" borderId="0" xfId="0" applyNumberFormat="1" applyFont="1" applyFill="1" applyAlignment="1">
      <alignment horizontal="center"/>
    </xf>
    <xf numFmtId="164" fontId="97" fillId="0" borderId="0" xfId="0" applyNumberFormat="1" applyFont="1" applyFill="1" applyAlignment="1">
      <alignment horizontal="center"/>
    </xf>
    <xf numFmtId="0" fontId="0" fillId="0" borderId="7" xfId="0" applyFill="1" applyBorder="1"/>
    <xf numFmtId="0" fontId="0" fillId="0" borderId="15" xfId="0" applyFill="1" applyBorder="1"/>
    <xf numFmtId="0" fontId="0" fillId="0" borderId="35" xfId="0" applyFill="1" applyBorder="1" applyAlignment="1">
      <alignment horizontal="center"/>
    </xf>
    <xf numFmtId="0" fontId="0" fillId="0" borderId="35" xfId="0" applyFill="1" applyBorder="1"/>
    <xf numFmtId="0" fontId="0" fillId="0" borderId="35" xfId="0" applyFont="1" applyFill="1" applyBorder="1"/>
    <xf numFmtId="0" fontId="0" fillId="0" borderId="10" xfId="0" applyFill="1" applyBorder="1"/>
    <xf numFmtId="0" fontId="0" fillId="0" borderId="7" xfId="0" applyFill="1" applyBorder="1" applyAlignment="1">
      <alignment horizontal="center"/>
    </xf>
    <xf numFmtId="165" fontId="2" fillId="0" borderId="1" xfId="1" applyNumberFormat="1" applyFont="1" applyBorder="1" applyAlignment="1">
      <alignment horizontal="center"/>
    </xf>
    <xf numFmtId="0" fontId="2" fillId="0" borderId="4" xfId="0" applyFont="1" applyBorder="1"/>
    <xf numFmtId="0" fontId="2" fillId="0" borderId="8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11" xfId="0" applyFont="1" applyBorder="1" applyAlignment="1">
      <alignment horizontal="right"/>
    </xf>
    <xf numFmtId="0" fontId="99" fillId="0" borderId="7" xfId="0" applyFont="1" applyBorder="1" applyAlignment="1">
      <alignment horizontal="right"/>
    </xf>
    <xf numFmtId="3" fontId="2" fillId="0" borderId="4" xfId="0" applyNumberFormat="1" applyFont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3" fontId="2" fillId="0" borderId="6" xfId="0" applyNumberFormat="1" applyFont="1" applyBorder="1" applyAlignment="1">
      <alignment horizontal="center"/>
    </xf>
    <xf numFmtId="0" fontId="45" fillId="19" borderId="7" xfId="0" applyFont="1" applyFill="1" applyBorder="1" applyAlignment="1">
      <alignment horizontal="center" vertical="center"/>
    </xf>
    <xf numFmtId="0" fontId="81" fillId="0" borderId="7" xfId="0" applyFont="1" applyFill="1" applyBorder="1" applyAlignment="1">
      <alignment horizontal="center" vertical="center"/>
    </xf>
    <xf numFmtId="0" fontId="2" fillId="19" borderId="7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164" fontId="19" fillId="0" borderId="7" xfId="0" applyNumberFormat="1" applyFont="1" applyFill="1" applyBorder="1" applyAlignment="1">
      <alignment horizontal="center" vertical="center"/>
    </xf>
    <xf numFmtId="164" fontId="60" fillId="0" borderId="7" xfId="0" applyNumberFormat="1" applyFont="1" applyFill="1" applyBorder="1" applyAlignment="1">
      <alignment horizontal="center" vertical="center"/>
    </xf>
    <xf numFmtId="0" fontId="44" fillId="19" borderId="7" xfId="0" applyFont="1" applyFill="1" applyBorder="1" applyAlignment="1">
      <alignment horizontal="center" vertical="center"/>
    </xf>
    <xf numFmtId="0" fontId="15" fillId="0" borderId="0" xfId="0" applyFont="1" applyFill="1" applyBorder="1"/>
    <xf numFmtId="1" fontId="15" fillId="0" borderId="0" xfId="0" applyNumberFormat="1" applyFont="1" applyFill="1" applyBorder="1"/>
    <xf numFmtId="164" fontId="15" fillId="0" borderId="0" xfId="0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vertical="center" wrapText="1"/>
    </xf>
    <xf numFmtId="10" fontId="2" fillId="0" borderId="0" xfId="2" applyNumberFormat="1" applyFont="1" applyBorder="1" applyAlignment="1">
      <alignment horizontal="center" vertical="center" wrapText="1"/>
    </xf>
    <xf numFmtId="176" fontId="2" fillId="0" borderId="0" xfId="0" applyNumberFormat="1" applyFont="1" applyBorder="1"/>
    <xf numFmtId="0" fontId="41" fillId="0" borderId="0" xfId="0" applyFont="1" applyBorder="1" applyAlignment="1">
      <alignment horizontal="right"/>
    </xf>
    <xf numFmtId="49" fontId="42" fillId="0" borderId="0" xfId="1" applyNumberFormat="1" applyFont="1" applyBorder="1" applyAlignment="1">
      <alignment horizontal="right"/>
    </xf>
    <xf numFmtId="49" fontId="41" fillId="0" borderId="0" xfId="1" applyNumberFormat="1" applyFont="1" applyFill="1" applyBorder="1" applyAlignment="1">
      <alignment horizontal="right"/>
    </xf>
    <xf numFmtId="1" fontId="41" fillId="0" borderId="0" xfId="0" applyNumberFormat="1" applyFont="1" applyFill="1" applyBorder="1" applyAlignment="1">
      <alignment horizontal="center"/>
    </xf>
    <xf numFmtId="1" fontId="41" fillId="11" borderId="0" xfId="0" applyNumberFormat="1" applyFont="1" applyFill="1" applyBorder="1" applyAlignment="1">
      <alignment horizontal="center" vertical="distributed"/>
    </xf>
    <xf numFmtId="0" fontId="35" fillId="15" borderId="7" xfId="0" applyFont="1" applyFill="1" applyBorder="1" applyAlignment="1">
      <alignment horizontal="center" vertical="center" wrapText="1"/>
    </xf>
    <xf numFmtId="1" fontId="15" fillId="4" borderId="7" xfId="0" applyNumberFormat="1" applyFont="1" applyFill="1" applyBorder="1" applyAlignment="1">
      <alignment horizontal="center" vertical="center"/>
    </xf>
    <xf numFmtId="0" fontId="5" fillId="17" borderId="16" xfId="0" applyFont="1" applyFill="1" applyBorder="1" applyAlignment="1">
      <alignment horizontal="left" vertical="center" wrapText="1"/>
    </xf>
    <xf numFmtId="0" fontId="5" fillId="17" borderId="13" xfId="0" applyFont="1" applyFill="1" applyBorder="1" applyAlignment="1">
      <alignment horizontal="left" vertical="center" wrapText="1"/>
    </xf>
    <xf numFmtId="0" fontId="5" fillId="17" borderId="14" xfId="0" applyFont="1" applyFill="1" applyBorder="1" applyAlignment="1">
      <alignment horizontal="left" vertical="center" wrapText="1"/>
    </xf>
    <xf numFmtId="0" fontId="57" fillId="4" borderId="28" xfId="0" applyFont="1" applyFill="1" applyBorder="1" applyAlignment="1">
      <alignment horizontal="center" vertical="top" wrapText="1"/>
    </xf>
    <xf numFmtId="0" fontId="57" fillId="4" borderId="30" xfId="0" applyFont="1" applyFill="1" applyBorder="1" applyAlignment="1">
      <alignment horizontal="center" vertical="top" wrapText="1"/>
    </xf>
    <xf numFmtId="0" fontId="58" fillId="4" borderId="28" xfId="0" applyFont="1" applyFill="1" applyBorder="1" applyAlignment="1">
      <alignment horizontal="center" vertical="top" wrapText="1"/>
    </xf>
    <xf numFmtId="0" fontId="58" fillId="4" borderId="30" xfId="0" applyFont="1" applyFill="1" applyBorder="1" applyAlignment="1">
      <alignment horizontal="center" vertical="top" wrapText="1"/>
    </xf>
    <xf numFmtId="0" fontId="56" fillId="4" borderId="28" xfId="0" applyFont="1" applyFill="1" applyBorder="1" applyAlignment="1">
      <alignment horizontal="center" vertical="top" wrapText="1"/>
    </xf>
    <xf numFmtId="0" fontId="56" fillId="4" borderId="30" xfId="0" applyFont="1" applyFill="1" applyBorder="1" applyAlignment="1">
      <alignment horizontal="center" vertical="top" wrapText="1"/>
    </xf>
    <xf numFmtId="0" fontId="6" fillId="4" borderId="28" xfId="0" applyFont="1" applyFill="1" applyBorder="1" applyAlignment="1">
      <alignment horizontal="center" vertical="top" wrapText="1"/>
    </xf>
    <xf numFmtId="0" fontId="6" fillId="4" borderId="30" xfId="0" applyFont="1" applyFill="1" applyBorder="1" applyAlignment="1">
      <alignment horizontal="center" vertical="top" wrapText="1"/>
    </xf>
    <xf numFmtId="0" fontId="5" fillId="0" borderId="16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2" fillId="4" borderId="7" xfId="0" applyFont="1" applyFill="1" applyBorder="1" applyAlignment="1">
      <alignment horizontal="left" vertical="center" wrapText="1"/>
    </xf>
    <xf numFmtId="0" fontId="26" fillId="4" borderId="7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26" fillId="0" borderId="16" xfId="0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horizontal="center" vertical="center"/>
    </xf>
    <xf numFmtId="0" fontId="26" fillId="0" borderId="14" xfId="0" applyFont="1" applyFill="1" applyBorder="1" applyAlignment="1">
      <alignment horizontal="center" vertical="center"/>
    </xf>
    <xf numFmtId="0" fontId="4" fillId="16" borderId="16" xfId="0" applyFont="1" applyFill="1" applyBorder="1" applyAlignment="1">
      <alignment horizontal="center" vertical="center" wrapText="1"/>
    </xf>
    <xf numFmtId="0" fontId="4" fillId="16" borderId="14" xfId="0" applyFont="1" applyFill="1" applyBorder="1" applyAlignment="1">
      <alignment horizontal="center" vertical="center" wrapText="1"/>
    </xf>
    <xf numFmtId="0" fontId="26" fillId="0" borderId="11" xfId="0" applyFont="1" applyBorder="1" applyAlignment="1">
      <alignment horizontal="left" vertical="center" wrapText="1"/>
    </xf>
    <xf numFmtId="0" fontId="26" fillId="0" borderId="12" xfId="0" applyFont="1" applyBorder="1" applyAlignment="1">
      <alignment horizontal="left" vertical="center" wrapText="1"/>
    </xf>
    <xf numFmtId="0" fontId="26" fillId="0" borderId="9" xfId="0" applyFont="1" applyBorder="1" applyAlignment="1">
      <alignment horizontal="left" vertical="center" wrapText="1"/>
    </xf>
    <xf numFmtId="0" fontId="65" fillId="0" borderId="4" xfId="0" applyFont="1" applyBorder="1" applyAlignment="1">
      <alignment horizontal="left" vertical="center" wrapText="1"/>
    </xf>
    <xf numFmtId="0" fontId="65" fillId="0" borderId="5" xfId="0" applyFont="1" applyBorder="1" applyAlignment="1">
      <alignment horizontal="left" vertical="center" wrapText="1"/>
    </xf>
    <xf numFmtId="0" fontId="65" fillId="0" borderId="6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distributed"/>
    </xf>
    <xf numFmtId="0" fontId="2" fillId="0" borderId="9" xfId="0" applyFont="1" applyBorder="1" applyAlignment="1">
      <alignment horizontal="center" vertical="distributed"/>
    </xf>
    <xf numFmtId="0" fontId="4" fillId="17" borderId="16" xfId="0" applyFont="1" applyFill="1" applyBorder="1" applyAlignment="1">
      <alignment horizontal="center" vertical="center" wrapText="1"/>
    </xf>
    <xf numFmtId="0" fontId="4" fillId="17" borderId="14" xfId="0" applyFont="1" applyFill="1" applyBorder="1" applyAlignment="1">
      <alignment horizontal="center" vertical="center" wrapText="1"/>
    </xf>
    <xf numFmtId="0" fontId="80" fillId="0" borderId="16" xfId="0" applyFont="1" applyFill="1" applyBorder="1" applyAlignment="1">
      <alignment horizontal="center" vertical="center"/>
    </xf>
    <xf numFmtId="0" fontId="80" fillId="0" borderId="13" xfId="0" applyFont="1" applyFill="1" applyBorder="1" applyAlignment="1">
      <alignment horizontal="center" vertical="center"/>
    </xf>
    <xf numFmtId="0" fontId="80" fillId="0" borderId="14" xfId="0" applyFont="1" applyFill="1" applyBorder="1" applyAlignment="1">
      <alignment horizontal="center" vertical="center"/>
    </xf>
    <xf numFmtId="0" fontId="54" fillId="17" borderId="16" xfId="0" applyFont="1" applyFill="1" applyBorder="1" applyAlignment="1">
      <alignment horizontal="left" vertical="center" wrapText="1"/>
    </xf>
    <xf numFmtId="0" fontId="54" fillId="17" borderId="13" xfId="0" applyFont="1" applyFill="1" applyBorder="1" applyAlignment="1">
      <alignment horizontal="left" vertical="center" wrapText="1"/>
    </xf>
    <xf numFmtId="0" fontId="54" fillId="17" borderId="14" xfId="0" applyFont="1" applyFill="1" applyBorder="1" applyAlignment="1">
      <alignment horizontal="left" vertical="center" wrapText="1"/>
    </xf>
    <xf numFmtId="0" fontId="14" fillId="0" borderId="0" xfId="0" applyFont="1" applyBorder="1" applyAlignment="1">
      <alignment horizontal="right" vertical="top" textRotation="180" wrapText="1"/>
    </xf>
    <xf numFmtId="0" fontId="78" fillId="4" borderId="16" xfId="0" applyFont="1" applyFill="1" applyBorder="1" applyAlignment="1">
      <alignment horizontal="left" vertical="center" wrapText="1"/>
    </xf>
    <xf numFmtId="0" fontId="78" fillId="4" borderId="13" xfId="0" applyFont="1" applyFill="1" applyBorder="1" applyAlignment="1">
      <alignment horizontal="left" vertical="center" wrapText="1"/>
    </xf>
    <xf numFmtId="0" fontId="78" fillId="4" borderId="14" xfId="0" applyFont="1" applyFill="1" applyBorder="1" applyAlignment="1">
      <alignment horizontal="left" vertical="center" wrapText="1"/>
    </xf>
    <xf numFmtId="1" fontId="7" fillId="0" borderId="7" xfId="0" applyNumberFormat="1" applyFont="1" applyBorder="1" applyAlignment="1">
      <alignment horizontal="right" vertical="center"/>
    </xf>
    <xf numFmtId="1" fontId="11" fillId="0" borderId="7" xfId="0" applyNumberFormat="1" applyFont="1" applyBorder="1" applyAlignment="1">
      <alignment horizontal="right" vertical="center"/>
    </xf>
    <xf numFmtId="0" fontId="15" fillId="0" borderId="7" xfId="0" applyFont="1" applyBorder="1" applyAlignment="1">
      <alignment horizontal="left" vertical="top" wrapText="1"/>
    </xf>
    <xf numFmtId="0" fontId="4" fillId="2" borderId="0" xfId="0" applyFont="1" applyFill="1" applyBorder="1" applyAlignment="1">
      <alignment horizontal="left" vertical="center" wrapText="1"/>
    </xf>
    <xf numFmtId="1" fontId="7" fillId="0" borderId="15" xfId="0" applyNumberFormat="1" applyFont="1" applyBorder="1" applyAlignment="1">
      <alignment horizontal="right" vertical="center"/>
    </xf>
    <xf numFmtId="1" fontId="7" fillId="0" borderId="10" xfId="0" applyNumberFormat="1" applyFont="1" applyBorder="1" applyAlignment="1">
      <alignment horizontal="right" vertical="center"/>
    </xf>
    <xf numFmtId="1" fontId="11" fillId="0" borderId="15" xfId="0" applyNumberFormat="1" applyFont="1" applyBorder="1" applyAlignment="1">
      <alignment horizontal="right" vertical="center"/>
    </xf>
    <xf numFmtId="1" fontId="11" fillId="0" borderId="10" xfId="0" applyNumberFormat="1" applyFont="1" applyBorder="1" applyAlignment="1">
      <alignment horizontal="right" vertical="center"/>
    </xf>
    <xf numFmtId="0" fontId="15" fillId="0" borderId="11" xfId="0" applyFont="1" applyBorder="1" applyAlignment="1">
      <alignment horizontal="left" vertical="top" wrapText="1"/>
    </xf>
    <xf numFmtId="0" fontId="15" fillId="0" borderId="12" xfId="0" applyFont="1" applyBorder="1" applyAlignment="1">
      <alignment horizontal="left" vertical="top" wrapText="1"/>
    </xf>
    <xf numFmtId="0" fontId="15" fillId="0" borderId="9" xfId="0" applyFont="1" applyBorder="1" applyAlignment="1">
      <alignment horizontal="left" vertical="top" wrapText="1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colors>
    <mruColors>
      <color rgb="FF993300"/>
      <color rgb="FFFFFF99"/>
      <color rgb="FF0000FF"/>
      <color rgb="FFFF6600"/>
      <color rgb="FFFF9900"/>
      <color rgb="FF99CCFF"/>
      <color rgb="FF008000"/>
      <color rgb="FFFFCCFF"/>
      <color rgb="FFFF3300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1100" b="1">
                <a:solidFill>
                  <a:srgbClr val="993300"/>
                </a:solidFill>
              </a:rPr>
              <a:t>Gráfico "Los 3 tiempos biográficos</a:t>
            </a:r>
            <a:r>
              <a:rPr lang="es-ES" sz="1100" b="1" baseline="0">
                <a:solidFill>
                  <a:srgbClr val="993300"/>
                </a:solidFill>
              </a:rPr>
              <a:t> </a:t>
            </a:r>
            <a:r>
              <a:rPr lang="es-ES" sz="1100" b="1">
                <a:solidFill>
                  <a:srgbClr val="993300"/>
                </a:solidFill>
              </a:rPr>
              <a:t>(3tB)":</a:t>
            </a:r>
            <a:r>
              <a:rPr lang="es-ES" sz="1100" b="1">
                <a:solidFill>
                  <a:srgbClr val="006600"/>
                </a:solidFill>
              </a:rPr>
              <a:t> </a:t>
            </a:r>
            <a:r>
              <a:rPr lang="es-ES" sz="1100" b="1">
                <a:solidFill>
                  <a:schemeClr val="tx1"/>
                </a:solidFill>
              </a:rPr>
              <a:t>Prolongación del tiempo medio de Supervivencia Libre de Evento (PtSLEv)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20606714785651792"/>
          <c:y val="0.23534156683635096"/>
          <c:w val="0.76337729658792641"/>
          <c:h val="0.538954026622002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IncAcum!$R$6</c:f>
              <c:strCache>
                <c:ptCount val="1"/>
                <c:pt idx="0">
                  <c:v>Resto de t sin éxito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5DC0-4E47-B2CE-A2343354F22B}"/>
              </c:ext>
            </c:extLst>
          </c:dPt>
          <c:dLbls>
            <c:dLbl>
              <c:idx val="0"/>
              <c:layout>
                <c:manualLayout>
                  <c:x val="-0.34444444444444444"/>
                  <c:y val="9.170320654342176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DC0-4E47-B2CE-A2343354F22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rgbClr val="FF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IncAcum!$S$5</c:f>
              <c:strCache>
                <c:ptCount val="1"/>
                <c:pt idx="0">
                  <c:v>meses</c:v>
                </c:pt>
              </c:strCache>
            </c:strRef>
          </c:cat>
          <c:val>
            <c:numRef>
              <c:f>IncAcum!$S$6</c:f>
              <c:numCache>
                <c:formatCode>0.00</c:formatCode>
                <c:ptCount val="1"/>
                <c:pt idx="0">
                  <c:v>0.60635400907715586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DC0-4E47-B2CE-A2343354F22B}"/>
            </c:ext>
          </c:extLst>
        </c:ser>
        <c:ser>
          <c:idx val="1"/>
          <c:order val="1"/>
          <c:tx>
            <c:strRef>
              <c:f>IncAcum!$R$7</c:f>
              <c:strCache>
                <c:ptCount val="1"/>
                <c:pt idx="0">
                  <c:v>PtSLEv por la intervención</c:v>
                </c:pt>
              </c:strCache>
            </c:strRef>
          </c:tx>
          <c:spPr>
            <a:solidFill>
              <a:srgbClr val="006600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0.28888888888888886"/>
                  <c:y val="-4.5851603271711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5DC0-4E47-B2CE-A2343354F22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rgbClr val="0066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IncAcum!$S$5</c:f>
              <c:strCache>
                <c:ptCount val="1"/>
                <c:pt idx="0">
                  <c:v>meses</c:v>
                </c:pt>
              </c:strCache>
            </c:strRef>
          </c:cat>
          <c:val>
            <c:numRef>
              <c:f>IncAcum!$S$7</c:f>
              <c:numCache>
                <c:formatCode>0.00</c:formatCode>
                <c:ptCount val="1"/>
                <c:pt idx="0">
                  <c:v>6.882374273333014E-2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DC0-4E47-B2CE-A2343354F22B}"/>
            </c:ext>
          </c:extLst>
        </c:ser>
        <c:ser>
          <c:idx val="2"/>
          <c:order val="2"/>
          <c:tx>
            <c:strRef>
              <c:f>IncAcum!$R$8</c:f>
              <c:strCache>
                <c:ptCount val="1"/>
                <c:pt idx="0">
                  <c:v>tSLEv sin la intervención</c:v>
                </c:pt>
              </c:strCache>
            </c:strRef>
          </c:tx>
          <c:spPr>
            <a:solidFill>
              <a:srgbClr val="CCFF33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0.23333322397200351"/>
                  <c:y val="-6.8777404907565277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100" b="1" i="0" u="none" strike="noStrike" kern="1200" baseline="0">
                      <a:solidFill>
                        <a:srgbClr val="6699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8.8680446194225715E-2"/>
                      <c:h val="5.9538487366439151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9-5DC0-4E47-B2CE-A2343354F22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rgbClr val="6699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IncAcum!$S$5</c:f>
              <c:strCache>
                <c:ptCount val="1"/>
                <c:pt idx="0">
                  <c:v>meses</c:v>
                </c:pt>
              </c:strCache>
            </c:strRef>
          </c:cat>
          <c:val>
            <c:numRef>
              <c:f>IncAcum!$S$8</c:f>
              <c:numCache>
                <c:formatCode>0.00</c:formatCode>
                <c:ptCount val="1"/>
                <c:pt idx="0">
                  <c:v>23.324822248189516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DC0-4E47-B2CE-A2343354F2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511965840"/>
        <c:axId val="1511974160"/>
      </c:barChart>
      <c:catAx>
        <c:axId val="15119658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511974160"/>
        <c:crosses val="autoZero"/>
        <c:auto val="1"/>
        <c:lblAlgn val="ctr"/>
        <c:lblOffset val="100"/>
        <c:noMultiLvlLbl val="0"/>
      </c:catAx>
      <c:valAx>
        <c:axId val="1511974160"/>
        <c:scaling>
          <c:orientation val="minMax"/>
          <c:max val="2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>
                    <a:solidFill>
                      <a:sysClr val="windowText" lastClr="000000"/>
                    </a:solidFill>
                  </a:rPr>
                  <a:t>Marco</a:t>
                </a:r>
                <a:r>
                  <a:rPr lang="es-ES" baseline="0">
                    <a:solidFill>
                      <a:sysClr val="windowText" lastClr="000000"/>
                    </a:solidFill>
                  </a:rPr>
                  <a:t> de tiempode seguimieimiento analizado</a:t>
                </a:r>
                <a:endParaRPr lang="es-ES">
                  <a:solidFill>
                    <a:sysClr val="windowText" lastClr="000000"/>
                  </a:solidFill>
                </a:endParaRPr>
              </a:p>
            </c:rich>
          </c:tx>
          <c:layout>
            <c:manualLayout>
              <c:xMode val="edge"/>
              <c:yMode val="edge"/>
              <c:x val="5.5555555555555558E-3"/>
              <c:y val="0.1112263388902023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511965840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7.4999999999999997E-2"/>
          <c:y val="0.88503629675041373"/>
          <c:w val="0.9"/>
          <c:h val="8.808732748112274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427640</xdr:colOff>
      <xdr:row>0</xdr:row>
      <xdr:rowOff>67003</xdr:rowOff>
    </xdr:from>
    <xdr:to>
      <xdr:col>28</xdr:col>
      <xdr:colOff>427640</xdr:colOff>
      <xdr:row>61</xdr:row>
      <xdr:rowOff>262977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34</xdr:col>
      <xdr:colOff>46718</xdr:colOff>
      <xdr:row>19</xdr:row>
      <xdr:rowOff>90715</xdr:rowOff>
    </xdr:from>
    <xdr:to>
      <xdr:col>40</xdr:col>
      <xdr:colOff>145143</xdr:colOff>
      <xdr:row>19</xdr:row>
      <xdr:rowOff>108412</xdr:rowOff>
    </xdr:to>
    <xdr:cxnSp macro="">
      <xdr:nvCxnSpPr>
        <xdr:cNvPr id="2" name="Conector recto de flecha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CxnSpPr/>
      </xdr:nvCxnSpPr>
      <xdr:spPr>
        <a:xfrm flipV="1">
          <a:off x="9263289" y="4562929"/>
          <a:ext cx="1186997" cy="17697"/>
        </a:xfrm>
        <a:prstGeom prst="straightConnector1">
          <a:avLst/>
        </a:prstGeom>
        <a:noFill/>
        <a:ln w="19050" cap="flat" cmpd="sng" algn="ctr">
          <a:solidFill>
            <a:srgbClr val="7030A0"/>
          </a:solidFill>
          <a:prstDash val="sysDot"/>
          <a:miter lim="800000"/>
          <a:tailEnd type="triangle"/>
        </a:ln>
        <a:effectLst/>
      </xdr:spPr>
    </xdr:cxnSp>
    <xdr:clientData/>
  </xdr:twoCellAnchor>
  <xdr:twoCellAnchor>
    <xdr:from>
      <xdr:col>7</xdr:col>
      <xdr:colOff>48111</xdr:colOff>
      <xdr:row>19</xdr:row>
      <xdr:rowOff>99786</xdr:rowOff>
    </xdr:from>
    <xdr:to>
      <xdr:col>13</xdr:col>
      <xdr:colOff>136071</xdr:colOff>
      <xdr:row>19</xdr:row>
      <xdr:rowOff>110895</xdr:rowOff>
    </xdr:to>
    <xdr:cxnSp macro="">
      <xdr:nvCxnSpPr>
        <xdr:cNvPr id="3" name="Conector recto de flecha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CxnSpPr/>
      </xdr:nvCxnSpPr>
      <xdr:spPr>
        <a:xfrm flipV="1">
          <a:off x="4121182" y="4572000"/>
          <a:ext cx="1176532" cy="11109"/>
        </a:xfrm>
        <a:prstGeom prst="straightConnector1">
          <a:avLst/>
        </a:prstGeom>
        <a:noFill/>
        <a:ln w="19050" cap="flat" cmpd="sng" algn="ctr">
          <a:solidFill>
            <a:srgbClr val="7030A0"/>
          </a:solidFill>
          <a:prstDash val="sysDot"/>
          <a:miter lim="800000"/>
          <a:tailEnd type="triangle"/>
        </a:ln>
        <a:effectLst/>
      </xdr:spPr>
    </xdr:cxnSp>
    <xdr:clientData/>
  </xdr:twoCellAnchor>
  <xdr:twoCellAnchor>
    <xdr:from>
      <xdr:col>7</xdr:col>
      <xdr:colOff>19958</xdr:colOff>
      <xdr:row>24</xdr:row>
      <xdr:rowOff>97596</xdr:rowOff>
    </xdr:from>
    <xdr:to>
      <xdr:col>30</xdr:col>
      <xdr:colOff>169855</xdr:colOff>
      <xdr:row>24</xdr:row>
      <xdr:rowOff>115661</xdr:rowOff>
    </xdr:to>
    <xdr:cxnSp macro="">
      <xdr:nvCxnSpPr>
        <xdr:cNvPr id="4" name="Conector recto de flecha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CxnSpPr/>
      </xdr:nvCxnSpPr>
      <xdr:spPr>
        <a:xfrm flipV="1">
          <a:off x="4093029" y="5504167"/>
          <a:ext cx="4322755" cy="18065"/>
        </a:xfrm>
        <a:prstGeom prst="straightConnector1">
          <a:avLst/>
        </a:prstGeom>
        <a:noFill/>
        <a:ln w="19050" cap="flat" cmpd="sng" algn="ctr">
          <a:solidFill>
            <a:srgbClr val="7030A0"/>
          </a:solidFill>
          <a:prstDash val="sysDot"/>
          <a:miter lim="800000"/>
          <a:tailEnd type="triangle"/>
        </a:ln>
        <a:effectLst/>
      </xdr:spPr>
    </xdr:cxnSp>
    <xdr:clientData/>
  </xdr:twoCellAnchor>
  <xdr:twoCellAnchor>
    <xdr:from>
      <xdr:col>34</xdr:col>
      <xdr:colOff>1814</xdr:colOff>
      <xdr:row>24</xdr:row>
      <xdr:rowOff>68036</xdr:rowOff>
    </xdr:from>
    <xdr:to>
      <xdr:col>57</xdr:col>
      <xdr:colOff>147864</xdr:colOff>
      <xdr:row>24</xdr:row>
      <xdr:rowOff>77561</xdr:rowOff>
    </xdr:to>
    <xdr:cxnSp macro="">
      <xdr:nvCxnSpPr>
        <xdr:cNvPr id="5" name="Conector recto de flecha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CxnSpPr/>
      </xdr:nvCxnSpPr>
      <xdr:spPr>
        <a:xfrm flipV="1">
          <a:off x="9218385" y="5474607"/>
          <a:ext cx="4318908" cy="9525"/>
        </a:xfrm>
        <a:prstGeom prst="straightConnector1">
          <a:avLst/>
        </a:prstGeom>
        <a:noFill/>
        <a:ln w="19050" cap="flat" cmpd="sng" algn="ctr">
          <a:solidFill>
            <a:srgbClr val="7030A0"/>
          </a:solidFill>
          <a:prstDash val="sysDot"/>
          <a:miter lim="800000"/>
          <a:tailEnd type="triangle"/>
        </a:ln>
        <a:effectLst/>
      </xdr:spPr>
    </xdr:cxnSp>
    <xdr:clientData/>
  </xdr:twoCellAnchor>
  <xdr:twoCellAnchor>
    <xdr:from>
      <xdr:col>7</xdr:col>
      <xdr:colOff>28575</xdr:colOff>
      <xdr:row>22</xdr:row>
      <xdr:rowOff>103420</xdr:rowOff>
    </xdr:from>
    <xdr:to>
      <xdr:col>31</xdr:col>
      <xdr:colOff>9525</xdr:colOff>
      <xdr:row>22</xdr:row>
      <xdr:rowOff>104775</xdr:rowOff>
    </xdr:to>
    <xdr:cxnSp macro="">
      <xdr:nvCxnSpPr>
        <xdr:cNvPr id="11" name="Conector recto de flecha 1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CxnSpPr/>
      </xdr:nvCxnSpPr>
      <xdr:spPr>
        <a:xfrm>
          <a:off x="3800475" y="4513495"/>
          <a:ext cx="5238750" cy="1355"/>
        </a:xfrm>
        <a:prstGeom prst="straightConnector1">
          <a:avLst/>
        </a:prstGeom>
        <a:noFill/>
        <a:ln w="19050" cap="flat" cmpd="sng" algn="ctr">
          <a:solidFill>
            <a:srgbClr val="FFFF00"/>
          </a:solidFill>
          <a:prstDash val="sysDot"/>
          <a:miter lim="800000"/>
          <a:tailEnd type="triangle"/>
        </a:ln>
        <a:effectLst/>
      </xdr:spPr>
    </xdr:cxnSp>
    <xdr:clientData/>
  </xdr:twoCellAnchor>
  <xdr:twoCellAnchor>
    <xdr:from>
      <xdr:col>34</xdr:col>
      <xdr:colOff>74840</xdr:colOff>
      <xdr:row>22</xdr:row>
      <xdr:rowOff>81642</xdr:rowOff>
    </xdr:from>
    <xdr:to>
      <xdr:col>46</xdr:col>
      <xdr:colOff>18143</xdr:colOff>
      <xdr:row>22</xdr:row>
      <xdr:rowOff>87093</xdr:rowOff>
    </xdr:to>
    <xdr:cxnSp macro="">
      <xdr:nvCxnSpPr>
        <xdr:cNvPr id="12" name="Conector recto de flecha 1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CxnSpPr/>
      </xdr:nvCxnSpPr>
      <xdr:spPr>
        <a:xfrm flipV="1">
          <a:off x="9354911" y="5216071"/>
          <a:ext cx="2120446" cy="5451"/>
        </a:xfrm>
        <a:prstGeom prst="straightConnector1">
          <a:avLst/>
        </a:prstGeom>
        <a:noFill/>
        <a:ln w="19050" cap="flat" cmpd="sng" algn="ctr">
          <a:solidFill>
            <a:srgbClr val="FFFF00"/>
          </a:solidFill>
          <a:prstDash val="sysDot"/>
          <a:miter lim="800000"/>
          <a:tailEnd type="triangle"/>
        </a:ln>
        <a:effectLst/>
      </xdr:spPr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72572</xdr:colOff>
      <xdr:row>19</xdr:row>
      <xdr:rowOff>81643</xdr:rowOff>
    </xdr:from>
    <xdr:to>
      <xdr:col>10</xdr:col>
      <xdr:colOff>163286</xdr:colOff>
      <xdr:row>19</xdr:row>
      <xdr:rowOff>90714</xdr:rowOff>
    </xdr:to>
    <xdr:cxnSp macro="">
      <xdr:nvCxnSpPr>
        <xdr:cNvPr id="2" name="Conector recto de flecha 1">
          <a:extLst>
            <a:ext uri="{FF2B5EF4-FFF2-40B4-BE49-F238E27FC236}">
              <a16:creationId xmlns:a16="http://schemas.microsoft.com/office/drawing/2014/main" id="{83858E52-0544-4B50-964A-A0C04B42F98F}"/>
            </a:ext>
          </a:extLst>
        </xdr:cNvPr>
        <xdr:cNvCxnSpPr/>
      </xdr:nvCxnSpPr>
      <xdr:spPr>
        <a:xfrm flipV="1">
          <a:off x="4227286" y="4499429"/>
          <a:ext cx="635000" cy="9071"/>
        </a:xfrm>
        <a:prstGeom prst="straightConnector1">
          <a:avLst/>
        </a:prstGeom>
        <a:noFill/>
        <a:ln w="19050" cap="flat" cmpd="sng" algn="ctr">
          <a:solidFill>
            <a:srgbClr val="7030A0"/>
          </a:solidFill>
          <a:prstDash val="sysDot"/>
          <a:miter lim="800000"/>
          <a:tailEnd type="triangle"/>
        </a:ln>
        <a:effectLst/>
      </xdr:spPr>
    </xdr:cxnSp>
    <xdr:clientData/>
  </xdr:twoCellAnchor>
  <xdr:twoCellAnchor>
    <xdr:from>
      <xdr:col>7</xdr:col>
      <xdr:colOff>9525</xdr:colOff>
      <xdr:row>22</xdr:row>
      <xdr:rowOff>123825</xdr:rowOff>
    </xdr:from>
    <xdr:to>
      <xdr:col>31</xdr:col>
      <xdr:colOff>9525</xdr:colOff>
      <xdr:row>22</xdr:row>
      <xdr:rowOff>142875</xdr:rowOff>
    </xdr:to>
    <xdr:cxnSp macro="">
      <xdr:nvCxnSpPr>
        <xdr:cNvPr id="4" name="Conector recto de flecha 3">
          <a:extLst>
            <a:ext uri="{FF2B5EF4-FFF2-40B4-BE49-F238E27FC236}">
              <a16:creationId xmlns:a16="http://schemas.microsoft.com/office/drawing/2014/main" id="{CF5185A6-B377-4899-AF0C-0C6CA6B29E31}"/>
            </a:ext>
          </a:extLst>
        </xdr:cNvPr>
        <xdr:cNvCxnSpPr/>
      </xdr:nvCxnSpPr>
      <xdr:spPr>
        <a:xfrm flipV="1">
          <a:off x="4168775" y="5140325"/>
          <a:ext cx="4419600" cy="19050"/>
        </a:xfrm>
        <a:prstGeom prst="straightConnector1">
          <a:avLst/>
        </a:prstGeom>
        <a:noFill/>
        <a:ln w="19050" cap="flat" cmpd="sng" algn="ctr">
          <a:solidFill>
            <a:srgbClr val="7030A0"/>
          </a:solidFill>
          <a:prstDash val="sysDot"/>
          <a:miter lim="800000"/>
          <a:tailEnd type="triangle"/>
        </a:ln>
        <a:effectLst/>
      </xdr:spPr>
    </xdr:cxnSp>
    <xdr:clientData/>
  </xdr:twoCellAnchor>
  <xdr:twoCellAnchor>
    <xdr:from>
      <xdr:col>7</xdr:col>
      <xdr:colOff>28575</xdr:colOff>
      <xdr:row>21</xdr:row>
      <xdr:rowOff>103420</xdr:rowOff>
    </xdr:from>
    <xdr:to>
      <xdr:col>31</xdr:col>
      <xdr:colOff>9525</xdr:colOff>
      <xdr:row>21</xdr:row>
      <xdr:rowOff>104775</xdr:rowOff>
    </xdr:to>
    <xdr:cxnSp macro="">
      <xdr:nvCxnSpPr>
        <xdr:cNvPr id="6" name="Conector recto de flecha 5">
          <a:extLst>
            <a:ext uri="{FF2B5EF4-FFF2-40B4-BE49-F238E27FC236}">
              <a16:creationId xmlns:a16="http://schemas.microsoft.com/office/drawing/2014/main" id="{2B8380C4-532D-4A62-B0FB-F617CDF01B92}"/>
            </a:ext>
          </a:extLst>
        </xdr:cNvPr>
        <xdr:cNvCxnSpPr/>
      </xdr:nvCxnSpPr>
      <xdr:spPr>
        <a:xfrm>
          <a:off x="4187825" y="4916720"/>
          <a:ext cx="4400550" cy="1355"/>
        </a:xfrm>
        <a:prstGeom prst="straightConnector1">
          <a:avLst/>
        </a:prstGeom>
        <a:noFill/>
        <a:ln w="19050" cap="flat" cmpd="sng" algn="ctr">
          <a:solidFill>
            <a:srgbClr val="FFFF00"/>
          </a:solidFill>
          <a:prstDash val="sysDot"/>
          <a:miter lim="800000"/>
          <a:tailEnd type="triangle"/>
        </a:ln>
        <a:effectLst/>
      </xdr:spPr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37647</xdr:colOff>
      <xdr:row>19</xdr:row>
      <xdr:rowOff>99785</xdr:rowOff>
    </xdr:from>
    <xdr:to>
      <xdr:col>11</xdr:col>
      <xdr:colOff>154214</xdr:colOff>
      <xdr:row>19</xdr:row>
      <xdr:rowOff>108865</xdr:rowOff>
    </xdr:to>
    <xdr:cxnSp macro="">
      <xdr:nvCxnSpPr>
        <xdr:cNvPr id="2" name="Conector recto de flecha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CxnSpPr/>
      </xdr:nvCxnSpPr>
      <xdr:spPr>
        <a:xfrm flipV="1">
          <a:off x="4192361" y="4517571"/>
          <a:ext cx="842282" cy="9080"/>
        </a:xfrm>
        <a:prstGeom prst="straightConnector1">
          <a:avLst/>
        </a:prstGeom>
        <a:noFill/>
        <a:ln w="19050" cap="flat" cmpd="sng" algn="ctr">
          <a:solidFill>
            <a:srgbClr val="7030A0"/>
          </a:solidFill>
          <a:prstDash val="sysDot"/>
          <a:miter lim="800000"/>
          <a:tailEnd type="triangle"/>
        </a:ln>
        <a:effectLst/>
      </xdr:spPr>
    </xdr:cxnSp>
    <xdr:clientData/>
  </xdr:twoCellAnchor>
  <xdr:twoCellAnchor>
    <xdr:from>
      <xdr:col>7</xdr:col>
      <xdr:colOff>9525</xdr:colOff>
      <xdr:row>22</xdr:row>
      <xdr:rowOff>123825</xdr:rowOff>
    </xdr:from>
    <xdr:to>
      <xdr:col>31</xdr:col>
      <xdr:colOff>9525</xdr:colOff>
      <xdr:row>22</xdr:row>
      <xdr:rowOff>142875</xdr:rowOff>
    </xdr:to>
    <xdr:cxnSp macro="">
      <xdr:nvCxnSpPr>
        <xdr:cNvPr id="4" name="Conector recto de flecha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CxnSpPr/>
      </xdr:nvCxnSpPr>
      <xdr:spPr>
        <a:xfrm flipV="1">
          <a:off x="3781425" y="4943475"/>
          <a:ext cx="5257800" cy="19050"/>
        </a:xfrm>
        <a:prstGeom prst="straightConnector1">
          <a:avLst/>
        </a:prstGeom>
        <a:noFill/>
        <a:ln w="19050" cap="flat" cmpd="sng" algn="ctr">
          <a:solidFill>
            <a:srgbClr val="7030A0"/>
          </a:solidFill>
          <a:prstDash val="sysDot"/>
          <a:miter lim="800000"/>
          <a:tailEnd type="triangle"/>
        </a:ln>
        <a:effectLst/>
      </xdr:spPr>
    </xdr:cxnSp>
    <xdr:clientData/>
  </xdr:twoCellAnchor>
  <xdr:twoCellAnchor>
    <xdr:from>
      <xdr:col>7</xdr:col>
      <xdr:colOff>28575</xdr:colOff>
      <xdr:row>21</xdr:row>
      <xdr:rowOff>103420</xdr:rowOff>
    </xdr:from>
    <xdr:to>
      <xdr:col>31</xdr:col>
      <xdr:colOff>9525</xdr:colOff>
      <xdr:row>21</xdr:row>
      <xdr:rowOff>104775</xdr:rowOff>
    </xdr:to>
    <xdr:cxnSp macro="">
      <xdr:nvCxnSpPr>
        <xdr:cNvPr id="7" name="Conector recto de flecha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CxnSpPr/>
      </xdr:nvCxnSpPr>
      <xdr:spPr>
        <a:xfrm>
          <a:off x="3800475" y="4713520"/>
          <a:ext cx="5238750" cy="1355"/>
        </a:xfrm>
        <a:prstGeom prst="straightConnector1">
          <a:avLst/>
        </a:prstGeom>
        <a:noFill/>
        <a:ln w="19050" cap="flat" cmpd="sng" algn="ctr">
          <a:solidFill>
            <a:srgbClr val="FFFF00"/>
          </a:solidFill>
          <a:prstDash val="sysDot"/>
          <a:miter lim="800000"/>
          <a:tailEnd type="triangle"/>
        </a:ln>
        <a:effectLst/>
      </xdr:spPr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39915</xdr:colOff>
      <xdr:row>19</xdr:row>
      <xdr:rowOff>108412</xdr:rowOff>
    </xdr:from>
    <xdr:to>
      <xdr:col>13</xdr:col>
      <xdr:colOff>27214</xdr:colOff>
      <xdr:row>19</xdr:row>
      <xdr:rowOff>117928</xdr:rowOff>
    </xdr:to>
    <xdr:cxnSp macro="">
      <xdr:nvCxnSpPr>
        <xdr:cNvPr id="3" name="Conector recto de flecha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CxnSpPr/>
      </xdr:nvCxnSpPr>
      <xdr:spPr>
        <a:xfrm>
          <a:off x="4131129" y="4653198"/>
          <a:ext cx="1075871" cy="9516"/>
        </a:xfrm>
        <a:prstGeom prst="straightConnector1">
          <a:avLst/>
        </a:prstGeom>
        <a:noFill/>
        <a:ln w="19050" cap="flat" cmpd="sng" algn="ctr">
          <a:solidFill>
            <a:srgbClr val="7030A0"/>
          </a:solidFill>
          <a:prstDash val="sysDot"/>
          <a:miter lim="800000"/>
          <a:tailEnd type="triangle"/>
        </a:ln>
        <a:effectLst/>
      </xdr:spPr>
    </xdr:cxnSp>
    <xdr:clientData/>
  </xdr:twoCellAnchor>
  <xdr:twoCellAnchor>
    <xdr:from>
      <xdr:col>7</xdr:col>
      <xdr:colOff>19504</xdr:colOff>
      <xdr:row>24</xdr:row>
      <xdr:rowOff>68942</xdr:rowOff>
    </xdr:from>
    <xdr:to>
      <xdr:col>31</xdr:col>
      <xdr:colOff>19504</xdr:colOff>
      <xdr:row>24</xdr:row>
      <xdr:rowOff>87992</xdr:rowOff>
    </xdr:to>
    <xdr:cxnSp macro="">
      <xdr:nvCxnSpPr>
        <xdr:cNvPr id="6" name="Conector recto de flecha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CxnSpPr/>
      </xdr:nvCxnSpPr>
      <xdr:spPr>
        <a:xfrm flipV="1">
          <a:off x="4110718" y="5548085"/>
          <a:ext cx="4354286" cy="19050"/>
        </a:xfrm>
        <a:prstGeom prst="straightConnector1">
          <a:avLst/>
        </a:prstGeom>
        <a:noFill/>
        <a:ln w="19050" cap="flat" cmpd="sng" algn="ctr">
          <a:solidFill>
            <a:srgbClr val="7030A0"/>
          </a:solidFill>
          <a:prstDash val="sysDot"/>
          <a:miter lim="800000"/>
          <a:tailEnd type="triangle"/>
        </a:ln>
        <a:effectLst/>
      </xdr:spPr>
    </xdr:cxnSp>
    <xdr:clientData/>
  </xdr:twoCellAnchor>
  <xdr:twoCellAnchor>
    <xdr:from>
      <xdr:col>7</xdr:col>
      <xdr:colOff>28575</xdr:colOff>
      <xdr:row>22</xdr:row>
      <xdr:rowOff>103420</xdr:rowOff>
    </xdr:from>
    <xdr:to>
      <xdr:col>31</xdr:col>
      <xdr:colOff>9525</xdr:colOff>
      <xdr:row>22</xdr:row>
      <xdr:rowOff>104775</xdr:rowOff>
    </xdr:to>
    <xdr:cxnSp macro="">
      <xdr:nvCxnSpPr>
        <xdr:cNvPr id="11" name="Conector recto de flecha 10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CxnSpPr/>
      </xdr:nvCxnSpPr>
      <xdr:spPr>
        <a:xfrm>
          <a:off x="3800475" y="4904020"/>
          <a:ext cx="5238750" cy="1355"/>
        </a:xfrm>
        <a:prstGeom prst="straightConnector1">
          <a:avLst/>
        </a:prstGeom>
        <a:noFill/>
        <a:ln w="19050" cap="flat" cmpd="sng" algn="ctr">
          <a:solidFill>
            <a:srgbClr val="FFFF00"/>
          </a:solidFill>
          <a:prstDash val="sysDot"/>
          <a:miter lim="800000"/>
          <a:tailEnd type="triangle"/>
        </a:ln>
        <a:effectLst/>
      </xdr:spPr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03"/>
  <sheetViews>
    <sheetView tabSelected="1" zoomScale="70" zoomScaleNormal="70" workbookViewId="0">
      <selection activeCell="B1" sqref="B1"/>
    </sheetView>
  </sheetViews>
  <sheetFormatPr baseColWidth="10" defaultRowHeight="13" x14ac:dyDescent="0.3"/>
  <cols>
    <col min="1" max="1" width="1" style="1" customWidth="1"/>
    <col min="2" max="2" width="39.36328125" style="1" customWidth="1"/>
    <col min="3" max="3" width="21.7265625" style="1" customWidth="1"/>
    <col min="4" max="4" width="21.08984375" style="1" customWidth="1"/>
    <col min="5" max="5" width="17.1796875" style="1" customWidth="1"/>
    <col min="6" max="6" width="21.6328125" style="1" customWidth="1"/>
    <col min="7" max="7" width="16.90625" style="1" customWidth="1"/>
    <col min="8" max="8" width="9.54296875" style="1" customWidth="1"/>
    <col min="9" max="9" width="5.81640625" style="1" customWidth="1"/>
    <col min="10" max="10" width="10.453125" style="1" hidden="1" customWidth="1"/>
    <col min="11" max="11" width="7" style="1" hidden="1" customWidth="1"/>
    <col min="12" max="12" width="14.453125" style="1" hidden="1" customWidth="1"/>
    <col min="13" max="13" width="13.453125" style="1" hidden="1" customWidth="1"/>
    <col min="14" max="14" width="4.453125" style="1" hidden="1" customWidth="1"/>
    <col min="15" max="15" width="13" style="7" customWidth="1"/>
    <col min="16" max="16" width="11.1796875" style="7" customWidth="1"/>
    <col min="17" max="17" width="2.1796875" style="1" customWidth="1"/>
    <col min="18" max="18" width="14.54296875" style="1" customWidth="1"/>
    <col min="19" max="19" width="15.453125" style="1" customWidth="1"/>
    <col min="20" max="20" width="13.54296875" style="1" customWidth="1"/>
    <col min="21" max="21" width="11.7265625" style="7" customWidth="1"/>
    <col min="22" max="22" width="6.36328125" style="7" customWidth="1"/>
    <col min="23" max="257" width="11.453125" style="1"/>
    <col min="258" max="258" width="20.26953125" style="1" customWidth="1"/>
    <col min="259" max="259" width="21.7265625" style="1" customWidth="1"/>
    <col min="260" max="260" width="22" style="1" customWidth="1"/>
    <col min="261" max="261" width="17.1796875" style="1" customWidth="1"/>
    <col min="262" max="262" width="21.453125" style="1" customWidth="1"/>
    <col min="263" max="263" width="19.54296875" style="1" customWidth="1"/>
    <col min="264" max="264" width="14.1796875" style="1" bestFit="1" customWidth="1"/>
    <col min="265" max="265" width="8.453125" style="1" customWidth="1"/>
    <col min="266" max="266" width="14.453125" style="1" bestFit="1" customWidth="1"/>
    <col min="267" max="267" width="4.453125" style="1" customWidth="1"/>
    <col min="268" max="268" width="14.453125" style="1" bestFit="1" customWidth="1"/>
    <col min="269" max="269" width="13.453125" style="1" customWidth="1"/>
    <col min="270" max="270" width="14.7265625" style="1" bestFit="1" customWidth="1"/>
    <col min="271" max="271" width="14.26953125" style="1" bestFit="1" customWidth="1"/>
    <col min="272" max="272" width="14.26953125" style="1" customWidth="1"/>
    <col min="273" max="273" width="14" style="1" bestFit="1" customWidth="1"/>
    <col min="274" max="274" width="11.54296875" style="1" bestFit="1" customWidth="1"/>
    <col min="275" max="275" width="13.81640625" style="1" bestFit="1" customWidth="1"/>
    <col min="276" max="513" width="11.453125" style="1"/>
    <col min="514" max="514" width="20.26953125" style="1" customWidth="1"/>
    <col min="515" max="515" width="21.7265625" style="1" customWidth="1"/>
    <col min="516" max="516" width="22" style="1" customWidth="1"/>
    <col min="517" max="517" width="17.1796875" style="1" customWidth="1"/>
    <col min="518" max="518" width="21.453125" style="1" customWidth="1"/>
    <col min="519" max="519" width="19.54296875" style="1" customWidth="1"/>
    <col min="520" max="520" width="14.1796875" style="1" bestFit="1" customWidth="1"/>
    <col min="521" max="521" width="8.453125" style="1" customWidth="1"/>
    <col min="522" max="522" width="14.453125" style="1" bestFit="1" customWidth="1"/>
    <col min="523" max="523" width="4.453125" style="1" customWidth="1"/>
    <col min="524" max="524" width="14.453125" style="1" bestFit="1" customWidth="1"/>
    <col min="525" max="525" width="13.453125" style="1" customWidth="1"/>
    <col min="526" max="526" width="14.7265625" style="1" bestFit="1" customWidth="1"/>
    <col min="527" max="527" width="14.26953125" style="1" bestFit="1" customWidth="1"/>
    <col min="528" max="528" width="14.26953125" style="1" customWidth="1"/>
    <col min="529" max="529" width="14" style="1" bestFit="1" customWidth="1"/>
    <col min="530" max="530" width="11.54296875" style="1" bestFit="1" customWidth="1"/>
    <col min="531" max="531" width="13.81640625" style="1" bestFit="1" customWidth="1"/>
    <col min="532" max="769" width="11.453125" style="1"/>
    <col min="770" max="770" width="20.26953125" style="1" customWidth="1"/>
    <col min="771" max="771" width="21.7265625" style="1" customWidth="1"/>
    <col min="772" max="772" width="22" style="1" customWidth="1"/>
    <col min="773" max="773" width="17.1796875" style="1" customWidth="1"/>
    <col min="774" max="774" width="21.453125" style="1" customWidth="1"/>
    <col min="775" max="775" width="19.54296875" style="1" customWidth="1"/>
    <col min="776" max="776" width="14.1796875" style="1" bestFit="1" customWidth="1"/>
    <col min="777" max="777" width="8.453125" style="1" customWidth="1"/>
    <col min="778" max="778" width="14.453125" style="1" bestFit="1" customWidth="1"/>
    <col min="779" max="779" width="4.453125" style="1" customWidth="1"/>
    <col min="780" max="780" width="14.453125" style="1" bestFit="1" customWidth="1"/>
    <col min="781" max="781" width="13.453125" style="1" customWidth="1"/>
    <col min="782" max="782" width="14.7265625" style="1" bestFit="1" customWidth="1"/>
    <col min="783" max="783" width="14.26953125" style="1" bestFit="1" customWidth="1"/>
    <col min="784" max="784" width="14.26953125" style="1" customWidth="1"/>
    <col min="785" max="785" width="14" style="1" bestFit="1" customWidth="1"/>
    <col min="786" max="786" width="11.54296875" style="1" bestFit="1" customWidth="1"/>
    <col min="787" max="787" width="13.81640625" style="1" bestFit="1" customWidth="1"/>
    <col min="788" max="1025" width="11.453125" style="1"/>
    <col min="1026" max="1026" width="20.26953125" style="1" customWidth="1"/>
    <col min="1027" max="1027" width="21.7265625" style="1" customWidth="1"/>
    <col min="1028" max="1028" width="22" style="1" customWidth="1"/>
    <col min="1029" max="1029" width="17.1796875" style="1" customWidth="1"/>
    <col min="1030" max="1030" width="21.453125" style="1" customWidth="1"/>
    <col min="1031" max="1031" width="19.54296875" style="1" customWidth="1"/>
    <col min="1032" max="1032" width="14.1796875" style="1" bestFit="1" customWidth="1"/>
    <col min="1033" max="1033" width="8.453125" style="1" customWidth="1"/>
    <col min="1034" max="1034" width="14.453125" style="1" bestFit="1" customWidth="1"/>
    <col min="1035" max="1035" width="4.453125" style="1" customWidth="1"/>
    <col min="1036" max="1036" width="14.453125" style="1" bestFit="1" customWidth="1"/>
    <col min="1037" max="1037" width="13.453125" style="1" customWidth="1"/>
    <col min="1038" max="1038" width="14.7265625" style="1" bestFit="1" customWidth="1"/>
    <col min="1039" max="1039" width="14.26953125" style="1" bestFit="1" customWidth="1"/>
    <col min="1040" max="1040" width="14.26953125" style="1" customWidth="1"/>
    <col min="1041" max="1041" width="14" style="1" bestFit="1" customWidth="1"/>
    <col min="1042" max="1042" width="11.54296875" style="1" bestFit="1" customWidth="1"/>
    <col min="1043" max="1043" width="13.81640625" style="1" bestFit="1" customWidth="1"/>
    <col min="1044" max="1281" width="11.453125" style="1"/>
    <col min="1282" max="1282" width="20.26953125" style="1" customWidth="1"/>
    <col min="1283" max="1283" width="21.7265625" style="1" customWidth="1"/>
    <col min="1284" max="1284" width="22" style="1" customWidth="1"/>
    <col min="1285" max="1285" width="17.1796875" style="1" customWidth="1"/>
    <col min="1286" max="1286" width="21.453125" style="1" customWidth="1"/>
    <col min="1287" max="1287" width="19.54296875" style="1" customWidth="1"/>
    <col min="1288" max="1288" width="14.1796875" style="1" bestFit="1" customWidth="1"/>
    <col min="1289" max="1289" width="8.453125" style="1" customWidth="1"/>
    <col min="1290" max="1290" width="14.453125" style="1" bestFit="1" customWidth="1"/>
    <col min="1291" max="1291" width="4.453125" style="1" customWidth="1"/>
    <col min="1292" max="1292" width="14.453125" style="1" bestFit="1" customWidth="1"/>
    <col min="1293" max="1293" width="13.453125" style="1" customWidth="1"/>
    <col min="1294" max="1294" width="14.7265625" style="1" bestFit="1" customWidth="1"/>
    <col min="1295" max="1295" width="14.26953125" style="1" bestFit="1" customWidth="1"/>
    <col min="1296" max="1296" width="14.26953125" style="1" customWidth="1"/>
    <col min="1297" max="1297" width="14" style="1" bestFit="1" customWidth="1"/>
    <col min="1298" max="1298" width="11.54296875" style="1" bestFit="1" customWidth="1"/>
    <col min="1299" max="1299" width="13.81640625" style="1" bestFit="1" customWidth="1"/>
    <col min="1300" max="1537" width="11.453125" style="1"/>
    <col min="1538" max="1538" width="20.26953125" style="1" customWidth="1"/>
    <col min="1539" max="1539" width="21.7265625" style="1" customWidth="1"/>
    <col min="1540" max="1540" width="22" style="1" customWidth="1"/>
    <col min="1541" max="1541" width="17.1796875" style="1" customWidth="1"/>
    <col min="1542" max="1542" width="21.453125" style="1" customWidth="1"/>
    <col min="1543" max="1543" width="19.54296875" style="1" customWidth="1"/>
    <col min="1544" max="1544" width="14.1796875" style="1" bestFit="1" customWidth="1"/>
    <col min="1545" max="1545" width="8.453125" style="1" customWidth="1"/>
    <col min="1546" max="1546" width="14.453125" style="1" bestFit="1" customWidth="1"/>
    <col min="1547" max="1547" width="4.453125" style="1" customWidth="1"/>
    <col min="1548" max="1548" width="14.453125" style="1" bestFit="1" customWidth="1"/>
    <col min="1549" max="1549" width="13.453125" style="1" customWidth="1"/>
    <col min="1550" max="1550" width="14.7265625" style="1" bestFit="1" customWidth="1"/>
    <col min="1551" max="1551" width="14.26953125" style="1" bestFit="1" customWidth="1"/>
    <col min="1552" max="1552" width="14.26953125" style="1" customWidth="1"/>
    <col min="1553" max="1553" width="14" style="1" bestFit="1" customWidth="1"/>
    <col min="1554" max="1554" width="11.54296875" style="1" bestFit="1" customWidth="1"/>
    <col min="1555" max="1555" width="13.81640625" style="1" bestFit="1" customWidth="1"/>
    <col min="1556" max="1793" width="11.453125" style="1"/>
    <col min="1794" max="1794" width="20.26953125" style="1" customWidth="1"/>
    <col min="1795" max="1795" width="21.7265625" style="1" customWidth="1"/>
    <col min="1796" max="1796" width="22" style="1" customWidth="1"/>
    <col min="1797" max="1797" width="17.1796875" style="1" customWidth="1"/>
    <col min="1798" max="1798" width="21.453125" style="1" customWidth="1"/>
    <col min="1799" max="1799" width="19.54296875" style="1" customWidth="1"/>
    <col min="1800" max="1800" width="14.1796875" style="1" bestFit="1" customWidth="1"/>
    <col min="1801" max="1801" width="8.453125" style="1" customWidth="1"/>
    <col min="1802" max="1802" width="14.453125" style="1" bestFit="1" customWidth="1"/>
    <col min="1803" max="1803" width="4.453125" style="1" customWidth="1"/>
    <col min="1804" max="1804" width="14.453125" style="1" bestFit="1" customWidth="1"/>
    <col min="1805" max="1805" width="13.453125" style="1" customWidth="1"/>
    <col min="1806" max="1806" width="14.7265625" style="1" bestFit="1" customWidth="1"/>
    <col min="1807" max="1807" width="14.26953125" style="1" bestFit="1" customWidth="1"/>
    <col min="1808" max="1808" width="14.26953125" style="1" customWidth="1"/>
    <col min="1809" max="1809" width="14" style="1" bestFit="1" customWidth="1"/>
    <col min="1810" max="1810" width="11.54296875" style="1" bestFit="1" customWidth="1"/>
    <col min="1811" max="1811" width="13.81640625" style="1" bestFit="1" customWidth="1"/>
    <col min="1812" max="2049" width="11.453125" style="1"/>
    <col min="2050" max="2050" width="20.26953125" style="1" customWidth="1"/>
    <col min="2051" max="2051" width="21.7265625" style="1" customWidth="1"/>
    <col min="2052" max="2052" width="22" style="1" customWidth="1"/>
    <col min="2053" max="2053" width="17.1796875" style="1" customWidth="1"/>
    <col min="2054" max="2054" width="21.453125" style="1" customWidth="1"/>
    <col min="2055" max="2055" width="19.54296875" style="1" customWidth="1"/>
    <col min="2056" max="2056" width="14.1796875" style="1" bestFit="1" customWidth="1"/>
    <col min="2057" max="2057" width="8.453125" style="1" customWidth="1"/>
    <col min="2058" max="2058" width="14.453125" style="1" bestFit="1" customWidth="1"/>
    <col min="2059" max="2059" width="4.453125" style="1" customWidth="1"/>
    <col min="2060" max="2060" width="14.453125" style="1" bestFit="1" customWidth="1"/>
    <col min="2061" max="2061" width="13.453125" style="1" customWidth="1"/>
    <col min="2062" max="2062" width="14.7265625" style="1" bestFit="1" customWidth="1"/>
    <col min="2063" max="2063" width="14.26953125" style="1" bestFit="1" customWidth="1"/>
    <col min="2064" max="2064" width="14.26953125" style="1" customWidth="1"/>
    <col min="2065" max="2065" width="14" style="1" bestFit="1" customWidth="1"/>
    <col min="2066" max="2066" width="11.54296875" style="1" bestFit="1" customWidth="1"/>
    <col min="2067" max="2067" width="13.81640625" style="1" bestFit="1" customWidth="1"/>
    <col min="2068" max="2305" width="11.453125" style="1"/>
    <col min="2306" max="2306" width="20.26953125" style="1" customWidth="1"/>
    <col min="2307" max="2307" width="21.7265625" style="1" customWidth="1"/>
    <col min="2308" max="2308" width="22" style="1" customWidth="1"/>
    <col min="2309" max="2309" width="17.1796875" style="1" customWidth="1"/>
    <col min="2310" max="2310" width="21.453125" style="1" customWidth="1"/>
    <col min="2311" max="2311" width="19.54296875" style="1" customWidth="1"/>
    <col min="2312" max="2312" width="14.1796875" style="1" bestFit="1" customWidth="1"/>
    <col min="2313" max="2313" width="8.453125" style="1" customWidth="1"/>
    <col min="2314" max="2314" width="14.453125" style="1" bestFit="1" customWidth="1"/>
    <col min="2315" max="2315" width="4.453125" style="1" customWidth="1"/>
    <col min="2316" max="2316" width="14.453125" style="1" bestFit="1" customWidth="1"/>
    <col min="2317" max="2317" width="13.453125" style="1" customWidth="1"/>
    <col min="2318" max="2318" width="14.7265625" style="1" bestFit="1" customWidth="1"/>
    <col min="2319" max="2319" width="14.26953125" style="1" bestFit="1" customWidth="1"/>
    <col min="2320" max="2320" width="14.26953125" style="1" customWidth="1"/>
    <col min="2321" max="2321" width="14" style="1" bestFit="1" customWidth="1"/>
    <col min="2322" max="2322" width="11.54296875" style="1" bestFit="1" customWidth="1"/>
    <col min="2323" max="2323" width="13.81640625" style="1" bestFit="1" customWidth="1"/>
    <col min="2324" max="2561" width="11.453125" style="1"/>
    <col min="2562" max="2562" width="20.26953125" style="1" customWidth="1"/>
    <col min="2563" max="2563" width="21.7265625" style="1" customWidth="1"/>
    <col min="2564" max="2564" width="22" style="1" customWidth="1"/>
    <col min="2565" max="2565" width="17.1796875" style="1" customWidth="1"/>
    <col min="2566" max="2566" width="21.453125" style="1" customWidth="1"/>
    <col min="2567" max="2567" width="19.54296875" style="1" customWidth="1"/>
    <col min="2568" max="2568" width="14.1796875" style="1" bestFit="1" customWidth="1"/>
    <col min="2569" max="2569" width="8.453125" style="1" customWidth="1"/>
    <col min="2570" max="2570" width="14.453125" style="1" bestFit="1" customWidth="1"/>
    <col min="2571" max="2571" width="4.453125" style="1" customWidth="1"/>
    <col min="2572" max="2572" width="14.453125" style="1" bestFit="1" customWidth="1"/>
    <col min="2573" max="2573" width="13.453125" style="1" customWidth="1"/>
    <col min="2574" max="2574" width="14.7265625" style="1" bestFit="1" customWidth="1"/>
    <col min="2575" max="2575" width="14.26953125" style="1" bestFit="1" customWidth="1"/>
    <col min="2576" max="2576" width="14.26953125" style="1" customWidth="1"/>
    <col min="2577" max="2577" width="14" style="1" bestFit="1" customWidth="1"/>
    <col min="2578" max="2578" width="11.54296875" style="1" bestFit="1" customWidth="1"/>
    <col min="2579" max="2579" width="13.81640625" style="1" bestFit="1" customWidth="1"/>
    <col min="2580" max="2817" width="11.453125" style="1"/>
    <col min="2818" max="2818" width="20.26953125" style="1" customWidth="1"/>
    <col min="2819" max="2819" width="21.7265625" style="1" customWidth="1"/>
    <col min="2820" max="2820" width="22" style="1" customWidth="1"/>
    <col min="2821" max="2821" width="17.1796875" style="1" customWidth="1"/>
    <col min="2822" max="2822" width="21.453125" style="1" customWidth="1"/>
    <col min="2823" max="2823" width="19.54296875" style="1" customWidth="1"/>
    <col min="2824" max="2824" width="14.1796875" style="1" bestFit="1" customWidth="1"/>
    <col min="2825" max="2825" width="8.453125" style="1" customWidth="1"/>
    <col min="2826" max="2826" width="14.453125" style="1" bestFit="1" customWidth="1"/>
    <col min="2827" max="2827" width="4.453125" style="1" customWidth="1"/>
    <col min="2828" max="2828" width="14.453125" style="1" bestFit="1" customWidth="1"/>
    <col min="2829" max="2829" width="13.453125" style="1" customWidth="1"/>
    <col min="2830" max="2830" width="14.7265625" style="1" bestFit="1" customWidth="1"/>
    <col min="2831" max="2831" width="14.26953125" style="1" bestFit="1" customWidth="1"/>
    <col min="2832" max="2832" width="14.26953125" style="1" customWidth="1"/>
    <col min="2833" max="2833" width="14" style="1" bestFit="1" customWidth="1"/>
    <col min="2834" max="2834" width="11.54296875" style="1" bestFit="1" customWidth="1"/>
    <col min="2835" max="2835" width="13.81640625" style="1" bestFit="1" customWidth="1"/>
    <col min="2836" max="3073" width="11.453125" style="1"/>
    <col min="3074" max="3074" width="20.26953125" style="1" customWidth="1"/>
    <col min="3075" max="3075" width="21.7265625" style="1" customWidth="1"/>
    <col min="3076" max="3076" width="22" style="1" customWidth="1"/>
    <col min="3077" max="3077" width="17.1796875" style="1" customWidth="1"/>
    <col min="3078" max="3078" width="21.453125" style="1" customWidth="1"/>
    <col min="3079" max="3079" width="19.54296875" style="1" customWidth="1"/>
    <col min="3080" max="3080" width="14.1796875" style="1" bestFit="1" customWidth="1"/>
    <col min="3081" max="3081" width="8.453125" style="1" customWidth="1"/>
    <col min="3082" max="3082" width="14.453125" style="1" bestFit="1" customWidth="1"/>
    <col min="3083" max="3083" width="4.453125" style="1" customWidth="1"/>
    <col min="3084" max="3084" width="14.453125" style="1" bestFit="1" customWidth="1"/>
    <col min="3085" max="3085" width="13.453125" style="1" customWidth="1"/>
    <col min="3086" max="3086" width="14.7265625" style="1" bestFit="1" customWidth="1"/>
    <col min="3087" max="3087" width="14.26953125" style="1" bestFit="1" customWidth="1"/>
    <col min="3088" max="3088" width="14.26953125" style="1" customWidth="1"/>
    <col min="3089" max="3089" width="14" style="1" bestFit="1" customWidth="1"/>
    <col min="3090" max="3090" width="11.54296875" style="1" bestFit="1" customWidth="1"/>
    <col min="3091" max="3091" width="13.81640625" style="1" bestFit="1" customWidth="1"/>
    <col min="3092" max="3329" width="11.453125" style="1"/>
    <col min="3330" max="3330" width="20.26953125" style="1" customWidth="1"/>
    <col min="3331" max="3331" width="21.7265625" style="1" customWidth="1"/>
    <col min="3332" max="3332" width="22" style="1" customWidth="1"/>
    <col min="3333" max="3333" width="17.1796875" style="1" customWidth="1"/>
    <col min="3334" max="3334" width="21.453125" style="1" customWidth="1"/>
    <col min="3335" max="3335" width="19.54296875" style="1" customWidth="1"/>
    <col min="3336" max="3336" width="14.1796875" style="1" bestFit="1" customWidth="1"/>
    <col min="3337" max="3337" width="8.453125" style="1" customWidth="1"/>
    <col min="3338" max="3338" width="14.453125" style="1" bestFit="1" customWidth="1"/>
    <col min="3339" max="3339" width="4.453125" style="1" customWidth="1"/>
    <col min="3340" max="3340" width="14.453125" style="1" bestFit="1" customWidth="1"/>
    <col min="3341" max="3341" width="13.453125" style="1" customWidth="1"/>
    <col min="3342" max="3342" width="14.7265625" style="1" bestFit="1" customWidth="1"/>
    <col min="3343" max="3343" width="14.26953125" style="1" bestFit="1" customWidth="1"/>
    <col min="3344" max="3344" width="14.26953125" style="1" customWidth="1"/>
    <col min="3345" max="3345" width="14" style="1" bestFit="1" customWidth="1"/>
    <col min="3346" max="3346" width="11.54296875" style="1" bestFit="1" customWidth="1"/>
    <col min="3347" max="3347" width="13.81640625" style="1" bestFit="1" customWidth="1"/>
    <col min="3348" max="3585" width="11.453125" style="1"/>
    <col min="3586" max="3586" width="20.26953125" style="1" customWidth="1"/>
    <col min="3587" max="3587" width="21.7265625" style="1" customWidth="1"/>
    <col min="3588" max="3588" width="22" style="1" customWidth="1"/>
    <col min="3589" max="3589" width="17.1796875" style="1" customWidth="1"/>
    <col min="3590" max="3590" width="21.453125" style="1" customWidth="1"/>
    <col min="3591" max="3591" width="19.54296875" style="1" customWidth="1"/>
    <col min="3592" max="3592" width="14.1796875" style="1" bestFit="1" customWidth="1"/>
    <col min="3593" max="3593" width="8.453125" style="1" customWidth="1"/>
    <col min="3594" max="3594" width="14.453125" style="1" bestFit="1" customWidth="1"/>
    <col min="3595" max="3595" width="4.453125" style="1" customWidth="1"/>
    <col min="3596" max="3596" width="14.453125" style="1" bestFit="1" customWidth="1"/>
    <col min="3597" max="3597" width="13.453125" style="1" customWidth="1"/>
    <col min="3598" max="3598" width="14.7265625" style="1" bestFit="1" customWidth="1"/>
    <col min="3599" max="3599" width="14.26953125" style="1" bestFit="1" customWidth="1"/>
    <col min="3600" max="3600" width="14.26953125" style="1" customWidth="1"/>
    <col min="3601" max="3601" width="14" style="1" bestFit="1" customWidth="1"/>
    <col min="3602" max="3602" width="11.54296875" style="1" bestFit="1" customWidth="1"/>
    <col min="3603" max="3603" width="13.81640625" style="1" bestFit="1" customWidth="1"/>
    <col min="3604" max="3841" width="11.453125" style="1"/>
    <col min="3842" max="3842" width="20.26953125" style="1" customWidth="1"/>
    <col min="3843" max="3843" width="21.7265625" style="1" customWidth="1"/>
    <col min="3844" max="3844" width="22" style="1" customWidth="1"/>
    <col min="3845" max="3845" width="17.1796875" style="1" customWidth="1"/>
    <col min="3846" max="3846" width="21.453125" style="1" customWidth="1"/>
    <col min="3847" max="3847" width="19.54296875" style="1" customWidth="1"/>
    <col min="3848" max="3848" width="14.1796875" style="1" bestFit="1" customWidth="1"/>
    <col min="3849" max="3849" width="8.453125" style="1" customWidth="1"/>
    <col min="3850" max="3850" width="14.453125" style="1" bestFit="1" customWidth="1"/>
    <col min="3851" max="3851" width="4.453125" style="1" customWidth="1"/>
    <col min="3852" max="3852" width="14.453125" style="1" bestFit="1" customWidth="1"/>
    <col min="3853" max="3853" width="13.453125" style="1" customWidth="1"/>
    <col min="3854" max="3854" width="14.7265625" style="1" bestFit="1" customWidth="1"/>
    <col min="3855" max="3855" width="14.26953125" style="1" bestFit="1" customWidth="1"/>
    <col min="3856" max="3856" width="14.26953125" style="1" customWidth="1"/>
    <col min="3857" max="3857" width="14" style="1" bestFit="1" customWidth="1"/>
    <col min="3858" max="3858" width="11.54296875" style="1" bestFit="1" customWidth="1"/>
    <col min="3859" max="3859" width="13.81640625" style="1" bestFit="1" customWidth="1"/>
    <col min="3860" max="4097" width="11.453125" style="1"/>
    <col min="4098" max="4098" width="20.26953125" style="1" customWidth="1"/>
    <col min="4099" max="4099" width="21.7265625" style="1" customWidth="1"/>
    <col min="4100" max="4100" width="22" style="1" customWidth="1"/>
    <col min="4101" max="4101" width="17.1796875" style="1" customWidth="1"/>
    <col min="4102" max="4102" width="21.453125" style="1" customWidth="1"/>
    <col min="4103" max="4103" width="19.54296875" style="1" customWidth="1"/>
    <col min="4104" max="4104" width="14.1796875" style="1" bestFit="1" customWidth="1"/>
    <col min="4105" max="4105" width="8.453125" style="1" customWidth="1"/>
    <col min="4106" max="4106" width="14.453125" style="1" bestFit="1" customWidth="1"/>
    <col min="4107" max="4107" width="4.453125" style="1" customWidth="1"/>
    <col min="4108" max="4108" width="14.453125" style="1" bestFit="1" customWidth="1"/>
    <col min="4109" max="4109" width="13.453125" style="1" customWidth="1"/>
    <col min="4110" max="4110" width="14.7265625" style="1" bestFit="1" customWidth="1"/>
    <col min="4111" max="4111" width="14.26953125" style="1" bestFit="1" customWidth="1"/>
    <col min="4112" max="4112" width="14.26953125" style="1" customWidth="1"/>
    <col min="4113" max="4113" width="14" style="1" bestFit="1" customWidth="1"/>
    <col min="4114" max="4114" width="11.54296875" style="1" bestFit="1" customWidth="1"/>
    <col min="4115" max="4115" width="13.81640625" style="1" bestFit="1" customWidth="1"/>
    <col min="4116" max="4353" width="11.453125" style="1"/>
    <col min="4354" max="4354" width="20.26953125" style="1" customWidth="1"/>
    <col min="4355" max="4355" width="21.7265625" style="1" customWidth="1"/>
    <col min="4356" max="4356" width="22" style="1" customWidth="1"/>
    <col min="4357" max="4357" width="17.1796875" style="1" customWidth="1"/>
    <col min="4358" max="4358" width="21.453125" style="1" customWidth="1"/>
    <col min="4359" max="4359" width="19.54296875" style="1" customWidth="1"/>
    <col min="4360" max="4360" width="14.1796875" style="1" bestFit="1" customWidth="1"/>
    <col min="4361" max="4361" width="8.453125" style="1" customWidth="1"/>
    <col min="4362" max="4362" width="14.453125" style="1" bestFit="1" customWidth="1"/>
    <col min="4363" max="4363" width="4.453125" style="1" customWidth="1"/>
    <col min="4364" max="4364" width="14.453125" style="1" bestFit="1" customWidth="1"/>
    <col min="4365" max="4365" width="13.453125" style="1" customWidth="1"/>
    <col min="4366" max="4366" width="14.7265625" style="1" bestFit="1" customWidth="1"/>
    <col min="4367" max="4367" width="14.26953125" style="1" bestFit="1" customWidth="1"/>
    <col min="4368" max="4368" width="14.26953125" style="1" customWidth="1"/>
    <col min="4369" max="4369" width="14" style="1" bestFit="1" customWidth="1"/>
    <col min="4370" max="4370" width="11.54296875" style="1" bestFit="1" customWidth="1"/>
    <col min="4371" max="4371" width="13.81640625" style="1" bestFit="1" customWidth="1"/>
    <col min="4372" max="4609" width="11.453125" style="1"/>
    <col min="4610" max="4610" width="20.26953125" style="1" customWidth="1"/>
    <col min="4611" max="4611" width="21.7265625" style="1" customWidth="1"/>
    <col min="4612" max="4612" width="22" style="1" customWidth="1"/>
    <col min="4613" max="4613" width="17.1796875" style="1" customWidth="1"/>
    <col min="4614" max="4614" width="21.453125" style="1" customWidth="1"/>
    <col min="4615" max="4615" width="19.54296875" style="1" customWidth="1"/>
    <col min="4616" max="4616" width="14.1796875" style="1" bestFit="1" customWidth="1"/>
    <col min="4617" max="4617" width="8.453125" style="1" customWidth="1"/>
    <col min="4618" max="4618" width="14.453125" style="1" bestFit="1" customWidth="1"/>
    <col min="4619" max="4619" width="4.453125" style="1" customWidth="1"/>
    <col min="4620" max="4620" width="14.453125" style="1" bestFit="1" customWidth="1"/>
    <col min="4621" max="4621" width="13.453125" style="1" customWidth="1"/>
    <col min="4622" max="4622" width="14.7265625" style="1" bestFit="1" customWidth="1"/>
    <col min="4623" max="4623" width="14.26953125" style="1" bestFit="1" customWidth="1"/>
    <col min="4624" max="4624" width="14.26953125" style="1" customWidth="1"/>
    <col min="4625" max="4625" width="14" style="1" bestFit="1" customWidth="1"/>
    <col min="4626" max="4626" width="11.54296875" style="1" bestFit="1" customWidth="1"/>
    <col min="4627" max="4627" width="13.81640625" style="1" bestFit="1" customWidth="1"/>
    <col min="4628" max="4865" width="11.453125" style="1"/>
    <col min="4866" max="4866" width="20.26953125" style="1" customWidth="1"/>
    <col min="4867" max="4867" width="21.7265625" style="1" customWidth="1"/>
    <col min="4868" max="4868" width="22" style="1" customWidth="1"/>
    <col min="4869" max="4869" width="17.1796875" style="1" customWidth="1"/>
    <col min="4870" max="4870" width="21.453125" style="1" customWidth="1"/>
    <col min="4871" max="4871" width="19.54296875" style="1" customWidth="1"/>
    <col min="4872" max="4872" width="14.1796875" style="1" bestFit="1" customWidth="1"/>
    <col min="4873" max="4873" width="8.453125" style="1" customWidth="1"/>
    <col min="4874" max="4874" width="14.453125" style="1" bestFit="1" customWidth="1"/>
    <col min="4875" max="4875" width="4.453125" style="1" customWidth="1"/>
    <col min="4876" max="4876" width="14.453125" style="1" bestFit="1" customWidth="1"/>
    <col min="4877" max="4877" width="13.453125" style="1" customWidth="1"/>
    <col min="4878" max="4878" width="14.7265625" style="1" bestFit="1" customWidth="1"/>
    <col min="4879" max="4879" width="14.26953125" style="1" bestFit="1" customWidth="1"/>
    <col min="4880" max="4880" width="14.26953125" style="1" customWidth="1"/>
    <col min="4881" max="4881" width="14" style="1" bestFit="1" customWidth="1"/>
    <col min="4882" max="4882" width="11.54296875" style="1" bestFit="1" customWidth="1"/>
    <col min="4883" max="4883" width="13.81640625" style="1" bestFit="1" customWidth="1"/>
    <col min="4884" max="5121" width="11.453125" style="1"/>
    <col min="5122" max="5122" width="20.26953125" style="1" customWidth="1"/>
    <col min="5123" max="5123" width="21.7265625" style="1" customWidth="1"/>
    <col min="5124" max="5124" width="22" style="1" customWidth="1"/>
    <col min="5125" max="5125" width="17.1796875" style="1" customWidth="1"/>
    <col min="5126" max="5126" width="21.453125" style="1" customWidth="1"/>
    <col min="5127" max="5127" width="19.54296875" style="1" customWidth="1"/>
    <col min="5128" max="5128" width="14.1796875" style="1" bestFit="1" customWidth="1"/>
    <col min="5129" max="5129" width="8.453125" style="1" customWidth="1"/>
    <col min="5130" max="5130" width="14.453125" style="1" bestFit="1" customWidth="1"/>
    <col min="5131" max="5131" width="4.453125" style="1" customWidth="1"/>
    <col min="5132" max="5132" width="14.453125" style="1" bestFit="1" customWidth="1"/>
    <col min="5133" max="5133" width="13.453125" style="1" customWidth="1"/>
    <col min="5134" max="5134" width="14.7265625" style="1" bestFit="1" customWidth="1"/>
    <col min="5135" max="5135" width="14.26953125" style="1" bestFit="1" customWidth="1"/>
    <col min="5136" max="5136" width="14.26953125" style="1" customWidth="1"/>
    <col min="5137" max="5137" width="14" style="1" bestFit="1" customWidth="1"/>
    <col min="5138" max="5138" width="11.54296875" style="1" bestFit="1" customWidth="1"/>
    <col min="5139" max="5139" width="13.81640625" style="1" bestFit="1" customWidth="1"/>
    <col min="5140" max="5377" width="11.453125" style="1"/>
    <col min="5378" max="5378" width="20.26953125" style="1" customWidth="1"/>
    <col min="5379" max="5379" width="21.7265625" style="1" customWidth="1"/>
    <col min="5380" max="5380" width="22" style="1" customWidth="1"/>
    <col min="5381" max="5381" width="17.1796875" style="1" customWidth="1"/>
    <col min="5382" max="5382" width="21.453125" style="1" customWidth="1"/>
    <col min="5383" max="5383" width="19.54296875" style="1" customWidth="1"/>
    <col min="5384" max="5384" width="14.1796875" style="1" bestFit="1" customWidth="1"/>
    <col min="5385" max="5385" width="8.453125" style="1" customWidth="1"/>
    <col min="5386" max="5386" width="14.453125" style="1" bestFit="1" customWidth="1"/>
    <col min="5387" max="5387" width="4.453125" style="1" customWidth="1"/>
    <col min="5388" max="5388" width="14.453125" style="1" bestFit="1" customWidth="1"/>
    <col min="5389" max="5389" width="13.453125" style="1" customWidth="1"/>
    <col min="5390" max="5390" width="14.7265625" style="1" bestFit="1" customWidth="1"/>
    <col min="5391" max="5391" width="14.26953125" style="1" bestFit="1" customWidth="1"/>
    <col min="5392" max="5392" width="14.26953125" style="1" customWidth="1"/>
    <col min="5393" max="5393" width="14" style="1" bestFit="1" customWidth="1"/>
    <col min="5394" max="5394" width="11.54296875" style="1" bestFit="1" customWidth="1"/>
    <col min="5395" max="5395" width="13.81640625" style="1" bestFit="1" customWidth="1"/>
    <col min="5396" max="5633" width="11.453125" style="1"/>
    <col min="5634" max="5634" width="20.26953125" style="1" customWidth="1"/>
    <col min="5635" max="5635" width="21.7265625" style="1" customWidth="1"/>
    <col min="5636" max="5636" width="22" style="1" customWidth="1"/>
    <col min="5637" max="5637" width="17.1796875" style="1" customWidth="1"/>
    <col min="5638" max="5638" width="21.453125" style="1" customWidth="1"/>
    <col min="5639" max="5639" width="19.54296875" style="1" customWidth="1"/>
    <col min="5640" max="5640" width="14.1796875" style="1" bestFit="1" customWidth="1"/>
    <col min="5641" max="5641" width="8.453125" style="1" customWidth="1"/>
    <col min="5642" max="5642" width="14.453125" style="1" bestFit="1" customWidth="1"/>
    <col min="5643" max="5643" width="4.453125" style="1" customWidth="1"/>
    <col min="5644" max="5644" width="14.453125" style="1" bestFit="1" customWidth="1"/>
    <col min="5645" max="5645" width="13.453125" style="1" customWidth="1"/>
    <col min="5646" max="5646" width="14.7265625" style="1" bestFit="1" customWidth="1"/>
    <col min="5647" max="5647" width="14.26953125" style="1" bestFit="1" customWidth="1"/>
    <col min="5648" max="5648" width="14.26953125" style="1" customWidth="1"/>
    <col min="5649" max="5649" width="14" style="1" bestFit="1" customWidth="1"/>
    <col min="5650" max="5650" width="11.54296875" style="1" bestFit="1" customWidth="1"/>
    <col min="5651" max="5651" width="13.81640625" style="1" bestFit="1" customWidth="1"/>
    <col min="5652" max="5889" width="11.453125" style="1"/>
    <col min="5890" max="5890" width="20.26953125" style="1" customWidth="1"/>
    <col min="5891" max="5891" width="21.7265625" style="1" customWidth="1"/>
    <col min="5892" max="5892" width="22" style="1" customWidth="1"/>
    <col min="5893" max="5893" width="17.1796875" style="1" customWidth="1"/>
    <col min="5894" max="5894" width="21.453125" style="1" customWidth="1"/>
    <col min="5895" max="5895" width="19.54296875" style="1" customWidth="1"/>
    <col min="5896" max="5896" width="14.1796875" style="1" bestFit="1" customWidth="1"/>
    <col min="5897" max="5897" width="8.453125" style="1" customWidth="1"/>
    <col min="5898" max="5898" width="14.453125" style="1" bestFit="1" customWidth="1"/>
    <col min="5899" max="5899" width="4.453125" style="1" customWidth="1"/>
    <col min="5900" max="5900" width="14.453125" style="1" bestFit="1" customWidth="1"/>
    <col min="5901" max="5901" width="13.453125" style="1" customWidth="1"/>
    <col min="5902" max="5902" width="14.7265625" style="1" bestFit="1" customWidth="1"/>
    <col min="5903" max="5903" width="14.26953125" style="1" bestFit="1" customWidth="1"/>
    <col min="5904" max="5904" width="14.26953125" style="1" customWidth="1"/>
    <col min="5905" max="5905" width="14" style="1" bestFit="1" customWidth="1"/>
    <col min="5906" max="5906" width="11.54296875" style="1" bestFit="1" customWidth="1"/>
    <col min="5907" max="5907" width="13.81640625" style="1" bestFit="1" customWidth="1"/>
    <col min="5908" max="6145" width="11.453125" style="1"/>
    <col min="6146" max="6146" width="20.26953125" style="1" customWidth="1"/>
    <col min="6147" max="6147" width="21.7265625" style="1" customWidth="1"/>
    <col min="6148" max="6148" width="22" style="1" customWidth="1"/>
    <col min="6149" max="6149" width="17.1796875" style="1" customWidth="1"/>
    <col min="6150" max="6150" width="21.453125" style="1" customWidth="1"/>
    <col min="6151" max="6151" width="19.54296875" style="1" customWidth="1"/>
    <col min="6152" max="6152" width="14.1796875" style="1" bestFit="1" customWidth="1"/>
    <col min="6153" max="6153" width="8.453125" style="1" customWidth="1"/>
    <col min="6154" max="6154" width="14.453125" style="1" bestFit="1" customWidth="1"/>
    <col min="6155" max="6155" width="4.453125" style="1" customWidth="1"/>
    <col min="6156" max="6156" width="14.453125" style="1" bestFit="1" customWidth="1"/>
    <col min="6157" max="6157" width="13.453125" style="1" customWidth="1"/>
    <col min="6158" max="6158" width="14.7265625" style="1" bestFit="1" customWidth="1"/>
    <col min="6159" max="6159" width="14.26953125" style="1" bestFit="1" customWidth="1"/>
    <col min="6160" max="6160" width="14.26953125" style="1" customWidth="1"/>
    <col min="6161" max="6161" width="14" style="1" bestFit="1" customWidth="1"/>
    <col min="6162" max="6162" width="11.54296875" style="1" bestFit="1" customWidth="1"/>
    <col min="6163" max="6163" width="13.81640625" style="1" bestFit="1" customWidth="1"/>
    <col min="6164" max="6401" width="11.453125" style="1"/>
    <col min="6402" max="6402" width="20.26953125" style="1" customWidth="1"/>
    <col min="6403" max="6403" width="21.7265625" style="1" customWidth="1"/>
    <col min="6404" max="6404" width="22" style="1" customWidth="1"/>
    <col min="6405" max="6405" width="17.1796875" style="1" customWidth="1"/>
    <col min="6406" max="6406" width="21.453125" style="1" customWidth="1"/>
    <col min="6407" max="6407" width="19.54296875" style="1" customWidth="1"/>
    <col min="6408" max="6408" width="14.1796875" style="1" bestFit="1" customWidth="1"/>
    <col min="6409" max="6409" width="8.453125" style="1" customWidth="1"/>
    <col min="6410" max="6410" width="14.453125" style="1" bestFit="1" customWidth="1"/>
    <col min="6411" max="6411" width="4.453125" style="1" customWidth="1"/>
    <col min="6412" max="6412" width="14.453125" style="1" bestFit="1" customWidth="1"/>
    <col min="6413" max="6413" width="13.453125" style="1" customWidth="1"/>
    <col min="6414" max="6414" width="14.7265625" style="1" bestFit="1" customWidth="1"/>
    <col min="6415" max="6415" width="14.26953125" style="1" bestFit="1" customWidth="1"/>
    <col min="6416" max="6416" width="14.26953125" style="1" customWidth="1"/>
    <col min="6417" max="6417" width="14" style="1" bestFit="1" customWidth="1"/>
    <col min="6418" max="6418" width="11.54296875" style="1" bestFit="1" customWidth="1"/>
    <col min="6419" max="6419" width="13.81640625" style="1" bestFit="1" customWidth="1"/>
    <col min="6420" max="6657" width="11.453125" style="1"/>
    <col min="6658" max="6658" width="20.26953125" style="1" customWidth="1"/>
    <col min="6659" max="6659" width="21.7265625" style="1" customWidth="1"/>
    <col min="6660" max="6660" width="22" style="1" customWidth="1"/>
    <col min="6661" max="6661" width="17.1796875" style="1" customWidth="1"/>
    <col min="6662" max="6662" width="21.453125" style="1" customWidth="1"/>
    <col min="6663" max="6663" width="19.54296875" style="1" customWidth="1"/>
    <col min="6664" max="6664" width="14.1796875" style="1" bestFit="1" customWidth="1"/>
    <col min="6665" max="6665" width="8.453125" style="1" customWidth="1"/>
    <col min="6666" max="6666" width="14.453125" style="1" bestFit="1" customWidth="1"/>
    <col min="6667" max="6667" width="4.453125" style="1" customWidth="1"/>
    <col min="6668" max="6668" width="14.453125" style="1" bestFit="1" customWidth="1"/>
    <col min="6669" max="6669" width="13.453125" style="1" customWidth="1"/>
    <col min="6670" max="6670" width="14.7265625" style="1" bestFit="1" customWidth="1"/>
    <col min="6671" max="6671" width="14.26953125" style="1" bestFit="1" customWidth="1"/>
    <col min="6672" max="6672" width="14.26953125" style="1" customWidth="1"/>
    <col min="6673" max="6673" width="14" style="1" bestFit="1" customWidth="1"/>
    <col min="6674" max="6674" width="11.54296875" style="1" bestFit="1" customWidth="1"/>
    <col min="6675" max="6675" width="13.81640625" style="1" bestFit="1" customWidth="1"/>
    <col min="6676" max="6913" width="11.453125" style="1"/>
    <col min="6914" max="6914" width="20.26953125" style="1" customWidth="1"/>
    <col min="6915" max="6915" width="21.7265625" style="1" customWidth="1"/>
    <col min="6916" max="6916" width="22" style="1" customWidth="1"/>
    <col min="6917" max="6917" width="17.1796875" style="1" customWidth="1"/>
    <col min="6918" max="6918" width="21.453125" style="1" customWidth="1"/>
    <col min="6919" max="6919" width="19.54296875" style="1" customWidth="1"/>
    <col min="6920" max="6920" width="14.1796875" style="1" bestFit="1" customWidth="1"/>
    <col min="6921" max="6921" width="8.453125" style="1" customWidth="1"/>
    <col min="6922" max="6922" width="14.453125" style="1" bestFit="1" customWidth="1"/>
    <col min="6923" max="6923" width="4.453125" style="1" customWidth="1"/>
    <col min="6924" max="6924" width="14.453125" style="1" bestFit="1" customWidth="1"/>
    <col min="6925" max="6925" width="13.453125" style="1" customWidth="1"/>
    <col min="6926" max="6926" width="14.7265625" style="1" bestFit="1" customWidth="1"/>
    <col min="6927" max="6927" width="14.26953125" style="1" bestFit="1" customWidth="1"/>
    <col min="6928" max="6928" width="14.26953125" style="1" customWidth="1"/>
    <col min="6929" max="6929" width="14" style="1" bestFit="1" customWidth="1"/>
    <col min="6930" max="6930" width="11.54296875" style="1" bestFit="1" customWidth="1"/>
    <col min="6931" max="6931" width="13.81640625" style="1" bestFit="1" customWidth="1"/>
    <col min="6932" max="7169" width="11.453125" style="1"/>
    <col min="7170" max="7170" width="20.26953125" style="1" customWidth="1"/>
    <col min="7171" max="7171" width="21.7265625" style="1" customWidth="1"/>
    <col min="7172" max="7172" width="22" style="1" customWidth="1"/>
    <col min="7173" max="7173" width="17.1796875" style="1" customWidth="1"/>
    <col min="7174" max="7174" width="21.453125" style="1" customWidth="1"/>
    <col min="7175" max="7175" width="19.54296875" style="1" customWidth="1"/>
    <col min="7176" max="7176" width="14.1796875" style="1" bestFit="1" customWidth="1"/>
    <col min="7177" max="7177" width="8.453125" style="1" customWidth="1"/>
    <col min="7178" max="7178" width="14.453125" style="1" bestFit="1" customWidth="1"/>
    <col min="7179" max="7179" width="4.453125" style="1" customWidth="1"/>
    <col min="7180" max="7180" width="14.453125" style="1" bestFit="1" customWidth="1"/>
    <col min="7181" max="7181" width="13.453125" style="1" customWidth="1"/>
    <col min="7182" max="7182" width="14.7265625" style="1" bestFit="1" customWidth="1"/>
    <col min="7183" max="7183" width="14.26953125" style="1" bestFit="1" customWidth="1"/>
    <col min="7184" max="7184" width="14.26953125" style="1" customWidth="1"/>
    <col min="7185" max="7185" width="14" style="1" bestFit="1" customWidth="1"/>
    <col min="7186" max="7186" width="11.54296875" style="1" bestFit="1" customWidth="1"/>
    <col min="7187" max="7187" width="13.81640625" style="1" bestFit="1" customWidth="1"/>
    <col min="7188" max="7425" width="11.453125" style="1"/>
    <col min="7426" max="7426" width="20.26953125" style="1" customWidth="1"/>
    <col min="7427" max="7427" width="21.7265625" style="1" customWidth="1"/>
    <col min="7428" max="7428" width="22" style="1" customWidth="1"/>
    <col min="7429" max="7429" width="17.1796875" style="1" customWidth="1"/>
    <col min="7430" max="7430" width="21.453125" style="1" customWidth="1"/>
    <col min="7431" max="7431" width="19.54296875" style="1" customWidth="1"/>
    <col min="7432" max="7432" width="14.1796875" style="1" bestFit="1" customWidth="1"/>
    <col min="7433" max="7433" width="8.453125" style="1" customWidth="1"/>
    <col min="7434" max="7434" width="14.453125" style="1" bestFit="1" customWidth="1"/>
    <col min="7435" max="7435" width="4.453125" style="1" customWidth="1"/>
    <col min="7436" max="7436" width="14.453125" style="1" bestFit="1" customWidth="1"/>
    <col min="7437" max="7437" width="13.453125" style="1" customWidth="1"/>
    <col min="7438" max="7438" width="14.7265625" style="1" bestFit="1" customWidth="1"/>
    <col min="7439" max="7439" width="14.26953125" style="1" bestFit="1" customWidth="1"/>
    <col min="7440" max="7440" width="14.26953125" style="1" customWidth="1"/>
    <col min="7441" max="7441" width="14" style="1" bestFit="1" customWidth="1"/>
    <col min="7442" max="7442" width="11.54296875" style="1" bestFit="1" customWidth="1"/>
    <col min="7443" max="7443" width="13.81640625" style="1" bestFit="1" customWidth="1"/>
    <col min="7444" max="7681" width="11.453125" style="1"/>
    <col min="7682" max="7682" width="20.26953125" style="1" customWidth="1"/>
    <col min="7683" max="7683" width="21.7265625" style="1" customWidth="1"/>
    <col min="7684" max="7684" width="22" style="1" customWidth="1"/>
    <col min="7685" max="7685" width="17.1796875" style="1" customWidth="1"/>
    <col min="7686" max="7686" width="21.453125" style="1" customWidth="1"/>
    <col min="7687" max="7687" width="19.54296875" style="1" customWidth="1"/>
    <col min="7688" max="7688" width="14.1796875" style="1" bestFit="1" customWidth="1"/>
    <col min="7689" max="7689" width="8.453125" style="1" customWidth="1"/>
    <col min="7690" max="7690" width="14.453125" style="1" bestFit="1" customWidth="1"/>
    <col min="7691" max="7691" width="4.453125" style="1" customWidth="1"/>
    <col min="7692" max="7692" width="14.453125" style="1" bestFit="1" customWidth="1"/>
    <col min="7693" max="7693" width="13.453125" style="1" customWidth="1"/>
    <col min="7694" max="7694" width="14.7265625" style="1" bestFit="1" customWidth="1"/>
    <col min="7695" max="7695" width="14.26953125" style="1" bestFit="1" customWidth="1"/>
    <col min="7696" max="7696" width="14.26953125" style="1" customWidth="1"/>
    <col min="7697" max="7697" width="14" style="1" bestFit="1" customWidth="1"/>
    <col min="7698" max="7698" width="11.54296875" style="1" bestFit="1" customWidth="1"/>
    <col min="7699" max="7699" width="13.81640625" style="1" bestFit="1" customWidth="1"/>
    <col min="7700" max="7937" width="11.453125" style="1"/>
    <col min="7938" max="7938" width="20.26953125" style="1" customWidth="1"/>
    <col min="7939" max="7939" width="21.7265625" style="1" customWidth="1"/>
    <col min="7940" max="7940" width="22" style="1" customWidth="1"/>
    <col min="7941" max="7941" width="17.1796875" style="1" customWidth="1"/>
    <col min="7942" max="7942" width="21.453125" style="1" customWidth="1"/>
    <col min="7943" max="7943" width="19.54296875" style="1" customWidth="1"/>
    <col min="7944" max="7944" width="14.1796875" style="1" bestFit="1" customWidth="1"/>
    <col min="7945" max="7945" width="8.453125" style="1" customWidth="1"/>
    <col min="7946" max="7946" width="14.453125" style="1" bestFit="1" customWidth="1"/>
    <col min="7947" max="7947" width="4.453125" style="1" customWidth="1"/>
    <col min="7948" max="7948" width="14.453125" style="1" bestFit="1" customWidth="1"/>
    <col min="7949" max="7949" width="13.453125" style="1" customWidth="1"/>
    <col min="7950" max="7950" width="14.7265625" style="1" bestFit="1" customWidth="1"/>
    <col min="7951" max="7951" width="14.26953125" style="1" bestFit="1" customWidth="1"/>
    <col min="7952" max="7952" width="14.26953125" style="1" customWidth="1"/>
    <col min="7953" max="7953" width="14" style="1" bestFit="1" customWidth="1"/>
    <col min="7954" max="7954" width="11.54296875" style="1" bestFit="1" customWidth="1"/>
    <col min="7955" max="7955" width="13.81640625" style="1" bestFit="1" customWidth="1"/>
    <col min="7956" max="8193" width="11.453125" style="1"/>
    <col min="8194" max="8194" width="20.26953125" style="1" customWidth="1"/>
    <col min="8195" max="8195" width="21.7265625" style="1" customWidth="1"/>
    <col min="8196" max="8196" width="22" style="1" customWidth="1"/>
    <col min="8197" max="8197" width="17.1796875" style="1" customWidth="1"/>
    <col min="8198" max="8198" width="21.453125" style="1" customWidth="1"/>
    <col min="8199" max="8199" width="19.54296875" style="1" customWidth="1"/>
    <col min="8200" max="8200" width="14.1796875" style="1" bestFit="1" customWidth="1"/>
    <col min="8201" max="8201" width="8.453125" style="1" customWidth="1"/>
    <col min="8202" max="8202" width="14.453125" style="1" bestFit="1" customWidth="1"/>
    <col min="8203" max="8203" width="4.453125" style="1" customWidth="1"/>
    <col min="8204" max="8204" width="14.453125" style="1" bestFit="1" customWidth="1"/>
    <col min="8205" max="8205" width="13.453125" style="1" customWidth="1"/>
    <col min="8206" max="8206" width="14.7265625" style="1" bestFit="1" customWidth="1"/>
    <col min="8207" max="8207" width="14.26953125" style="1" bestFit="1" customWidth="1"/>
    <col min="8208" max="8208" width="14.26953125" style="1" customWidth="1"/>
    <col min="8209" max="8209" width="14" style="1" bestFit="1" customWidth="1"/>
    <col min="8210" max="8210" width="11.54296875" style="1" bestFit="1" customWidth="1"/>
    <col min="8211" max="8211" width="13.81640625" style="1" bestFit="1" customWidth="1"/>
    <col min="8212" max="8449" width="11.453125" style="1"/>
    <col min="8450" max="8450" width="20.26953125" style="1" customWidth="1"/>
    <col min="8451" max="8451" width="21.7265625" style="1" customWidth="1"/>
    <col min="8452" max="8452" width="22" style="1" customWidth="1"/>
    <col min="8453" max="8453" width="17.1796875" style="1" customWidth="1"/>
    <col min="8454" max="8454" width="21.453125" style="1" customWidth="1"/>
    <col min="8455" max="8455" width="19.54296875" style="1" customWidth="1"/>
    <col min="8456" max="8456" width="14.1796875" style="1" bestFit="1" customWidth="1"/>
    <col min="8457" max="8457" width="8.453125" style="1" customWidth="1"/>
    <col min="8458" max="8458" width="14.453125" style="1" bestFit="1" customWidth="1"/>
    <col min="8459" max="8459" width="4.453125" style="1" customWidth="1"/>
    <col min="8460" max="8460" width="14.453125" style="1" bestFit="1" customWidth="1"/>
    <col min="8461" max="8461" width="13.453125" style="1" customWidth="1"/>
    <col min="8462" max="8462" width="14.7265625" style="1" bestFit="1" customWidth="1"/>
    <col min="8463" max="8463" width="14.26953125" style="1" bestFit="1" customWidth="1"/>
    <col min="8464" max="8464" width="14.26953125" style="1" customWidth="1"/>
    <col min="8465" max="8465" width="14" style="1" bestFit="1" customWidth="1"/>
    <col min="8466" max="8466" width="11.54296875" style="1" bestFit="1" customWidth="1"/>
    <col min="8467" max="8467" width="13.81640625" style="1" bestFit="1" customWidth="1"/>
    <col min="8468" max="8705" width="11.453125" style="1"/>
    <col min="8706" max="8706" width="20.26953125" style="1" customWidth="1"/>
    <col min="8707" max="8707" width="21.7265625" style="1" customWidth="1"/>
    <col min="8708" max="8708" width="22" style="1" customWidth="1"/>
    <col min="8709" max="8709" width="17.1796875" style="1" customWidth="1"/>
    <col min="8710" max="8710" width="21.453125" style="1" customWidth="1"/>
    <col min="8711" max="8711" width="19.54296875" style="1" customWidth="1"/>
    <col min="8712" max="8712" width="14.1796875" style="1" bestFit="1" customWidth="1"/>
    <col min="8713" max="8713" width="8.453125" style="1" customWidth="1"/>
    <col min="8714" max="8714" width="14.453125" style="1" bestFit="1" customWidth="1"/>
    <col min="8715" max="8715" width="4.453125" style="1" customWidth="1"/>
    <col min="8716" max="8716" width="14.453125" style="1" bestFit="1" customWidth="1"/>
    <col min="8717" max="8717" width="13.453125" style="1" customWidth="1"/>
    <col min="8718" max="8718" width="14.7265625" style="1" bestFit="1" customWidth="1"/>
    <col min="8719" max="8719" width="14.26953125" style="1" bestFit="1" customWidth="1"/>
    <col min="8720" max="8720" width="14.26953125" style="1" customWidth="1"/>
    <col min="8721" max="8721" width="14" style="1" bestFit="1" customWidth="1"/>
    <col min="8722" max="8722" width="11.54296875" style="1" bestFit="1" customWidth="1"/>
    <col min="8723" max="8723" width="13.81640625" style="1" bestFit="1" customWidth="1"/>
    <col min="8724" max="8961" width="11.453125" style="1"/>
    <col min="8962" max="8962" width="20.26953125" style="1" customWidth="1"/>
    <col min="8963" max="8963" width="21.7265625" style="1" customWidth="1"/>
    <col min="8964" max="8964" width="22" style="1" customWidth="1"/>
    <col min="8965" max="8965" width="17.1796875" style="1" customWidth="1"/>
    <col min="8966" max="8966" width="21.453125" style="1" customWidth="1"/>
    <col min="8967" max="8967" width="19.54296875" style="1" customWidth="1"/>
    <col min="8968" max="8968" width="14.1796875" style="1" bestFit="1" customWidth="1"/>
    <col min="8969" max="8969" width="8.453125" style="1" customWidth="1"/>
    <col min="8970" max="8970" width="14.453125" style="1" bestFit="1" customWidth="1"/>
    <col min="8971" max="8971" width="4.453125" style="1" customWidth="1"/>
    <col min="8972" max="8972" width="14.453125" style="1" bestFit="1" customWidth="1"/>
    <col min="8973" max="8973" width="13.453125" style="1" customWidth="1"/>
    <col min="8974" max="8974" width="14.7265625" style="1" bestFit="1" customWidth="1"/>
    <col min="8975" max="8975" width="14.26953125" style="1" bestFit="1" customWidth="1"/>
    <col min="8976" max="8976" width="14.26953125" style="1" customWidth="1"/>
    <col min="8977" max="8977" width="14" style="1" bestFit="1" customWidth="1"/>
    <col min="8978" max="8978" width="11.54296875" style="1" bestFit="1" customWidth="1"/>
    <col min="8979" max="8979" width="13.81640625" style="1" bestFit="1" customWidth="1"/>
    <col min="8980" max="9217" width="11.453125" style="1"/>
    <col min="9218" max="9218" width="20.26953125" style="1" customWidth="1"/>
    <col min="9219" max="9219" width="21.7265625" style="1" customWidth="1"/>
    <col min="9220" max="9220" width="22" style="1" customWidth="1"/>
    <col min="9221" max="9221" width="17.1796875" style="1" customWidth="1"/>
    <col min="9222" max="9222" width="21.453125" style="1" customWidth="1"/>
    <col min="9223" max="9223" width="19.54296875" style="1" customWidth="1"/>
    <col min="9224" max="9224" width="14.1796875" style="1" bestFit="1" customWidth="1"/>
    <col min="9225" max="9225" width="8.453125" style="1" customWidth="1"/>
    <col min="9226" max="9226" width="14.453125" style="1" bestFit="1" customWidth="1"/>
    <col min="9227" max="9227" width="4.453125" style="1" customWidth="1"/>
    <col min="9228" max="9228" width="14.453125" style="1" bestFit="1" customWidth="1"/>
    <col min="9229" max="9229" width="13.453125" style="1" customWidth="1"/>
    <col min="9230" max="9230" width="14.7265625" style="1" bestFit="1" customWidth="1"/>
    <col min="9231" max="9231" width="14.26953125" style="1" bestFit="1" customWidth="1"/>
    <col min="9232" max="9232" width="14.26953125" style="1" customWidth="1"/>
    <col min="9233" max="9233" width="14" style="1" bestFit="1" customWidth="1"/>
    <col min="9234" max="9234" width="11.54296875" style="1" bestFit="1" customWidth="1"/>
    <col min="9235" max="9235" width="13.81640625" style="1" bestFit="1" customWidth="1"/>
    <col min="9236" max="9473" width="11.453125" style="1"/>
    <col min="9474" max="9474" width="20.26953125" style="1" customWidth="1"/>
    <col min="9475" max="9475" width="21.7265625" style="1" customWidth="1"/>
    <col min="9476" max="9476" width="22" style="1" customWidth="1"/>
    <col min="9477" max="9477" width="17.1796875" style="1" customWidth="1"/>
    <col min="9478" max="9478" width="21.453125" style="1" customWidth="1"/>
    <col min="9479" max="9479" width="19.54296875" style="1" customWidth="1"/>
    <col min="9480" max="9480" width="14.1796875" style="1" bestFit="1" customWidth="1"/>
    <col min="9481" max="9481" width="8.453125" style="1" customWidth="1"/>
    <col min="9482" max="9482" width="14.453125" style="1" bestFit="1" customWidth="1"/>
    <col min="9483" max="9483" width="4.453125" style="1" customWidth="1"/>
    <col min="9484" max="9484" width="14.453125" style="1" bestFit="1" customWidth="1"/>
    <col min="9485" max="9485" width="13.453125" style="1" customWidth="1"/>
    <col min="9486" max="9486" width="14.7265625" style="1" bestFit="1" customWidth="1"/>
    <col min="9487" max="9487" width="14.26953125" style="1" bestFit="1" customWidth="1"/>
    <col min="9488" max="9488" width="14.26953125" style="1" customWidth="1"/>
    <col min="9489" max="9489" width="14" style="1" bestFit="1" customWidth="1"/>
    <col min="9490" max="9490" width="11.54296875" style="1" bestFit="1" customWidth="1"/>
    <col min="9491" max="9491" width="13.81640625" style="1" bestFit="1" customWidth="1"/>
    <col min="9492" max="9729" width="11.453125" style="1"/>
    <col min="9730" max="9730" width="20.26953125" style="1" customWidth="1"/>
    <col min="9731" max="9731" width="21.7265625" style="1" customWidth="1"/>
    <col min="9732" max="9732" width="22" style="1" customWidth="1"/>
    <col min="9733" max="9733" width="17.1796875" style="1" customWidth="1"/>
    <col min="9734" max="9734" width="21.453125" style="1" customWidth="1"/>
    <col min="9735" max="9735" width="19.54296875" style="1" customWidth="1"/>
    <col min="9736" max="9736" width="14.1796875" style="1" bestFit="1" customWidth="1"/>
    <col min="9737" max="9737" width="8.453125" style="1" customWidth="1"/>
    <col min="9738" max="9738" width="14.453125" style="1" bestFit="1" customWidth="1"/>
    <col min="9739" max="9739" width="4.453125" style="1" customWidth="1"/>
    <col min="9740" max="9740" width="14.453125" style="1" bestFit="1" customWidth="1"/>
    <col min="9741" max="9741" width="13.453125" style="1" customWidth="1"/>
    <col min="9742" max="9742" width="14.7265625" style="1" bestFit="1" customWidth="1"/>
    <col min="9743" max="9743" width="14.26953125" style="1" bestFit="1" customWidth="1"/>
    <col min="9744" max="9744" width="14.26953125" style="1" customWidth="1"/>
    <col min="9745" max="9745" width="14" style="1" bestFit="1" customWidth="1"/>
    <col min="9746" max="9746" width="11.54296875" style="1" bestFit="1" customWidth="1"/>
    <col min="9747" max="9747" width="13.81640625" style="1" bestFit="1" customWidth="1"/>
    <col min="9748" max="9985" width="11.453125" style="1"/>
    <col min="9986" max="9986" width="20.26953125" style="1" customWidth="1"/>
    <col min="9987" max="9987" width="21.7265625" style="1" customWidth="1"/>
    <col min="9988" max="9988" width="22" style="1" customWidth="1"/>
    <col min="9989" max="9989" width="17.1796875" style="1" customWidth="1"/>
    <col min="9990" max="9990" width="21.453125" style="1" customWidth="1"/>
    <col min="9991" max="9991" width="19.54296875" style="1" customWidth="1"/>
    <col min="9992" max="9992" width="14.1796875" style="1" bestFit="1" customWidth="1"/>
    <col min="9993" max="9993" width="8.453125" style="1" customWidth="1"/>
    <col min="9994" max="9994" width="14.453125" style="1" bestFit="1" customWidth="1"/>
    <col min="9995" max="9995" width="4.453125" style="1" customWidth="1"/>
    <col min="9996" max="9996" width="14.453125" style="1" bestFit="1" customWidth="1"/>
    <col min="9997" max="9997" width="13.453125" style="1" customWidth="1"/>
    <col min="9998" max="9998" width="14.7265625" style="1" bestFit="1" customWidth="1"/>
    <col min="9999" max="9999" width="14.26953125" style="1" bestFit="1" customWidth="1"/>
    <col min="10000" max="10000" width="14.26953125" style="1" customWidth="1"/>
    <col min="10001" max="10001" width="14" style="1" bestFit="1" customWidth="1"/>
    <col min="10002" max="10002" width="11.54296875" style="1" bestFit="1" customWidth="1"/>
    <col min="10003" max="10003" width="13.81640625" style="1" bestFit="1" customWidth="1"/>
    <col min="10004" max="10241" width="11.453125" style="1"/>
    <col min="10242" max="10242" width="20.26953125" style="1" customWidth="1"/>
    <col min="10243" max="10243" width="21.7265625" style="1" customWidth="1"/>
    <col min="10244" max="10244" width="22" style="1" customWidth="1"/>
    <col min="10245" max="10245" width="17.1796875" style="1" customWidth="1"/>
    <col min="10246" max="10246" width="21.453125" style="1" customWidth="1"/>
    <col min="10247" max="10247" width="19.54296875" style="1" customWidth="1"/>
    <col min="10248" max="10248" width="14.1796875" style="1" bestFit="1" customWidth="1"/>
    <col min="10249" max="10249" width="8.453125" style="1" customWidth="1"/>
    <col min="10250" max="10250" width="14.453125" style="1" bestFit="1" customWidth="1"/>
    <col min="10251" max="10251" width="4.453125" style="1" customWidth="1"/>
    <col min="10252" max="10252" width="14.453125" style="1" bestFit="1" customWidth="1"/>
    <col min="10253" max="10253" width="13.453125" style="1" customWidth="1"/>
    <col min="10254" max="10254" width="14.7265625" style="1" bestFit="1" customWidth="1"/>
    <col min="10255" max="10255" width="14.26953125" style="1" bestFit="1" customWidth="1"/>
    <col min="10256" max="10256" width="14.26953125" style="1" customWidth="1"/>
    <col min="10257" max="10257" width="14" style="1" bestFit="1" customWidth="1"/>
    <col min="10258" max="10258" width="11.54296875" style="1" bestFit="1" customWidth="1"/>
    <col min="10259" max="10259" width="13.81640625" style="1" bestFit="1" customWidth="1"/>
    <col min="10260" max="10497" width="11.453125" style="1"/>
    <col min="10498" max="10498" width="20.26953125" style="1" customWidth="1"/>
    <col min="10499" max="10499" width="21.7265625" style="1" customWidth="1"/>
    <col min="10500" max="10500" width="22" style="1" customWidth="1"/>
    <col min="10501" max="10501" width="17.1796875" style="1" customWidth="1"/>
    <col min="10502" max="10502" width="21.453125" style="1" customWidth="1"/>
    <col min="10503" max="10503" width="19.54296875" style="1" customWidth="1"/>
    <col min="10504" max="10504" width="14.1796875" style="1" bestFit="1" customWidth="1"/>
    <col min="10505" max="10505" width="8.453125" style="1" customWidth="1"/>
    <col min="10506" max="10506" width="14.453125" style="1" bestFit="1" customWidth="1"/>
    <col min="10507" max="10507" width="4.453125" style="1" customWidth="1"/>
    <col min="10508" max="10508" width="14.453125" style="1" bestFit="1" customWidth="1"/>
    <col min="10509" max="10509" width="13.453125" style="1" customWidth="1"/>
    <col min="10510" max="10510" width="14.7265625" style="1" bestFit="1" customWidth="1"/>
    <col min="10511" max="10511" width="14.26953125" style="1" bestFit="1" customWidth="1"/>
    <col min="10512" max="10512" width="14.26953125" style="1" customWidth="1"/>
    <col min="10513" max="10513" width="14" style="1" bestFit="1" customWidth="1"/>
    <col min="10514" max="10514" width="11.54296875" style="1" bestFit="1" customWidth="1"/>
    <col min="10515" max="10515" width="13.81640625" style="1" bestFit="1" customWidth="1"/>
    <col min="10516" max="10753" width="11.453125" style="1"/>
    <col min="10754" max="10754" width="20.26953125" style="1" customWidth="1"/>
    <col min="10755" max="10755" width="21.7265625" style="1" customWidth="1"/>
    <col min="10756" max="10756" width="22" style="1" customWidth="1"/>
    <col min="10757" max="10757" width="17.1796875" style="1" customWidth="1"/>
    <col min="10758" max="10758" width="21.453125" style="1" customWidth="1"/>
    <col min="10759" max="10759" width="19.54296875" style="1" customWidth="1"/>
    <col min="10760" max="10760" width="14.1796875" style="1" bestFit="1" customWidth="1"/>
    <col min="10761" max="10761" width="8.453125" style="1" customWidth="1"/>
    <col min="10762" max="10762" width="14.453125" style="1" bestFit="1" customWidth="1"/>
    <col min="10763" max="10763" width="4.453125" style="1" customWidth="1"/>
    <col min="10764" max="10764" width="14.453125" style="1" bestFit="1" customWidth="1"/>
    <col min="10765" max="10765" width="13.453125" style="1" customWidth="1"/>
    <col min="10766" max="10766" width="14.7265625" style="1" bestFit="1" customWidth="1"/>
    <col min="10767" max="10767" width="14.26953125" style="1" bestFit="1" customWidth="1"/>
    <col min="10768" max="10768" width="14.26953125" style="1" customWidth="1"/>
    <col min="10769" max="10769" width="14" style="1" bestFit="1" customWidth="1"/>
    <col min="10770" max="10770" width="11.54296875" style="1" bestFit="1" customWidth="1"/>
    <col min="10771" max="10771" width="13.81640625" style="1" bestFit="1" customWidth="1"/>
    <col min="10772" max="11009" width="11.453125" style="1"/>
    <col min="11010" max="11010" width="20.26953125" style="1" customWidth="1"/>
    <col min="11011" max="11011" width="21.7265625" style="1" customWidth="1"/>
    <col min="11012" max="11012" width="22" style="1" customWidth="1"/>
    <col min="11013" max="11013" width="17.1796875" style="1" customWidth="1"/>
    <col min="11014" max="11014" width="21.453125" style="1" customWidth="1"/>
    <col min="11015" max="11015" width="19.54296875" style="1" customWidth="1"/>
    <col min="11016" max="11016" width="14.1796875" style="1" bestFit="1" customWidth="1"/>
    <col min="11017" max="11017" width="8.453125" style="1" customWidth="1"/>
    <col min="11018" max="11018" width="14.453125" style="1" bestFit="1" customWidth="1"/>
    <col min="11019" max="11019" width="4.453125" style="1" customWidth="1"/>
    <col min="11020" max="11020" width="14.453125" style="1" bestFit="1" customWidth="1"/>
    <col min="11021" max="11021" width="13.453125" style="1" customWidth="1"/>
    <col min="11022" max="11022" width="14.7265625" style="1" bestFit="1" customWidth="1"/>
    <col min="11023" max="11023" width="14.26953125" style="1" bestFit="1" customWidth="1"/>
    <col min="11024" max="11024" width="14.26953125" style="1" customWidth="1"/>
    <col min="11025" max="11025" width="14" style="1" bestFit="1" customWidth="1"/>
    <col min="11026" max="11026" width="11.54296875" style="1" bestFit="1" customWidth="1"/>
    <col min="11027" max="11027" width="13.81640625" style="1" bestFit="1" customWidth="1"/>
    <col min="11028" max="11265" width="11.453125" style="1"/>
    <col min="11266" max="11266" width="20.26953125" style="1" customWidth="1"/>
    <col min="11267" max="11267" width="21.7265625" style="1" customWidth="1"/>
    <col min="11268" max="11268" width="22" style="1" customWidth="1"/>
    <col min="11269" max="11269" width="17.1796875" style="1" customWidth="1"/>
    <col min="11270" max="11270" width="21.453125" style="1" customWidth="1"/>
    <col min="11271" max="11271" width="19.54296875" style="1" customWidth="1"/>
    <col min="11272" max="11272" width="14.1796875" style="1" bestFit="1" customWidth="1"/>
    <col min="11273" max="11273" width="8.453125" style="1" customWidth="1"/>
    <col min="11274" max="11274" width="14.453125" style="1" bestFit="1" customWidth="1"/>
    <col min="11275" max="11275" width="4.453125" style="1" customWidth="1"/>
    <col min="11276" max="11276" width="14.453125" style="1" bestFit="1" customWidth="1"/>
    <col min="11277" max="11277" width="13.453125" style="1" customWidth="1"/>
    <col min="11278" max="11278" width="14.7265625" style="1" bestFit="1" customWidth="1"/>
    <col min="11279" max="11279" width="14.26953125" style="1" bestFit="1" customWidth="1"/>
    <col min="11280" max="11280" width="14.26953125" style="1" customWidth="1"/>
    <col min="11281" max="11281" width="14" style="1" bestFit="1" customWidth="1"/>
    <col min="11282" max="11282" width="11.54296875" style="1" bestFit="1" customWidth="1"/>
    <col min="11283" max="11283" width="13.81640625" style="1" bestFit="1" customWidth="1"/>
    <col min="11284" max="11521" width="11.453125" style="1"/>
    <col min="11522" max="11522" width="20.26953125" style="1" customWidth="1"/>
    <col min="11523" max="11523" width="21.7265625" style="1" customWidth="1"/>
    <col min="11524" max="11524" width="22" style="1" customWidth="1"/>
    <col min="11525" max="11525" width="17.1796875" style="1" customWidth="1"/>
    <col min="11526" max="11526" width="21.453125" style="1" customWidth="1"/>
    <col min="11527" max="11527" width="19.54296875" style="1" customWidth="1"/>
    <col min="11528" max="11528" width="14.1796875" style="1" bestFit="1" customWidth="1"/>
    <col min="11529" max="11529" width="8.453125" style="1" customWidth="1"/>
    <col min="11530" max="11530" width="14.453125" style="1" bestFit="1" customWidth="1"/>
    <col min="11531" max="11531" width="4.453125" style="1" customWidth="1"/>
    <col min="11532" max="11532" width="14.453125" style="1" bestFit="1" customWidth="1"/>
    <col min="11533" max="11533" width="13.453125" style="1" customWidth="1"/>
    <col min="11534" max="11534" width="14.7265625" style="1" bestFit="1" customWidth="1"/>
    <col min="11535" max="11535" width="14.26953125" style="1" bestFit="1" customWidth="1"/>
    <col min="11536" max="11536" width="14.26953125" style="1" customWidth="1"/>
    <col min="11537" max="11537" width="14" style="1" bestFit="1" customWidth="1"/>
    <col min="11538" max="11538" width="11.54296875" style="1" bestFit="1" customWidth="1"/>
    <col min="11539" max="11539" width="13.81640625" style="1" bestFit="1" customWidth="1"/>
    <col min="11540" max="11777" width="11.453125" style="1"/>
    <col min="11778" max="11778" width="20.26953125" style="1" customWidth="1"/>
    <col min="11779" max="11779" width="21.7265625" style="1" customWidth="1"/>
    <col min="11780" max="11780" width="22" style="1" customWidth="1"/>
    <col min="11781" max="11781" width="17.1796875" style="1" customWidth="1"/>
    <col min="11782" max="11782" width="21.453125" style="1" customWidth="1"/>
    <col min="11783" max="11783" width="19.54296875" style="1" customWidth="1"/>
    <col min="11784" max="11784" width="14.1796875" style="1" bestFit="1" customWidth="1"/>
    <col min="11785" max="11785" width="8.453125" style="1" customWidth="1"/>
    <col min="11786" max="11786" width="14.453125" style="1" bestFit="1" customWidth="1"/>
    <col min="11787" max="11787" width="4.453125" style="1" customWidth="1"/>
    <col min="11788" max="11788" width="14.453125" style="1" bestFit="1" customWidth="1"/>
    <col min="11789" max="11789" width="13.453125" style="1" customWidth="1"/>
    <col min="11790" max="11790" width="14.7265625" style="1" bestFit="1" customWidth="1"/>
    <col min="11791" max="11791" width="14.26953125" style="1" bestFit="1" customWidth="1"/>
    <col min="11792" max="11792" width="14.26953125" style="1" customWidth="1"/>
    <col min="11793" max="11793" width="14" style="1" bestFit="1" customWidth="1"/>
    <col min="11794" max="11794" width="11.54296875" style="1" bestFit="1" customWidth="1"/>
    <col min="11795" max="11795" width="13.81640625" style="1" bestFit="1" customWidth="1"/>
    <col min="11796" max="12033" width="11.453125" style="1"/>
    <col min="12034" max="12034" width="20.26953125" style="1" customWidth="1"/>
    <col min="12035" max="12035" width="21.7265625" style="1" customWidth="1"/>
    <col min="12036" max="12036" width="22" style="1" customWidth="1"/>
    <col min="12037" max="12037" width="17.1796875" style="1" customWidth="1"/>
    <col min="12038" max="12038" width="21.453125" style="1" customWidth="1"/>
    <col min="12039" max="12039" width="19.54296875" style="1" customWidth="1"/>
    <col min="12040" max="12040" width="14.1796875" style="1" bestFit="1" customWidth="1"/>
    <col min="12041" max="12041" width="8.453125" style="1" customWidth="1"/>
    <col min="12042" max="12042" width="14.453125" style="1" bestFit="1" customWidth="1"/>
    <col min="12043" max="12043" width="4.453125" style="1" customWidth="1"/>
    <col min="12044" max="12044" width="14.453125" style="1" bestFit="1" customWidth="1"/>
    <col min="12045" max="12045" width="13.453125" style="1" customWidth="1"/>
    <col min="12046" max="12046" width="14.7265625" style="1" bestFit="1" customWidth="1"/>
    <col min="12047" max="12047" width="14.26953125" style="1" bestFit="1" customWidth="1"/>
    <col min="12048" max="12048" width="14.26953125" style="1" customWidth="1"/>
    <col min="12049" max="12049" width="14" style="1" bestFit="1" customWidth="1"/>
    <col min="12050" max="12050" width="11.54296875" style="1" bestFit="1" customWidth="1"/>
    <col min="12051" max="12051" width="13.81640625" style="1" bestFit="1" customWidth="1"/>
    <col min="12052" max="12289" width="11.453125" style="1"/>
    <col min="12290" max="12290" width="20.26953125" style="1" customWidth="1"/>
    <col min="12291" max="12291" width="21.7265625" style="1" customWidth="1"/>
    <col min="12292" max="12292" width="22" style="1" customWidth="1"/>
    <col min="12293" max="12293" width="17.1796875" style="1" customWidth="1"/>
    <col min="12294" max="12294" width="21.453125" style="1" customWidth="1"/>
    <col min="12295" max="12295" width="19.54296875" style="1" customWidth="1"/>
    <col min="12296" max="12296" width="14.1796875" style="1" bestFit="1" customWidth="1"/>
    <col min="12297" max="12297" width="8.453125" style="1" customWidth="1"/>
    <col min="12298" max="12298" width="14.453125" style="1" bestFit="1" customWidth="1"/>
    <col min="12299" max="12299" width="4.453125" style="1" customWidth="1"/>
    <col min="12300" max="12300" width="14.453125" style="1" bestFit="1" customWidth="1"/>
    <col min="12301" max="12301" width="13.453125" style="1" customWidth="1"/>
    <col min="12302" max="12302" width="14.7265625" style="1" bestFit="1" customWidth="1"/>
    <col min="12303" max="12303" width="14.26953125" style="1" bestFit="1" customWidth="1"/>
    <col min="12304" max="12304" width="14.26953125" style="1" customWidth="1"/>
    <col min="12305" max="12305" width="14" style="1" bestFit="1" customWidth="1"/>
    <col min="12306" max="12306" width="11.54296875" style="1" bestFit="1" customWidth="1"/>
    <col min="12307" max="12307" width="13.81640625" style="1" bestFit="1" customWidth="1"/>
    <col min="12308" max="12545" width="11.453125" style="1"/>
    <col min="12546" max="12546" width="20.26953125" style="1" customWidth="1"/>
    <col min="12547" max="12547" width="21.7265625" style="1" customWidth="1"/>
    <col min="12548" max="12548" width="22" style="1" customWidth="1"/>
    <col min="12549" max="12549" width="17.1796875" style="1" customWidth="1"/>
    <col min="12550" max="12550" width="21.453125" style="1" customWidth="1"/>
    <col min="12551" max="12551" width="19.54296875" style="1" customWidth="1"/>
    <col min="12552" max="12552" width="14.1796875" style="1" bestFit="1" customWidth="1"/>
    <col min="12553" max="12553" width="8.453125" style="1" customWidth="1"/>
    <col min="12554" max="12554" width="14.453125" style="1" bestFit="1" customWidth="1"/>
    <col min="12555" max="12555" width="4.453125" style="1" customWidth="1"/>
    <col min="12556" max="12556" width="14.453125" style="1" bestFit="1" customWidth="1"/>
    <col min="12557" max="12557" width="13.453125" style="1" customWidth="1"/>
    <col min="12558" max="12558" width="14.7265625" style="1" bestFit="1" customWidth="1"/>
    <col min="12559" max="12559" width="14.26953125" style="1" bestFit="1" customWidth="1"/>
    <col min="12560" max="12560" width="14.26953125" style="1" customWidth="1"/>
    <col min="12561" max="12561" width="14" style="1" bestFit="1" customWidth="1"/>
    <col min="12562" max="12562" width="11.54296875" style="1" bestFit="1" customWidth="1"/>
    <col min="12563" max="12563" width="13.81640625" style="1" bestFit="1" customWidth="1"/>
    <col min="12564" max="12801" width="11.453125" style="1"/>
    <col min="12802" max="12802" width="20.26953125" style="1" customWidth="1"/>
    <col min="12803" max="12803" width="21.7265625" style="1" customWidth="1"/>
    <col min="12804" max="12804" width="22" style="1" customWidth="1"/>
    <col min="12805" max="12805" width="17.1796875" style="1" customWidth="1"/>
    <col min="12806" max="12806" width="21.453125" style="1" customWidth="1"/>
    <col min="12807" max="12807" width="19.54296875" style="1" customWidth="1"/>
    <col min="12808" max="12808" width="14.1796875" style="1" bestFit="1" customWidth="1"/>
    <col min="12809" max="12809" width="8.453125" style="1" customWidth="1"/>
    <col min="12810" max="12810" width="14.453125" style="1" bestFit="1" customWidth="1"/>
    <col min="12811" max="12811" width="4.453125" style="1" customWidth="1"/>
    <col min="12812" max="12812" width="14.453125" style="1" bestFit="1" customWidth="1"/>
    <col min="12813" max="12813" width="13.453125" style="1" customWidth="1"/>
    <col min="12814" max="12814" width="14.7265625" style="1" bestFit="1" customWidth="1"/>
    <col min="12815" max="12815" width="14.26953125" style="1" bestFit="1" customWidth="1"/>
    <col min="12816" max="12816" width="14.26953125" style="1" customWidth="1"/>
    <col min="12817" max="12817" width="14" style="1" bestFit="1" customWidth="1"/>
    <col min="12818" max="12818" width="11.54296875" style="1" bestFit="1" customWidth="1"/>
    <col min="12819" max="12819" width="13.81640625" style="1" bestFit="1" customWidth="1"/>
    <col min="12820" max="13057" width="11.453125" style="1"/>
    <col min="13058" max="13058" width="20.26953125" style="1" customWidth="1"/>
    <col min="13059" max="13059" width="21.7265625" style="1" customWidth="1"/>
    <col min="13060" max="13060" width="22" style="1" customWidth="1"/>
    <col min="13061" max="13061" width="17.1796875" style="1" customWidth="1"/>
    <col min="13062" max="13062" width="21.453125" style="1" customWidth="1"/>
    <col min="13063" max="13063" width="19.54296875" style="1" customWidth="1"/>
    <col min="13064" max="13064" width="14.1796875" style="1" bestFit="1" customWidth="1"/>
    <col min="13065" max="13065" width="8.453125" style="1" customWidth="1"/>
    <col min="13066" max="13066" width="14.453125" style="1" bestFit="1" customWidth="1"/>
    <col min="13067" max="13067" width="4.453125" style="1" customWidth="1"/>
    <col min="13068" max="13068" width="14.453125" style="1" bestFit="1" customWidth="1"/>
    <col min="13069" max="13069" width="13.453125" style="1" customWidth="1"/>
    <col min="13070" max="13070" width="14.7265625" style="1" bestFit="1" customWidth="1"/>
    <col min="13071" max="13071" width="14.26953125" style="1" bestFit="1" customWidth="1"/>
    <col min="13072" max="13072" width="14.26953125" style="1" customWidth="1"/>
    <col min="13073" max="13073" width="14" style="1" bestFit="1" customWidth="1"/>
    <col min="13074" max="13074" width="11.54296875" style="1" bestFit="1" customWidth="1"/>
    <col min="13075" max="13075" width="13.81640625" style="1" bestFit="1" customWidth="1"/>
    <col min="13076" max="13313" width="11.453125" style="1"/>
    <col min="13314" max="13314" width="20.26953125" style="1" customWidth="1"/>
    <col min="13315" max="13315" width="21.7265625" style="1" customWidth="1"/>
    <col min="13316" max="13316" width="22" style="1" customWidth="1"/>
    <col min="13317" max="13317" width="17.1796875" style="1" customWidth="1"/>
    <col min="13318" max="13318" width="21.453125" style="1" customWidth="1"/>
    <col min="13319" max="13319" width="19.54296875" style="1" customWidth="1"/>
    <col min="13320" max="13320" width="14.1796875" style="1" bestFit="1" customWidth="1"/>
    <col min="13321" max="13321" width="8.453125" style="1" customWidth="1"/>
    <col min="13322" max="13322" width="14.453125" style="1" bestFit="1" customWidth="1"/>
    <col min="13323" max="13323" width="4.453125" style="1" customWidth="1"/>
    <col min="13324" max="13324" width="14.453125" style="1" bestFit="1" customWidth="1"/>
    <col min="13325" max="13325" width="13.453125" style="1" customWidth="1"/>
    <col min="13326" max="13326" width="14.7265625" style="1" bestFit="1" customWidth="1"/>
    <col min="13327" max="13327" width="14.26953125" style="1" bestFit="1" customWidth="1"/>
    <col min="13328" max="13328" width="14.26953125" style="1" customWidth="1"/>
    <col min="13329" max="13329" width="14" style="1" bestFit="1" customWidth="1"/>
    <col min="13330" max="13330" width="11.54296875" style="1" bestFit="1" customWidth="1"/>
    <col min="13331" max="13331" width="13.81640625" style="1" bestFit="1" customWidth="1"/>
    <col min="13332" max="13569" width="11.453125" style="1"/>
    <col min="13570" max="13570" width="20.26953125" style="1" customWidth="1"/>
    <col min="13571" max="13571" width="21.7265625" style="1" customWidth="1"/>
    <col min="13572" max="13572" width="22" style="1" customWidth="1"/>
    <col min="13573" max="13573" width="17.1796875" style="1" customWidth="1"/>
    <col min="13574" max="13574" width="21.453125" style="1" customWidth="1"/>
    <col min="13575" max="13575" width="19.54296875" style="1" customWidth="1"/>
    <col min="13576" max="13576" width="14.1796875" style="1" bestFit="1" customWidth="1"/>
    <col min="13577" max="13577" width="8.453125" style="1" customWidth="1"/>
    <col min="13578" max="13578" width="14.453125" style="1" bestFit="1" customWidth="1"/>
    <col min="13579" max="13579" width="4.453125" style="1" customWidth="1"/>
    <col min="13580" max="13580" width="14.453125" style="1" bestFit="1" customWidth="1"/>
    <col min="13581" max="13581" width="13.453125" style="1" customWidth="1"/>
    <col min="13582" max="13582" width="14.7265625" style="1" bestFit="1" customWidth="1"/>
    <col min="13583" max="13583" width="14.26953125" style="1" bestFit="1" customWidth="1"/>
    <col min="13584" max="13584" width="14.26953125" style="1" customWidth="1"/>
    <col min="13585" max="13585" width="14" style="1" bestFit="1" customWidth="1"/>
    <col min="13586" max="13586" width="11.54296875" style="1" bestFit="1" customWidth="1"/>
    <col min="13587" max="13587" width="13.81640625" style="1" bestFit="1" customWidth="1"/>
    <col min="13588" max="13825" width="11.453125" style="1"/>
    <col min="13826" max="13826" width="20.26953125" style="1" customWidth="1"/>
    <col min="13827" max="13827" width="21.7265625" style="1" customWidth="1"/>
    <col min="13828" max="13828" width="22" style="1" customWidth="1"/>
    <col min="13829" max="13829" width="17.1796875" style="1" customWidth="1"/>
    <col min="13830" max="13830" width="21.453125" style="1" customWidth="1"/>
    <col min="13831" max="13831" width="19.54296875" style="1" customWidth="1"/>
    <col min="13832" max="13832" width="14.1796875" style="1" bestFit="1" customWidth="1"/>
    <col min="13833" max="13833" width="8.453125" style="1" customWidth="1"/>
    <col min="13834" max="13834" width="14.453125" style="1" bestFit="1" customWidth="1"/>
    <col min="13835" max="13835" width="4.453125" style="1" customWidth="1"/>
    <col min="13836" max="13836" width="14.453125" style="1" bestFit="1" customWidth="1"/>
    <col min="13837" max="13837" width="13.453125" style="1" customWidth="1"/>
    <col min="13838" max="13838" width="14.7265625" style="1" bestFit="1" customWidth="1"/>
    <col min="13839" max="13839" width="14.26953125" style="1" bestFit="1" customWidth="1"/>
    <col min="13840" max="13840" width="14.26953125" style="1" customWidth="1"/>
    <col min="13841" max="13841" width="14" style="1" bestFit="1" customWidth="1"/>
    <col min="13842" max="13842" width="11.54296875" style="1" bestFit="1" customWidth="1"/>
    <col min="13843" max="13843" width="13.81640625" style="1" bestFit="1" customWidth="1"/>
    <col min="13844" max="14081" width="11.453125" style="1"/>
    <col min="14082" max="14082" width="20.26953125" style="1" customWidth="1"/>
    <col min="14083" max="14083" width="21.7265625" style="1" customWidth="1"/>
    <col min="14084" max="14084" width="22" style="1" customWidth="1"/>
    <col min="14085" max="14085" width="17.1796875" style="1" customWidth="1"/>
    <col min="14086" max="14086" width="21.453125" style="1" customWidth="1"/>
    <col min="14087" max="14087" width="19.54296875" style="1" customWidth="1"/>
    <col min="14088" max="14088" width="14.1796875" style="1" bestFit="1" customWidth="1"/>
    <col min="14089" max="14089" width="8.453125" style="1" customWidth="1"/>
    <col min="14090" max="14090" width="14.453125" style="1" bestFit="1" customWidth="1"/>
    <col min="14091" max="14091" width="4.453125" style="1" customWidth="1"/>
    <col min="14092" max="14092" width="14.453125" style="1" bestFit="1" customWidth="1"/>
    <col min="14093" max="14093" width="13.453125" style="1" customWidth="1"/>
    <col min="14094" max="14094" width="14.7265625" style="1" bestFit="1" customWidth="1"/>
    <col min="14095" max="14095" width="14.26953125" style="1" bestFit="1" customWidth="1"/>
    <col min="14096" max="14096" width="14.26953125" style="1" customWidth="1"/>
    <col min="14097" max="14097" width="14" style="1" bestFit="1" customWidth="1"/>
    <col min="14098" max="14098" width="11.54296875" style="1" bestFit="1" customWidth="1"/>
    <col min="14099" max="14099" width="13.81640625" style="1" bestFit="1" customWidth="1"/>
    <col min="14100" max="14337" width="11.453125" style="1"/>
    <col min="14338" max="14338" width="20.26953125" style="1" customWidth="1"/>
    <col min="14339" max="14339" width="21.7265625" style="1" customWidth="1"/>
    <col min="14340" max="14340" width="22" style="1" customWidth="1"/>
    <col min="14341" max="14341" width="17.1796875" style="1" customWidth="1"/>
    <col min="14342" max="14342" width="21.453125" style="1" customWidth="1"/>
    <col min="14343" max="14343" width="19.54296875" style="1" customWidth="1"/>
    <col min="14344" max="14344" width="14.1796875" style="1" bestFit="1" customWidth="1"/>
    <col min="14345" max="14345" width="8.453125" style="1" customWidth="1"/>
    <col min="14346" max="14346" width="14.453125" style="1" bestFit="1" customWidth="1"/>
    <col min="14347" max="14347" width="4.453125" style="1" customWidth="1"/>
    <col min="14348" max="14348" width="14.453125" style="1" bestFit="1" customWidth="1"/>
    <col min="14349" max="14349" width="13.453125" style="1" customWidth="1"/>
    <col min="14350" max="14350" width="14.7265625" style="1" bestFit="1" customWidth="1"/>
    <col min="14351" max="14351" width="14.26953125" style="1" bestFit="1" customWidth="1"/>
    <col min="14352" max="14352" width="14.26953125" style="1" customWidth="1"/>
    <col min="14353" max="14353" width="14" style="1" bestFit="1" customWidth="1"/>
    <col min="14354" max="14354" width="11.54296875" style="1" bestFit="1" customWidth="1"/>
    <col min="14355" max="14355" width="13.81640625" style="1" bestFit="1" customWidth="1"/>
    <col min="14356" max="14593" width="11.453125" style="1"/>
    <col min="14594" max="14594" width="20.26953125" style="1" customWidth="1"/>
    <col min="14595" max="14595" width="21.7265625" style="1" customWidth="1"/>
    <col min="14596" max="14596" width="22" style="1" customWidth="1"/>
    <col min="14597" max="14597" width="17.1796875" style="1" customWidth="1"/>
    <col min="14598" max="14598" width="21.453125" style="1" customWidth="1"/>
    <col min="14599" max="14599" width="19.54296875" style="1" customWidth="1"/>
    <col min="14600" max="14600" width="14.1796875" style="1" bestFit="1" customWidth="1"/>
    <col min="14601" max="14601" width="8.453125" style="1" customWidth="1"/>
    <col min="14602" max="14602" width="14.453125" style="1" bestFit="1" customWidth="1"/>
    <col min="14603" max="14603" width="4.453125" style="1" customWidth="1"/>
    <col min="14604" max="14604" width="14.453125" style="1" bestFit="1" customWidth="1"/>
    <col min="14605" max="14605" width="13.453125" style="1" customWidth="1"/>
    <col min="14606" max="14606" width="14.7265625" style="1" bestFit="1" customWidth="1"/>
    <col min="14607" max="14607" width="14.26953125" style="1" bestFit="1" customWidth="1"/>
    <col min="14608" max="14608" width="14.26953125" style="1" customWidth="1"/>
    <col min="14609" max="14609" width="14" style="1" bestFit="1" customWidth="1"/>
    <col min="14610" max="14610" width="11.54296875" style="1" bestFit="1" customWidth="1"/>
    <col min="14611" max="14611" width="13.81640625" style="1" bestFit="1" customWidth="1"/>
    <col min="14612" max="14849" width="11.453125" style="1"/>
    <col min="14850" max="14850" width="20.26953125" style="1" customWidth="1"/>
    <col min="14851" max="14851" width="21.7265625" style="1" customWidth="1"/>
    <col min="14852" max="14852" width="22" style="1" customWidth="1"/>
    <col min="14853" max="14853" width="17.1796875" style="1" customWidth="1"/>
    <col min="14854" max="14854" width="21.453125" style="1" customWidth="1"/>
    <col min="14855" max="14855" width="19.54296875" style="1" customWidth="1"/>
    <col min="14856" max="14856" width="14.1796875" style="1" bestFit="1" customWidth="1"/>
    <col min="14857" max="14857" width="8.453125" style="1" customWidth="1"/>
    <col min="14858" max="14858" width="14.453125" style="1" bestFit="1" customWidth="1"/>
    <col min="14859" max="14859" width="4.453125" style="1" customWidth="1"/>
    <col min="14860" max="14860" width="14.453125" style="1" bestFit="1" customWidth="1"/>
    <col min="14861" max="14861" width="13.453125" style="1" customWidth="1"/>
    <col min="14862" max="14862" width="14.7265625" style="1" bestFit="1" customWidth="1"/>
    <col min="14863" max="14863" width="14.26953125" style="1" bestFit="1" customWidth="1"/>
    <col min="14864" max="14864" width="14.26953125" style="1" customWidth="1"/>
    <col min="14865" max="14865" width="14" style="1" bestFit="1" customWidth="1"/>
    <col min="14866" max="14866" width="11.54296875" style="1" bestFit="1" customWidth="1"/>
    <col min="14867" max="14867" width="13.81640625" style="1" bestFit="1" customWidth="1"/>
    <col min="14868" max="15105" width="11.453125" style="1"/>
    <col min="15106" max="15106" width="20.26953125" style="1" customWidth="1"/>
    <col min="15107" max="15107" width="21.7265625" style="1" customWidth="1"/>
    <col min="15108" max="15108" width="22" style="1" customWidth="1"/>
    <col min="15109" max="15109" width="17.1796875" style="1" customWidth="1"/>
    <col min="15110" max="15110" width="21.453125" style="1" customWidth="1"/>
    <col min="15111" max="15111" width="19.54296875" style="1" customWidth="1"/>
    <col min="15112" max="15112" width="14.1796875" style="1" bestFit="1" customWidth="1"/>
    <col min="15113" max="15113" width="8.453125" style="1" customWidth="1"/>
    <col min="15114" max="15114" width="14.453125" style="1" bestFit="1" customWidth="1"/>
    <col min="15115" max="15115" width="4.453125" style="1" customWidth="1"/>
    <col min="15116" max="15116" width="14.453125" style="1" bestFit="1" customWidth="1"/>
    <col min="15117" max="15117" width="13.453125" style="1" customWidth="1"/>
    <col min="15118" max="15118" width="14.7265625" style="1" bestFit="1" customWidth="1"/>
    <col min="15119" max="15119" width="14.26953125" style="1" bestFit="1" customWidth="1"/>
    <col min="15120" max="15120" width="14.26953125" style="1" customWidth="1"/>
    <col min="15121" max="15121" width="14" style="1" bestFit="1" customWidth="1"/>
    <col min="15122" max="15122" width="11.54296875" style="1" bestFit="1" customWidth="1"/>
    <col min="15123" max="15123" width="13.81640625" style="1" bestFit="1" customWidth="1"/>
    <col min="15124" max="15361" width="11.453125" style="1"/>
    <col min="15362" max="15362" width="20.26953125" style="1" customWidth="1"/>
    <col min="15363" max="15363" width="21.7265625" style="1" customWidth="1"/>
    <col min="15364" max="15364" width="22" style="1" customWidth="1"/>
    <col min="15365" max="15365" width="17.1796875" style="1" customWidth="1"/>
    <col min="15366" max="15366" width="21.453125" style="1" customWidth="1"/>
    <col min="15367" max="15367" width="19.54296875" style="1" customWidth="1"/>
    <col min="15368" max="15368" width="14.1796875" style="1" bestFit="1" customWidth="1"/>
    <col min="15369" max="15369" width="8.453125" style="1" customWidth="1"/>
    <col min="15370" max="15370" width="14.453125" style="1" bestFit="1" customWidth="1"/>
    <col min="15371" max="15371" width="4.453125" style="1" customWidth="1"/>
    <col min="15372" max="15372" width="14.453125" style="1" bestFit="1" customWidth="1"/>
    <col min="15373" max="15373" width="13.453125" style="1" customWidth="1"/>
    <col min="15374" max="15374" width="14.7265625" style="1" bestFit="1" customWidth="1"/>
    <col min="15375" max="15375" width="14.26953125" style="1" bestFit="1" customWidth="1"/>
    <col min="15376" max="15376" width="14.26953125" style="1" customWidth="1"/>
    <col min="15377" max="15377" width="14" style="1" bestFit="1" customWidth="1"/>
    <col min="15378" max="15378" width="11.54296875" style="1" bestFit="1" customWidth="1"/>
    <col min="15379" max="15379" width="13.81640625" style="1" bestFit="1" customWidth="1"/>
    <col min="15380" max="15617" width="11.453125" style="1"/>
    <col min="15618" max="15618" width="20.26953125" style="1" customWidth="1"/>
    <col min="15619" max="15619" width="21.7265625" style="1" customWidth="1"/>
    <col min="15620" max="15620" width="22" style="1" customWidth="1"/>
    <col min="15621" max="15621" width="17.1796875" style="1" customWidth="1"/>
    <col min="15622" max="15622" width="21.453125" style="1" customWidth="1"/>
    <col min="15623" max="15623" width="19.54296875" style="1" customWidth="1"/>
    <col min="15624" max="15624" width="14.1796875" style="1" bestFit="1" customWidth="1"/>
    <col min="15625" max="15625" width="8.453125" style="1" customWidth="1"/>
    <col min="15626" max="15626" width="14.453125" style="1" bestFit="1" customWidth="1"/>
    <col min="15627" max="15627" width="4.453125" style="1" customWidth="1"/>
    <col min="15628" max="15628" width="14.453125" style="1" bestFit="1" customWidth="1"/>
    <col min="15629" max="15629" width="13.453125" style="1" customWidth="1"/>
    <col min="15630" max="15630" width="14.7265625" style="1" bestFit="1" customWidth="1"/>
    <col min="15631" max="15631" width="14.26953125" style="1" bestFit="1" customWidth="1"/>
    <col min="15632" max="15632" width="14.26953125" style="1" customWidth="1"/>
    <col min="15633" max="15633" width="14" style="1" bestFit="1" customWidth="1"/>
    <col min="15634" max="15634" width="11.54296875" style="1" bestFit="1" customWidth="1"/>
    <col min="15635" max="15635" width="13.81640625" style="1" bestFit="1" customWidth="1"/>
    <col min="15636" max="15873" width="11.453125" style="1"/>
    <col min="15874" max="15874" width="20.26953125" style="1" customWidth="1"/>
    <col min="15875" max="15875" width="21.7265625" style="1" customWidth="1"/>
    <col min="15876" max="15876" width="22" style="1" customWidth="1"/>
    <col min="15877" max="15877" width="17.1796875" style="1" customWidth="1"/>
    <col min="15878" max="15878" width="21.453125" style="1" customWidth="1"/>
    <col min="15879" max="15879" width="19.54296875" style="1" customWidth="1"/>
    <col min="15880" max="15880" width="14.1796875" style="1" bestFit="1" customWidth="1"/>
    <col min="15881" max="15881" width="8.453125" style="1" customWidth="1"/>
    <col min="15882" max="15882" width="14.453125" style="1" bestFit="1" customWidth="1"/>
    <col min="15883" max="15883" width="4.453125" style="1" customWidth="1"/>
    <col min="15884" max="15884" width="14.453125" style="1" bestFit="1" customWidth="1"/>
    <col min="15885" max="15885" width="13.453125" style="1" customWidth="1"/>
    <col min="15886" max="15886" width="14.7265625" style="1" bestFit="1" customWidth="1"/>
    <col min="15887" max="15887" width="14.26953125" style="1" bestFit="1" customWidth="1"/>
    <col min="15888" max="15888" width="14.26953125" style="1" customWidth="1"/>
    <col min="15889" max="15889" width="14" style="1" bestFit="1" customWidth="1"/>
    <col min="15890" max="15890" width="11.54296875" style="1" bestFit="1" customWidth="1"/>
    <col min="15891" max="15891" width="13.81640625" style="1" bestFit="1" customWidth="1"/>
    <col min="15892" max="16129" width="11.453125" style="1"/>
    <col min="16130" max="16130" width="20.26953125" style="1" customWidth="1"/>
    <col min="16131" max="16131" width="21.7265625" style="1" customWidth="1"/>
    <col min="16132" max="16132" width="22" style="1" customWidth="1"/>
    <col min="16133" max="16133" width="17.1796875" style="1" customWidth="1"/>
    <col min="16134" max="16134" width="21.453125" style="1" customWidth="1"/>
    <col min="16135" max="16135" width="19.54296875" style="1" customWidth="1"/>
    <col min="16136" max="16136" width="14.1796875" style="1" bestFit="1" customWidth="1"/>
    <col min="16137" max="16137" width="8.453125" style="1" customWidth="1"/>
    <col min="16138" max="16138" width="14.453125" style="1" bestFit="1" customWidth="1"/>
    <col min="16139" max="16139" width="4.453125" style="1" customWidth="1"/>
    <col min="16140" max="16140" width="14.453125" style="1" bestFit="1" customWidth="1"/>
    <col min="16141" max="16141" width="13.453125" style="1" customWidth="1"/>
    <col min="16142" max="16142" width="14.7265625" style="1" bestFit="1" customWidth="1"/>
    <col min="16143" max="16143" width="14.26953125" style="1" bestFit="1" customWidth="1"/>
    <col min="16144" max="16144" width="14.26953125" style="1" customWidth="1"/>
    <col min="16145" max="16145" width="14" style="1" bestFit="1" customWidth="1"/>
    <col min="16146" max="16146" width="11.54296875" style="1" bestFit="1" customWidth="1"/>
    <col min="16147" max="16147" width="13.81640625" style="1" bestFit="1" customWidth="1"/>
    <col min="16148" max="16384" width="11.453125" style="1"/>
  </cols>
  <sheetData>
    <row r="1" spans="2:30" s="8" customFormat="1" ht="6" customHeight="1" thickBot="1" x14ac:dyDescent="0.35">
      <c r="B1" s="54"/>
      <c r="C1" s="55"/>
      <c r="D1" s="54"/>
      <c r="E1" s="56"/>
      <c r="F1" s="1"/>
      <c r="G1" s="1"/>
      <c r="H1" s="57"/>
      <c r="I1" s="57"/>
      <c r="J1" s="57"/>
      <c r="K1" s="57"/>
      <c r="L1" s="58"/>
      <c r="M1" s="59"/>
      <c r="N1" s="59"/>
      <c r="O1" s="5"/>
      <c r="P1" s="5"/>
      <c r="Q1" s="60"/>
      <c r="X1" s="61"/>
      <c r="Y1" s="61"/>
      <c r="Z1" s="61"/>
      <c r="AA1" s="61"/>
      <c r="AB1" s="61"/>
      <c r="AC1" s="61"/>
    </row>
    <row r="2" spans="2:30" ht="24.5" customHeight="1" thickBot="1" x14ac:dyDescent="0.35">
      <c r="B2" s="564" t="s">
        <v>119</v>
      </c>
      <c r="C2" s="565"/>
      <c r="D2" s="565"/>
      <c r="E2" s="565"/>
      <c r="F2" s="566"/>
      <c r="G2" s="62"/>
      <c r="H2" s="286" t="s">
        <v>14</v>
      </c>
      <c r="I2" s="64">
        <v>0.95</v>
      </c>
      <c r="J2" s="62"/>
      <c r="K2" s="65"/>
      <c r="L2" s="58"/>
      <c r="M2" s="66"/>
      <c r="N2" s="66"/>
      <c r="O2" s="67"/>
      <c r="P2" s="67"/>
      <c r="Q2" s="68"/>
      <c r="R2" s="346" t="s">
        <v>143</v>
      </c>
      <c r="S2" s="5"/>
      <c r="T2" s="314" t="s">
        <v>123</v>
      </c>
      <c r="U2" s="313" t="s">
        <v>121</v>
      </c>
      <c r="V2" s="312" t="s">
        <v>122</v>
      </c>
      <c r="W2" s="61"/>
      <c r="X2" s="7"/>
      <c r="Y2" s="7"/>
      <c r="Z2" s="7"/>
      <c r="AA2" s="7"/>
      <c r="AB2" s="7"/>
      <c r="AC2" s="7"/>
      <c r="AD2" s="7"/>
    </row>
    <row r="3" spans="2:30" ht="27.75" customHeight="1" thickBot="1" x14ac:dyDescent="0.35">
      <c r="B3" s="581" t="s">
        <v>130</v>
      </c>
      <c r="C3" s="582"/>
      <c r="D3" s="582"/>
      <c r="E3" s="582"/>
      <c r="F3" s="583"/>
      <c r="G3" s="69"/>
      <c r="K3" s="65"/>
      <c r="L3" s="58"/>
      <c r="M3" s="66"/>
      <c r="N3" s="66"/>
      <c r="O3" s="67"/>
      <c r="P3" s="67"/>
      <c r="Q3" s="68"/>
      <c r="R3" s="315" t="s">
        <v>11</v>
      </c>
      <c r="S3" s="316">
        <f>V3+U3+T3</f>
        <v>174.35843392731687</v>
      </c>
      <c r="T3" s="343">
        <f>J32</f>
        <v>7.8102446190202484</v>
      </c>
      <c r="U3" s="344">
        <f>J31</f>
        <v>1</v>
      </c>
      <c r="V3" s="345">
        <f>J30</f>
        <v>165.54818930829663</v>
      </c>
      <c r="W3" s="67"/>
      <c r="X3" s="7"/>
      <c r="Y3" s="7"/>
      <c r="Z3" s="7"/>
      <c r="AA3" s="7"/>
      <c r="AB3" s="7"/>
      <c r="AC3" s="7"/>
      <c r="AD3" s="7"/>
    </row>
    <row r="4" spans="2:30" ht="14.25" customHeight="1" x14ac:dyDescent="0.3">
      <c r="B4" s="75"/>
      <c r="C4" s="70"/>
      <c r="D4" s="59"/>
      <c r="E4" s="59"/>
      <c r="F4" s="6"/>
      <c r="G4" s="329" t="s">
        <v>115</v>
      </c>
      <c r="H4" s="288">
        <v>24</v>
      </c>
      <c r="I4" s="328" t="s">
        <v>134</v>
      </c>
      <c r="K4" s="71"/>
      <c r="L4" s="72"/>
      <c r="O4" s="67"/>
      <c r="P4" s="67"/>
      <c r="Q4" s="67"/>
      <c r="R4" s="67"/>
      <c r="S4" s="67"/>
      <c r="T4" s="67"/>
      <c r="U4" s="67"/>
      <c r="V4" s="67"/>
      <c r="W4" s="67"/>
      <c r="X4" s="7"/>
      <c r="Y4" s="73"/>
      <c r="Z4" s="74"/>
      <c r="AA4" s="7"/>
      <c r="AB4" s="7"/>
      <c r="AC4" s="7"/>
      <c r="AD4" s="7"/>
    </row>
    <row r="5" spans="2:30" x14ac:dyDescent="0.3">
      <c r="B5" s="75"/>
      <c r="C5" s="524"/>
      <c r="D5" s="202" t="s">
        <v>15</v>
      </c>
      <c r="E5" s="202" t="s">
        <v>16</v>
      </c>
      <c r="F5" s="134"/>
      <c r="K5" s="76"/>
      <c r="L5" s="77"/>
      <c r="M5" s="77"/>
      <c r="N5" s="77"/>
      <c r="O5" s="67"/>
      <c r="P5" s="67"/>
      <c r="Q5" s="67"/>
      <c r="R5" s="347" t="s">
        <v>142</v>
      </c>
      <c r="S5" s="311" t="str">
        <f>I4</f>
        <v>meses</v>
      </c>
      <c r="V5" s="3" t="s">
        <v>0</v>
      </c>
      <c r="W5" s="73"/>
      <c r="X5" s="7"/>
      <c r="Y5" s="73"/>
      <c r="Z5" s="74"/>
      <c r="AA5" s="7"/>
      <c r="AB5" s="7"/>
      <c r="AC5" s="7"/>
      <c r="AD5" s="7"/>
    </row>
    <row r="6" spans="2:30" x14ac:dyDescent="0.3">
      <c r="B6" s="75"/>
      <c r="C6" s="525"/>
      <c r="D6" s="526" t="s">
        <v>17</v>
      </c>
      <c r="E6" s="526" t="s">
        <v>18</v>
      </c>
      <c r="F6" s="527" t="s">
        <v>19</v>
      </c>
      <c r="G6" s="505"/>
      <c r="H6" s="506" t="s">
        <v>137</v>
      </c>
      <c r="I6" s="506" t="s">
        <v>138</v>
      </c>
      <c r="J6" s="505"/>
      <c r="K6" s="507"/>
      <c r="L6" s="508"/>
      <c r="M6" s="508"/>
      <c r="N6" s="508"/>
      <c r="O6" s="506" t="s">
        <v>139</v>
      </c>
      <c r="P6" s="67"/>
      <c r="Q6" s="67"/>
      <c r="R6" s="12" t="s">
        <v>1</v>
      </c>
      <c r="S6" s="13">
        <f>S14</f>
        <v>0.60635400907715586</v>
      </c>
      <c r="T6" s="14">
        <f>S6/S9</f>
        <v>2.5264750378214823E-2</v>
      </c>
      <c r="V6" s="376">
        <f>S6*365.25/12</f>
        <v>18.455900151285931</v>
      </c>
      <c r="W6" s="73"/>
      <c r="X6" s="7"/>
      <c r="Y6" s="73"/>
      <c r="Z6" s="7"/>
      <c r="AA6" s="7"/>
      <c r="AB6" s="7"/>
      <c r="AC6" s="7"/>
      <c r="AD6" s="7"/>
    </row>
    <row r="7" spans="2:30" ht="12.75" customHeight="1" x14ac:dyDescent="0.3">
      <c r="C7" s="528" t="s">
        <v>211</v>
      </c>
      <c r="D7" s="486">
        <v>148</v>
      </c>
      <c r="E7" s="487">
        <f>F7-D7</f>
        <v>3156</v>
      </c>
      <c r="F7" s="488">
        <v>3304</v>
      </c>
      <c r="G7" s="509">
        <f>D7/F7</f>
        <v>4.4794188861985475E-2</v>
      </c>
      <c r="H7" s="510">
        <v>2.2800000000000001E-2</v>
      </c>
      <c r="I7" s="511">
        <f>(G7/H7)</f>
        <v>1.9646574062274331</v>
      </c>
      <c r="J7" s="505"/>
      <c r="K7" s="507"/>
      <c r="L7" s="508"/>
      <c r="M7" s="508"/>
      <c r="N7" s="508"/>
      <c r="O7" s="512">
        <f>I7*12</f>
        <v>23.575888874729198</v>
      </c>
      <c r="P7" s="67"/>
      <c r="Q7" s="67"/>
      <c r="R7" s="15" t="s">
        <v>3</v>
      </c>
      <c r="S7" s="16">
        <f>R14</f>
        <v>6.882374273333014E-2</v>
      </c>
      <c r="T7" s="17">
        <f>S7/S9</f>
        <v>2.8676559472220887E-3</v>
      </c>
      <c r="V7" s="377">
        <f>S7*365.25/12</f>
        <v>2.0948226694457364</v>
      </c>
      <c r="W7" s="73"/>
      <c r="X7" s="7"/>
      <c r="Y7" s="73"/>
      <c r="Z7" s="7"/>
      <c r="AA7" s="7"/>
      <c r="AB7" s="7"/>
      <c r="AC7" s="7"/>
      <c r="AD7" s="7"/>
    </row>
    <row r="8" spans="2:30" ht="12.75" customHeight="1" x14ac:dyDescent="0.3">
      <c r="B8" s="75"/>
      <c r="C8" s="528" t="s">
        <v>13</v>
      </c>
      <c r="D8" s="486">
        <v>167</v>
      </c>
      <c r="E8" s="487">
        <f>F8-D8</f>
        <v>3138</v>
      </c>
      <c r="F8" s="488">
        <v>3305</v>
      </c>
      <c r="G8" s="509">
        <f>D8/F8</f>
        <v>5.0529500756429653E-2</v>
      </c>
      <c r="H8" s="510">
        <v>2.58E-2</v>
      </c>
      <c r="I8" s="511">
        <f>(G8/H8)</f>
        <v>1.9585077812569633</v>
      </c>
      <c r="J8" s="505"/>
      <c r="K8" s="507"/>
      <c r="L8" s="508"/>
      <c r="M8" s="513"/>
      <c r="N8" s="508"/>
      <c r="O8" s="512">
        <f t="shared" ref="O8:O9" si="0">I8*12</f>
        <v>23.502093375083561</v>
      </c>
      <c r="P8" s="67"/>
      <c r="Q8" s="67"/>
      <c r="R8" s="18" t="s">
        <v>2</v>
      </c>
      <c r="S8" s="19">
        <f>Q14</f>
        <v>23.324822248189516</v>
      </c>
      <c r="T8" s="20">
        <f>S8/S9</f>
        <v>0.97186759367456299</v>
      </c>
      <c r="V8" s="378">
        <f>S8*365.26/12</f>
        <v>709.96871453114181</v>
      </c>
      <c r="W8" s="73"/>
      <c r="X8" s="7"/>
      <c r="Y8" s="73"/>
      <c r="Z8" s="7"/>
      <c r="AA8" s="7"/>
      <c r="AB8" s="7"/>
      <c r="AC8" s="7"/>
      <c r="AD8" s="7"/>
    </row>
    <row r="9" spans="2:30" x14ac:dyDescent="0.3">
      <c r="B9" s="355"/>
      <c r="C9" s="529" t="s">
        <v>19</v>
      </c>
      <c r="D9" s="530">
        <f>SUM(D7:D8)</f>
        <v>315</v>
      </c>
      <c r="E9" s="531">
        <f>SUM(E7:E8)</f>
        <v>6294</v>
      </c>
      <c r="F9" s="532">
        <f>SUM(F7:F8)</f>
        <v>6609</v>
      </c>
      <c r="G9" s="509">
        <f>D9/F9</f>
        <v>4.766227871084884E-2</v>
      </c>
      <c r="H9" s="514"/>
      <c r="I9" s="515">
        <f>((I7*F7)+(I8*F8))/F9</f>
        <v>1.9615821284959454</v>
      </c>
      <c r="J9" s="505"/>
      <c r="K9" s="507"/>
      <c r="L9" s="508"/>
      <c r="M9" s="513"/>
      <c r="N9" s="508"/>
      <c r="O9" s="516">
        <f t="shared" si="0"/>
        <v>23.538985541951345</v>
      </c>
      <c r="P9" s="67"/>
      <c r="Q9" s="81"/>
      <c r="S9" s="10">
        <f>SUM(S6:S8)</f>
        <v>24.000000000000004</v>
      </c>
      <c r="V9" s="21">
        <f>SUM(V6:V8)</f>
        <v>730.51943735187353</v>
      </c>
      <c r="W9" s="73"/>
      <c r="X9" s="7"/>
      <c r="Y9" s="73"/>
      <c r="Z9" s="7"/>
      <c r="AA9" s="7"/>
      <c r="AB9" s="7"/>
      <c r="AC9" s="7"/>
      <c r="AD9" s="7"/>
    </row>
    <row r="10" spans="2:30" ht="12.75" customHeight="1" x14ac:dyDescent="0.3">
      <c r="B10" s="355"/>
      <c r="C10" s="355"/>
      <c r="D10" s="355"/>
      <c r="E10" s="355"/>
      <c r="F10" s="355"/>
      <c r="G10" s="355"/>
      <c r="H10" s="77"/>
      <c r="I10" s="76"/>
      <c r="J10" s="76"/>
      <c r="K10" s="76"/>
      <c r="L10" s="77"/>
      <c r="M10" s="79"/>
      <c r="N10" s="77"/>
      <c r="P10" s="80"/>
      <c r="Q10" s="81"/>
      <c r="R10" s="81"/>
      <c r="S10" s="81"/>
      <c r="T10" s="73"/>
      <c r="V10" s="73"/>
      <c r="W10" s="73"/>
      <c r="X10" s="7"/>
      <c r="Y10" s="73"/>
      <c r="Z10" s="7"/>
      <c r="AA10" s="7"/>
      <c r="AB10" s="7"/>
      <c r="AC10" s="7"/>
      <c r="AD10" s="7"/>
    </row>
    <row r="11" spans="2:30" s="8" customFormat="1" ht="14.25" hidden="1" customHeight="1" x14ac:dyDescent="0.3">
      <c r="B11" s="82" t="s">
        <v>20</v>
      </c>
      <c r="C11" s="83"/>
      <c r="D11" s="84"/>
      <c r="E11" s="5"/>
      <c r="F11" s="85"/>
      <c r="G11" s="86"/>
      <c r="H11" s="79"/>
      <c r="I11" s="86"/>
      <c r="J11" s="79"/>
      <c r="K11" s="87"/>
      <c r="L11" s="87"/>
      <c r="M11" s="86"/>
      <c r="N11" s="87"/>
      <c r="P11" s="5"/>
      <c r="Q11" s="88"/>
      <c r="R11" s="88"/>
      <c r="S11" s="88"/>
      <c r="T11" s="5"/>
      <c r="U11" s="5"/>
      <c r="V11" s="5"/>
      <c r="W11" s="5"/>
    </row>
    <row r="12" spans="2:30" s="8" customFormat="1" ht="12.75" hidden="1" customHeight="1" x14ac:dyDescent="0.3">
      <c r="B12" s="78" t="s">
        <v>21</v>
      </c>
      <c r="C12" s="83"/>
      <c r="D12" s="84"/>
      <c r="E12" s="5"/>
      <c r="F12" s="85"/>
      <c r="G12" s="86"/>
      <c r="H12" s="79"/>
      <c r="I12" s="86"/>
      <c r="J12" s="79"/>
      <c r="K12" s="89"/>
      <c r="L12" s="87"/>
      <c r="M12" s="87"/>
      <c r="N12" s="87"/>
      <c r="O12" s="8" t="s">
        <v>112</v>
      </c>
      <c r="P12" s="5"/>
      <c r="Q12" s="88"/>
      <c r="R12" s="60"/>
      <c r="S12" s="60"/>
      <c r="T12" s="5"/>
      <c r="U12" s="5"/>
      <c r="V12" s="5"/>
      <c r="W12" s="5"/>
    </row>
    <row r="13" spans="2:30" s="8" customFormat="1" ht="45" hidden="1" customHeight="1" x14ac:dyDescent="0.3">
      <c r="B13" s="90" t="s">
        <v>22</v>
      </c>
      <c r="C13" s="90" t="s">
        <v>23</v>
      </c>
      <c r="D13" s="90" t="s">
        <v>24</v>
      </c>
      <c r="E13" s="90" t="s">
        <v>25</v>
      </c>
      <c r="F13" s="90" t="s">
        <v>26</v>
      </c>
      <c r="G13" s="90" t="s">
        <v>27</v>
      </c>
      <c r="H13" s="90" t="s">
        <v>28</v>
      </c>
      <c r="I13" s="90" t="s">
        <v>29</v>
      </c>
      <c r="J13" s="79"/>
      <c r="K13" s="91" t="s">
        <v>30</v>
      </c>
      <c r="L13" s="92" t="s">
        <v>31</v>
      </c>
      <c r="M13" s="92" t="s">
        <v>32</v>
      </c>
      <c r="N13" s="87"/>
      <c r="O13" s="287" t="s">
        <v>113</v>
      </c>
      <c r="P13" s="287" t="s">
        <v>114</v>
      </c>
      <c r="Q13" s="291" t="s">
        <v>2</v>
      </c>
      <c r="R13" s="292" t="s">
        <v>3</v>
      </c>
      <c r="S13" s="293" t="s">
        <v>1</v>
      </c>
      <c r="T13" s="5"/>
      <c r="W13" s="5"/>
    </row>
    <row r="14" spans="2:30" s="8" customFormat="1" ht="12.75" hidden="1" customHeight="1" x14ac:dyDescent="0.3">
      <c r="B14" s="93">
        <f>LN((D7/F7)/(D8/F8))</f>
        <v>-0.12047892100772202</v>
      </c>
      <c r="C14" s="93">
        <f>SQRT((E7/(D7*F7)+(E8/(D8*F8))))</f>
        <v>0.11017960523517482</v>
      </c>
      <c r="D14" s="94">
        <f>-NORMSINV((1-I2)/2)</f>
        <v>1.9599639845400536</v>
      </c>
      <c r="E14" s="95">
        <f>B14-(D14*C14)</f>
        <v>-0.33642697909950542</v>
      </c>
      <c r="F14" s="96">
        <f>B14+(D14*C14)</f>
        <v>9.5469137084061365E-2</v>
      </c>
      <c r="G14" s="97">
        <f>(D7/F7)/(D8/F8)</f>
        <v>0.88649577358599996</v>
      </c>
      <c r="H14" s="97">
        <f>EXP(E14)</f>
        <v>0.71431804181846048</v>
      </c>
      <c r="I14" s="97">
        <f>EXP(F14)</f>
        <v>1.1001748669055258</v>
      </c>
      <c r="J14" s="79"/>
      <c r="K14" s="98">
        <f>1-G14</f>
        <v>0.11350422641400004</v>
      </c>
      <c r="L14" s="97">
        <f>1-H14</f>
        <v>0.28568195818153952</v>
      </c>
      <c r="M14" s="97">
        <f>1-I14</f>
        <v>-0.10017486690552579</v>
      </c>
      <c r="N14" s="99"/>
      <c r="O14" s="289">
        <f>(D7/F7)*H4/2</f>
        <v>0.53753026634382572</v>
      </c>
      <c r="P14" s="290">
        <f>(D8/F8)*H4/2</f>
        <v>0.60635400907715586</v>
      </c>
      <c r="Q14" s="294">
        <f>H4-R14-S14</f>
        <v>23.324822248189516</v>
      </c>
      <c r="R14" s="294">
        <f>P14-O14</f>
        <v>6.882374273333014E-2</v>
      </c>
      <c r="S14" s="294">
        <f>P14</f>
        <v>0.60635400907715586</v>
      </c>
      <c r="T14" s="5" t="str">
        <f>I4</f>
        <v>meses</v>
      </c>
      <c r="W14" s="5"/>
    </row>
    <row r="15" spans="2:30" s="8" customFormat="1" ht="12.75" hidden="1" customHeight="1" x14ac:dyDescent="0.3">
      <c r="B15" s="100"/>
      <c r="C15" s="83"/>
      <c r="D15" s="83"/>
      <c r="E15" s="83"/>
      <c r="F15" s="101"/>
      <c r="G15" s="102"/>
      <c r="H15" s="79"/>
      <c r="I15" s="86"/>
      <c r="J15" s="79"/>
      <c r="K15" s="86"/>
      <c r="L15" s="86"/>
      <c r="M15" s="86"/>
      <c r="N15" s="87"/>
      <c r="P15" s="5"/>
      <c r="Q15" s="5"/>
      <c r="R15" s="5"/>
      <c r="S15" s="5"/>
      <c r="T15" s="5"/>
      <c r="U15" s="5"/>
      <c r="V15" s="5"/>
      <c r="W15" s="5"/>
    </row>
    <row r="16" spans="2:30" s="7" customFormat="1" ht="12.75" hidden="1" customHeight="1" x14ac:dyDescent="0.3">
      <c r="B16" s="103"/>
      <c r="C16" s="104"/>
      <c r="D16" s="105"/>
      <c r="E16" s="106"/>
      <c r="F16" s="107"/>
      <c r="G16" s="108"/>
      <c r="H16" s="109"/>
      <c r="I16" s="110"/>
      <c r="J16" s="110"/>
      <c r="K16" s="111"/>
      <c r="L16" s="111"/>
      <c r="M16" s="112"/>
      <c r="N16" s="112"/>
    </row>
    <row r="17" spans="2:30" ht="15.75" hidden="1" customHeight="1" x14ac:dyDescent="0.3">
      <c r="B17" s="113" t="s">
        <v>33</v>
      </c>
      <c r="C17" s="5"/>
      <c r="D17" s="114"/>
      <c r="E17" s="114"/>
      <c r="F17" s="59"/>
      <c r="G17" s="59"/>
      <c r="H17" s="115"/>
      <c r="I17" s="116"/>
      <c r="J17" s="117"/>
      <c r="K17" s="117"/>
      <c r="L17" s="8"/>
      <c r="M17" s="87"/>
      <c r="N17" s="79"/>
      <c r="O17" s="116"/>
      <c r="P17" s="5"/>
      <c r="Q17" s="5"/>
      <c r="R17" s="118"/>
      <c r="S17" s="116"/>
      <c r="T17" s="119"/>
      <c r="U17" s="119"/>
      <c r="V17" s="119"/>
      <c r="W17" s="7"/>
      <c r="X17" s="7"/>
      <c r="Y17" s="7"/>
      <c r="Z17" s="7"/>
      <c r="AA17" s="7"/>
      <c r="AB17" s="7"/>
      <c r="AC17" s="7"/>
    </row>
    <row r="18" spans="2:30" ht="12.75" hidden="1" customHeight="1" x14ac:dyDescent="0.3">
      <c r="B18" s="120" t="s">
        <v>34</v>
      </c>
      <c r="C18" s="5"/>
      <c r="D18" s="116"/>
      <c r="E18" s="116"/>
      <c r="F18" s="5"/>
      <c r="G18" s="5"/>
      <c r="H18" s="118"/>
      <c r="I18" s="116"/>
      <c r="J18" s="119"/>
      <c r="K18" s="119"/>
      <c r="L18" s="119"/>
      <c r="M18" s="87"/>
      <c r="N18" s="79"/>
      <c r="O18" s="5"/>
      <c r="P18" s="5"/>
      <c r="Q18" s="118"/>
      <c r="R18" s="116"/>
      <c r="S18" s="119"/>
      <c r="T18" s="119"/>
      <c r="U18" s="119"/>
      <c r="W18" s="7" t="s">
        <v>35</v>
      </c>
      <c r="X18" s="7"/>
      <c r="Y18" s="7"/>
      <c r="Z18" s="7"/>
      <c r="AA18" s="7"/>
      <c r="AB18" s="7"/>
    </row>
    <row r="19" spans="2:30" ht="25.5" hidden="1" customHeight="1" x14ac:dyDescent="0.3">
      <c r="B19" s="121" t="s">
        <v>36</v>
      </c>
      <c r="C19" s="1" t="s">
        <v>37</v>
      </c>
      <c r="D19" s="8"/>
      <c r="E19" s="1" t="s">
        <v>38</v>
      </c>
      <c r="G19" s="1" t="s">
        <v>39</v>
      </c>
      <c r="I19" s="1" t="s">
        <v>40</v>
      </c>
      <c r="J19" s="119"/>
      <c r="K19" s="119"/>
      <c r="L19" s="119"/>
      <c r="M19" s="87"/>
      <c r="N19" s="111"/>
      <c r="P19" s="1"/>
      <c r="T19" s="7"/>
      <c r="V19" s="1"/>
      <c r="W19" s="1" t="s">
        <v>41</v>
      </c>
      <c r="Y19" s="7"/>
      <c r="Z19" s="7"/>
      <c r="AA19" s="7"/>
      <c r="AB19" s="7"/>
      <c r="AC19" s="7"/>
      <c r="AD19" s="7"/>
    </row>
    <row r="20" spans="2:30" ht="38.25" hidden="1" customHeight="1" x14ac:dyDescent="0.4">
      <c r="B20" s="90" t="s">
        <v>42</v>
      </c>
      <c r="C20" s="90" t="s">
        <v>43</v>
      </c>
      <c r="D20" s="122" t="s">
        <v>44</v>
      </c>
      <c r="E20" s="122" t="s">
        <v>37</v>
      </c>
      <c r="F20" s="122" t="s">
        <v>45</v>
      </c>
      <c r="G20" s="122" t="s">
        <v>39</v>
      </c>
      <c r="H20" s="122" t="s">
        <v>40</v>
      </c>
      <c r="I20" s="123" t="s">
        <v>46</v>
      </c>
      <c r="J20" s="122" t="s">
        <v>47</v>
      </c>
      <c r="K20" s="122" t="s">
        <v>31</v>
      </c>
      <c r="L20" s="122" t="s">
        <v>32</v>
      </c>
      <c r="M20" s="124"/>
      <c r="N20" s="125"/>
      <c r="O20" s="126" t="s">
        <v>48</v>
      </c>
      <c r="P20" s="127" t="s">
        <v>49</v>
      </c>
      <c r="Q20" s="128"/>
      <c r="R20" s="129"/>
      <c r="S20" s="130"/>
      <c r="T20" s="130"/>
      <c r="U20" s="131"/>
      <c r="W20" s="132"/>
      <c r="X20" s="126" t="s">
        <v>50</v>
      </c>
      <c r="Y20" s="127" t="s">
        <v>51</v>
      </c>
      <c r="Z20" s="133"/>
      <c r="AA20" s="133"/>
      <c r="AB20" s="133" t="s">
        <v>52</v>
      </c>
      <c r="AC20" s="133"/>
      <c r="AD20" s="134"/>
    </row>
    <row r="21" spans="2:30" ht="12.75" hidden="1" customHeight="1" x14ac:dyDescent="0.3">
      <c r="B21" s="462">
        <f>D7</f>
        <v>148</v>
      </c>
      <c r="C21" s="463">
        <f>F7</f>
        <v>3304</v>
      </c>
      <c r="D21" s="464">
        <f>B21/C21</f>
        <v>4.4794188861985475E-2</v>
      </c>
      <c r="E21" s="465">
        <f>2*B21+I21^2</f>
        <v>299.84145882069413</v>
      </c>
      <c r="F21" s="465">
        <f>I21*SQRT((I21^2)+(4*B21*(1-D21)))</f>
        <v>46.765714030960119</v>
      </c>
      <c r="G21" s="466">
        <f>2*(C21+I21^2)</f>
        <v>6615.6829176413885</v>
      </c>
      <c r="H21" s="467" t="s">
        <v>53</v>
      </c>
      <c r="I21" s="94">
        <f>-NORMSINV((1-I2)/2)</f>
        <v>1.9599639845400536</v>
      </c>
      <c r="J21" s="135">
        <f>D21</f>
        <v>4.4794188861985475E-2</v>
      </c>
      <c r="K21" s="135">
        <f>(E21-F21)/G21</f>
        <v>3.8253910887246716E-2</v>
      </c>
      <c r="L21" s="135">
        <f>(E21+F21)/G21</f>
        <v>5.2391745064956349E-2</v>
      </c>
      <c r="M21" s="124"/>
      <c r="N21" s="136">
        <f>F9/2</f>
        <v>3304.5</v>
      </c>
      <c r="O21" s="9" t="s">
        <v>54</v>
      </c>
      <c r="P21" s="5"/>
      <c r="Q21" s="118"/>
      <c r="R21" s="116"/>
      <c r="S21" s="119"/>
      <c r="T21" s="119"/>
      <c r="U21" s="137"/>
      <c r="W21" s="138">
        <f>ABS(D21-D22)</f>
        <v>5.7353118944441783E-3</v>
      </c>
      <c r="X21" s="9" t="s">
        <v>55</v>
      </c>
      <c r="Y21" s="5"/>
      <c r="Z21" s="9"/>
      <c r="AA21" s="9"/>
      <c r="AB21" s="9" t="s">
        <v>56</v>
      </c>
      <c r="AC21" s="9"/>
      <c r="AD21" s="139"/>
    </row>
    <row r="22" spans="2:30" ht="14.25" hidden="1" customHeight="1" x14ac:dyDescent="0.4">
      <c r="B22" s="462">
        <f>D8</f>
        <v>167</v>
      </c>
      <c r="C22" s="463">
        <f>F8</f>
        <v>3305</v>
      </c>
      <c r="D22" s="464">
        <f>B22/C22</f>
        <v>5.0529500756429653E-2</v>
      </c>
      <c r="E22" s="465">
        <f>2*B22+I22^2</f>
        <v>337.84145882069413</v>
      </c>
      <c r="F22" s="465">
        <f>I22*SQRT((I22^2)+(4*B22*(1-D22)))</f>
        <v>49.509472068573679</v>
      </c>
      <c r="G22" s="466">
        <f>2*(C22+I22^2)</f>
        <v>6617.6829176413885</v>
      </c>
      <c r="H22" s="467" t="s">
        <v>53</v>
      </c>
      <c r="I22" s="94">
        <f>-NORMSINV((1-I2)/2)</f>
        <v>1.9599639845400536</v>
      </c>
      <c r="J22" s="135">
        <f>D22</f>
        <v>5.0529500756429653E-2</v>
      </c>
      <c r="K22" s="135">
        <f>(E22-F22)/G22</f>
        <v>4.3569930796092747E-2</v>
      </c>
      <c r="L22" s="135">
        <f>(E22+F22)/G22</f>
        <v>5.8532712387393104E-2</v>
      </c>
      <c r="M22" s="124"/>
      <c r="N22" s="140">
        <f>J26</f>
        <v>5.7353118944441783E-3</v>
      </c>
      <c r="O22" s="9" t="s">
        <v>57</v>
      </c>
      <c r="P22" s="9"/>
      <c r="Q22" s="9"/>
      <c r="R22" s="9"/>
      <c r="S22" s="9"/>
      <c r="T22" s="9"/>
      <c r="U22" s="141"/>
      <c r="W22" s="142">
        <f>SQRT((D23*(1-D23)/C21)+(D23*(1-D23)/C22))</f>
        <v>5.2413724187153421E-3</v>
      </c>
      <c r="X22" s="120" t="s">
        <v>58</v>
      </c>
      <c r="Y22" s="9"/>
      <c r="Z22" s="9"/>
      <c r="AA22" s="9"/>
      <c r="AB22" s="9"/>
      <c r="AC22" s="9"/>
      <c r="AD22" s="139"/>
    </row>
    <row r="23" spans="2:30" ht="12.75" hidden="1" customHeight="1" x14ac:dyDescent="0.3">
      <c r="B23" s="462">
        <f>D9</f>
        <v>315</v>
      </c>
      <c r="C23" s="463">
        <f>F9</f>
        <v>6609</v>
      </c>
      <c r="D23" s="464">
        <f>B23/C23</f>
        <v>4.766227871084884E-2</v>
      </c>
      <c r="E23" s="465">
        <f>2*B23+I23^2</f>
        <v>633.84145882069413</v>
      </c>
      <c r="F23" s="465">
        <f>I23*SQRT((I23^2)+(4*B23*(1-D23)))</f>
        <v>68.002192184706715</v>
      </c>
      <c r="G23" s="466">
        <f>2*(C23+I23^2)</f>
        <v>13225.682917641388</v>
      </c>
      <c r="H23" s="467" t="s">
        <v>53</v>
      </c>
      <c r="I23" s="94">
        <f>-NORMSINV((1-I2)/2)</f>
        <v>1.9599639845400536</v>
      </c>
      <c r="J23" s="135">
        <f>D23</f>
        <v>4.766227871084884E-2</v>
      </c>
      <c r="K23" s="135">
        <f>(E23-F23)/G23</f>
        <v>4.2783368553409779E-2</v>
      </c>
      <c r="L23" s="135">
        <f>(E23+F23)/G23</f>
        <v>5.3066722934150351E-2</v>
      </c>
      <c r="M23" s="124"/>
      <c r="N23" s="143">
        <f>(B21+B22)/(C21+C22)</f>
        <v>4.766227871084884E-2</v>
      </c>
      <c r="O23" s="9" t="s">
        <v>59</v>
      </c>
      <c r="P23" s="5"/>
      <c r="Q23" s="118"/>
      <c r="R23" s="116"/>
      <c r="S23" s="119"/>
      <c r="T23" s="119"/>
      <c r="U23" s="139"/>
      <c r="W23" s="144">
        <f>W21/W22</f>
        <v>1.094238576515786</v>
      </c>
      <c r="X23" s="9" t="s">
        <v>60</v>
      </c>
      <c r="Y23" s="5"/>
      <c r="Z23" s="9"/>
      <c r="AA23" s="9"/>
      <c r="AB23" s="9"/>
      <c r="AC23" s="9"/>
      <c r="AD23" s="139"/>
    </row>
    <row r="24" spans="2:30" ht="15" hidden="1" customHeight="1" x14ac:dyDescent="0.3">
      <c r="B24" s="78"/>
      <c r="C24" s="145" t="s">
        <v>61</v>
      </c>
      <c r="F24" s="146"/>
      <c r="G24" s="110"/>
      <c r="H24" s="110"/>
      <c r="I24" s="110"/>
      <c r="J24" s="110"/>
      <c r="K24" s="111"/>
      <c r="L24" s="77"/>
      <c r="M24" s="124"/>
      <c r="N24" s="147">
        <f>SQRT(N21*N22^2/(2*N23*(1-N23)))-I21</f>
        <v>-0.86572539549832173</v>
      </c>
      <c r="O24" s="9" t="s">
        <v>62</v>
      </c>
      <c r="P24" s="9"/>
      <c r="Q24" s="9"/>
      <c r="R24" s="9"/>
      <c r="S24" s="9"/>
      <c r="T24" s="8"/>
      <c r="U24" s="137"/>
      <c r="W24" s="148">
        <f>NORMSDIST(-W23)</f>
        <v>0.13692517829561543</v>
      </c>
      <c r="X24" s="113" t="s">
        <v>63</v>
      </c>
      <c r="Y24" s="9"/>
      <c r="Z24" s="8"/>
      <c r="AA24" s="8"/>
      <c r="AB24" s="8"/>
      <c r="AC24" s="8"/>
      <c r="AD24" s="141"/>
    </row>
    <row r="25" spans="2:30" ht="13.5" hidden="1" customHeight="1" x14ac:dyDescent="0.3">
      <c r="B25" s="78"/>
      <c r="C25" s="145" t="s">
        <v>64</v>
      </c>
      <c r="D25" s="3"/>
      <c r="E25" s="149"/>
      <c r="F25" s="146"/>
      <c r="G25" s="110"/>
      <c r="H25" s="77"/>
      <c r="I25" s="77"/>
      <c r="J25" s="150"/>
      <c r="K25" s="150"/>
      <c r="L25" s="150"/>
      <c r="M25" s="124"/>
      <c r="N25" s="151">
        <f>NORMSDIST(N24)</f>
        <v>0.19332038496896006</v>
      </c>
      <c r="O25" s="113" t="s">
        <v>65</v>
      </c>
      <c r="P25" s="152"/>
      <c r="Q25" s="9"/>
      <c r="R25" s="9"/>
      <c r="S25" s="9"/>
      <c r="T25" s="9"/>
      <c r="U25" s="139"/>
      <c r="W25" s="153">
        <f>1-W24</f>
        <v>0.86307482170438454</v>
      </c>
      <c r="X25" s="154" t="s">
        <v>66</v>
      </c>
      <c r="Y25" s="152"/>
      <c r="Z25" s="8"/>
      <c r="AA25" s="8"/>
      <c r="AB25" s="8"/>
      <c r="AC25" s="8"/>
      <c r="AD25" s="141"/>
    </row>
    <row r="26" spans="2:30" ht="15" hidden="1" customHeight="1" x14ac:dyDescent="0.35">
      <c r="F26" s="155"/>
      <c r="G26" s="77"/>
      <c r="H26" s="77"/>
      <c r="I26" s="63" t="s">
        <v>67</v>
      </c>
      <c r="J26" s="156">
        <f>D22-D21</f>
        <v>5.7353118944441783E-3</v>
      </c>
      <c r="K26" s="157">
        <f>J26+SQRT((D22-K22)^2+(L21-D21)^2)</f>
        <v>1.6038635352927127E-2</v>
      </c>
      <c r="L26" s="158">
        <f>J26-SQRT((D21-K21)^2+(L22-D22)^2)</f>
        <v>-4.6003851017356913E-3</v>
      </c>
      <c r="M26" s="76"/>
      <c r="N26" s="159">
        <f>1-N25</f>
        <v>0.80667961503103991</v>
      </c>
      <c r="O26" s="160" t="s">
        <v>68</v>
      </c>
      <c r="P26" s="161"/>
      <c r="Q26" s="162"/>
      <c r="R26" s="161"/>
      <c r="S26" s="161"/>
      <c r="T26" s="161"/>
      <c r="U26" s="163"/>
      <c r="W26" s="164"/>
      <c r="X26" s="165"/>
      <c r="Y26" s="161"/>
      <c r="Z26" s="165"/>
      <c r="AA26" s="165"/>
      <c r="AB26" s="165"/>
      <c r="AC26" s="165"/>
      <c r="AD26" s="166"/>
    </row>
    <row r="27" spans="2:30" ht="13.5" hidden="1" customHeight="1" x14ac:dyDescent="0.3">
      <c r="F27" s="167"/>
      <c r="G27" s="77"/>
      <c r="H27" s="77"/>
      <c r="I27" s="63" t="s">
        <v>69</v>
      </c>
      <c r="J27" s="168">
        <f>1/J26</f>
        <v>174.3584339273169</v>
      </c>
      <c r="K27" s="169">
        <f>1/K26</f>
        <v>62.349444201154881</v>
      </c>
      <c r="L27" s="170">
        <f>1/L26</f>
        <v>-217.37310635640208</v>
      </c>
      <c r="M27" s="76"/>
      <c r="N27" s="77"/>
      <c r="O27" s="1"/>
      <c r="P27" s="1"/>
      <c r="U27" s="1"/>
      <c r="V27" s="1"/>
      <c r="W27" s="7"/>
      <c r="X27" s="7"/>
      <c r="Y27" s="7"/>
      <c r="Z27" s="7"/>
      <c r="AA27" s="7"/>
      <c r="AB27" s="7"/>
      <c r="AC27" s="7"/>
    </row>
    <row r="28" spans="2:30" ht="14.25" hidden="1" customHeight="1" x14ac:dyDescent="0.4">
      <c r="G28" s="77"/>
      <c r="H28" s="77"/>
      <c r="K28" s="171"/>
      <c r="L28" s="171"/>
      <c r="M28" s="172"/>
      <c r="N28" s="125"/>
      <c r="O28" s="173"/>
      <c r="P28" s="173" t="s">
        <v>58</v>
      </c>
      <c r="Q28" s="174">
        <f>SQRT((D23*(1-D23)/C21)+(D23*(1-D23)/C22))</f>
        <v>5.2413724187153421E-3</v>
      </c>
      <c r="R28" s="175"/>
      <c r="S28" s="175"/>
      <c r="T28" s="175"/>
      <c r="U28" s="134"/>
      <c r="V28" s="1"/>
    </row>
    <row r="29" spans="2:30" ht="31.5" hidden="1" customHeight="1" x14ac:dyDescent="0.35">
      <c r="F29" s="176"/>
      <c r="G29" s="197"/>
      <c r="H29" s="546" t="s">
        <v>221</v>
      </c>
      <c r="I29" s="547" t="s">
        <v>11</v>
      </c>
      <c r="J29" s="177">
        <f>J27</f>
        <v>174.3584339273169</v>
      </c>
      <c r="K29" s="177">
        <f>K27</f>
        <v>62.349444201154881</v>
      </c>
      <c r="L29" s="177">
        <f>L27</f>
        <v>-217.37310635640208</v>
      </c>
      <c r="M29" s="77"/>
      <c r="N29" s="178" t="s">
        <v>70</v>
      </c>
      <c r="O29" s="179"/>
      <c r="P29" s="9" t="s">
        <v>71</v>
      </c>
      <c r="Q29" s="9"/>
      <c r="R29" s="118"/>
      <c r="S29" s="180" t="s">
        <v>72</v>
      </c>
      <c r="T29" s="9"/>
      <c r="U29" s="139"/>
      <c r="V29" s="1"/>
    </row>
    <row r="30" spans="2:30" s="8" customFormat="1" ht="14.25" hidden="1" customHeight="1" x14ac:dyDescent="0.4">
      <c r="F30" s="181"/>
      <c r="G30" s="457"/>
      <c r="H30" s="458"/>
      <c r="I30" s="456" t="s">
        <v>222</v>
      </c>
      <c r="J30" s="309">
        <f>(1-D22)*J27</f>
        <v>165.54818930829663</v>
      </c>
      <c r="K30" s="182">
        <f>(1-D22)*K27</f>
        <v>59.198957913229656</v>
      </c>
      <c r="L30" s="182">
        <f>(1-D22)*L27</f>
        <v>-206.3893518143388</v>
      </c>
      <c r="M30" s="77"/>
      <c r="N30" s="183"/>
      <c r="O30" s="184" t="s">
        <v>73</v>
      </c>
      <c r="Q30" s="185" t="s">
        <v>74</v>
      </c>
      <c r="R30" s="184" t="s">
        <v>75</v>
      </c>
      <c r="S30" s="9"/>
      <c r="T30" s="9"/>
      <c r="U30" s="141"/>
    </row>
    <row r="31" spans="2:30" s="8" customFormat="1" ht="14.25" hidden="1" customHeight="1" x14ac:dyDescent="0.4">
      <c r="F31" s="186"/>
      <c r="G31" s="457"/>
      <c r="H31" s="458"/>
      <c r="I31" s="456" t="s">
        <v>223</v>
      </c>
      <c r="J31" s="187">
        <f>J27*J26</f>
        <v>1</v>
      </c>
      <c r="K31" s="187">
        <f>K27*K26</f>
        <v>1</v>
      </c>
      <c r="L31" s="187">
        <f>L27*L26</f>
        <v>1</v>
      </c>
      <c r="M31" s="87"/>
      <c r="N31" s="147">
        <f>ABS((J26/Q28))-I21</f>
        <v>-0.86572540802426756</v>
      </c>
      <c r="O31" s="184" t="s">
        <v>76</v>
      </c>
      <c r="P31" s="9"/>
      <c r="Q31" s="9"/>
      <c r="R31" s="116"/>
      <c r="S31" s="119"/>
      <c r="T31" s="119"/>
      <c r="U31" s="137"/>
    </row>
    <row r="32" spans="2:30" s="8" customFormat="1" ht="12.75" hidden="1" customHeight="1" x14ac:dyDescent="0.3">
      <c r="B32" s="188"/>
      <c r="C32" s="189"/>
      <c r="E32" s="190"/>
      <c r="G32" s="459"/>
      <c r="H32" s="460"/>
      <c r="I32" s="461" t="s">
        <v>224</v>
      </c>
      <c r="J32" s="308">
        <f>(D22-J26)*J27</f>
        <v>7.8102446190202484</v>
      </c>
      <c r="K32" s="191">
        <f>(D22-K26)*K27</f>
        <v>2.150486287925224</v>
      </c>
      <c r="L32" s="191">
        <f>(D22-L26)*L27</f>
        <v>-11.983754542063282</v>
      </c>
      <c r="M32" s="87"/>
      <c r="N32" s="151">
        <f>NORMSDIST(N31)</f>
        <v>0.19332038153359429</v>
      </c>
      <c r="O32" s="120" t="s">
        <v>77</v>
      </c>
      <c r="P32" s="152"/>
      <c r="Q32" s="9"/>
      <c r="R32" s="9"/>
      <c r="S32" s="9"/>
      <c r="T32" s="9"/>
      <c r="U32" s="141"/>
    </row>
    <row r="33" spans="2:22" s="8" customFormat="1" ht="12.75" hidden="1" customHeight="1" x14ac:dyDescent="0.3">
      <c r="B33" s="188"/>
      <c r="G33" s="192"/>
      <c r="H33" s="193"/>
      <c r="I33" s="193"/>
      <c r="J33" s="194"/>
      <c r="K33" s="194"/>
      <c r="L33" s="194"/>
      <c r="M33" s="87"/>
      <c r="N33" s="159">
        <f>1-N32</f>
        <v>0.80667961846640568</v>
      </c>
      <c r="O33" s="161" t="s">
        <v>78</v>
      </c>
      <c r="P33" s="161"/>
      <c r="Q33" s="162"/>
      <c r="R33" s="195"/>
      <c r="S33" s="196"/>
      <c r="T33" s="196"/>
      <c r="U33" s="163"/>
    </row>
    <row r="34" spans="2:22" s="8" customFormat="1" ht="12.75" hidden="1" customHeight="1" x14ac:dyDescent="0.3">
      <c r="B34" s="188"/>
      <c r="G34" s="192"/>
      <c r="H34" s="456" t="s">
        <v>225</v>
      </c>
      <c r="I34" s="548" t="s">
        <v>226</v>
      </c>
      <c r="J34" s="549">
        <f>ABS(J27)</f>
        <v>174.3584339273169</v>
      </c>
      <c r="K34" s="549">
        <f>ABS(L27)</f>
        <v>217.37310635640208</v>
      </c>
      <c r="L34" s="549">
        <f>ABS(K27)</f>
        <v>62.349444201154881</v>
      </c>
      <c r="M34" s="87"/>
      <c r="N34" s="544"/>
      <c r="O34" s="9"/>
      <c r="P34" s="9"/>
      <c r="Q34" s="545"/>
      <c r="R34" s="116"/>
      <c r="S34" s="119"/>
      <c r="T34" s="119"/>
      <c r="U34" s="9"/>
    </row>
    <row r="35" spans="2:22" s="8" customFormat="1" ht="12.75" hidden="1" customHeight="1" x14ac:dyDescent="0.3">
      <c r="B35" s="188"/>
      <c r="G35" s="192"/>
      <c r="H35" s="458"/>
      <c r="I35" s="456" t="s">
        <v>222</v>
      </c>
      <c r="J35" s="182">
        <f>ABS((1-(D22-J26))*J27)</f>
        <v>166.54818930829666</v>
      </c>
      <c r="K35" s="182">
        <f>ABS((1-(D22-L26))*L27)</f>
        <v>205.3893518143388</v>
      </c>
      <c r="L35" s="182">
        <f>ABS((1-(D22-K26))*K27)</f>
        <v>60.198957913229656</v>
      </c>
      <c r="M35" s="87"/>
      <c r="N35" s="544"/>
      <c r="O35" s="9"/>
      <c r="P35" s="9"/>
      <c r="Q35" s="545"/>
      <c r="R35" s="116"/>
      <c r="S35" s="119"/>
      <c r="T35" s="119"/>
      <c r="U35" s="9"/>
    </row>
    <row r="36" spans="2:22" s="8" customFormat="1" ht="12.75" hidden="1" customHeight="1" x14ac:dyDescent="0.3">
      <c r="B36" s="188"/>
      <c r="G36" s="192"/>
      <c r="H36" s="458"/>
      <c r="I36" s="456" t="s">
        <v>227</v>
      </c>
      <c r="J36" s="550">
        <f>J27*J26</f>
        <v>1</v>
      </c>
      <c r="K36" s="550">
        <f>L27*L26</f>
        <v>1</v>
      </c>
      <c r="L36" s="550">
        <f>K27*K26</f>
        <v>1</v>
      </c>
      <c r="M36" s="87"/>
      <c r="N36" s="544"/>
      <c r="O36" s="9"/>
      <c r="P36" s="9"/>
      <c r="Q36" s="545"/>
      <c r="R36" s="116"/>
      <c r="S36" s="119"/>
      <c r="T36" s="119"/>
      <c r="U36" s="9"/>
    </row>
    <row r="37" spans="2:22" s="8" customFormat="1" ht="12.75" hidden="1" customHeight="1" x14ac:dyDescent="0.35">
      <c r="B37" s="198" t="s">
        <v>79</v>
      </c>
      <c r="C37" s="199"/>
      <c r="D37" s="199"/>
      <c r="E37" s="199"/>
      <c r="G37" s="192"/>
      <c r="H37" s="460"/>
      <c r="I37" s="461" t="s">
        <v>228</v>
      </c>
      <c r="J37" s="191">
        <f>ABS(D22*J27)</f>
        <v>8.8102446190202492</v>
      </c>
      <c r="K37" s="191">
        <f>ABS(D22*L27)</f>
        <v>10.983754542063282</v>
      </c>
      <c r="L37" s="191">
        <f>ABS(D22*K27)</f>
        <v>3.150486287925224</v>
      </c>
      <c r="M37" s="87"/>
      <c r="N37" s="544"/>
      <c r="O37" s="9"/>
      <c r="P37" s="9"/>
      <c r="Q37" s="545"/>
      <c r="R37" s="116"/>
      <c r="S37" s="119"/>
      <c r="T37" s="119"/>
      <c r="U37" s="9"/>
    </row>
    <row r="38" spans="2:22" s="7" customFormat="1" ht="12.75" hidden="1" customHeight="1" x14ac:dyDescent="0.3">
      <c r="B38" s="78"/>
      <c r="C38" s="201" t="s">
        <v>15</v>
      </c>
      <c r="D38" s="202" t="s">
        <v>16</v>
      </c>
      <c r="E38" s="9"/>
      <c r="F38" s="200"/>
      <c r="G38" s="203"/>
      <c r="H38" s="204"/>
      <c r="I38" s="205"/>
      <c r="J38" s="206"/>
      <c r="K38" s="206"/>
      <c r="L38" s="206"/>
      <c r="M38" s="111"/>
      <c r="N38" s="87"/>
      <c r="O38" s="8"/>
      <c r="P38" s="8"/>
      <c r="Q38" s="8"/>
      <c r="R38" s="8"/>
    </row>
    <row r="39" spans="2:22" ht="12.75" hidden="1" customHeight="1" x14ac:dyDescent="0.3">
      <c r="B39" s="207" t="s">
        <v>80</v>
      </c>
      <c r="C39" s="208" t="s">
        <v>17</v>
      </c>
      <c r="D39" s="209" t="s">
        <v>18</v>
      </c>
      <c r="E39" s="4" t="s">
        <v>19</v>
      </c>
      <c r="G39" s="77"/>
      <c r="H39" s="77"/>
      <c r="I39" s="77"/>
      <c r="J39" s="77"/>
      <c r="K39" s="77"/>
      <c r="L39" s="77"/>
      <c r="M39" s="77"/>
      <c r="N39" s="87"/>
      <c r="O39" s="8"/>
      <c r="P39" s="8"/>
      <c r="Q39" s="8"/>
      <c r="R39" s="8"/>
      <c r="U39" s="1"/>
      <c r="V39" s="1"/>
    </row>
    <row r="40" spans="2:22" ht="12.75" hidden="1" customHeight="1" x14ac:dyDescent="0.3">
      <c r="B40" s="210" t="s">
        <v>81</v>
      </c>
      <c r="C40" s="211">
        <f>F7*D9/F9</f>
        <v>157.47616886064458</v>
      </c>
      <c r="D40" s="211">
        <f>F7*E9/F9</f>
        <v>3146.5238311393555</v>
      </c>
      <c r="E40" s="211">
        <f>F7</f>
        <v>3304</v>
      </c>
      <c r="G40" s="11"/>
      <c r="H40" s="212" t="s">
        <v>82</v>
      </c>
      <c r="I40" s="213">
        <f>CHIINV(0.05,K41)</f>
        <v>3.8414588206941236</v>
      </c>
      <c r="J40" s="77"/>
      <c r="K40" s="77"/>
      <c r="L40" s="77"/>
      <c r="M40" s="77"/>
      <c r="N40" s="87"/>
      <c r="O40" s="214"/>
      <c r="P40" s="214"/>
      <c r="Q40" s="214"/>
      <c r="R40" s="8"/>
      <c r="U40" s="1"/>
      <c r="V40" s="1"/>
    </row>
    <row r="41" spans="2:22" ht="12.75" hidden="1" customHeight="1" x14ac:dyDescent="0.3">
      <c r="B41" s="215" t="s">
        <v>83</v>
      </c>
      <c r="C41" s="211">
        <f>F8*D9/F9</f>
        <v>157.52383113935542</v>
      </c>
      <c r="D41" s="211">
        <f>F8*E9/F9</f>
        <v>3147.4761688606445</v>
      </c>
      <c r="E41" s="211">
        <f>F8</f>
        <v>3305</v>
      </c>
      <c r="F41" s="7"/>
      <c r="G41" s="216"/>
      <c r="H41" s="216"/>
      <c r="I41" s="217"/>
      <c r="J41" s="218" t="s">
        <v>84</v>
      </c>
      <c r="K41" s="219">
        <f>(COUNT(C40:D40)-1)*(COUNT(C40:C41)-1)</f>
        <v>1</v>
      </c>
      <c r="L41" s="77"/>
      <c r="M41" s="77"/>
      <c r="N41" s="77"/>
      <c r="O41" s="214"/>
      <c r="P41" s="214"/>
      <c r="Q41" s="214"/>
      <c r="R41" s="8"/>
      <c r="U41" s="1"/>
      <c r="V41" s="1"/>
    </row>
    <row r="42" spans="2:22" ht="12.75" hidden="1" customHeight="1" x14ac:dyDescent="0.3">
      <c r="B42" s="220" t="s">
        <v>85</v>
      </c>
      <c r="C42" s="211">
        <f>SUM(C40:C41)</f>
        <v>315</v>
      </c>
      <c r="D42" s="211">
        <f>SUM(D40:D41)</f>
        <v>6294</v>
      </c>
      <c r="E42" s="221">
        <f>SUM(E40:E41)</f>
        <v>6609</v>
      </c>
      <c r="F42" s="7"/>
      <c r="G42" s="111"/>
      <c r="H42" s="222" t="s">
        <v>86</v>
      </c>
      <c r="I42" s="223" t="s">
        <v>87</v>
      </c>
      <c r="J42" s="77"/>
      <c r="K42" s="77"/>
      <c r="L42" s="77"/>
      <c r="M42" s="77"/>
      <c r="N42" s="77"/>
      <c r="O42" s="214"/>
      <c r="P42" s="224"/>
      <c r="Q42" s="214"/>
      <c r="R42" s="8"/>
      <c r="U42" s="1"/>
      <c r="V42" s="1"/>
    </row>
    <row r="43" spans="2:22" ht="12.75" hidden="1" customHeight="1" x14ac:dyDescent="0.3">
      <c r="B43" s="220"/>
      <c r="C43" s="225"/>
      <c r="D43" s="225"/>
      <c r="E43" s="226"/>
      <c r="F43" s="7"/>
      <c r="G43" s="111"/>
      <c r="H43" s="222" t="s">
        <v>88</v>
      </c>
      <c r="I43" s="223" t="s">
        <v>89</v>
      </c>
      <c r="J43" s="77"/>
      <c r="K43" s="77"/>
      <c r="L43" s="77"/>
      <c r="M43" s="77"/>
      <c r="N43" s="77"/>
      <c r="O43" s="227"/>
      <c r="P43" s="227"/>
      <c r="Q43" s="227"/>
      <c r="R43" s="8"/>
      <c r="U43" s="1"/>
      <c r="V43" s="1"/>
    </row>
    <row r="44" spans="2:22" ht="26.25" hidden="1" customHeight="1" x14ac:dyDescent="0.3">
      <c r="B44" s="228"/>
      <c r="C44" s="584" t="s">
        <v>90</v>
      </c>
      <c r="D44" s="585"/>
      <c r="G44" s="77"/>
      <c r="H44" s="229"/>
      <c r="I44" s="77"/>
      <c r="J44" s="77"/>
      <c r="K44" s="77"/>
      <c r="L44" s="77"/>
      <c r="M44" s="77"/>
      <c r="N44" s="77"/>
      <c r="O44" s="1"/>
      <c r="P44" s="1"/>
      <c r="U44" s="1"/>
      <c r="V44" s="1"/>
    </row>
    <row r="45" spans="2:22" ht="12.75" hidden="1" customHeight="1" x14ac:dyDescent="0.3">
      <c r="B45" s="228"/>
      <c r="C45" s="230">
        <f>(D7-C40)^2/C40</f>
        <v>0.57023089223687373</v>
      </c>
      <c r="D45" s="230">
        <f>(E7-D40)^2/D40</f>
        <v>2.8538724349318884E-2</v>
      </c>
      <c r="F45" s="231"/>
      <c r="G45" s="232"/>
      <c r="H45" s="77"/>
      <c r="I45" s="77"/>
      <c r="J45" s="87"/>
      <c r="K45" s="87"/>
      <c r="L45" s="233"/>
      <c r="M45" s="77"/>
      <c r="N45" s="77"/>
      <c r="O45" s="1"/>
      <c r="P45" s="1"/>
      <c r="U45" s="1"/>
      <c r="V45" s="1"/>
    </row>
    <row r="46" spans="2:22" ht="12.75" hidden="1" customHeight="1" x14ac:dyDescent="0.3">
      <c r="B46" s="228"/>
      <c r="C46" s="230">
        <f>(D8-C41)^2/C41</f>
        <v>0.57005835641471436</v>
      </c>
      <c r="D46" s="230">
        <f>(E8-D41)^2/D41</f>
        <v>2.8530089334387172E-2</v>
      </c>
      <c r="E46" s="72"/>
      <c r="F46" s="234" t="s">
        <v>91</v>
      </c>
      <c r="G46" s="235">
        <f>C48-I40</f>
        <v>-2.6441007583588294</v>
      </c>
      <c r="H46" s="77"/>
      <c r="I46" s="77"/>
      <c r="J46" s="87"/>
      <c r="K46" s="87"/>
      <c r="L46" s="77"/>
      <c r="M46" s="77"/>
      <c r="N46" s="77"/>
      <c r="O46" s="1"/>
      <c r="P46" s="1"/>
      <c r="U46" s="1"/>
      <c r="V46" s="1"/>
    </row>
    <row r="47" spans="2:22" ht="12.75" hidden="1" customHeight="1" x14ac:dyDescent="0.3">
      <c r="B47" s="223" t="s">
        <v>92</v>
      </c>
      <c r="D47" s="236"/>
      <c r="G47" s="237" t="s">
        <v>93</v>
      </c>
      <c r="H47" s="77"/>
      <c r="I47" s="77"/>
      <c r="J47" s="87"/>
      <c r="K47" s="87"/>
      <c r="L47" s="77"/>
      <c r="M47" s="77"/>
      <c r="N47" s="77"/>
      <c r="O47" s="1"/>
      <c r="P47" s="1"/>
      <c r="U47" s="1"/>
      <c r="V47" s="1"/>
    </row>
    <row r="48" spans="2:22" ht="13.5" hidden="1" customHeight="1" x14ac:dyDescent="0.3">
      <c r="B48" s="238" t="s">
        <v>94</v>
      </c>
      <c r="C48" s="239">
        <f>SUM(C45:D46)</f>
        <v>1.1973580623352942</v>
      </c>
      <c r="D48" s="9"/>
      <c r="G48" s="237" t="s">
        <v>95</v>
      </c>
      <c r="H48" s="77"/>
      <c r="I48" s="240"/>
      <c r="J48" s="87"/>
      <c r="K48" s="87"/>
      <c r="L48" s="241"/>
      <c r="M48" s="77"/>
      <c r="N48" s="77"/>
      <c r="O48" s="1"/>
      <c r="P48" s="1"/>
      <c r="U48" s="1"/>
      <c r="V48" s="1"/>
    </row>
    <row r="49" spans="1:22" ht="12.75" hidden="1" customHeight="1" x14ac:dyDescent="0.3">
      <c r="B49" s="242" t="s">
        <v>96</v>
      </c>
      <c r="C49" s="243">
        <f>CHIDIST(C48,1)</f>
        <v>0.27385035659123075</v>
      </c>
      <c r="E49" s="9"/>
      <c r="F49" s="9"/>
      <c r="G49" s="76"/>
      <c r="H49" s="244"/>
      <c r="I49" s="76"/>
      <c r="J49" s="87"/>
      <c r="K49" s="87"/>
      <c r="L49" s="76"/>
      <c r="M49" s="77"/>
      <c r="N49" s="77"/>
      <c r="O49" s="1"/>
      <c r="P49" s="1"/>
      <c r="U49" s="1"/>
      <c r="V49" s="1"/>
    </row>
    <row r="50" spans="1:22" s="8" customFormat="1" ht="12.75" hidden="1" customHeight="1" x14ac:dyDescent="0.3">
      <c r="B50" s="100"/>
      <c r="E50" s="245"/>
      <c r="F50" s="245"/>
      <c r="G50" s="87"/>
      <c r="H50" s="87"/>
      <c r="I50" s="246"/>
      <c r="J50" s="87"/>
      <c r="K50" s="87"/>
      <c r="L50" s="87"/>
      <c r="M50" s="87"/>
      <c r="N50" s="87"/>
    </row>
    <row r="51" spans="1:22" ht="13.5" hidden="1" customHeight="1" x14ac:dyDescent="0.3">
      <c r="B51" s="78"/>
      <c r="G51" s="77"/>
      <c r="H51" s="77"/>
      <c r="I51" s="77"/>
      <c r="J51" s="87"/>
      <c r="K51" s="87"/>
      <c r="L51" s="77"/>
      <c r="M51" s="77"/>
      <c r="N51" s="77"/>
      <c r="O51" s="1"/>
      <c r="P51" s="1"/>
      <c r="U51" s="1"/>
      <c r="V51" s="1"/>
    </row>
    <row r="52" spans="1:22" ht="12.75" hidden="1" customHeight="1" x14ac:dyDescent="0.3">
      <c r="B52" s="247" t="s">
        <v>97</v>
      </c>
      <c r="C52" s="248"/>
      <c r="D52" s="248"/>
      <c r="E52" s="248"/>
      <c r="F52" s="248"/>
      <c r="G52" s="248"/>
      <c r="H52" s="249"/>
      <c r="I52" s="77"/>
      <c r="J52" s="250" t="s">
        <v>98</v>
      </c>
      <c r="K52" s="251"/>
      <c r="L52" s="252"/>
      <c r="M52" s="252"/>
      <c r="N52" s="252"/>
      <c r="O52" s="134"/>
      <c r="P52" s="1"/>
      <c r="U52" s="1"/>
      <c r="V52" s="1"/>
    </row>
    <row r="53" spans="1:22" ht="12.75" hidden="1" customHeight="1" x14ac:dyDescent="0.3">
      <c r="B53" s="253">
        <f>I2*100</f>
        <v>95</v>
      </c>
      <c r="C53" s="200"/>
      <c r="D53" s="200"/>
      <c r="E53" s="8"/>
      <c r="F53" s="8"/>
      <c r="G53" s="8"/>
      <c r="H53" s="141"/>
      <c r="I53" s="77"/>
      <c r="J53" s="254"/>
      <c r="K53" s="87"/>
      <c r="L53" s="76"/>
      <c r="M53" s="76"/>
      <c r="N53" s="76"/>
      <c r="O53" s="139"/>
      <c r="P53" s="1"/>
      <c r="U53" s="1"/>
      <c r="V53" s="1"/>
    </row>
    <row r="54" spans="1:22" ht="12.75" hidden="1" customHeight="1" x14ac:dyDescent="0.3">
      <c r="B54" s="255" t="s">
        <v>99</v>
      </c>
      <c r="C54" s="256"/>
      <c r="D54" s="256"/>
      <c r="E54" s="257">
        <f>ROUND(G14,2)</f>
        <v>0.89</v>
      </c>
      <c r="F54" s="258">
        <f>ROUND(J26,4)</f>
        <v>5.7000000000000002E-3</v>
      </c>
      <c r="G54" s="259">
        <f>ROUND(J27,0)</f>
        <v>174</v>
      </c>
      <c r="H54" s="260"/>
      <c r="I54" s="77"/>
      <c r="J54" s="261" t="s">
        <v>99</v>
      </c>
      <c r="K54" s="8"/>
      <c r="L54" s="8"/>
      <c r="M54" s="8"/>
      <c r="N54" s="76"/>
      <c r="O54" s="139"/>
      <c r="P54" s="1"/>
      <c r="U54" s="1"/>
      <c r="V54" s="1"/>
    </row>
    <row r="55" spans="1:22" ht="12.75" hidden="1" customHeight="1" x14ac:dyDescent="0.3">
      <c r="B55" s="255" t="s">
        <v>100</v>
      </c>
      <c r="C55" s="9"/>
      <c r="D55" s="9"/>
      <c r="E55" s="257">
        <f>ROUND(H14,2)</f>
        <v>0.71</v>
      </c>
      <c r="F55" s="258">
        <f>ROUND(L26,4)</f>
        <v>-4.5999999999999999E-3</v>
      </c>
      <c r="G55" s="259">
        <f>ROUND(L27,0)</f>
        <v>-217</v>
      </c>
      <c r="H55" s="260"/>
      <c r="I55" s="77"/>
      <c r="J55" s="261" t="s">
        <v>100</v>
      </c>
      <c r="K55" s="262" t="str">
        <f>ROUND(J21,4)*100&amp;J57</f>
        <v>4,48%</v>
      </c>
      <c r="L55" s="262" t="str">
        <f>ROUND(K21,4)*100&amp;J57</f>
        <v>3,83%</v>
      </c>
      <c r="M55" s="262" t="str">
        <f>ROUND(L21,4)*100&amp;J57</f>
        <v>5,24%</v>
      </c>
      <c r="N55" s="263" t="str">
        <f>CONCATENATE(K55," ",J54,L55," ",J58," ",M55,J56)</f>
        <v>4,48% (3,83% a 5,24%)</v>
      </c>
      <c r="O55" s="139"/>
      <c r="P55" s="1"/>
      <c r="U55" s="1"/>
      <c r="V55" s="1"/>
    </row>
    <row r="56" spans="1:22" s="7" customFormat="1" ht="12.75" hidden="1" customHeight="1" x14ac:dyDescent="0.3">
      <c r="B56" s="255" t="s">
        <v>101</v>
      </c>
      <c r="C56" s="256">
        <f>ROUND(D7,0)</f>
        <v>148</v>
      </c>
      <c r="D56" s="256">
        <f>ROUND(D8,0)</f>
        <v>167</v>
      </c>
      <c r="E56" s="257">
        <f>ROUND(I14,2)</f>
        <v>1.1000000000000001</v>
      </c>
      <c r="F56" s="258">
        <f>ROUND(K26,4)</f>
        <v>1.6E-2</v>
      </c>
      <c r="G56" s="259">
        <f>ROUND(K27,0)</f>
        <v>62</v>
      </c>
      <c r="H56" s="264">
        <f>ROUND(N32,4)</f>
        <v>0.1933</v>
      </c>
      <c r="I56" s="111"/>
      <c r="J56" s="261" t="s">
        <v>101</v>
      </c>
      <c r="K56" s="265" t="str">
        <f>ROUND(J22,4)*100&amp;J57</f>
        <v>5,05%</v>
      </c>
      <c r="L56" s="265" t="str">
        <f>ROUND(K22,4)*100&amp;J57</f>
        <v>4,36%</v>
      </c>
      <c r="M56" s="265" t="str">
        <f>ROUND(L22,4)*100&amp;J57</f>
        <v>5,85%</v>
      </c>
      <c r="N56" s="263" t="str">
        <f>CONCATENATE(K56," ",J54,L56," ",J58," ",M56,J56)</f>
        <v>5,05% (4,36% a 5,85%)</v>
      </c>
      <c r="O56" s="141"/>
    </row>
    <row r="57" spans="1:22" ht="12.75" hidden="1" customHeight="1" x14ac:dyDescent="0.3">
      <c r="B57" s="255" t="s">
        <v>102</v>
      </c>
      <c r="C57" s="266" t="s">
        <v>103</v>
      </c>
      <c r="D57" s="266" t="s">
        <v>104</v>
      </c>
      <c r="E57" s="266" t="s">
        <v>27</v>
      </c>
      <c r="F57" s="266" t="s">
        <v>105</v>
      </c>
      <c r="G57" s="267" t="s">
        <v>11</v>
      </c>
      <c r="H57" s="11" t="s">
        <v>106</v>
      </c>
      <c r="I57" s="77"/>
      <c r="J57" s="261" t="s">
        <v>102</v>
      </c>
      <c r="K57" s="265" t="str">
        <f>ROUND(J23,4)*100&amp;J57</f>
        <v>4,77%</v>
      </c>
      <c r="L57" s="265" t="str">
        <f>ROUND(K23,4)*100&amp;J57</f>
        <v>4,28%</v>
      </c>
      <c r="M57" s="265" t="str">
        <f>ROUND(L23,4)*100&amp;J57</f>
        <v>5,31%</v>
      </c>
      <c r="N57" s="263" t="str">
        <f>CONCATENATE(K57," ",J54,L57," ",J58," ",M57,J56)</f>
        <v>4,77% (4,28% a 5,31%)</v>
      </c>
      <c r="O57" s="141"/>
    </row>
    <row r="58" spans="1:22" ht="12.75" hidden="1" customHeight="1" x14ac:dyDescent="0.3">
      <c r="B58" s="268" t="s">
        <v>107</v>
      </c>
      <c r="C58" s="269" t="str">
        <f>CONCATENATE(C56,B59,C21," ",B54,K55,B56)</f>
        <v>148/3304 (4,48%)</v>
      </c>
      <c r="D58" s="63" t="str">
        <f>CONCATENATE(D56,B59,C22," ",B54,K56,B56)</f>
        <v>167/3305 (5,05%)</v>
      </c>
      <c r="E58" s="269" t="str">
        <f>CONCATENATE(E54," ",B54,E55,B55,E56,B56)</f>
        <v>0,89 (0,71-1,1)</v>
      </c>
      <c r="F58" s="269" t="str">
        <f>CONCATENATE(F54*100,B57," ",B54,F55*100,B57," ",B58," ",F56*100,B57,B56)</f>
        <v>0,57% (-0,46% a 1,6%)</v>
      </c>
      <c r="G58" s="11" t="str">
        <f>CONCATENATE(G54," ",B54,G56," ",B58," ",G55,B56)</f>
        <v>174 (62 a -217)</v>
      </c>
      <c r="H58" s="11" t="str">
        <f>CONCATENATE(H56*100,B57)</f>
        <v>19,33%</v>
      </c>
      <c r="I58" s="77"/>
      <c r="J58" s="270" t="s">
        <v>107</v>
      </c>
      <c r="K58" s="9"/>
      <c r="L58" s="9"/>
      <c r="M58" s="9"/>
      <c r="N58" s="76"/>
      <c r="O58" s="139"/>
      <c r="P58" s="1"/>
      <c r="U58" s="1"/>
      <c r="V58" s="1"/>
    </row>
    <row r="59" spans="1:22" ht="13.5" hidden="1" customHeight="1" x14ac:dyDescent="0.3">
      <c r="B59" s="271" t="s">
        <v>108</v>
      </c>
      <c r="C59" s="165"/>
      <c r="D59" s="165"/>
      <c r="E59" s="165"/>
      <c r="F59" s="165"/>
      <c r="G59" s="272"/>
      <c r="H59" s="273"/>
      <c r="I59" s="77"/>
      <c r="J59" s="274" t="s">
        <v>108</v>
      </c>
      <c r="K59" s="165"/>
      <c r="L59" s="165"/>
      <c r="M59" s="165"/>
      <c r="N59" s="275"/>
      <c r="O59" s="163"/>
      <c r="P59" s="1"/>
      <c r="U59" s="1"/>
      <c r="V59" s="1"/>
    </row>
    <row r="60" spans="1:22" hidden="1" x14ac:dyDescent="0.3">
      <c r="B60" s="78"/>
      <c r="G60" s="77"/>
      <c r="H60" s="77"/>
      <c r="I60" s="77"/>
      <c r="J60" s="77"/>
      <c r="K60" s="77"/>
      <c r="L60" s="87"/>
      <c r="M60" s="77"/>
      <c r="N60" s="77"/>
      <c r="O60" s="1"/>
      <c r="P60" s="1"/>
      <c r="U60" s="1"/>
      <c r="V60" s="1"/>
    </row>
    <row r="61" spans="1:22" ht="27" customHeight="1" x14ac:dyDescent="0.3">
      <c r="B61" s="78"/>
      <c r="C61" s="276" t="s">
        <v>103</v>
      </c>
      <c r="D61" s="276" t="s">
        <v>104</v>
      </c>
      <c r="E61" s="277" t="str">
        <f>CONCATENATE(E57," ",B54,H2," ",B53,B57,B56)</f>
        <v>RR (IC 95%)</v>
      </c>
      <c r="F61" s="277" t="str">
        <f>CONCATENATE(F57," ",B54,H2," ",B53,B57,B56)</f>
        <v>RAR (IC 95%)</v>
      </c>
      <c r="G61" s="277" t="str">
        <f>CONCATENATE(G57," ",B54,H2," ",B53,B57,B56)</f>
        <v>NNT (IC 95%)</v>
      </c>
      <c r="H61" s="551" t="s">
        <v>70</v>
      </c>
      <c r="I61" s="278"/>
      <c r="J61" s="310" t="s">
        <v>118</v>
      </c>
      <c r="L61" s="277" t="s">
        <v>110</v>
      </c>
      <c r="M61" s="277" t="s">
        <v>111</v>
      </c>
      <c r="O61" s="277" t="s">
        <v>129</v>
      </c>
      <c r="P61" s="277" t="s">
        <v>111</v>
      </c>
      <c r="R61" s="414" t="s">
        <v>2</v>
      </c>
      <c r="S61" s="415" t="s">
        <v>3</v>
      </c>
      <c r="T61" s="416" t="s">
        <v>1</v>
      </c>
      <c r="U61" s="417" t="s">
        <v>127</v>
      </c>
      <c r="V61" s="1"/>
    </row>
    <row r="62" spans="1:22" ht="21" customHeight="1" x14ac:dyDescent="0.3">
      <c r="B62" s="78"/>
      <c r="C62" s="63" t="str">
        <f t="shared" ref="C62:H62" si="1">C58</f>
        <v>148/3304 (4,48%)</v>
      </c>
      <c r="D62" s="63" t="str">
        <f t="shared" si="1"/>
        <v>167/3305 (5,05%)</v>
      </c>
      <c r="E62" s="63" t="str">
        <f t="shared" si="1"/>
        <v>0,89 (0,71-1,1)</v>
      </c>
      <c r="F62" s="63" t="str">
        <f t="shared" si="1"/>
        <v>0,57% (-0,46% a 1,6%)</v>
      </c>
      <c r="G62" s="63" t="str">
        <f t="shared" si="1"/>
        <v>174 (62 a -217)</v>
      </c>
      <c r="H62" s="63" t="str">
        <f t="shared" si="1"/>
        <v>19,33%</v>
      </c>
      <c r="I62" s="279"/>
      <c r="J62" s="280">
        <f>C49</f>
        <v>0.27385035659123075</v>
      </c>
      <c r="L62" s="281">
        <f>IF((K26*L26&lt;0),J23,J21)</f>
        <v>4.766227871084884E-2</v>
      </c>
      <c r="M62" s="281">
        <f>IF((K26*L26&lt;0),J23,J22)</f>
        <v>4.766227871084884E-2</v>
      </c>
      <c r="O62" s="552">
        <f>L62*100</f>
        <v>4.766227871084884</v>
      </c>
      <c r="P62" s="552">
        <f>M62*100</f>
        <v>4.766227871084884</v>
      </c>
      <c r="R62" s="295">
        <f>Q14</f>
        <v>23.324822248189516</v>
      </c>
      <c r="S62" s="296">
        <f>R14</f>
        <v>6.882374273333014E-2</v>
      </c>
      <c r="T62" s="330">
        <f>S14</f>
        <v>0.60635400907715586</v>
      </c>
      <c r="U62" s="331">
        <f>R62+S62+T62</f>
        <v>24</v>
      </c>
      <c r="V62" s="237" t="str">
        <f>I4</f>
        <v>meses</v>
      </c>
    </row>
    <row r="63" spans="1:22" x14ac:dyDescent="0.3">
      <c r="B63" s="78"/>
      <c r="C63" s="237"/>
      <c r="D63" s="237"/>
      <c r="E63" s="237"/>
      <c r="F63" s="237"/>
      <c r="G63" s="237"/>
      <c r="H63" s="237"/>
      <c r="I63" s="237"/>
      <c r="J63" s="237"/>
      <c r="K63" s="237"/>
      <c r="L63" s="237"/>
      <c r="M63" s="237"/>
      <c r="N63" s="237"/>
      <c r="O63" s="282"/>
    </row>
    <row r="64" spans="1:22" x14ac:dyDescent="0.3">
      <c r="A64" s="334"/>
      <c r="B64" s="386" t="s">
        <v>204</v>
      </c>
      <c r="C64" s="283"/>
      <c r="D64" s="283"/>
      <c r="E64" s="283"/>
      <c r="F64" s="283"/>
      <c r="G64" s="283"/>
      <c r="H64" s="283"/>
      <c r="I64" s="284"/>
      <c r="J64" s="285"/>
      <c r="K64" s="237"/>
      <c r="L64" s="237"/>
      <c r="M64" s="237"/>
      <c r="N64" s="237"/>
      <c r="O64" s="282"/>
    </row>
    <row r="65" spans="1:27" ht="18" customHeight="1" thickBot="1" x14ac:dyDescent="0.35">
      <c r="A65" s="334"/>
      <c r="B65" s="480" t="s">
        <v>152</v>
      </c>
      <c r="C65" s="283"/>
      <c r="D65" s="283"/>
      <c r="E65" s="283"/>
      <c r="F65" s="283"/>
      <c r="G65" s="283"/>
      <c r="H65" s="283"/>
      <c r="I65" s="284"/>
      <c r="J65" s="285"/>
      <c r="K65" s="237"/>
      <c r="L65" s="237"/>
      <c r="M65" s="237"/>
      <c r="N65" s="237"/>
      <c r="O65" s="282"/>
    </row>
    <row r="66" spans="1:27" ht="50" customHeight="1" thickBot="1" x14ac:dyDescent="0.35">
      <c r="A66" s="334"/>
      <c r="B66" s="591" t="s">
        <v>179</v>
      </c>
      <c r="C66" s="592"/>
      <c r="D66" s="592"/>
      <c r="E66" s="592"/>
      <c r="F66" s="592"/>
      <c r="G66" s="592"/>
      <c r="H66" s="593"/>
      <c r="I66" s="334"/>
      <c r="J66" s="334"/>
      <c r="K66" s="334"/>
      <c r="L66" s="334"/>
      <c r="M66" s="334"/>
      <c r="N66" s="334"/>
      <c r="O66" s="586" t="s">
        <v>131</v>
      </c>
      <c r="P66" s="587"/>
      <c r="Q66" s="334"/>
      <c r="R66" s="553" t="s">
        <v>212</v>
      </c>
      <c r="S66" s="554"/>
      <c r="T66" s="554"/>
      <c r="U66" s="555"/>
      <c r="V66" s="334"/>
    </row>
    <row r="67" spans="1:27" ht="47.5" customHeight="1" thickBot="1" x14ac:dyDescent="0.35">
      <c r="A67" s="334"/>
      <c r="B67" s="474" t="s">
        <v>200</v>
      </c>
      <c r="C67" s="405" t="s">
        <v>210</v>
      </c>
      <c r="D67" s="406" t="s">
        <v>153</v>
      </c>
      <c r="E67" s="588" t="s">
        <v>135</v>
      </c>
      <c r="F67" s="589"/>
      <c r="G67" s="589"/>
      <c r="H67" s="590"/>
      <c r="I67" s="334"/>
      <c r="J67" s="334"/>
      <c r="K67" s="334"/>
      <c r="L67" s="334"/>
      <c r="M67" s="334"/>
      <c r="N67" s="334"/>
      <c r="O67" s="569" t="s">
        <v>141</v>
      </c>
      <c r="P67" s="570"/>
      <c r="Q67" s="334"/>
      <c r="R67" s="556" t="s">
        <v>125</v>
      </c>
      <c r="S67" s="558" t="s">
        <v>126</v>
      </c>
      <c r="T67" s="560" t="s">
        <v>213</v>
      </c>
      <c r="U67" s="562" t="s">
        <v>128</v>
      </c>
      <c r="V67" s="334"/>
    </row>
    <row r="68" spans="1:27" ht="40.5" customHeight="1" thickBot="1" x14ac:dyDescent="0.35">
      <c r="A68" s="334"/>
      <c r="B68" s="475" t="s">
        <v>201</v>
      </c>
      <c r="C68" s="335" t="s">
        <v>132</v>
      </c>
      <c r="D68" s="336" t="s">
        <v>132</v>
      </c>
      <c r="E68" s="337" t="s">
        <v>124</v>
      </c>
      <c r="F68" s="338" t="s">
        <v>136</v>
      </c>
      <c r="G68" s="338" t="s">
        <v>140</v>
      </c>
      <c r="H68" s="339" t="s">
        <v>109</v>
      </c>
      <c r="I68" s="334"/>
      <c r="J68" s="340" t="s">
        <v>133</v>
      </c>
      <c r="L68" s="90" t="s">
        <v>110</v>
      </c>
      <c r="M68" s="90" t="s">
        <v>111</v>
      </c>
      <c r="N68" s="334"/>
      <c r="O68" s="476" t="s">
        <v>211</v>
      </c>
      <c r="P68" s="477" t="s">
        <v>13</v>
      </c>
      <c r="Q68" s="334"/>
      <c r="R68" s="557"/>
      <c r="S68" s="559"/>
      <c r="T68" s="561"/>
      <c r="U68" s="563"/>
      <c r="V68" s="334"/>
    </row>
    <row r="69" spans="1:27" ht="23.5" customHeight="1" x14ac:dyDescent="0.3">
      <c r="A69" s="334"/>
      <c r="B69" s="473" t="s">
        <v>144</v>
      </c>
      <c r="C69" s="320"/>
      <c r="D69" s="320"/>
      <c r="E69" s="321"/>
      <c r="F69" s="321"/>
      <c r="G69" s="321"/>
      <c r="H69" s="321"/>
      <c r="I69" s="317"/>
      <c r="J69" s="322"/>
      <c r="K69" s="323"/>
      <c r="L69" s="323"/>
      <c r="M69" s="323"/>
      <c r="N69" s="323"/>
      <c r="O69" s="323"/>
      <c r="P69" s="323"/>
      <c r="Q69" s="334"/>
      <c r="R69" s="334"/>
      <c r="S69" s="334"/>
      <c r="T69" s="334"/>
      <c r="U69" s="334"/>
      <c r="V69" s="334"/>
    </row>
    <row r="70" spans="1:27" ht="26" customHeight="1" x14ac:dyDescent="0.3">
      <c r="A70" s="334"/>
      <c r="B70" s="407" t="s">
        <v>208</v>
      </c>
      <c r="C70" s="410" t="s">
        <v>159</v>
      </c>
      <c r="D70" s="410" t="s">
        <v>160</v>
      </c>
      <c r="E70" s="410" t="s">
        <v>161</v>
      </c>
      <c r="F70" s="410" t="s">
        <v>162</v>
      </c>
      <c r="G70" s="413" t="s">
        <v>163</v>
      </c>
      <c r="H70" s="412" t="s">
        <v>164</v>
      </c>
      <c r="I70" s="317"/>
      <c r="J70" s="358">
        <v>0.27385035659123075</v>
      </c>
      <c r="K70" s="318"/>
      <c r="L70" s="324">
        <v>4.766227871084884E-2</v>
      </c>
      <c r="M70" s="324">
        <v>4.766227871084884E-2</v>
      </c>
      <c r="N70" s="318"/>
      <c r="O70" s="350">
        <v>4.766227871084884</v>
      </c>
      <c r="P70" s="350">
        <v>4.766227871084884</v>
      </c>
      <c r="Q70" s="334"/>
      <c r="R70" s="431">
        <v>23.324822248189516</v>
      </c>
      <c r="S70" s="504">
        <v>6.882374273333014E-2</v>
      </c>
      <c r="T70" s="432">
        <v>0.60635400907715586</v>
      </c>
      <c r="U70" s="350">
        <v>24</v>
      </c>
      <c r="V70" s="382" t="s">
        <v>134</v>
      </c>
    </row>
    <row r="71" spans="1:27" ht="26" customHeight="1" x14ac:dyDescent="0.3">
      <c r="A71" s="334"/>
      <c r="B71" s="408" t="s">
        <v>146</v>
      </c>
      <c r="C71" s="533">
        <v>59</v>
      </c>
      <c r="D71" s="533">
        <v>69</v>
      </c>
      <c r="E71" s="410"/>
      <c r="F71" s="410"/>
      <c r="G71" s="413"/>
      <c r="H71" s="412"/>
      <c r="I71" s="368"/>
      <c r="J71" s="369"/>
      <c r="K71" s="370"/>
      <c r="L71" s="371"/>
      <c r="M71" s="371"/>
      <c r="N71" s="370"/>
      <c r="O71" s="350"/>
      <c r="P71" s="350"/>
      <c r="Q71" s="334"/>
      <c r="R71" s="431"/>
      <c r="S71" s="504"/>
      <c r="T71" s="432"/>
      <c r="U71" s="350"/>
      <c r="V71" s="382"/>
    </row>
    <row r="72" spans="1:27" ht="26" customHeight="1" x14ac:dyDescent="0.3">
      <c r="A72" s="334"/>
      <c r="B72" s="408" t="s">
        <v>147</v>
      </c>
      <c r="C72" s="533">
        <v>4</v>
      </c>
      <c r="D72" s="533">
        <v>4</v>
      </c>
      <c r="E72" s="410"/>
      <c r="F72" s="430"/>
      <c r="G72" s="430"/>
      <c r="H72" s="412"/>
      <c r="I72" s="368"/>
      <c r="J72" s="369"/>
      <c r="K72" s="370"/>
      <c r="L72" s="371"/>
      <c r="M72" s="371"/>
      <c r="N72" s="370"/>
      <c r="O72" s="366"/>
      <c r="P72" s="366"/>
      <c r="Q72" s="334"/>
      <c r="R72" s="379"/>
      <c r="S72" s="436"/>
      <c r="T72" s="380"/>
      <c r="U72" s="350"/>
      <c r="V72" s="382"/>
    </row>
    <row r="73" spans="1:27" ht="7.5" customHeight="1" x14ac:dyDescent="0.3">
      <c r="A73" s="334"/>
      <c r="B73" s="319"/>
      <c r="C73" s="319"/>
      <c r="D73" s="319"/>
      <c r="E73" s="319"/>
      <c r="F73" s="319"/>
      <c r="G73" s="319"/>
      <c r="H73" s="319"/>
      <c r="I73" s="319"/>
      <c r="J73" s="319"/>
      <c r="K73" s="319"/>
      <c r="L73" s="319"/>
      <c r="M73" s="319"/>
      <c r="N73" s="319"/>
      <c r="O73" s="323"/>
      <c r="P73" s="323"/>
      <c r="Q73" s="334"/>
      <c r="R73" s="433"/>
      <c r="S73" s="433"/>
      <c r="T73" s="433"/>
      <c r="U73" s="491"/>
      <c r="V73" s="381"/>
    </row>
    <row r="74" spans="1:27" ht="25" customHeight="1" x14ac:dyDescent="0.3">
      <c r="A74" s="334"/>
      <c r="B74" s="408" t="s">
        <v>202</v>
      </c>
      <c r="C74" s="413" t="s">
        <v>170</v>
      </c>
      <c r="D74" s="410" t="s">
        <v>171</v>
      </c>
      <c r="E74" s="410" t="s">
        <v>156</v>
      </c>
      <c r="F74" s="430" t="s">
        <v>172</v>
      </c>
      <c r="G74" s="411" t="s">
        <v>173</v>
      </c>
      <c r="H74" s="412" t="s">
        <v>174</v>
      </c>
      <c r="I74" s="368"/>
      <c r="J74" s="369">
        <v>2.0673723386052336E-5</v>
      </c>
      <c r="K74" s="370"/>
      <c r="L74" s="371">
        <v>0.10865617433414043</v>
      </c>
      <c r="M74" s="371">
        <v>0.14341906202723148</v>
      </c>
      <c r="N74" s="370"/>
      <c r="O74" s="481">
        <v>10.865617433414043</v>
      </c>
      <c r="P74" s="482">
        <v>14.341906202723148</v>
      </c>
      <c r="Q74" s="334"/>
      <c r="R74" s="431">
        <v>21.861816603356132</v>
      </c>
      <c r="S74" s="489">
        <v>0.41715465231709259</v>
      </c>
      <c r="T74" s="432">
        <v>1.7210287443267778</v>
      </c>
      <c r="U74" s="350">
        <v>24</v>
      </c>
      <c r="V74" s="382" t="s">
        <v>134</v>
      </c>
    </row>
    <row r="75" spans="1:27" ht="25" customHeight="1" x14ac:dyDescent="0.3">
      <c r="A75" s="334"/>
      <c r="B75" s="408" t="s">
        <v>203</v>
      </c>
      <c r="C75" s="533">
        <v>116</v>
      </c>
      <c r="D75" s="533">
        <v>167</v>
      </c>
      <c r="E75" s="410"/>
      <c r="F75" s="430"/>
      <c r="G75" s="534"/>
      <c r="H75" s="412"/>
      <c r="I75" s="368"/>
      <c r="J75" s="369"/>
      <c r="K75" s="370"/>
      <c r="L75" s="371"/>
      <c r="M75" s="371"/>
      <c r="N75" s="370"/>
      <c r="O75" s="483"/>
      <c r="P75" s="484"/>
      <c r="Q75" s="334"/>
      <c r="R75" s="431"/>
      <c r="S75" s="538"/>
      <c r="T75" s="432"/>
      <c r="U75" s="350"/>
      <c r="V75" s="382"/>
    </row>
    <row r="76" spans="1:27" ht="35" customHeight="1" x14ac:dyDescent="0.3">
      <c r="A76" s="334"/>
      <c r="B76" s="472" t="s">
        <v>199</v>
      </c>
      <c r="C76" s="533">
        <v>108</v>
      </c>
      <c r="D76" s="533">
        <v>158</v>
      </c>
      <c r="E76" s="410"/>
      <c r="F76" s="410"/>
      <c r="G76" s="534"/>
      <c r="H76" s="412"/>
      <c r="I76" s="368"/>
      <c r="J76" s="369"/>
      <c r="K76" s="370"/>
      <c r="L76" s="371"/>
      <c r="M76" s="371"/>
      <c r="N76" s="370"/>
      <c r="O76" s="485"/>
      <c r="P76" s="432"/>
      <c r="Q76" s="334"/>
      <c r="R76" s="431"/>
      <c r="S76" s="538"/>
      <c r="T76" s="432"/>
      <c r="U76" s="350"/>
      <c r="V76" s="382"/>
    </row>
    <row r="77" spans="1:27" s="392" customFormat="1" ht="21" customHeight="1" x14ac:dyDescent="0.3">
      <c r="A77" s="388"/>
      <c r="B77" s="473" t="s">
        <v>145</v>
      </c>
      <c r="C77" s="409"/>
      <c r="D77" s="389"/>
      <c r="E77" s="389"/>
      <c r="F77" s="389"/>
      <c r="G77" s="389"/>
      <c r="H77" s="389"/>
      <c r="I77" s="389"/>
      <c r="J77" s="389"/>
      <c r="K77" s="390"/>
      <c r="L77" s="388"/>
      <c r="M77" s="388"/>
      <c r="N77" s="388"/>
      <c r="O77" s="388"/>
      <c r="P77" s="388"/>
      <c r="Q77" s="388"/>
      <c r="R77" s="388"/>
      <c r="S77" s="388"/>
      <c r="T77" s="388"/>
      <c r="U77" s="492"/>
      <c r="V77" s="391"/>
      <c r="X77" s="1"/>
      <c r="Y77" s="1"/>
      <c r="Z77" s="1"/>
      <c r="AA77" s="1"/>
    </row>
    <row r="78" spans="1:27" s="392" customFormat="1" ht="39" customHeight="1" x14ac:dyDescent="0.3">
      <c r="A78" s="388"/>
      <c r="B78" s="393" t="s">
        <v>205</v>
      </c>
      <c r="C78" s="394" t="s">
        <v>166</v>
      </c>
      <c r="D78" s="394" t="s">
        <v>167</v>
      </c>
      <c r="E78" s="394" t="s">
        <v>168</v>
      </c>
      <c r="F78" s="394" t="s">
        <v>169</v>
      </c>
      <c r="G78" s="428" t="s">
        <v>177</v>
      </c>
      <c r="H78" s="429" t="s">
        <v>178</v>
      </c>
      <c r="I78" s="317"/>
      <c r="J78" s="358">
        <v>0.20289895479432501</v>
      </c>
      <c r="K78" s="318"/>
      <c r="L78" s="324">
        <v>4.2820396429111819E-2</v>
      </c>
      <c r="M78" s="324">
        <v>4.2820396429111819E-2</v>
      </c>
      <c r="N78" s="318"/>
      <c r="O78" s="427">
        <v>4.2820396429111822</v>
      </c>
      <c r="P78" s="427">
        <v>4.2820396429111822</v>
      </c>
      <c r="Q78" s="334"/>
      <c r="R78" s="434">
        <v>23.372004776679258</v>
      </c>
      <c r="S78" s="437">
        <v>7.610414919063857E-2</v>
      </c>
      <c r="T78" s="435">
        <v>0.55189107413010585</v>
      </c>
      <c r="U78" s="427">
        <v>24</v>
      </c>
      <c r="V78" s="382" t="s">
        <v>134</v>
      </c>
      <c r="X78" s="1"/>
      <c r="Y78" s="1"/>
      <c r="Z78" s="1"/>
      <c r="AA78" s="1"/>
    </row>
    <row r="79" spans="1:27" s="392" customFormat="1" ht="59" customHeight="1" x14ac:dyDescent="0.3">
      <c r="A79" s="388"/>
      <c r="B79" s="404" t="s">
        <v>206</v>
      </c>
      <c r="C79" s="394" t="s">
        <v>154</v>
      </c>
      <c r="D79" s="394" t="s">
        <v>155</v>
      </c>
      <c r="E79" s="394" t="s">
        <v>156</v>
      </c>
      <c r="F79" s="394" t="s">
        <v>157</v>
      </c>
      <c r="G79" s="395" t="s">
        <v>165</v>
      </c>
      <c r="H79" s="396" t="s">
        <v>158</v>
      </c>
      <c r="I79" s="317"/>
      <c r="J79" s="358">
        <v>1.00001536795177</v>
      </c>
      <c r="K79" s="318"/>
      <c r="L79" s="324">
        <v>0.11622276029055691</v>
      </c>
      <c r="M79" s="324">
        <v>0.15249621785173978</v>
      </c>
      <c r="N79" s="318"/>
      <c r="O79" s="397">
        <v>11.622276029055691</v>
      </c>
      <c r="P79" s="398">
        <v>15.249621785173979</v>
      </c>
      <c r="Q79" s="334"/>
      <c r="R79" s="434">
        <v>21.734763895044928</v>
      </c>
      <c r="S79" s="490">
        <v>0.43528149073419442</v>
      </c>
      <c r="T79" s="435">
        <v>1.8299546142208774</v>
      </c>
      <c r="U79" s="427">
        <v>24</v>
      </c>
      <c r="V79" s="382" t="s">
        <v>134</v>
      </c>
    </row>
    <row r="80" spans="1:27" ht="65" customHeight="1" x14ac:dyDescent="0.3">
      <c r="A80" s="334"/>
      <c r="B80" s="404" t="s">
        <v>207</v>
      </c>
      <c r="C80" s="535">
        <v>432</v>
      </c>
      <c r="D80" s="535">
        <v>558</v>
      </c>
      <c r="E80" s="394"/>
      <c r="F80" s="394"/>
      <c r="G80" s="536"/>
      <c r="H80" s="396"/>
      <c r="I80" s="317"/>
      <c r="J80" s="358"/>
      <c r="K80" s="318"/>
      <c r="L80" s="324"/>
      <c r="M80" s="324"/>
      <c r="N80" s="318"/>
      <c r="O80" s="397"/>
      <c r="P80" s="398"/>
      <c r="Q80" s="334"/>
      <c r="R80" s="434"/>
      <c r="S80" s="537"/>
      <c r="T80" s="435"/>
      <c r="U80" s="427"/>
      <c r="V80" s="382"/>
    </row>
    <row r="81" spans="1:22" ht="10" customHeight="1" x14ac:dyDescent="0.3">
      <c r="A81" s="334"/>
      <c r="B81" s="445"/>
      <c r="C81" s="323"/>
      <c r="D81" s="323"/>
      <c r="E81" s="323"/>
      <c r="F81" s="323"/>
      <c r="G81" s="365"/>
      <c r="H81" s="357"/>
      <c r="I81" s="368"/>
      <c r="J81" s="358"/>
      <c r="K81" s="318"/>
      <c r="L81" s="324"/>
      <c r="M81" s="324"/>
      <c r="N81" s="318"/>
      <c r="O81" s="359"/>
      <c r="P81" s="360"/>
      <c r="Q81" s="334"/>
      <c r="R81" s="372"/>
      <c r="S81" s="373"/>
      <c r="T81" s="374"/>
      <c r="U81" s="375"/>
      <c r="V81" s="318"/>
    </row>
    <row r="82" spans="1:22" ht="54.5" customHeight="1" x14ac:dyDescent="0.3">
      <c r="A82" s="334"/>
      <c r="B82" s="578" t="s">
        <v>209</v>
      </c>
      <c r="C82" s="579"/>
      <c r="D82" s="579"/>
      <c r="E82" s="579"/>
      <c r="F82" s="579"/>
      <c r="G82" s="579"/>
      <c r="H82" s="579"/>
      <c r="I82" s="579"/>
      <c r="J82" s="579"/>
      <c r="K82" s="579"/>
      <c r="L82" s="579"/>
      <c r="M82" s="579"/>
      <c r="N82" s="579"/>
      <c r="O82" s="579"/>
      <c r="P82" s="580"/>
      <c r="Q82" s="317"/>
      <c r="R82" s="317"/>
      <c r="S82" s="317"/>
      <c r="T82" s="317"/>
      <c r="U82" s="317"/>
      <c r="V82" s="317"/>
    </row>
    <row r="83" spans="1:22" ht="12" customHeight="1" x14ac:dyDescent="0.3">
      <c r="A83" s="334"/>
      <c r="B83" s="327"/>
      <c r="C83" s="323"/>
      <c r="D83" s="323"/>
      <c r="E83" s="323"/>
      <c r="F83" s="323"/>
      <c r="G83" s="365"/>
      <c r="H83" s="357"/>
      <c r="I83" s="368"/>
      <c r="J83" s="358"/>
      <c r="K83" s="318"/>
      <c r="L83" s="324"/>
      <c r="M83" s="324"/>
      <c r="N83" s="318"/>
      <c r="O83" s="359"/>
      <c r="P83" s="360"/>
      <c r="Q83" s="334"/>
      <c r="R83" s="334"/>
      <c r="S83" s="334"/>
      <c r="T83" s="334"/>
      <c r="U83" s="334"/>
      <c r="V83" s="318"/>
    </row>
    <row r="84" spans="1:22" ht="12" customHeight="1" thickBot="1" x14ac:dyDescent="0.35">
      <c r="A84" s="334"/>
      <c r="B84" s="327"/>
      <c r="C84" s="323"/>
      <c r="D84" s="323"/>
      <c r="E84" s="323"/>
      <c r="F84" s="323"/>
      <c r="G84" s="365"/>
      <c r="H84" s="357"/>
      <c r="I84" s="317"/>
      <c r="J84" s="358"/>
      <c r="K84" s="318"/>
      <c r="L84" s="324"/>
      <c r="M84" s="324"/>
      <c r="N84" s="318"/>
      <c r="O84" s="359"/>
      <c r="P84" s="360"/>
      <c r="U84" s="1"/>
      <c r="V84" s="282"/>
    </row>
    <row r="85" spans="1:22" ht="39.75" customHeight="1" thickBot="1" x14ac:dyDescent="0.35">
      <c r="A85" s="334"/>
      <c r="B85" s="469" t="s">
        <v>197</v>
      </c>
      <c r="C85" s="401"/>
      <c r="D85" s="401"/>
      <c r="E85" s="401"/>
      <c r="F85" s="401"/>
      <c r="G85" s="401"/>
      <c r="H85" s="402"/>
      <c r="I85" s="334"/>
      <c r="J85" s="334"/>
      <c r="K85" s="334"/>
      <c r="L85" s="334"/>
      <c r="M85" s="334"/>
      <c r="N85" s="334"/>
      <c r="O85" s="576" t="s">
        <v>131</v>
      </c>
      <c r="P85" s="577"/>
      <c r="U85" s="1"/>
    </row>
    <row r="86" spans="1:22" ht="38.25" customHeight="1" thickBot="1" x14ac:dyDescent="0.35">
      <c r="A86" s="334"/>
      <c r="B86" s="571" t="s">
        <v>198</v>
      </c>
      <c r="C86" s="405" t="s">
        <v>210</v>
      </c>
      <c r="D86" s="406" t="s">
        <v>153</v>
      </c>
      <c r="E86" s="573" t="s">
        <v>135</v>
      </c>
      <c r="F86" s="574"/>
      <c r="G86" s="574"/>
      <c r="H86" s="575"/>
      <c r="I86" s="334"/>
      <c r="J86" s="334"/>
      <c r="K86" s="334"/>
      <c r="L86" s="334"/>
      <c r="M86" s="334"/>
      <c r="N86" s="334"/>
      <c r="O86" s="569" t="s">
        <v>141</v>
      </c>
      <c r="P86" s="570"/>
      <c r="R86" s="361"/>
      <c r="S86" s="362"/>
      <c r="T86" s="363"/>
      <c r="U86" s="364"/>
    </row>
    <row r="87" spans="1:22" ht="27.75" customHeight="1" thickBot="1" x14ac:dyDescent="0.35">
      <c r="A87" s="334"/>
      <c r="B87" s="572"/>
      <c r="C87" s="335" t="s">
        <v>132</v>
      </c>
      <c r="D87" s="336" t="s">
        <v>132</v>
      </c>
      <c r="E87" s="337" t="s">
        <v>124</v>
      </c>
      <c r="F87" s="338" t="s">
        <v>136</v>
      </c>
      <c r="G87" s="338" t="s">
        <v>140</v>
      </c>
      <c r="H87" s="339" t="s">
        <v>109</v>
      </c>
      <c r="I87" s="334"/>
      <c r="J87" s="340" t="s">
        <v>133</v>
      </c>
      <c r="L87" s="90" t="s">
        <v>110</v>
      </c>
      <c r="M87" s="90" t="s">
        <v>111</v>
      </c>
      <c r="N87" s="334"/>
      <c r="O87" s="454" t="s">
        <v>211</v>
      </c>
      <c r="P87" s="455" t="s">
        <v>13</v>
      </c>
      <c r="R87" s="361"/>
      <c r="S87" s="362"/>
      <c r="T87" s="363"/>
      <c r="U87" s="364"/>
    </row>
    <row r="88" spans="1:22" ht="24.75" customHeight="1" x14ac:dyDescent="0.3">
      <c r="A88" s="334"/>
      <c r="B88" s="400" t="s">
        <v>148</v>
      </c>
      <c r="C88" s="323"/>
      <c r="D88" s="323"/>
      <c r="E88" s="323"/>
      <c r="F88" s="323"/>
      <c r="G88" s="365"/>
      <c r="H88" s="357"/>
      <c r="I88" s="317"/>
      <c r="J88" s="358"/>
      <c r="K88" s="318"/>
      <c r="L88" s="324"/>
      <c r="M88" s="324"/>
      <c r="N88" s="318"/>
      <c r="O88" s="359"/>
      <c r="P88" s="360"/>
      <c r="R88" s="361"/>
      <c r="S88" s="362"/>
      <c r="T88" s="363"/>
      <c r="U88" s="364"/>
      <c r="V88" s="282"/>
    </row>
    <row r="89" spans="1:22" ht="26" customHeight="1" x14ac:dyDescent="0.3">
      <c r="A89" s="334"/>
      <c r="B89" s="468" t="s">
        <v>189</v>
      </c>
      <c r="C89" s="325" t="s">
        <v>190</v>
      </c>
      <c r="D89" s="325" t="s">
        <v>191</v>
      </c>
      <c r="E89" s="325" t="s">
        <v>192</v>
      </c>
      <c r="F89" s="325" t="s">
        <v>193</v>
      </c>
      <c r="G89" s="325" t="s">
        <v>194</v>
      </c>
      <c r="H89" s="356" t="s">
        <v>195</v>
      </c>
      <c r="I89" s="317"/>
      <c r="J89" s="358">
        <v>0.84596954611908215</v>
      </c>
      <c r="K89" s="318"/>
      <c r="L89" s="324">
        <v>1.6038735058253897E-2</v>
      </c>
      <c r="M89" s="324">
        <v>1.6038735058253897E-2</v>
      </c>
      <c r="N89" s="318"/>
      <c r="O89" s="427">
        <v>1.6038735058253897</v>
      </c>
      <c r="P89" s="427">
        <v>1.6038735058253897</v>
      </c>
      <c r="U89" s="1"/>
      <c r="V89" s="1"/>
    </row>
    <row r="90" spans="1:22" ht="26" customHeight="1" x14ac:dyDescent="0.3">
      <c r="A90" s="334"/>
      <c r="B90" s="468" t="s">
        <v>187</v>
      </c>
      <c r="C90" s="539">
        <v>1</v>
      </c>
      <c r="D90" s="539">
        <v>1</v>
      </c>
      <c r="E90" s="325"/>
      <c r="F90" s="325"/>
      <c r="G90" s="325"/>
      <c r="H90" s="356"/>
      <c r="I90" s="317"/>
      <c r="J90" s="358"/>
      <c r="K90" s="318"/>
      <c r="L90" s="324"/>
      <c r="M90" s="324"/>
      <c r="N90" s="318"/>
      <c r="O90" s="384"/>
      <c r="P90" s="384"/>
    </row>
    <row r="91" spans="1:22" ht="26" customHeight="1" x14ac:dyDescent="0.3">
      <c r="A91" s="334"/>
      <c r="B91" s="468" t="s">
        <v>188</v>
      </c>
      <c r="C91" s="539">
        <v>92</v>
      </c>
      <c r="D91" s="539">
        <v>109</v>
      </c>
      <c r="E91" s="325"/>
      <c r="F91" s="325"/>
      <c r="G91" s="325"/>
      <c r="H91" s="356"/>
      <c r="I91" s="317"/>
      <c r="J91" s="358"/>
      <c r="K91" s="318"/>
      <c r="L91" s="324"/>
      <c r="M91" s="324"/>
      <c r="N91" s="318"/>
      <c r="O91" s="427"/>
      <c r="P91" s="427"/>
    </row>
    <row r="92" spans="1:22" ht="26" customHeight="1" x14ac:dyDescent="0.3">
      <c r="A92" s="334"/>
      <c r="B92" s="468" t="s">
        <v>186</v>
      </c>
      <c r="C92" s="539">
        <v>107</v>
      </c>
      <c r="D92" s="539">
        <v>135</v>
      </c>
      <c r="E92" s="367"/>
      <c r="F92" s="325"/>
      <c r="G92" s="325"/>
      <c r="H92" s="356"/>
      <c r="I92" s="317"/>
      <c r="J92" s="358"/>
      <c r="K92" s="318"/>
      <c r="L92" s="324"/>
      <c r="M92" s="324"/>
      <c r="N92" s="318"/>
      <c r="O92" s="427"/>
      <c r="P92" s="427"/>
    </row>
    <row r="93" spans="1:22" ht="26" customHeight="1" x14ac:dyDescent="0.3">
      <c r="A93" s="334"/>
      <c r="B93" s="468" t="s">
        <v>185</v>
      </c>
      <c r="C93" s="539">
        <v>30</v>
      </c>
      <c r="D93" s="539">
        <v>24</v>
      </c>
      <c r="E93" s="367"/>
      <c r="F93" s="325"/>
      <c r="G93" s="325"/>
      <c r="H93" s="356"/>
      <c r="I93" s="317"/>
      <c r="J93" s="358"/>
      <c r="K93" s="318"/>
      <c r="L93" s="324"/>
      <c r="M93" s="324"/>
      <c r="N93" s="318"/>
      <c r="O93" s="427"/>
      <c r="P93" s="427"/>
    </row>
    <row r="94" spans="1:22" ht="26" customHeight="1" x14ac:dyDescent="0.3">
      <c r="A94" s="334"/>
      <c r="B94" s="468" t="s">
        <v>180</v>
      </c>
      <c r="C94" s="539">
        <v>13</v>
      </c>
      <c r="D94" s="539">
        <v>12</v>
      </c>
      <c r="E94" s="367"/>
      <c r="F94" s="325"/>
      <c r="G94" s="325"/>
      <c r="H94" s="356"/>
      <c r="I94" s="317"/>
      <c r="J94" s="358"/>
      <c r="K94" s="318"/>
      <c r="L94" s="324"/>
      <c r="M94" s="324"/>
      <c r="N94" s="318"/>
      <c r="O94" s="470"/>
      <c r="P94" s="470"/>
    </row>
    <row r="95" spans="1:22" ht="26" customHeight="1" x14ac:dyDescent="0.3">
      <c r="A95" s="334"/>
      <c r="B95" s="468" t="s">
        <v>196</v>
      </c>
      <c r="C95" s="539">
        <v>6</v>
      </c>
      <c r="D95" s="539">
        <v>1</v>
      </c>
      <c r="E95" s="367"/>
      <c r="F95" s="325"/>
      <c r="G95" s="325"/>
      <c r="H95" s="356"/>
      <c r="I95" s="317"/>
      <c r="J95" s="358"/>
      <c r="K95" s="318"/>
      <c r="L95" s="324"/>
      <c r="M95" s="324"/>
      <c r="N95" s="318"/>
      <c r="O95" s="470"/>
      <c r="P95" s="470"/>
    </row>
    <row r="96" spans="1:22" ht="26" customHeight="1" x14ac:dyDescent="0.3">
      <c r="A96" s="334"/>
      <c r="B96" s="468" t="s">
        <v>181</v>
      </c>
      <c r="C96" s="539">
        <v>28</v>
      </c>
      <c r="D96" s="539">
        <v>19</v>
      </c>
      <c r="E96" s="367"/>
      <c r="F96" s="325"/>
      <c r="G96" s="325"/>
      <c r="H96" s="356"/>
      <c r="I96" s="317"/>
      <c r="J96" s="358"/>
      <c r="K96" s="318"/>
      <c r="L96" s="324"/>
      <c r="M96" s="324"/>
      <c r="N96" s="318"/>
      <c r="O96" s="470"/>
      <c r="P96" s="470"/>
    </row>
    <row r="97" spans="1:16" ht="26" customHeight="1" x14ac:dyDescent="0.3">
      <c r="A97" s="334"/>
      <c r="B97" s="468" t="s">
        <v>182</v>
      </c>
      <c r="C97" s="539">
        <v>133</v>
      </c>
      <c r="D97" s="539">
        <v>123</v>
      </c>
      <c r="E97" s="325"/>
      <c r="F97" s="325"/>
      <c r="G97" s="325"/>
      <c r="H97" s="356"/>
      <c r="I97" s="317"/>
      <c r="J97" s="358"/>
      <c r="K97" s="318"/>
      <c r="L97" s="324"/>
      <c r="M97" s="324"/>
      <c r="N97" s="318"/>
      <c r="O97" s="471"/>
      <c r="P97" s="471"/>
    </row>
    <row r="98" spans="1:16" ht="26" customHeight="1" x14ac:dyDescent="0.3">
      <c r="A98" s="334"/>
      <c r="B98" s="468" t="s">
        <v>183</v>
      </c>
      <c r="C98" s="539">
        <v>77</v>
      </c>
      <c r="D98" s="539">
        <v>77</v>
      </c>
      <c r="E98" s="325"/>
      <c r="F98" s="325"/>
      <c r="G98" s="326"/>
      <c r="H98" s="356"/>
      <c r="I98" s="317"/>
      <c r="J98" s="358"/>
      <c r="K98" s="318"/>
      <c r="L98" s="324"/>
      <c r="M98" s="324"/>
      <c r="N98" s="318"/>
      <c r="O98" s="427"/>
      <c r="P98" s="427"/>
    </row>
    <row r="99" spans="1:16" ht="26" customHeight="1" x14ac:dyDescent="0.3">
      <c r="A99" s="334"/>
      <c r="B99" s="468" t="s">
        <v>184</v>
      </c>
      <c r="C99" s="539">
        <v>83</v>
      </c>
      <c r="D99" s="539">
        <v>76</v>
      </c>
      <c r="E99" s="325"/>
      <c r="F99" s="325"/>
      <c r="G99" s="326"/>
      <c r="H99" s="356"/>
      <c r="I99" s="317"/>
      <c r="J99" s="358"/>
      <c r="K99" s="318"/>
      <c r="L99" s="324"/>
      <c r="M99" s="324"/>
      <c r="N99" s="318"/>
      <c r="O99" s="427"/>
      <c r="P99" s="427"/>
    </row>
    <row r="100" spans="1:16" ht="6.75" customHeight="1" x14ac:dyDescent="0.3">
      <c r="A100" s="334"/>
      <c r="B100" s="334"/>
      <c r="C100" s="334"/>
      <c r="D100" s="334"/>
      <c r="E100" s="334"/>
      <c r="F100" s="334"/>
      <c r="G100" s="334"/>
      <c r="H100" s="334"/>
      <c r="I100" s="334"/>
      <c r="J100" s="334"/>
      <c r="K100" s="334"/>
      <c r="L100" s="334"/>
      <c r="M100" s="334"/>
      <c r="N100" s="334"/>
      <c r="O100" s="334"/>
      <c r="P100" s="334"/>
    </row>
    <row r="101" spans="1:16" ht="44.25" customHeight="1" x14ac:dyDescent="0.3">
      <c r="A101" s="334"/>
      <c r="B101" s="567" t="s">
        <v>220</v>
      </c>
      <c r="C101" s="567"/>
      <c r="D101" s="567"/>
      <c r="E101" s="567"/>
      <c r="F101" s="567"/>
      <c r="G101" s="567"/>
      <c r="H101" s="567"/>
      <c r="I101" s="567"/>
      <c r="J101" s="567"/>
      <c r="K101" s="567"/>
      <c r="L101" s="567"/>
      <c r="M101" s="567"/>
      <c r="N101" s="567"/>
      <c r="O101" s="567"/>
      <c r="P101" s="567"/>
    </row>
    <row r="102" spans="1:16" ht="33" customHeight="1" x14ac:dyDescent="0.3">
      <c r="A102" s="334"/>
      <c r="B102" s="568" t="s">
        <v>149</v>
      </c>
      <c r="C102" s="568"/>
      <c r="D102" s="568"/>
      <c r="E102" s="568"/>
      <c r="F102" s="568"/>
      <c r="G102" s="568"/>
      <c r="H102" s="568"/>
      <c r="I102" s="568"/>
      <c r="J102" s="568"/>
      <c r="K102" s="568"/>
      <c r="L102" s="568"/>
      <c r="M102" s="568"/>
      <c r="N102" s="568"/>
      <c r="O102" s="568"/>
      <c r="P102" s="568"/>
    </row>
    <row r="103" spans="1:16" x14ac:dyDescent="0.3">
      <c r="A103" s="334"/>
    </row>
  </sheetData>
  <mergeCells count="19">
    <mergeCell ref="B2:F2"/>
    <mergeCell ref="B101:P101"/>
    <mergeCell ref="B102:P102"/>
    <mergeCell ref="O86:P86"/>
    <mergeCell ref="B86:B87"/>
    <mergeCell ref="E86:H86"/>
    <mergeCell ref="O85:P85"/>
    <mergeCell ref="B82:P82"/>
    <mergeCell ref="B3:F3"/>
    <mergeCell ref="C44:D44"/>
    <mergeCell ref="O66:P66"/>
    <mergeCell ref="E67:H67"/>
    <mergeCell ref="O67:P67"/>
    <mergeCell ref="B66:H66"/>
    <mergeCell ref="R66:U66"/>
    <mergeCell ref="R67:R68"/>
    <mergeCell ref="S67:S68"/>
    <mergeCell ref="T67:T68"/>
    <mergeCell ref="U67:U68"/>
  </mergeCells>
  <phoneticPr fontId="28" type="noConversion"/>
  <pageMargins left="0.7" right="0.7" top="0.75" bottom="0.75" header="0.3" footer="0.3"/>
  <pageSetup paperSize="9" orientation="portrait" horizontalDpi="300" verticalDpi="300" r:id="rId1"/>
  <ignoredErrors>
    <ignoredError sqref="H78:H79 H70 H74 H89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O51"/>
  <sheetViews>
    <sheetView topLeftCell="A3" zoomScale="70" zoomScaleNormal="70" workbookViewId="0">
      <selection activeCell="B3" sqref="B3"/>
    </sheetView>
  </sheetViews>
  <sheetFormatPr baseColWidth="10" defaultRowHeight="14.5" x14ac:dyDescent="0.35"/>
  <cols>
    <col min="1" max="1" width="0.90625" customWidth="1"/>
    <col min="2" max="2" width="15.36328125" customWidth="1"/>
    <col min="4" max="5" width="10.54296875" customWidth="1"/>
    <col min="6" max="6" width="5.81640625" customWidth="1"/>
    <col min="7" max="7" width="5.1796875" customWidth="1"/>
    <col min="8" max="31" width="2.6328125" customWidth="1"/>
    <col min="32" max="32" width="3.26953125" customWidth="1"/>
    <col min="33" max="33" width="4.81640625" customWidth="1"/>
    <col min="34" max="34" width="3.26953125" customWidth="1"/>
    <col min="35" max="58" width="2.6328125" customWidth="1"/>
    <col min="59" max="59" width="5.1796875" style="23" customWidth="1"/>
    <col min="60" max="60" width="3.7265625" style="23" customWidth="1"/>
    <col min="61" max="61" width="1.54296875" style="23" customWidth="1"/>
    <col min="62" max="67" width="3.7265625" style="23" customWidth="1"/>
    <col min="75" max="75" width="2.54296875" customWidth="1"/>
  </cols>
  <sheetData>
    <row r="1" spans="1:65" hidden="1" x14ac:dyDescent="0.35">
      <c r="B1" s="22" t="str">
        <f>C8</f>
        <v>meses</v>
      </c>
      <c r="C1" s="22" t="s">
        <v>4</v>
      </c>
      <c r="D1" s="22" t="s">
        <v>5</v>
      </c>
      <c r="E1" s="22" t="s">
        <v>6</v>
      </c>
      <c r="F1" s="22"/>
      <c r="G1" s="22"/>
      <c r="BG1"/>
      <c r="BH1"/>
      <c r="BI1"/>
      <c r="BJ1"/>
      <c r="BK1"/>
    </row>
    <row r="2" spans="1:65" hidden="1" x14ac:dyDescent="0.35">
      <c r="B2" s="22" t="s">
        <v>7</v>
      </c>
      <c r="C2" s="22" t="s">
        <v>8</v>
      </c>
      <c r="D2" s="22" t="s">
        <v>9</v>
      </c>
      <c r="E2" s="22" t="s">
        <v>10</v>
      </c>
      <c r="F2" s="22" t="str">
        <f>CONCATENATE(C2," ",C6," ",D2," ",C12," ",C8)</f>
        <v>puede representarse llegando los 29 pacientes, a los 24 meses</v>
      </c>
      <c r="G2" s="22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BG2"/>
      <c r="BH2"/>
      <c r="BI2"/>
      <c r="BJ2"/>
      <c r="BK2"/>
    </row>
    <row r="3" spans="1:65" ht="8.25" customHeight="1" thickBot="1" x14ac:dyDescent="0.4">
      <c r="A3" s="494"/>
      <c r="B3" s="494"/>
      <c r="C3" s="498"/>
      <c r="D3" s="498"/>
      <c r="E3" s="498"/>
      <c r="F3" s="498"/>
      <c r="G3" s="498"/>
      <c r="H3" s="498"/>
      <c r="I3" s="498"/>
      <c r="J3" s="498"/>
      <c r="K3" s="498"/>
      <c r="L3" s="498"/>
      <c r="M3" s="498"/>
      <c r="N3" s="498"/>
      <c r="O3" s="498"/>
      <c r="P3" s="498"/>
      <c r="Q3" s="498"/>
      <c r="R3" s="498"/>
      <c r="S3" s="498"/>
      <c r="T3" s="498"/>
      <c r="U3" s="498"/>
      <c r="V3" s="498"/>
      <c r="W3" s="498"/>
      <c r="X3" s="498"/>
      <c r="Y3" s="498"/>
      <c r="Z3" s="498"/>
      <c r="AA3" s="498"/>
      <c r="AB3" s="498"/>
      <c r="AC3" s="498"/>
      <c r="AD3" s="498"/>
      <c r="AE3" s="498"/>
      <c r="AF3" s="498"/>
      <c r="AG3" s="498"/>
      <c r="AH3" s="498"/>
      <c r="AI3" s="498"/>
      <c r="AJ3" s="498"/>
      <c r="AK3" s="498"/>
      <c r="AL3" s="498"/>
      <c r="AM3" s="498"/>
      <c r="AN3" s="498"/>
      <c r="AO3" s="498"/>
      <c r="AP3" s="498"/>
      <c r="AQ3" s="498"/>
      <c r="AR3" s="498"/>
      <c r="AS3" s="498"/>
      <c r="AT3" s="498"/>
      <c r="AU3" s="498"/>
      <c r="AV3" s="498"/>
      <c r="AW3" s="498"/>
      <c r="AX3" s="498"/>
      <c r="AY3" s="498"/>
      <c r="AZ3" s="498"/>
      <c r="BA3" s="498"/>
      <c r="BB3" s="498"/>
      <c r="BC3" s="498"/>
      <c r="BD3" s="498"/>
      <c r="BE3" s="498"/>
      <c r="BF3" s="498"/>
      <c r="BG3" s="498"/>
      <c r="BH3" s="498"/>
      <c r="BI3" s="494"/>
      <c r="BJ3"/>
      <c r="BK3"/>
    </row>
    <row r="4" spans="1:65" ht="51.5" customHeight="1" thickBot="1" x14ac:dyDescent="0.4">
      <c r="A4" s="494"/>
      <c r="B4" s="595" t="s">
        <v>219</v>
      </c>
      <c r="C4" s="596"/>
      <c r="D4" s="596"/>
      <c r="E4" s="596"/>
      <c r="F4" s="596"/>
      <c r="G4" s="596"/>
      <c r="H4" s="596"/>
      <c r="I4" s="596"/>
      <c r="J4" s="596"/>
      <c r="K4" s="596"/>
      <c r="L4" s="596"/>
      <c r="M4" s="596"/>
      <c r="N4" s="596"/>
      <c r="O4" s="596"/>
      <c r="P4" s="596"/>
      <c r="Q4" s="596"/>
      <c r="R4" s="596"/>
      <c r="S4" s="596"/>
      <c r="T4" s="596"/>
      <c r="U4" s="596"/>
      <c r="V4" s="596"/>
      <c r="W4" s="596"/>
      <c r="X4" s="596"/>
      <c r="Y4" s="596"/>
      <c r="Z4" s="596"/>
      <c r="AA4" s="596"/>
      <c r="AB4" s="596"/>
      <c r="AC4" s="596"/>
      <c r="AD4" s="596"/>
      <c r="AE4" s="596"/>
      <c r="AF4" s="596"/>
      <c r="AG4" s="596"/>
      <c r="AH4" s="596"/>
      <c r="AI4" s="596"/>
      <c r="AJ4" s="596"/>
      <c r="AK4" s="596"/>
      <c r="AL4" s="596"/>
      <c r="AM4" s="596"/>
      <c r="AN4" s="596"/>
      <c r="AO4" s="596"/>
      <c r="AP4" s="596"/>
      <c r="AQ4" s="596"/>
      <c r="AR4" s="596"/>
      <c r="AS4" s="596"/>
      <c r="AT4" s="596"/>
      <c r="AU4" s="596"/>
      <c r="AV4" s="596"/>
      <c r="AW4" s="596"/>
      <c r="AX4" s="596"/>
      <c r="AY4" s="596"/>
      <c r="AZ4" s="596"/>
      <c r="BA4" s="596"/>
      <c r="BB4" s="596"/>
      <c r="BC4" s="596"/>
      <c r="BD4" s="596"/>
      <c r="BE4" s="596"/>
      <c r="BF4" s="596"/>
      <c r="BG4" s="596"/>
      <c r="BH4" s="597"/>
      <c r="BI4" s="494"/>
      <c r="BJ4"/>
      <c r="BK4"/>
    </row>
    <row r="5" spans="1:65" ht="8.5" customHeight="1" x14ac:dyDescent="0.35">
      <c r="A5" s="494"/>
      <c r="B5" s="499"/>
      <c r="C5" s="499"/>
      <c r="D5" s="499"/>
      <c r="E5" s="499"/>
      <c r="F5" s="499"/>
      <c r="G5" s="499"/>
      <c r="H5" s="499"/>
      <c r="I5" s="499"/>
      <c r="J5" s="499"/>
      <c r="K5" s="499"/>
      <c r="L5" s="499"/>
      <c r="M5" s="499"/>
      <c r="N5" s="499"/>
      <c r="O5" s="499"/>
      <c r="P5" s="499"/>
      <c r="Q5" s="499"/>
      <c r="R5" s="499"/>
      <c r="S5" s="499"/>
      <c r="T5" s="499"/>
      <c r="U5" s="499"/>
      <c r="V5" s="499"/>
      <c r="W5" s="499"/>
      <c r="X5" s="499"/>
      <c r="Y5" s="499"/>
      <c r="Z5" s="499"/>
      <c r="AA5" s="499"/>
      <c r="AB5" s="499"/>
      <c r="AC5" s="499"/>
      <c r="AD5" s="499"/>
      <c r="AE5" s="499"/>
      <c r="AF5" s="499"/>
      <c r="AG5" s="499"/>
      <c r="AH5" s="499"/>
      <c r="AI5" s="499"/>
      <c r="AJ5" s="499"/>
      <c r="AK5" s="499"/>
      <c r="AL5" s="499"/>
      <c r="AM5" s="499"/>
      <c r="AN5" s="499"/>
      <c r="AO5" s="499"/>
      <c r="AP5" s="499"/>
      <c r="AQ5" s="499"/>
      <c r="AR5" s="499"/>
      <c r="AS5" s="499"/>
      <c r="AT5" s="499"/>
      <c r="AU5" s="499"/>
      <c r="AV5" s="499"/>
      <c r="AW5" s="499"/>
      <c r="AX5" s="499"/>
      <c r="AY5" s="499"/>
      <c r="AZ5" s="499"/>
      <c r="BA5" s="499"/>
      <c r="BB5" s="499"/>
      <c r="BC5" s="499"/>
      <c r="BD5" s="499"/>
      <c r="BE5" s="499"/>
      <c r="BF5" s="499"/>
      <c r="BG5" s="499"/>
      <c r="BH5" s="499"/>
      <c r="BI5" s="494"/>
      <c r="BJ5"/>
      <c r="BK5"/>
    </row>
    <row r="6" spans="1:65" ht="28.5" customHeight="1" x14ac:dyDescent="0.35">
      <c r="B6" s="348" t="s">
        <v>143</v>
      </c>
      <c r="C6" s="26">
        <f>D6+E6+F6</f>
        <v>29</v>
      </c>
      <c r="D6" s="500">
        <v>3</v>
      </c>
      <c r="E6" s="501">
        <v>1</v>
      </c>
      <c r="F6" s="502">
        <v>25</v>
      </c>
      <c r="H6" s="25"/>
      <c r="I6" s="386" t="s">
        <v>204</v>
      </c>
      <c r="J6" s="25"/>
      <c r="K6" s="342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"/>
      <c r="BG6"/>
      <c r="BH6"/>
      <c r="BI6"/>
      <c r="BJ6"/>
      <c r="BK6"/>
    </row>
    <row r="7" spans="1:65" ht="15" customHeight="1" x14ac:dyDescent="0.35">
      <c r="B7" s="25"/>
      <c r="C7" s="438">
        <f>D9/D6</f>
        <v>16.636611195158853</v>
      </c>
      <c r="D7" s="439">
        <f>D6*16</f>
        <v>48</v>
      </c>
      <c r="E7" s="440">
        <f>E9/(D6+E6)</f>
        <v>15.50182962566806</v>
      </c>
      <c r="F7" s="441">
        <f>(D6+E6)*15</f>
        <v>60</v>
      </c>
      <c r="G7" s="25"/>
      <c r="H7" s="25"/>
      <c r="I7" s="387" t="s">
        <v>152</v>
      </c>
      <c r="J7" s="25"/>
      <c r="K7" s="341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BG7"/>
      <c r="BH7"/>
      <c r="BI7"/>
      <c r="BJ7"/>
      <c r="BK7"/>
    </row>
    <row r="8" spans="1:65" ht="39.75" customHeight="1" x14ac:dyDescent="0.35">
      <c r="B8" s="349" t="s">
        <v>142</v>
      </c>
      <c r="C8" s="29" t="s">
        <v>134</v>
      </c>
      <c r="D8" s="30" t="str">
        <f>CONCATENATE(B1," ",C1," ",C6," ",D1)</f>
        <v>meses de los 29 del grupo Interv</v>
      </c>
      <c r="E8" s="30" t="str">
        <f>CONCATENATE(B1," ",C1," ",C6," ",E1)</f>
        <v>meses de los 29 del grupo Contr</v>
      </c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BG8"/>
      <c r="BH8"/>
      <c r="BI8"/>
      <c r="BJ8"/>
      <c r="BK8"/>
    </row>
    <row r="9" spans="1:65" ht="21" customHeight="1" x14ac:dyDescent="0.35">
      <c r="B9" s="446" t="s">
        <v>1</v>
      </c>
      <c r="C9" s="32">
        <v>1.7210287443267778</v>
      </c>
      <c r="D9" s="383">
        <f>C9*C6</f>
        <v>49.909833585476555</v>
      </c>
      <c r="E9" s="598">
        <f>(C9+C10)*C6</f>
        <v>62.007318502672241</v>
      </c>
      <c r="F9" s="33"/>
      <c r="G9" s="33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25"/>
      <c r="AF9" s="25"/>
      <c r="AG9" s="25"/>
      <c r="AH9" s="25"/>
      <c r="BG9"/>
      <c r="BH9"/>
      <c r="BI9"/>
      <c r="BJ9"/>
      <c r="BK9"/>
    </row>
    <row r="10" spans="1:65" ht="26" x14ac:dyDescent="0.35">
      <c r="B10" s="447" t="s">
        <v>3</v>
      </c>
      <c r="C10" s="36">
        <v>0.41715465231709259</v>
      </c>
      <c r="D10" s="599">
        <f>(C11+C10)*C6</f>
        <v>646.09016641452342</v>
      </c>
      <c r="E10" s="598"/>
      <c r="F10" s="28"/>
      <c r="G10" s="37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25"/>
      <c r="AF10" s="25"/>
      <c r="AG10" s="25"/>
      <c r="AH10" s="25"/>
      <c r="BG10"/>
      <c r="BH10"/>
      <c r="BI10"/>
      <c r="BJ10"/>
      <c r="BK10"/>
    </row>
    <row r="11" spans="1:65" ht="26" x14ac:dyDescent="0.35">
      <c r="B11" s="448" t="s">
        <v>2</v>
      </c>
      <c r="C11" s="39">
        <v>21.861816603356132</v>
      </c>
      <c r="D11" s="599"/>
      <c r="E11" s="40">
        <f>C11*C6</f>
        <v>633.99268149732779</v>
      </c>
      <c r="F11" s="2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37"/>
      <c r="BA11" s="37"/>
      <c r="BB11" s="37"/>
      <c r="BC11" s="37"/>
      <c r="BD11" s="37"/>
      <c r="BE11" s="37"/>
      <c r="BF11" s="37"/>
      <c r="BG11" s="37"/>
      <c r="BH11" s="37"/>
      <c r="BI11" s="37"/>
      <c r="BJ11" s="37"/>
      <c r="BK11" s="37"/>
      <c r="BL11" s="37"/>
      <c r="BM11" s="37"/>
    </row>
    <row r="12" spans="1:65" x14ac:dyDescent="0.35">
      <c r="B12" s="3"/>
      <c r="C12" s="42">
        <v>24.000000000000004</v>
      </c>
      <c r="D12" s="43">
        <f>D9+D10</f>
        <v>696</v>
      </c>
      <c r="E12" s="43">
        <f>E9+E11</f>
        <v>696</v>
      </c>
      <c r="F12" s="44"/>
      <c r="G12" s="44"/>
      <c r="H12" s="385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</row>
    <row r="13" spans="1:65" ht="9" customHeight="1" x14ac:dyDescent="0.35"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</row>
    <row r="14" spans="1:65" x14ac:dyDescent="0.35">
      <c r="B14" s="540"/>
      <c r="C14" s="540"/>
      <c r="D14" s="541"/>
      <c r="E14" s="541"/>
      <c r="F14" s="25"/>
      <c r="G14" s="45" t="s">
        <v>12</v>
      </c>
      <c r="H14" s="25"/>
      <c r="I14" s="25"/>
      <c r="J14" s="25"/>
      <c r="K14" s="25"/>
      <c r="L14" s="25"/>
      <c r="M14" s="25"/>
      <c r="N14" s="25"/>
      <c r="O14" s="25"/>
      <c r="P14" s="25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</row>
    <row r="15" spans="1:65" ht="36" customHeight="1" x14ac:dyDescent="0.35">
      <c r="B15" s="543"/>
      <c r="C15" s="543"/>
      <c r="D15" s="542"/>
      <c r="E15" s="542"/>
      <c r="G15" s="600" t="str">
        <f>IF((AND(((C10+C11)/C12)&gt;((E6+F6)/C6),(C11/C12)&gt;(F6/C6))),F2,#REF!)</f>
        <v>puede representarse llegando los 29 pacientes, a los 24 meses</v>
      </c>
      <c r="H15" s="600"/>
      <c r="I15" s="600"/>
      <c r="J15" s="600"/>
      <c r="K15" s="600"/>
      <c r="L15" s="600"/>
      <c r="M15" s="600"/>
      <c r="N15" s="600"/>
      <c r="O15" s="600"/>
      <c r="P15" s="600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</row>
    <row r="16" spans="1:65" ht="18.75" customHeight="1" x14ac:dyDescent="0.35">
      <c r="B16" s="46"/>
      <c r="C16" s="46"/>
      <c r="D16" s="46"/>
      <c r="E16" s="46"/>
      <c r="G16" s="47"/>
      <c r="H16" s="426">
        <v>24</v>
      </c>
      <c r="I16" s="426">
        <v>23</v>
      </c>
      <c r="J16" s="426">
        <v>22</v>
      </c>
      <c r="K16" s="426">
        <v>21</v>
      </c>
      <c r="L16" s="426">
        <v>20</v>
      </c>
      <c r="M16" s="426">
        <v>19</v>
      </c>
      <c r="N16" s="426">
        <v>18</v>
      </c>
      <c r="O16" s="426">
        <v>17</v>
      </c>
      <c r="P16" s="426">
        <v>16</v>
      </c>
      <c r="Q16" s="426">
        <v>15</v>
      </c>
      <c r="R16" s="426">
        <v>14</v>
      </c>
      <c r="S16" s="426">
        <v>13</v>
      </c>
      <c r="T16" s="426">
        <v>12</v>
      </c>
      <c r="U16" s="426">
        <v>11</v>
      </c>
      <c r="V16" s="426">
        <v>10</v>
      </c>
      <c r="W16" s="426">
        <v>9</v>
      </c>
      <c r="X16" s="426">
        <v>8</v>
      </c>
      <c r="Y16" s="426">
        <v>7</v>
      </c>
      <c r="Z16" s="426">
        <v>6</v>
      </c>
      <c r="AA16" s="426">
        <v>5</v>
      </c>
      <c r="AB16" s="426">
        <v>4</v>
      </c>
      <c r="AC16" s="426">
        <v>3</v>
      </c>
      <c r="AD16" s="426">
        <v>2</v>
      </c>
      <c r="AE16" s="426">
        <v>1</v>
      </c>
      <c r="AF16" s="47"/>
      <c r="AG16" s="47"/>
      <c r="AH16" s="47"/>
      <c r="AI16" s="426">
        <v>24</v>
      </c>
      <c r="AJ16" s="426">
        <v>23</v>
      </c>
      <c r="AK16" s="426">
        <v>22</v>
      </c>
      <c r="AL16" s="426">
        <v>21</v>
      </c>
      <c r="AM16" s="426">
        <v>20</v>
      </c>
      <c r="AN16" s="426">
        <v>19</v>
      </c>
      <c r="AO16" s="426">
        <v>18</v>
      </c>
      <c r="AP16" s="426">
        <v>17</v>
      </c>
      <c r="AQ16" s="426">
        <v>16</v>
      </c>
      <c r="AR16" s="426">
        <v>15</v>
      </c>
      <c r="AS16" s="426">
        <v>14</v>
      </c>
      <c r="AT16" s="426">
        <v>13</v>
      </c>
      <c r="AU16" s="426">
        <v>12</v>
      </c>
      <c r="AV16" s="426">
        <v>11</v>
      </c>
      <c r="AW16" s="426">
        <v>10</v>
      </c>
      <c r="AX16" s="426">
        <v>9</v>
      </c>
      <c r="AY16" s="426">
        <v>8</v>
      </c>
      <c r="AZ16" s="426">
        <v>7</v>
      </c>
      <c r="BA16" s="426">
        <v>6</v>
      </c>
      <c r="BB16" s="426">
        <v>5</v>
      </c>
      <c r="BC16" s="426">
        <v>4</v>
      </c>
      <c r="BD16" s="426">
        <v>3</v>
      </c>
      <c r="BE16" s="426">
        <v>2</v>
      </c>
      <c r="BF16" s="426">
        <v>1</v>
      </c>
      <c r="BG16" s="47"/>
      <c r="BH16" s="47"/>
      <c r="BI16" s="47"/>
      <c r="BJ16" s="47"/>
      <c r="BK16" s="25"/>
    </row>
    <row r="17" spans="2:67" ht="17.25" customHeight="1" x14ac:dyDescent="0.35">
      <c r="B17" s="478" t="s">
        <v>202</v>
      </c>
      <c r="C17" s="479"/>
      <c r="D17" s="479"/>
      <c r="E17" s="46"/>
      <c r="H17" s="48" t="s">
        <v>211</v>
      </c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7"/>
      <c r="AF17" s="47"/>
      <c r="AG17" s="47"/>
      <c r="AH17" s="47"/>
      <c r="AI17" s="48" t="s">
        <v>13</v>
      </c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8"/>
      <c r="AV17" s="48"/>
      <c r="AW17" s="48"/>
      <c r="AX17" s="48"/>
      <c r="AY17" s="48"/>
      <c r="AZ17" s="48"/>
      <c r="BA17" s="48"/>
      <c r="BB17" s="48"/>
      <c r="BC17" s="48"/>
      <c r="BD17" s="48"/>
      <c r="BE17" s="48"/>
      <c r="BF17" s="47"/>
      <c r="BG17" s="47"/>
      <c r="BH17" s="47"/>
      <c r="BI17" s="47"/>
      <c r="BJ17" s="47"/>
      <c r="BK17" s="47"/>
    </row>
    <row r="18" spans="2:67" x14ac:dyDescent="0.35">
      <c r="B18" s="100" t="s">
        <v>210</v>
      </c>
      <c r="C18" s="52"/>
      <c r="D18" s="451"/>
      <c r="E18" s="46"/>
      <c r="H18" s="48" t="s">
        <v>215</v>
      </c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I18" s="48" t="s">
        <v>215</v>
      </c>
      <c r="AJ18" s="48"/>
      <c r="AK18" s="48"/>
      <c r="AL18" s="48"/>
      <c r="AM18" s="48"/>
      <c r="AN18" s="48"/>
      <c r="AO18" s="48"/>
      <c r="AP18" s="48"/>
      <c r="AQ18" s="48"/>
      <c r="AR18" s="48"/>
      <c r="AS18" s="48"/>
      <c r="AT18" s="48"/>
      <c r="AU18" s="48"/>
      <c r="AV18" s="48"/>
      <c r="AW18" s="48"/>
      <c r="AX18" s="48"/>
      <c r="AY18" s="48"/>
      <c r="AZ18" s="48"/>
      <c r="BA18" s="48"/>
      <c r="BB18" s="48"/>
      <c r="BC18" s="48"/>
      <c r="BD18" s="48"/>
      <c r="BE18" s="48"/>
    </row>
    <row r="19" spans="2:67" x14ac:dyDescent="0.35">
      <c r="B19" s="100" t="s">
        <v>153</v>
      </c>
      <c r="C19" s="451"/>
      <c r="D19" s="451"/>
      <c r="E19" s="46"/>
      <c r="G19" s="23"/>
      <c r="H19" s="352">
        <v>1</v>
      </c>
      <c r="I19" s="352">
        <v>2</v>
      </c>
      <c r="J19" s="352">
        <v>3</v>
      </c>
      <c r="K19" s="352">
        <v>4</v>
      </c>
      <c r="L19" s="352">
        <v>5</v>
      </c>
      <c r="M19" s="352">
        <v>6</v>
      </c>
      <c r="N19" s="352">
        <v>7</v>
      </c>
      <c r="O19" s="352">
        <v>8</v>
      </c>
      <c r="P19" s="352">
        <v>9</v>
      </c>
      <c r="Q19" s="352">
        <v>10</v>
      </c>
      <c r="R19" s="352">
        <v>11</v>
      </c>
      <c r="S19" s="352">
        <v>12</v>
      </c>
      <c r="T19" s="352">
        <v>13</v>
      </c>
      <c r="U19" s="352">
        <v>14</v>
      </c>
      <c r="V19" s="352">
        <v>15</v>
      </c>
      <c r="W19" s="352">
        <v>16</v>
      </c>
      <c r="X19" s="352">
        <v>17</v>
      </c>
      <c r="Y19" s="352">
        <v>18</v>
      </c>
      <c r="Z19" s="352">
        <v>19</v>
      </c>
      <c r="AA19" s="352">
        <v>20</v>
      </c>
      <c r="AB19" s="352">
        <v>21</v>
      </c>
      <c r="AC19" s="352">
        <v>22</v>
      </c>
      <c r="AD19" s="352">
        <v>23</v>
      </c>
      <c r="AE19" s="352">
        <v>24</v>
      </c>
      <c r="AF19" s="351"/>
      <c r="AG19" s="351"/>
      <c r="AH19" s="351"/>
      <c r="AI19" s="352">
        <v>1</v>
      </c>
      <c r="AJ19" s="352">
        <v>2</v>
      </c>
      <c r="AK19" s="352">
        <v>3</v>
      </c>
      <c r="AL19" s="352">
        <v>4</v>
      </c>
      <c r="AM19" s="352">
        <v>5</v>
      </c>
      <c r="AN19" s="352">
        <v>6</v>
      </c>
      <c r="AO19" s="352">
        <v>7</v>
      </c>
      <c r="AP19" s="352">
        <v>8</v>
      </c>
      <c r="AQ19" s="352">
        <v>9</v>
      </c>
      <c r="AR19" s="352">
        <v>10</v>
      </c>
      <c r="AS19" s="352">
        <v>11</v>
      </c>
      <c r="AT19" s="352">
        <v>12</v>
      </c>
      <c r="AU19" s="352">
        <v>13</v>
      </c>
      <c r="AV19" s="352">
        <v>14</v>
      </c>
      <c r="AW19" s="352">
        <v>15</v>
      </c>
      <c r="AX19" s="352">
        <v>16</v>
      </c>
      <c r="AY19" s="352">
        <v>17</v>
      </c>
      <c r="AZ19" s="352">
        <v>18</v>
      </c>
      <c r="BA19" s="352">
        <v>19</v>
      </c>
      <c r="BB19" s="352">
        <v>20</v>
      </c>
      <c r="BC19" s="352">
        <v>21</v>
      </c>
      <c r="BD19" s="352">
        <v>22</v>
      </c>
      <c r="BE19" s="352">
        <v>23</v>
      </c>
      <c r="BF19" s="352">
        <v>24</v>
      </c>
    </row>
    <row r="20" spans="2:67" x14ac:dyDescent="0.35">
      <c r="B20" s="100"/>
      <c r="C20" s="52"/>
      <c r="D20" s="52"/>
      <c r="F20" s="594" t="s">
        <v>151</v>
      </c>
      <c r="G20" s="51">
        <v>29</v>
      </c>
      <c r="H20" s="50"/>
      <c r="I20" s="50"/>
      <c r="J20" s="50"/>
      <c r="K20" s="50"/>
      <c r="L20" s="50"/>
      <c r="M20" s="50"/>
      <c r="N20" s="50"/>
      <c r="O20" s="442"/>
      <c r="P20" s="442"/>
      <c r="Q20" s="442"/>
      <c r="R20" s="442"/>
      <c r="S20" s="442"/>
      <c r="T20" s="442"/>
      <c r="U20" s="442"/>
      <c r="V20" s="442"/>
      <c r="W20" s="442"/>
      <c r="X20" s="442"/>
      <c r="Y20" s="442"/>
      <c r="Z20" s="442"/>
      <c r="AA20" s="442"/>
      <c r="AB20" s="442"/>
      <c r="AC20" s="442"/>
      <c r="AD20" s="442"/>
      <c r="AE20" s="442"/>
      <c r="AF20" s="444">
        <v>29</v>
      </c>
      <c r="AG20" s="23"/>
      <c r="AH20" s="51">
        <v>29</v>
      </c>
      <c r="AI20" s="50"/>
      <c r="AJ20" s="50"/>
      <c r="AK20" s="50"/>
      <c r="AL20" s="50"/>
      <c r="AM20" s="50"/>
      <c r="AN20" s="50"/>
      <c r="AO20" s="50"/>
      <c r="AP20" s="442"/>
      <c r="AQ20" s="442"/>
      <c r="AR20" s="442"/>
      <c r="AS20" s="442"/>
      <c r="AT20" s="442"/>
      <c r="AU20" s="442"/>
      <c r="AV20" s="442"/>
      <c r="AW20" s="442"/>
      <c r="AX20" s="442"/>
      <c r="AY20" s="442"/>
      <c r="AZ20" s="442"/>
      <c r="BA20" s="442"/>
      <c r="BB20" s="442"/>
      <c r="BC20" s="442"/>
      <c r="BD20" s="442"/>
      <c r="BE20" s="442"/>
      <c r="BF20" s="442"/>
      <c r="BG20" s="444">
        <v>29</v>
      </c>
      <c r="BH20" s="594" t="s">
        <v>151</v>
      </c>
      <c r="BI20" s="49"/>
      <c r="BJ20" s="49"/>
      <c r="BK20" s="49"/>
      <c r="BL20" s="49"/>
      <c r="BM20" s="49"/>
      <c r="BN20" s="49"/>
      <c r="BO20" s="49"/>
    </row>
    <row r="21" spans="2:67" x14ac:dyDescent="0.35">
      <c r="B21" s="100"/>
      <c r="C21" s="52"/>
      <c r="D21" s="52"/>
      <c r="F21" s="594"/>
      <c r="G21" s="51">
        <v>28</v>
      </c>
      <c r="H21" s="50"/>
      <c r="I21" s="50"/>
      <c r="J21" s="50"/>
      <c r="K21" s="50"/>
      <c r="L21" s="50"/>
      <c r="M21" s="50"/>
      <c r="N21" s="50"/>
      <c r="O21" s="442"/>
      <c r="P21" s="442"/>
      <c r="Q21" s="442"/>
      <c r="R21" s="442"/>
      <c r="S21" s="442"/>
      <c r="T21" s="442"/>
      <c r="U21" s="442"/>
      <c r="V21" s="442"/>
      <c r="W21" s="442"/>
      <c r="X21" s="442"/>
      <c r="Y21" s="442"/>
      <c r="Z21" s="442"/>
      <c r="AA21" s="442"/>
      <c r="AB21" s="442"/>
      <c r="AC21" s="442"/>
      <c r="AD21" s="442"/>
      <c r="AE21" s="442"/>
      <c r="AF21" s="444">
        <v>28</v>
      </c>
      <c r="AG21" s="23"/>
      <c r="AH21" s="51">
        <v>28</v>
      </c>
      <c r="AI21" s="50"/>
      <c r="AJ21" s="50"/>
      <c r="AK21" s="50"/>
      <c r="AL21" s="50"/>
      <c r="AM21" s="50"/>
      <c r="AN21" s="50"/>
      <c r="AO21" s="50"/>
      <c r="AP21" s="442"/>
      <c r="AQ21" s="442"/>
      <c r="AR21" s="442"/>
      <c r="AS21" s="442"/>
      <c r="AT21" s="442"/>
      <c r="AU21" s="442"/>
      <c r="AV21" s="442"/>
      <c r="AW21" s="442"/>
      <c r="AX21" s="442"/>
      <c r="AY21" s="442"/>
      <c r="AZ21" s="442"/>
      <c r="BA21" s="442"/>
      <c r="BB21" s="442"/>
      <c r="BC21" s="442"/>
      <c r="BD21" s="442"/>
      <c r="BE21" s="442"/>
      <c r="BF21" s="442"/>
      <c r="BG21" s="444">
        <v>28</v>
      </c>
      <c r="BH21" s="594"/>
      <c r="BI21" s="49"/>
      <c r="BJ21" s="49"/>
      <c r="BK21" s="49"/>
      <c r="BL21" s="49"/>
      <c r="BM21" s="49"/>
      <c r="BN21" s="49"/>
      <c r="BO21" s="49"/>
    </row>
    <row r="22" spans="2:67" ht="15" thickBot="1" x14ac:dyDescent="0.4">
      <c r="F22" s="594"/>
      <c r="G22" s="51">
        <v>27</v>
      </c>
      <c r="H22" s="50"/>
      <c r="I22" s="50"/>
      <c r="J22" s="50"/>
      <c r="K22" s="50"/>
      <c r="L22" s="50"/>
      <c r="M22" s="50"/>
      <c r="N22" s="50"/>
      <c r="O22" s="50"/>
      <c r="P22" s="442"/>
      <c r="Q22" s="442"/>
      <c r="R22" s="442"/>
      <c r="S22" s="442"/>
      <c r="T22" s="442"/>
      <c r="U22" s="442"/>
      <c r="V22" s="442"/>
      <c r="W22" s="442"/>
      <c r="X22" s="442"/>
      <c r="Y22" s="442"/>
      <c r="Z22" s="442"/>
      <c r="AA22" s="442"/>
      <c r="AB22" s="442"/>
      <c r="AC22" s="442"/>
      <c r="AD22" s="442"/>
      <c r="AE22" s="442"/>
      <c r="AF22" s="444">
        <v>27</v>
      </c>
      <c r="AH22" s="51">
        <v>27</v>
      </c>
      <c r="AI22" s="418"/>
      <c r="AJ22" s="418"/>
      <c r="AK22" s="418"/>
      <c r="AL22" s="418"/>
      <c r="AM22" s="418"/>
      <c r="AN22" s="418"/>
      <c r="AO22" s="418"/>
      <c r="AP22" s="418"/>
      <c r="AQ22" s="443"/>
      <c r="AR22" s="443"/>
      <c r="AS22" s="443"/>
      <c r="AT22" s="443"/>
      <c r="AU22" s="443"/>
      <c r="AV22" s="443"/>
      <c r="AW22" s="443"/>
      <c r="AX22" s="443"/>
      <c r="AY22" s="443"/>
      <c r="AZ22" s="443"/>
      <c r="BA22" s="443"/>
      <c r="BB22" s="443"/>
      <c r="BC22" s="443"/>
      <c r="BD22" s="443"/>
      <c r="BE22" s="443"/>
      <c r="BF22" s="443"/>
      <c r="BG22" s="444">
        <v>27</v>
      </c>
      <c r="BH22" s="594"/>
      <c r="BI22" s="49"/>
      <c r="BJ22" s="49"/>
      <c r="BK22" s="49"/>
      <c r="BL22" s="49"/>
      <c r="BM22" s="49"/>
      <c r="BN22" s="49"/>
      <c r="BO22" s="49"/>
    </row>
    <row r="23" spans="2:67" ht="16" thickBot="1" x14ac:dyDescent="0.4">
      <c r="B23" s="297" t="s">
        <v>120</v>
      </c>
      <c r="C23" s="298"/>
      <c r="D23" s="298"/>
      <c r="E23" s="299"/>
      <c r="F23" s="594"/>
      <c r="G23" s="420">
        <v>26</v>
      </c>
      <c r="H23" s="421"/>
      <c r="I23" s="422"/>
      <c r="J23" s="422"/>
      <c r="K23" s="422"/>
      <c r="L23" s="422"/>
      <c r="M23" s="422"/>
      <c r="N23" s="422"/>
      <c r="O23" s="422"/>
      <c r="P23" s="422"/>
      <c r="Q23" s="422"/>
      <c r="R23" s="422"/>
      <c r="S23" s="422"/>
      <c r="T23" s="422"/>
      <c r="U23" s="422"/>
      <c r="V23" s="422"/>
      <c r="W23" s="422"/>
      <c r="X23" s="422"/>
      <c r="Y23" s="422"/>
      <c r="Z23" s="422"/>
      <c r="AA23" s="422"/>
      <c r="AB23" s="422"/>
      <c r="AC23" s="422"/>
      <c r="AD23" s="422"/>
      <c r="AE23" s="422"/>
      <c r="AF23" s="425">
        <v>26</v>
      </c>
      <c r="AG23" s="23"/>
      <c r="AH23" s="420">
        <v>26</v>
      </c>
      <c r="AI23" s="421"/>
      <c r="AJ23" s="422"/>
      <c r="AK23" s="422"/>
      <c r="AL23" s="422"/>
      <c r="AM23" s="422"/>
      <c r="AN23" s="422"/>
      <c r="AO23" s="422"/>
      <c r="AP23" s="422"/>
      <c r="AQ23" s="422"/>
      <c r="AR23" s="422"/>
      <c r="AS23" s="422"/>
      <c r="AT23" s="422"/>
      <c r="AU23" s="450"/>
      <c r="AV23" s="450"/>
      <c r="AW23" s="450"/>
      <c r="AX23" s="450"/>
      <c r="AY23" s="450"/>
      <c r="AZ23" s="450"/>
      <c r="BA23" s="450"/>
      <c r="BB23" s="450"/>
      <c r="BC23" s="450"/>
      <c r="BD23" s="450"/>
      <c r="BE23" s="450"/>
      <c r="BF23" s="450"/>
      <c r="BG23" s="424">
        <v>26</v>
      </c>
      <c r="BH23" s="594"/>
      <c r="BI23" s="49"/>
      <c r="BJ23" s="49"/>
      <c r="BK23" s="49"/>
      <c r="BL23" s="49"/>
      <c r="BM23" s="49"/>
      <c r="BN23" s="49"/>
      <c r="BO23" s="49"/>
    </row>
    <row r="24" spans="2:67" x14ac:dyDescent="0.35">
      <c r="B24" s="300" t="s">
        <v>116</v>
      </c>
      <c r="C24" s="301" t="s">
        <v>117</v>
      </c>
      <c r="D24" s="301" t="s">
        <v>105</v>
      </c>
      <c r="E24" s="302" t="s">
        <v>11</v>
      </c>
      <c r="F24" s="594"/>
      <c r="G24" s="51">
        <v>25</v>
      </c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1">
        <v>25</v>
      </c>
      <c r="AG24" s="23"/>
      <c r="AH24" s="51">
        <v>25</v>
      </c>
      <c r="AI24" s="419"/>
      <c r="AJ24" s="419"/>
      <c r="AK24" s="419"/>
      <c r="AL24" s="419"/>
      <c r="AM24" s="419"/>
      <c r="AN24" s="419"/>
      <c r="AO24" s="419"/>
      <c r="AP24" s="419"/>
      <c r="AQ24" s="419"/>
      <c r="AR24" s="419"/>
      <c r="AS24" s="419"/>
      <c r="AT24" s="419"/>
      <c r="AU24" s="419"/>
      <c r="AV24" s="419"/>
      <c r="AW24" s="419"/>
      <c r="AX24" s="419"/>
      <c r="AY24" s="419"/>
      <c r="AZ24" s="419"/>
      <c r="BA24" s="419"/>
      <c r="BB24" s="419"/>
      <c r="BC24" s="419"/>
      <c r="BD24" s="419"/>
      <c r="BE24" s="419"/>
      <c r="BF24" s="419"/>
      <c r="BG24" s="51">
        <v>25</v>
      </c>
      <c r="BH24" s="594"/>
      <c r="BI24" s="49"/>
      <c r="BJ24" s="49"/>
      <c r="BK24" s="49"/>
      <c r="BL24" s="49"/>
      <c r="BM24" s="49"/>
      <c r="BN24" s="49"/>
      <c r="BO24" s="49"/>
    </row>
    <row r="25" spans="2:67" x14ac:dyDescent="0.35">
      <c r="B25" s="303">
        <v>0.10865617433414043</v>
      </c>
      <c r="C25" s="304">
        <v>0.14341906202723148</v>
      </c>
      <c r="D25" s="305">
        <f>C25-B25</f>
        <v>3.4762887693091049E-2</v>
      </c>
      <c r="E25" s="306">
        <f>1/D25</f>
        <v>28.766309888540849</v>
      </c>
      <c r="F25" s="594"/>
      <c r="G25" s="51">
        <v>24</v>
      </c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1">
        <v>24</v>
      </c>
      <c r="AG25" s="23"/>
      <c r="AH25" s="51">
        <v>24</v>
      </c>
      <c r="AI25" s="50"/>
      <c r="AJ25" s="50"/>
      <c r="AK25" s="50"/>
      <c r="AL25" s="50"/>
      <c r="AM25" s="50"/>
      <c r="AN25" s="50"/>
      <c r="AO25" s="50"/>
      <c r="AP25" s="50"/>
      <c r="AQ25" s="50"/>
      <c r="AR25" s="50"/>
      <c r="AS25" s="50"/>
      <c r="AT25" s="50"/>
      <c r="AU25" s="50"/>
      <c r="AV25" s="50"/>
      <c r="AW25" s="50"/>
      <c r="AX25" s="50"/>
      <c r="AY25" s="50"/>
      <c r="AZ25" s="50"/>
      <c r="BA25" s="50"/>
      <c r="BB25" s="50"/>
      <c r="BC25" s="50"/>
      <c r="BD25" s="50"/>
      <c r="BE25" s="50"/>
      <c r="BF25" s="50"/>
      <c r="BG25" s="51">
        <v>24</v>
      </c>
      <c r="BH25" s="594"/>
      <c r="BI25" s="49"/>
      <c r="BJ25" s="49"/>
      <c r="BK25" s="49"/>
      <c r="BL25" s="49"/>
      <c r="BM25" s="49"/>
      <c r="BN25" s="49"/>
      <c r="BO25" s="49"/>
    </row>
    <row r="26" spans="2:67" ht="15" thickBot="1" x14ac:dyDescent="0.4">
      <c r="B26" s="403" t="s">
        <v>150</v>
      </c>
      <c r="C26" s="333">
        <f>B25*E25</f>
        <v>3.1256371821992022</v>
      </c>
      <c r="D26" s="307">
        <f>D25*E25</f>
        <v>1</v>
      </c>
      <c r="E26" s="332">
        <f>(1-C25)*E25</f>
        <v>24.640672706341647</v>
      </c>
      <c r="F26" s="594"/>
      <c r="G26" s="51">
        <v>23</v>
      </c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1">
        <v>23</v>
      </c>
      <c r="AG26" s="23"/>
      <c r="AH26" s="51">
        <v>23</v>
      </c>
      <c r="AI26" s="50"/>
      <c r="AJ26" s="50"/>
      <c r="AK26" s="50"/>
      <c r="AL26" s="50"/>
      <c r="AM26" s="50"/>
      <c r="AN26" s="50"/>
      <c r="AO26" s="50"/>
      <c r="AP26" s="50"/>
      <c r="AQ26" s="50"/>
      <c r="AR26" s="50"/>
      <c r="AS26" s="50"/>
      <c r="AT26" s="50"/>
      <c r="AU26" s="50"/>
      <c r="AV26" s="50"/>
      <c r="AW26" s="50"/>
      <c r="AX26" s="50"/>
      <c r="AY26" s="50"/>
      <c r="AZ26" s="50"/>
      <c r="BA26" s="50"/>
      <c r="BB26" s="50"/>
      <c r="BC26" s="50"/>
      <c r="BD26" s="50"/>
      <c r="BE26" s="50"/>
      <c r="BF26" s="50"/>
      <c r="BG26" s="51">
        <v>23</v>
      </c>
      <c r="BH26" s="594"/>
      <c r="BI26" s="49"/>
      <c r="BJ26" s="49"/>
      <c r="BK26" s="49"/>
      <c r="BL26" s="49"/>
      <c r="BM26" s="49"/>
      <c r="BN26" s="49"/>
      <c r="BO26" s="49"/>
    </row>
    <row r="27" spans="2:67" x14ac:dyDescent="0.35">
      <c r="G27" s="51">
        <v>22</v>
      </c>
      <c r="H27" s="354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1">
        <v>22</v>
      </c>
      <c r="AG27" s="52"/>
      <c r="AH27" s="51">
        <v>22</v>
      </c>
      <c r="AI27" s="354"/>
      <c r="AJ27" s="50"/>
      <c r="AK27" s="50"/>
      <c r="AL27" s="50"/>
      <c r="AM27" s="50"/>
      <c r="AN27" s="50"/>
      <c r="AO27" s="50"/>
      <c r="AP27" s="50"/>
      <c r="AQ27" s="50"/>
      <c r="AR27" s="50"/>
      <c r="AS27" s="50"/>
      <c r="AT27" s="50"/>
      <c r="AU27" s="50"/>
      <c r="AV27" s="50"/>
      <c r="AW27" s="50"/>
      <c r="AX27" s="50"/>
      <c r="AY27" s="50"/>
      <c r="AZ27" s="50"/>
      <c r="BA27" s="50"/>
      <c r="BB27" s="50"/>
      <c r="BC27" s="50"/>
      <c r="BD27" s="50"/>
      <c r="BE27" s="50"/>
      <c r="BF27" s="50"/>
      <c r="BG27" s="51">
        <v>22</v>
      </c>
      <c r="BH27" s="49"/>
      <c r="BI27" s="49"/>
      <c r="BJ27" s="49"/>
      <c r="BK27" s="49"/>
      <c r="BL27" s="49"/>
      <c r="BM27" s="49"/>
      <c r="BN27" s="49"/>
      <c r="BO27" s="49"/>
    </row>
    <row r="28" spans="2:67" x14ac:dyDescent="0.35">
      <c r="G28" s="51">
        <v>21</v>
      </c>
      <c r="H28" s="354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1">
        <v>21</v>
      </c>
      <c r="AG28" s="52"/>
      <c r="AH28" s="51">
        <v>21</v>
      </c>
      <c r="AI28" s="354"/>
      <c r="AJ28" s="50"/>
      <c r="AK28" s="50"/>
      <c r="AL28" s="50"/>
      <c r="AM28" s="50"/>
      <c r="AN28" s="50"/>
      <c r="AO28" s="50"/>
      <c r="AP28" s="50"/>
      <c r="AQ28" s="50"/>
      <c r="AR28" s="50"/>
      <c r="AS28" s="50"/>
      <c r="AT28" s="50"/>
      <c r="AU28" s="50"/>
      <c r="AV28" s="50"/>
      <c r="AW28" s="50"/>
      <c r="AX28" s="50"/>
      <c r="AY28" s="50"/>
      <c r="AZ28" s="50"/>
      <c r="BA28" s="50"/>
      <c r="BB28" s="50"/>
      <c r="BC28" s="50"/>
      <c r="BD28" s="50"/>
      <c r="BE28" s="50"/>
      <c r="BF28" s="50"/>
      <c r="BG28" s="51">
        <v>21</v>
      </c>
      <c r="BH28" s="49"/>
      <c r="BI28" s="49"/>
      <c r="BJ28" s="49"/>
      <c r="BK28" s="49"/>
      <c r="BL28" s="49"/>
      <c r="BM28" s="49"/>
      <c r="BN28" s="49"/>
      <c r="BO28" s="49"/>
    </row>
    <row r="29" spans="2:67" x14ac:dyDescent="0.35">
      <c r="G29" s="51">
        <v>20</v>
      </c>
      <c r="H29" s="354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1">
        <v>20</v>
      </c>
      <c r="AH29" s="51">
        <v>20</v>
      </c>
      <c r="AI29" s="354"/>
      <c r="AJ29" s="50"/>
      <c r="AK29" s="50"/>
      <c r="AL29" s="50"/>
      <c r="AM29" s="50"/>
      <c r="AN29" s="50"/>
      <c r="AO29" s="50"/>
      <c r="AP29" s="50"/>
      <c r="AQ29" s="50"/>
      <c r="AR29" s="50"/>
      <c r="AS29" s="50"/>
      <c r="AT29" s="50"/>
      <c r="AU29" s="50"/>
      <c r="AV29" s="50"/>
      <c r="AW29" s="50"/>
      <c r="AX29" s="50"/>
      <c r="AY29" s="50"/>
      <c r="AZ29" s="50"/>
      <c r="BA29" s="50"/>
      <c r="BB29" s="50"/>
      <c r="BC29" s="50"/>
      <c r="BD29" s="50"/>
      <c r="BE29" s="50"/>
      <c r="BF29" s="50"/>
      <c r="BG29" s="51">
        <v>20</v>
      </c>
    </row>
    <row r="30" spans="2:67" x14ac:dyDescent="0.35">
      <c r="G30" s="51">
        <v>19</v>
      </c>
      <c r="H30" s="354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1">
        <v>19</v>
      </c>
      <c r="AH30" s="51">
        <v>19</v>
      </c>
      <c r="AI30" s="354"/>
      <c r="AJ30" s="50"/>
      <c r="AK30" s="50"/>
      <c r="AL30" s="50"/>
      <c r="AM30" s="50"/>
      <c r="AN30" s="50"/>
      <c r="AO30" s="50"/>
      <c r="AP30" s="50"/>
      <c r="AQ30" s="50"/>
      <c r="AR30" s="50"/>
      <c r="AS30" s="50"/>
      <c r="AT30" s="50"/>
      <c r="AU30" s="50"/>
      <c r="AV30" s="50"/>
      <c r="AW30" s="50"/>
      <c r="AX30" s="50"/>
      <c r="AY30" s="50"/>
      <c r="AZ30" s="50"/>
      <c r="BA30" s="50"/>
      <c r="BB30" s="50"/>
      <c r="BC30" s="50"/>
      <c r="BD30" s="50"/>
      <c r="BE30" s="50"/>
      <c r="BF30" s="50"/>
      <c r="BG30" s="51">
        <v>19</v>
      </c>
    </row>
    <row r="31" spans="2:67" x14ac:dyDescent="0.35">
      <c r="G31" s="51">
        <v>18</v>
      </c>
      <c r="H31" s="354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1">
        <v>18</v>
      </c>
      <c r="AH31" s="51">
        <v>18</v>
      </c>
      <c r="AI31" s="354"/>
      <c r="AJ31" s="50"/>
      <c r="AK31" s="50"/>
      <c r="AL31" s="50"/>
      <c r="AM31" s="50"/>
      <c r="AN31" s="50"/>
      <c r="AO31" s="50"/>
      <c r="AP31" s="50"/>
      <c r="AQ31" s="50"/>
      <c r="AR31" s="50"/>
      <c r="AS31" s="50"/>
      <c r="AT31" s="50"/>
      <c r="AU31" s="50"/>
      <c r="AV31" s="50"/>
      <c r="AW31" s="50"/>
      <c r="AX31" s="50"/>
      <c r="AY31" s="50"/>
      <c r="AZ31" s="50"/>
      <c r="BA31" s="50"/>
      <c r="BB31" s="50"/>
      <c r="BC31" s="50"/>
      <c r="BD31" s="50"/>
      <c r="BE31" s="50"/>
      <c r="BF31" s="50"/>
      <c r="BG31" s="51">
        <v>18</v>
      </c>
    </row>
    <row r="32" spans="2:67" x14ac:dyDescent="0.35">
      <c r="G32" s="51">
        <v>17</v>
      </c>
      <c r="H32" s="354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1">
        <v>17</v>
      </c>
      <c r="AH32" s="51">
        <v>17</v>
      </c>
      <c r="AI32" s="354"/>
      <c r="AJ32" s="50"/>
      <c r="AK32" s="50"/>
      <c r="AL32" s="50"/>
      <c r="AM32" s="50"/>
      <c r="AN32" s="50"/>
      <c r="AO32" s="50"/>
      <c r="AP32" s="50"/>
      <c r="AQ32" s="50"/>
      <c r="AR32" s="50"/>
      <c r="AS32" s="50"/>
      <c r="AT32" s="50"/>
      <c r="AU32" s="50"/>
      <c r="AV32" s="50"/>
      <c r="AW32" s="50"/>
      <c r="AX32" s="50"/>
      <c r="AY32" s="50"/>
      <c r="AZ32" s="50"/>
      <c r="BA32" s="50"/>
      <c r="BB32" s="50"/>
      <c r="BC32" s="50"/>
      <c r="BD32" s="50"/>
      <c r="BE32" s="50"/>
      <c r="BF32" s="50"/>
      <c r="BG32" s="51">
        <v>17</v>
      </c>
    </row>
    <row r="33" spans="7:59" x14ac:dyDescent="0.35">
      <c r="G33" s="51">
        <v>16</v>
      </c>
      <c r="H33" s="354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1">
        <v>16</v>
      </c>
      <c r="AH33" s="51">
        <v>16</v>
      </c>
      <c r="AI33" s="354"/>
      <c r="AJ33" s="50"/>
      <c r="AK33" s="50"/>
      <c r="AL33" s="50"/>
      <c r="AM33" s="50"/>
      <c r="AN33" s="50"/>
      <c r="AO33" s="50"/>
      <c r="AP33" s="50"/>
      <c r="AQ33" s="50"/>
      <c r="AR33" s="50"/>
      <c r="AS33" s="50"/>
      <c r="AT33" s="50"/>
      <c r="AU33" s="50"/>
      <c r="AV33" s="50"/>
      <c r="AW33" s="50"/>
      <c r="AX33" s="50"/>
      <c r="AY33" s="50"/>
      <c r="AZ33" s="50"/>
      <c r="BA33" s="50"/>
      <c r="BB33" s="50"/>
      <c r="BC33" s="50"/>
      <c r="BD33" s="50"/>
      <c r="BE33" s="50"/>
      <c r="BF33" s="50"/>
      <c r="BG33" s="51">
        <v>16</v>
      </c>
    </row>
    <row r="34" spans="7:59" x14ac:dyDescent="0.35">
      <c r="G34" s="51">
        <v>15</v>
      </c>
      <c r="H34" s="354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1">
        <v>15</v>
      </c>
      <c r="AH34" s="51">
        <v>15</v>
      </c>
      <c r="AI34" s="354"/>
      <c r="AJ34" s="50"/>
      <c r="AK34" s="50"/>
      <c r="AL34" s="50"/>
      <c r="AM34" s="50"/>
      <c r="AN34" s="50"/>
      <c r="AO34" s="50"/>
      <c r="AP34" s="50"/>
      <c r="AQ34" s="50"/>
      <c r="AR34" s="50"/>
      <c r="AS34" s="50"/>
      <c r="AT34" s="50"/>
      <c r="AU34" s="50"/>
      <c r="AV34" s="50"/>
      <c r="AW34" s="50"/>
      <c r="AX34" s="50"/>
      <c r="AY34" s="50"/>
      <c r="AZ34" s="50"/>
      <c r="BA34" s="50"/>
      <c r="BB34" s="50"/>
      <c r="BC34" s="50"/>
      <c r="BD34" s="50"/>
      <c r="BE34" s="50"/>
      <c r="BF34" s="50"/>
      <c r="BG34" s="51">
        <v>15</v>
      </c>
    </row>
    <row r="35" spans="7:59" x14ac:dyDescent="0.35">
      <c r="G35" s="51">
        <v>14</v>
      </c>
      <c r="H35" s="354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1">
        <v>14</v>
      </c>
      <c r="AH35" s="51">
        <v>14</v>
      </c>
      <c r="AI35" s="354"/>
      <c r="AJ35" s="50"/>
      <c r="AK35" s="50"/>
      <c r="AL35" s="50"/>
      <c r="AM35" s="50"/>
      <c r="AN35" s="50"/>
      <c r="AO35" s="50"/>
      <c r="AP35" s="50"/>
      <c r="AQ35" s="50"/>
      <c r="AR35" s="50"/>
      <c r="AS35" s="50"/>
      <c r="AT35" s="50"/>
      <c r="AU35" s="50"/>
      <c r="AV35" s="50"/>
      <c r="AW35" s="50"/>
      <c r="AX35" s="50"/>
      <c r="AY35" s="50"/>
      <c r="AZ35" s="50"/>
      <c r="BA35" s="50"/>
      <c r="BB35" s="50"/>
      <c r="BC35" s="50"/>
      <c r="BD35" s="50"/>
      <c r="BE35" s="50"/>
      <c r="BF35" s="50"/>
      <c r="BG35" s="51">
        <v>14</v>
      </c>
    </row>
    <row r="36" spans="7:59" x14ac:dyDescent="0.35">
      <c r="G36" s="51">
        <v>13</v>
      </c>
      <c r="H36" s="354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1">
        <v>13</v>
      </c>
      <c r="AH36" s="51">
        <v>13</v>
      </c>
      <c r="AI36" s="354"/>
      <c r="AJ36" s="50"/>
      <c r="AK36" s="50"/>
      <c r="AL36" s="50"/>
      <c r="AM36" s="50"/>
      <c r="AN36" s="50"/>
      <c r="AO36" s="50"/>
      <c r="AP36" s="50"/>
      <c r="AQ36" s="50"/>
      <c r="AR36" s="50"/>
      <c r="AS36" s="50"/>
      <c r="AT36" s="50"/>
      <c r="AU36" s="50"/>
      <c r="AV36" s="50"/>
      <c r="AW36" s="50"/>
      <c r="AX36" s="50"/>
      <c r="AY36" s="50"/>
      <c r="AZ36" s="50"/>
      <c r="BA36" s="50"/>
      <c r="BB36" s="50"/>
      <c r="BC36" s="50"/>
      <c r="BD36" s="50"/>
      <c r="BE36" s="50"/>
      <c r="BF36" s="50"/>
      <c r="BG36" s="51">
        <v>13</v>
      </c>
    </row>
    <row r="37" spans="7:59" x14ac:dyDescent="0.35">
      <c r="G37" s="51">
        <v>12</v>
      </c>
      <c r="H37" s="354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1">
        <v>12</v>
      </c>
      <c r="AH37" s="51">
        <v>12</v>
      </c>
      <c r="AI37" s="354"/>
      <c r="AJ37" s="50"/>
      <c r="AK37" s="50"/>
      <c r="AL37" s="50"/>
      <c r="AM37" s="50"/>
      <c r="AN37" s="50"/>
      <c r="AO37" s="50"/>
      <c r="AP37" s="50"/>
      <c r="AQ37" s="50"/>
      <c r="AR37" s="50"/>
      <c r="AS37" s="50"/>
      <c r="AT37" s="50"/>
      <c r="AU37" s="50"/>
      <c r="AV37" s="50"/>
      <c r="AW37" s="50"/>
      <c r="AX37" s="50"/>
      <c r="AY37" s="50"/>
      <c r="AZ37" s="50"/>
      <c r="BA37" s="50"/>
      <c r="BB37" s="50"/>
      <c r="BC37" s="50"/>
      <c r="BD37" s="50"/>
      <c r="BE37" s="50"/>
      <c r="BF37" s="50"/>
      <c r="BG37" s="51">
        <v>12</v>
      </c>
    </row>
    <row r="38" spans="7:59" x14ac:dyDescent="0.35">
      <c r="G38" s="51">
        <v>11</v>
      </c>
      <c r="H38" s="354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1">
        <v>11</v>
      </c>
      <c r="AH38" s="51">
        <v>11</v>
      </c>
      <c r="AI38" s="354"/>
      <c r="AJ38" s="50"/>
      <c r="AK38" s="50"/>
      <c r="AL38" s="50"/>
      <c r="AM38" s="50"/>
      <c r="AN38" s="50"/>
      <c r="AO38" s="50"/>
      <c r="AP38" s="50"/>
      <c r="AQ38" s="50"/>
      <c r="AR38" s="50"/>
      <c r="AS38" s="50"/>
      <c r="AT38" s="50"/>
      <c r="AU38" s="50"/>
      <c r="AV38" s="50"/>
      <c r="AW38" s="50"/>
      <c r="AX38" s="50"/>
      <c r="AY38" s="50"/>
      <c r="AZ38" s="50"/>
      <c r="BA38" s="50"/>
      <c r="BB38" s="50"/>
      <c r="BC38" s="50"/>
      <c r="BD38" s="50"/>
      <c r="BE38" s="50"/>
      <c r="BF38" s="50"/>
      <c r="BG38" s="51">
        <v>11</v>
      </c>
    </row>
    <row r="39" spans="7:59" x14ac:dyDescent="0.35">
      <c r="G39" s="51">
        <v>10</v>
      </c>
      <c r="H39" s="354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1">
        <v>10</v>
      </c>
      <c r="AH39" s="51">
        <v>10</v>
      </c>
      <c r="AI39" s="354"/>
      <c r="AJ39" s="50"/>
      <c r="AK39" s="50"/>
      <c r="AL39" s="50"/>
      <c r="AM39" s="50"/>
      <c r="AN39" s="50"/>
      <c r="AO39" s="50"/>
      <c r="AP39" s="50"/>
      <c r="AQ39" s="50"/>
      <c r="AR39" s="50"/>
      <c r="AS39" s="50"/>
      <c r="AT39" s="50"/>
      <c r="AU39" s="50"/>
      <c r="AV39" s="50"/>
      <c r="AW39" s="50"/>
      <c r="AX39" s="50"/>
      <c r="AY39" s="50"/>
      <c r="AZ39" s="50"/>
      <c r="BA39" s="50"/>
      <c r="BB39" s="50"/>
      <c r="BC39" s="50"/>
      <c r="BD39" s="50"/>
      <c r="BE39" s="50"/>
      <c r="BF39" s="50"/>
      <c r="BG39" s="51">
        <v>10</v>
      </c>
    </row>
    <row r="40" spans="7:59" x14ac:dyDescent="0.35">
      <c r="G40" s="51">
        <v>9</v>
      </c>
      <c r="H40" s="354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1">
        <v>9</v>
      </c>
      <c r="AH40" s="51">
        <v>9</v>
      </c>
      <c r="AI40" s="354"/>
      <c r="AJ40" s="50"/>
      <c r="AK40" s="50"/>
      <c r="AL40" s="50"/>
      <c r="AM40" s="50"/>
      <c r="AN40" s="50"/>
      <c r="AO40" s="50"/>
      <c r="AP40" s="50"/>
      <c r="AQ40" s="50"/>
      <c r="AR40" s="50"/>
      <c r="AS40" s="50"/>
      <c r="AT40" s="50"/>
      <c r="AU40" s="50"/>
      <c r="AV40" s="50"/>
      <c r="AW40" s="50"/>
      <c r="AX40" s="50"/>
      <c r="AY40" s="50"/>
      <c r="AZ40" s="50"/>
      <c r="BA40" s="50"/>
      <c r="BB40" s="50"/>
      <c r="BC40" s="50"/>
      <c r="BD40" s="50"/>
      <c r="BE40" s="50"/>
      <c r="BF40" s="50"/>
      <c r="BG40" s="51">
        <v>9</v>
      </c>
    </row>
    <row r="41" spans="7:59" x14ac:dyDescent="0.35">
      <c r="G41" s="51">
        <v>8</v>
      </c>
      <c r="H41" s="354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1">
        <v>8</v>
      </c>
      <c r="AH41" s="51">
        <v>8</v>
      </c>
      <c r="AI41" s="354"/>
      <c r="AJ41" s="50"/>
      <c r="AK41" s="50"/>
      <c r="AL41" s="50"/>
      <c r="AM41" s="50"/>
      <c r="AN41" s="50"/>
      <c r="AO41" s="50"/>
      <c r="AP41" s="50"/>
      <c r="AQ41" s="50"/>
      <c r="AR41" s="50"/>
      <c r="AS41" s="50"/>
      <c r="AT41" s="50"/>
      <c r="AU41" s="50"/>
      <c r="AV41" s="50"/>
      <c r="AW41" s="50"/>
      <c r="AX41" s="50"/>
      <c r="AY41" s="50"/>
      <c r="AZ41" s="50"/>
      <c r="BA41" s="50"/>
      <c r="BB41" s="50"/>
      <c r="BC41" s="50"/>
      <c r="BD41" s="50"/>
      <c r="BE41" s="50"/>
      <c r="BF41" s="50"/>
      <c r="BG41" s="51">
        <v>8</v>
      </c>
    </row>
    <row r="42" spans="7:59" x14ac:dyDescent="0.35">
      <c r="G42" s="51">
        <v>7</v>
      </c>
      <c r="H42" s="354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1">
        <v>7</v>
      </c>
      <c r="AH42" s="51">
        <v>7</v>
      </c>
      <c r="AI42" s="354"/>
      <c r="AJ42" s="50"/>
      <c r="AK42" s="50"/>
      <c r="AL42" s="50"/>
      <c r="AM42" s="50"/>
      <c r="AN42" s="50"/>
      <c r="AO42" s="50"/>
      <c r="AP42" s="50"/>
      <c r="AQ42" s="50"/>
      <c r="AR42" s="50"/>
      <c r="AS42" s="50"/>
      <c r="AT42" s="50"/>
      <c r="AU42" s="50"/>
      <c r="AV42" s="50"/>
      <c r="AW42" s="50"/>
      <c r="AX42" s="50"/>
      <c r="AY42" s="50"/>
      <c r="AZ42" s="50"/>
      <c r="BA42" s="50"/>
      <c r="BB42" s="50"/>
      <c r="BC42" s="50"/>
      <c r="BD42" s="50"/>
      <c r="BE42" s="50"/>
      <c r="BF42" s="50"/>
      <c r="BG42" s="51">
        <v>7</v>
      </c>
    </row>
    <row r="43" spans="7:59" x14ac:dyDescent="0.35">
      <c r="G43" s="51">
        <v>6</v>
      </c>
      <c r="H43" s="354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1">
        <v>6</v>
      </c>
      <c r="AH43" s="51">
        <v>6</v>
      </c>
      <c r="AI43" s="354"/>
      <c r="AJ43" s="50"/>
      <c r="AK43" s="50"/>
      <c r="AL43" s="50"/>
      <c r="AM43" s="50"/>
      <c r="AN43" s="50"/>
      <c r="AO43" s="50"/>
      <c r="AP43" s="50"/>
      <c r="AQ43" s="50"/>
      <c r="AR43" s="50"/>
      <c r="AS43" s="50"/>
      <c r="AT43" s="50"/>
      <c r="AU43" s="50"/>
      <c r="AV43" s="50"/>
      <c r="AW43" s="50"/>
      <c r="AX43" s="50"/>
      <c r="AY43" s="50"/>
      <c r="AZ43" s="50"/>
      <c r="BA43" s="50"/>
      <c r="BB43" s="50"/>
      <c r="BC43" s="50"/>
      <c r="BD43" s="50"/>
      <c r="BE43" s="50"/>
      <c r="BF43" s="50"/>
      <c r="BG43" s="51">
        <v>6</v>
      </c>
    </row>
    <row r="44" spans="7:59" x14ac:dyDescent="0.35">
      <c r="G44" s="51">
        <v>5</v>
      </c>
      <c r="H44" s="354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1">
        <v>5</v>
      </c>
      <c r="AH44" s="51">
        <v>5</v>
      </c>
      <c r="AI44" s="354"/>
      <c r="AJ44" s="50"/>
      <c r="AK44" s="50"/>
      <c r="AL44" s="50"/>
      <c r="AM44" s="50"/>
      <c r="AN44" s="50"/>
      <c r="AO44" s="50"/>
      <c r="AP44" s="50"/>
      <c r="AQ44" s="50"/>
      <c r="AR44" s="50"/>
      <c r="AS44" s="50"/>
      <c r="AT44" s="50"/>
      <c r="AU44" s="50"/>
      <c r="AV44" s="50"/>
      <c r="AW44" s="50"/>
      <c r="AX44" s="50"/>
      <c r="AY44" s="50"/>
      <c r="AZ44" s="50"/>
      <c r="BA44" s="50"/>
      <c r="BB44" s="50"/>
      <c r="BC44" s="50"/>
      <c r="BD44" s="50"/>
      <c r="BE44" s="50"/>
      <c r="BF44" s="50"/>
      <c r="BG44" s="51">
        <v>5</v>
      </c>
    </row>
    <row r="45" spans="7:59" x14ac:dyDescent="0.35">
      <c r="G45" s="51">
        <v>4</v>
      </c>
      <c r="H45" s="354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1">
        <v>4</v>
      </c>
      <c r="AH45" s="51">
        <v>4</v>
      </c>
      <c r="AI45" s="354"/>
      <c r="AJ45" s="50"/>
      <c r="AK45" s="50"/>
      <c r="AL45" s="50"/>
      <c r="AM45" s="50"/>
      <c r="AN45" s="50"/>
      <c r="AO45" s="50"/>
      <c r="AP45" s="50"/>
      <c r="AQ45" s="50"/>
      <c r="AR45" s="50"/>
      <c r="AS45" s="50"/>
      <c r="AT45" s="50"/>
      <c r="AU45" s="50"/>
      <c r="AV45" s="50"/>
      <c r="AW45" s="50"/>
      <c r="AX45" s="50"/>
      <c r="AY45" s="50"/>
      <c r="AZ45" s="50"/>
      <c r="BA45" s="50"/>
      <c r="BB45" s="50"/>
      <c r="BC45" s="50"/>
      <c r="BD45" s="50"/>
      <c r="BE45" s="50"/>
      <c r="BF45" s="50"/>
      <c r="BG45" s="51">
        <v>4</v>
      </c>
    </row>
    <row r="46" spans="7:59" x14ac:dyDescent="0.35">
      <c r="G46" s="51">
        <v>3</v>
      </c>
      <c r="H46" s="354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1">
        <v>3</v>
      </c>
      <c r="AH46" s="51">
        <v>3</v>
      </c>
      <c r="AI46" s="354"/>
      <c r="AJ46" s="50"/>
      <c r="AK46" s="50"/>
      <c r="AL46" s="50"/>
      <c r="AM46" s="50"/>
      <c r="AN46" s="50"/>
      <c r="AO46" s="50"/>
      <c r="AP46" s="50"/>
      <c r="AQ46" s="50"/>
      <c r="AR46" s="50"/>
      <c r="AS46" s="50"/>
      <c r="AT46" s="50"/>
      <c r="AU46" s="50"/>
      <c r="AV46" s="50"/>
      <c r="AW46" s="50"/>
      <c r="AX46" s="50"/>
      <c r="AY46" s="50"/>
      <c r="AZ46" s="50"/>
      <c r="BA46" s="50"/>
      <c r="BB46" s="50"/>
      <c r="BC46" s="50"/>
      <c r="BD46" s="50"/>
      <c r="BE46" s="50"/>
      <c r="BF46" s="50"/>
      <c r="BG46" s="51">
        <v>3</v>
      </c>
    </row>
    <row r="47" spans="7:59" x14ac:dyDescent="0.35">
      <c r="G47" s="51">
        <v>2</v>
      </c>
      <c r="H47" s="354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1">
        <v>2</v>
      </c>
      <c r="AH47" s="51">
        <v>2</v>
      </c>
      <c r="AI47" s="354"/>
      <c r="AJ47" s="50"/>
      <c r="AK47" s="50"/>
      <c r="AL47" s="50"/>
      <c r="AM47" s="50"/>
      <c r="AN47" s="50"/>
      <c r="AO47" s="50"/>
      <c r="AP47" s="50"/>
      <c r="AQ47" s="50"/>
      <c r="AR47" s="50"/>
      <c r="AS47" s="50"/>
      <c r="AT47" s="50"/>
      <c r="AU47" s="50"/>
      <c r="AV47" s="50"/>
      <c r="AW47" s="50"/>
      <c r="AX47" s="50"/>
      <c r="AY47" s="50"/>
      <c r="AZ47" s="50"/>
      <c r="BA47" s="50"/>
      <c r="BB47" s="50"/>
      <c r="BC47" s="50"/>
      <c r="BD47" s="50"/>
      <c r="BE47" s="50"/>
      <c r="BF47" s="50"/>
      <c r="BG47" s="51">
        <v>2</v>
      </c>
    </row>
    <row r="48" spans="7:59" x14ac:dyDescent="0.35">
      <c r="G48" s="51">
        <v>1</v>
      </c>
      <c r="H48" s="354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1">
        <v>1</v>
      </c>
      <c r="AH48" s="51">
        <v>1</v>
      </c>
      <c r="AI48" s="354"/>
      <c r="AJ48" s="50"/>
      <c r="AK48" s="50"/>
      <c r="AL48" s="50"/>
      <c r="AM48" s="50"/>
      <c r="AN48" s="50"/>
      <c r="AO48" s="50"/>
      <c r="AP48" s="50"/>
      <c r="AQ48" s="50"/>
      <c r="AR48" s="50"/>
      <c r="AS48" s="50"/>
      <c r="AT48" s="50"/>
      <c r="AU48" s="50"/>
      <c r="AV48" s="50"/>
      <c r="AW48" s="50"/>
      <c r="AX48" s="50"/>
      <c r="AY48" s="50"/>
      <c r="AZ48" s="50"/>
      <c r="BA48" s="50"/>
      <c r="BB48" s="50"/>
      <c r="BC48" s="50"/>
      <c r="BD48" s="50"/>
      <c r="BE48" s="50"/>
      <c r="BF48" s="50"/>
      <c r="BG48" s="51">
        <v>1</v>
      </c>
    </row>
    <row r="49" spans="8:58" x14ac:dyDescent="0.35">
      <c r="H49" s="352">
        <v>1</v>
      </c>
      <c r="I49" s="352">
        <v>2</v>
      </c>
      <c r="J49" s="352">
        <v>3</v>
      </c>
      <c r="K49" s="352">
        <v>4</v>
      </c>
      <c r="L49" s="352">
        <v>5</v>
      </c>
      <c r="M49" s="352">
        <v>6</v>
      </c>
      <c r="N49" s="352">
        <v>7</v>
      </c>
      <c r="O49" s="352">
        <v>8</v>
      </c>
      <c r="P49" s="352">
        <v>9</v>
      </c>
      <c r="Q49" s="352">
        <v>10</v>
      </c>
      <c r="R49" s="352">
        <v>11</v>
      </c>
      <c r="S49" s="352">
        <v>12</v>
      </c>
      <c r="T49" s="352">
        <v>13</v>
      </c>
      <c r="U49" s="352">
        <v>14</v>
      </c>
      <c r="V49" s="352">
        <v>15</v>
      </c>
      <c r="W49" s="352">
        <v>16</v>
      </c>
      <c r="X49" s="352">
        <v>17</v>
      </c>
      <c r="Y49" s="352">
        <v>18</v>
      </c>
      <c r="Z49" s="352">
        <v>19</v>
      </c>
      <c r="AA49" s="352">
        <v>20</v>
      </c>
      <c r="AB49" s="352">
        <v>21</v>
      </c>
      <c r="AC49" s="352">
        <v>22</v>
      </c>
      <c r="AD49" s="352">
        <v>23</v>
      </c>
      <c r="AE49" s="352">
        <v>24</v>
      </c>
      <c r="AF49" s="351"/>
      <c r="AG49" s="351"/>
      <c r="AH49" s="351"/>
      <c r="AI49" s="353">
        <v>1</v>
      </c>
      <c r="AJ49" s="352">
        <v>2</v>
      </c>
      <c r="AK49" s="352">
        <v>3</v>
      </c>
      <c r="AL49" s="352">
        <v>4</v>
      </c>
      <c r="AM49" s="352">
        <v>5</v>
      </c>
      <c r="AN49" s="352">
        <v>6</v>
      </c>
      <c r="AO49" s="352">
        <v>7</v>
      </c>
      <c r="AP49" s="352">
        <v>8</v>
      </c>
      <c r="AQ49" s="352">
        <v>9</v>
      </c>
      <c r="AR49" s="352">
        <v>10</v>
      </c>
      <c r="AS49" s="352">
        <v>11</v>
      </c>
      <c r="AT49" s="352">
        <v>12</v>
      </c>
      <c r="AU49" s="352">
        <v>13</v>
      </c>
      <c r="AV49" s="352">
        <v>14</v>
      </c>
      <c r="AW49" s="352">
        <v>15</v>
      </c>
      <c r="AX49" s="352">
        <v>16</v>
      </c>
      <c r="AY49" s="352">
        <v>17</v>
      </c>
      <c r="AZ49" s="352">
        <v>18</v>
      </c>
      <c r="BA49" s="352">
        <v>19</v>
      </c>
      <c r="BB49" s="352">
        <v>20</v>
      </c>
      <c r="BC49" s="352">
        <v>21</v>
      </c>
      <c r="BD49" s="352">
        <v>22</v>
      </c>
      <c r="BE49" s="352">
        <v>23</v>
      </c>
      <c r="BF49" s="352">
        <v>24</v>
      </c>
    </row>
    <row r="50" spans="8:58" x14ac:dyDescent="0.35">
      <c r="H50" s="48" t="s">
        <v>215</v>
      </c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8"/>
      <c r="AI50" s="48" t="s">
        <v>215</v>
      </c>
      <c r="AJ50" s="48"/>
      <c r="AK50" s="48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  <c r="AW50" s="23"/>
      <c r="AX50" s="23"/>
      <c r="AY50" s="23"/>
      <c r="AZ50" s="23"/>
      <c r="BA50" s="23"/>
      <c r="BB50" s="23"/>
      <c r="BC50" s="23"/>
      <c r="BD50" s="23"/>
      <c r="BE50" s="23"/>
      <c r="BF50" s="23"/>
    </row>
    <row r="51" spans="8:58" x14ac:dyDescent="0.35">
      <c r="H51" s="48" t="s">
        <v>211</v>
      </c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8"/>
      <c r="AC51" s="48"/>
      <c r="AD51" s="48"/>
      <c r="AE51" s="47"/>
      <c r="AF51" s="47"/>
      <c r="AG51" s="47"/>
      <c r="AH51" s="47"/>
      <c r="AI51" s="48" t="s">
        <v>13</v>
      </c>
      <c r="AJ51" s="48"/>
    </row>
  </sheetData>
  <mergeCells count="6">
    <mergeCell ref="F20:F26"/>
    <mergeCell ref="BH20:BH26"/>
    <mergeCell ref="B4:BH4"/>
    <mergeCell ref="E9:E10"/>
    <mergeCell ref="D10:D11"/>
    <mergeCell ref="G15:P15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9179D8-3384-4591-9967-A66C8736AF61}">
  <dimension ref="A1:BO87"/>
  <sheetViews>
    <sheetView topLeftCell="A3" zoomScale="70" zoomScaleNormal="70" workbookViewId="0">
      <selection activeCell="B3" sqref="B3"/>
    </sheetView>
  </sheetViews>
  <sheetFormatPr baseColWidth="10" defaultRowHeight="14.5" x14ac:dyDescent="0.35"/>
  <cols>
    <col min="1" max="1" width="1.1796875" customWidth="1"/>
    <col min="2" max="2" width="16.54296875" customWidth="1"/>
    <col min="4" max="5" width="10.54296875" customWidth="1"/>
    <col min="6" max="6" width="5.81640625" customWidth="1"/>
    <col min="7" max="7" width="5.1796875" customWidth="1"/>
    <col min="8" max="31" width="2.6328125" customWidth="1"/>
    <col min="32" max="32" width="3.26953125" customWidth="1"/>
    <col min="33" max="33" width="4.453125" customWidth="1"/>
    <col min="34" max="34" width="3.26953125" customWidth="1"/>
    <col min="35" max="58" width="2.6328125" customWidth="1"/>
    <col min="59" max="59" width="4.1796875" style="23" customWidth="1"/>
    <col min="60" max="60" width="3.7265625" style="23" customWidth="1"/>
    <col min="61" max="61" width="1.54296875" style="23" customWidth="1"/>
    <col min="62" max="67" width="3.7265625" style="23" customWidth="1"/>
    <col min="75" max="75" width="2.54296875" customWidth="1"/>
  </cols>
  <sheetData>
    <row r="1" spans="1:66" hidden="1" x14ac:dyDescent="0.35">
      <c r="B1" s="493" t="str">
        <f>C8</f>
        <v>meses</v>
      </c>
      <c r="C1" s="493" t="s">
        <v>4</v>
      </c>
      <c r="D1" s="493" t="s">
        <v>5</v>
      </c>
      <c r="E1" s="493" t="s">
        <v>6</v>
      </c>
      <c r="F1" s="493"/>
      <c r="G1" s="493"/>
      <c r="H1" s="494"/>
      <c r="I1" s="494"/>
      <c r="J1" s="494"/>
      <c r="K1" s="494"/>
      <c r="L1" s="494"/>
      <c r="M1" s="494"/>
      <c r="N1" s="494"/>
      <c r="O1" s="494"/>
      <c r="P1" s="494"/>
      <c r="Q1" s="494"/>
      <c r="R1" s="494"/>
      <c r="S1" s="494"/>
      <c r="T1" s="494"/>
      <c r="U1" s="494"/>
      <c r="V1" s="494"/>
      <c r="W1" s="494"/>
      <c r="X1" s="494"/>
      <c r="Y1" s="494"/>
      <c r="Z1" s="494"/>
      <c r="AA1" s="494"/>
      <c r="AB1" s="494"/>
      <c r="AC1" s="494"/>
      <c r="AD1" s="494"/>
      <c r="AE1" s="494"/>
      <c r="AF1" s="494"/>
      <c r="AG1" s="494"/>
      <c r="AH1" s="494"/>
      <c r="AI1" s="494"/>
      <c r="AJ1" s="494"/>
      <c r="AK1" s="494"/>
      <c r="AL1" s="494"/>
      <c r="AM1" s="494"/>
      <c r="AN1" s="494"/>
      <c r="AO1" s="494"/>
      <c r="AP1" s="494"/>
      <c r="AQ1" s="494"/>
      <c r="AR1" s="494"/>
      <c r="AS1" s="494"/>
      <c r="AT1" s="494"/>
      <c r="AU1" s="494"/>
      <c r="AV1" s="494"/>
      <c r="AW1" s="494"/>
      <c r="AX1" s="494"/>
      <c r="AY1" s="494"/>
      <c r="AZ1" s="494"/>
      <c r="BA1" s="494"/>
      <c r="BB1" s="494"/>
      <c r="BC1" s="494"/>
      <c r="BD1" s="494"/>
      <c r="BE1" s="494"/>
      <c r="BF1" s="494"/>
      <c r="BG1" s="494"/>
      <c r="BH1"/>
      <c r="BI1"/>
      <c r="BJ1"/>
      <c r="BK1"/>
    </row>
    <row r="2" spans="1:66" hidden="1" x14ac:dyDescent="0.35">
      <c r="B2" s="493" t="s">
        <v>7</v>
      </c>
      <c r="C2" s="493" t="s">
        <v>8</v>
      </c>
      <c r="D2" s="493" t="s">
        <v>9</v>
      </c>
      <c r="E2" s="493" t="s">
        <v>10</v>
      </c>
      <c r="F2" s="493" t="str">
        <f>CONCATENATE(C2," ",C6," ",D2," ",C12," ",C8)</f>
        <v>puede representarse llegando los 65 pacientes, a los 24 meses</v>
      </c>
      <c r="G2" s="493"/>
      <c r="H2" s="495"/>
      <c r="I2" s="495"/>
      <c r="J2" s="495"/>
      <c r="K2" s="495"/>
      <c r="L2" s="495"/>
      <c r="M2" s="495"/>
      <c r="N2" s="495"/>
      <c r="O2" s="495"/>
      <c r="P2" s="495"/>
      <c r="Q2" s="495"/>
      <c r="R2" s="495"/>
      <c r="S2" s="495"/>
      <c r="T2" s="495"/>
      <c r="U2" s="495"/>
      <c r="V2" s="495"/>
      <c r="W2" s="495"/>
      <c r="X2" s="495"/>
      <c r="Y2" s="495"/>
      <c r="Z2" s="495"/>
      <c r="AA2" s="495"/>
      <c r="AB2" s="495"/>
      <c r="AC2" s="495"/>
      <c r="AD2" s="495"/>
      <c r="AE2" s="494"/>
      <c r="AF2" s="494"/>
      <c r="AG2" s="494"/>
      <c r="AH2" s="494"/>
      <c r="AI2" s="494"/>
      <c r="AJ2" s="494"/>
      <c r="AK2" s="494"/>
      <c r="AL2" s="494"/>
      <c r="AM2" s="494"/>
      <c r="AN2" s="494"/>
      <c r="AO2" s="494"/>
      <c r="AP2" s="494"/>
      <c r="AQ2" s="494"/>
      <c r="AR2" s="494"/>
      <c r="AS2" s="494"/>
      <c r="AT2" s="494"/>
      <c r="AU2" s="494"/>
      <c r="AV2" s="494"/>
      <c r="AW2" s="494"/>
      <c r="AX2" s="494"/>
      <c r="AY2" s="494"/>
      <c r="AZ2" s="494"/>
      <c r="BA2" s="494"/>
      <c r="BB2" s="494"/>
      <c r="BC2" s="494"/>
      <c r="BD2" s="494"/>
      <c r="BE2" s="494"/>
      <c r="BF2" s="494"/>
      <c r="BG2" s="494"/>
      <c r="BH2"/>
      <c r="BI2"/>
      <c r="BJ2"/>
      <c r="BK2"/>
    </row>
    <row r="3" spans="1:66" ht="8.25" customHeight="1" thickBot="1" x14ac:dyDescent="0.4">
      <c r="A3" s="494"/>
      <c r="B3" s="496"/>
      <c r="C3" s="494"/>
      <c r="D3" s="496"/>
      <c r="E3" s="496"/>
      <c r="F3" s="496"/>
      <c r="G3" s="496"/>
      <c r="H3" s="496"/>
      <c r="I3" s="496"/>
      <c r="J3" s="496"/>
      <c r="K3" s="496"/>
      <c r="L3" s="496"/>
      <c r="M3" s="496"/>
      <c r="N3" s="496"/>
      <c r="O3" s="496"/>
      <c r="P3" s="496"/>
      <c r="Q3" s="496"/>
      <c r="R3" s="496"/>
      <c r="S3" s="496"/>
      <c r="T3" s="496"/>
      <c r="U3" s="496"/>
      <c r="V3" s="496"/>
      <c r="W3" s="496"/>
      <c r="X3" s="496"/>
      <c r="Y3" s="496"/>
      <c r="Z3" s="496"/>
      <c r="AA3" s="496"/>
      <c r="AB3" s="496"/>
      <c r="AC3" s="496"/>
      <c r="AD3" s="496"/>
      <c r="AE3" s="496"/>
      <c r="AF3" s="497"/>
      <c r="AG3" s="497"/>
      <c r="AH3" s="497"/>
      <c r="AI3" s="494"/>
      <c r="AJ3" s="494"/>
      <c r="AK3" s="494"/>
      <c r="AL3" s="494"/>
      <c r="AM3" s="494"/>
      <c r="AN3" s="494"/>
      <c r="AO3" s="494"/>
      <c r="AP3" s="494"/>
      <c r="AQ3" s="494"/>
      <c r="AR3" s="494"/>
      <c r="AS3" s="494"/>
      <c r="AT3" s="494"/>
      <c r="AU3" s="494"/>
      <c r="AV3" s="494"/>
      <c r="AW3" s="494"/>
      <c r="AX3" s="494"/>
      <c r="AY3" s="494"/>
      <c r="AZ3" s="494"/>
      <c r="BA3" s="494"/>
      <c r="BB3" s="494"/>
      <c r="BC3" s="494"/>
      <c r="BD3" s="494"/>
      <c r="BE3" s="494"/>
      <c r="BF3" s="494"/>
      <c r="BG3" s="494"/>
      <c r="BH3" s="494"/>
      <c r="BI3"/>
      <c r="BJ3"/>
      <c r="BK3"/>
    </row>
    <row r="4" spans="1:66" ht="54.5" customHeight="1" thickBot="1" x14ac:dyDescent="0.4">
      <c r="A4" s="494"/>
      <c r="B4" s="595" t="s">
        <v>218</v>
      </c>
      <c r="C4" s="596"/>
      <c r="D4" s="596"/>
      <c r="E4" s="596"/>
      <c r="F4" s="596"/>
      <c r="G4" s="596"/>
      <c r="H4" s="596"/>
      <c r="I4" s="596"/>
      <c r="J4" s="596"/>
      <c r="K4" s="596"/>
      <c r="L4" s="596"/>
      <c r="M4" s="596"/>
      <c r="N4" s="596"/>
      <c r="O4" s="596"/>
      <c r="P4" s="596"/>
      <c r="Q4" s="596"/>
      <c r="R4" s="596"/>
      <c r="S4" s="596"/>
      <c r="T4" s="596"/>
      <c r="U4" s="596"/>
      <c r="V4" s="596"/>
      <c r="W4" s="596"/>
      <c r="X4" s="596"/>
      <c r="Y4" s="596"/>
      <c r="Z4" s="596"/>
      <c r="AA4" s="596"/>
      <c r="AB4" s="596"/>
      <c r="AC4" s="596"/>
      <c r="AD4" s="596"/>
      <c r="AE4" s="596"/>
      <c r="AF4" s="596"/>
      <c r="AG4" s="596"/>
      <c r="AH4" s="596"/>
      <c r="AI4" s="596"/>
      <c r="AJ4" s="596"/>
      <c r="AK4" s="596"/>
      <c r="AL4" s="596"/>
      <c r="AM4" s="596"/>
      <c r="AN4" s="596"/>
      <c r="AO4" s="596"/>
      <c r="AP4" s="596"/>
      <c r="AQ4" s="596"/>
      <c r="AR4" s="596"/>
      <c r="AS4" s="596"/>
      <c r="AT4" s="596"/>
      <c r="AU4" s="596"/>
      <c r="AV4" s="596"/>
      <c r="AW4" s="596"/>
      <c r="AX4" s="596"/>
      <c r="AY4" s="596"/>
      <c r="AZ4" s="596"/>
      <c r="BA4" s="596"/>
      <c r="BB4" s="596"/>
      <c r="BC4" s="596"/>
      <c r="BD4" s="596"/>
      <c r="BE4" s="596"/>
      <c r="BF4" s="596"/>
      <c r="BG4" s="596"/>
      <c r="BH4" s="597"/>
      <c r="BI4"/>
      <c r="BJ4"/>
      <c r="BK4"/>
    </row>
    <row r="5" spans="1:66" ht="8" customHeight="1" x14ac:dyDescent="0.35">
      <c r="A5" s="494"/>
      <c r="B5" s="499"/>
      <c r="C5" s="499"/>
      <c r="D5" s="499"/>
      <c r="E5" s="499"/>
      <c r="F5" s="499"/>
      <c r="G5" s="499"/>
      <c r="H5" s="499"/>
      <c r="I5" s="499"/>
      <c r="J5" s="499"/>
      <c r="K5" s="499"/>
      <c r="L5" s="499"/>
      <c r="M5" s="499"/>
      <c r="N5" s="499"/>
      <c r="O5" s="499"/>
      <c r="P5" s="499"/>
      <c r="Q5" s="499"/>
      <c r="R5" s="499"/>
      <c r="S5" s="499"/>
      <c r="T5" s="499"/>
      <c r="U5" s="499"/>
      <c r="V5" s="499"/>
      <c r="W5" s="499"/>
      <c r="X5" s="499"/>
      <c r="Y5" s="499"/>
      <c r="Z5" s="499"/>
      <c r="AA5" s="499"/>
      <c r="AB5" s="499"/>
      <c r="AC5" s="499"/>
      <c r="AD5" s="499"/>
      <c r="AE5" s="499"/>
      <c r="AF5" s="499"/>
      <c r="AG5" s="499"/>
      <c r="AH5" s="499"/>
      <c r="AI5" s="499"/>
      <c r="AJ5" s="499"/>
      <c r="AK5" s="499"/>
      <c r="AL5" s="499"/>
      <c r="AM5" s="499"/>
      <c r="AN5" s="499"/>
      <c r="AO5" s="499"/>
      <c r="AP5" s="499"/>
      <c r="AQ5" s="499"/>
      <c r="AR5" s="499"/>
      <c r="AS5" s="499"/>
      <c r="AT5" s="499"/>
      <c r="AU5" s="499"/>
      <c r="AV5" s="499"/>
      <c r="AW5" s="499"/>
      <c r="AX5" s="499"/>
      <c r="AY5" s="499"/>
      <c r="AZ5" s="499"/>
      <c r="BA5" s="499"/>
      <c r="BB5" s="499"/>
      <c r="BC5" s="499"/>
      <c r="BD5" s="499"/>
      <c r="BE5" s="499"/>
      <c r="BF5" s="499"/>
      <c r="BG5" s="499"/>
      <c r="BH5" s="494"/>
      <c r="BI5"/>
      <c r="BJ5"/>
      <c r="BK5"/>
    </row>
    <row r="6" spans="1:66" ht="26" x14ac:dyDescent="0.35">
      <c r="B6" s="348" t="s">
        <v>143</v>
      </c>
      <c r="C6" s="503">
        <f>D6+E6+F6</f>
        <v>65</v>
      </c>
      <c r="D6" s="500">
        <v>2</v>
      </c>
      <c r="E6" s="501">
        <v>1</v>
      </c>
      <c r="F6" s="502">
        <v>62</v>
      </c>
      <c r="H6" s="25"/>
      <c r="I6" s="386" t="s">
        <v>204</v>
      </c>
      <c r="J6" s="25"/>
      <c r="K6" s="342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"/>
      <c r="BG6"/>
      <c r="BH6"/>
      <c r="BI6"/>
      <c r="BJ6"/>
      <c r="BK6"/>
    </row>
    <row r="7" spans="1:66" ht="15.75" customHeight="1" x14ac:dyDescent="0.35">
      <c r="B7" s="25"/>
      <c r="C7" s="438">
        <f>D9/D6</f>
        <v>19.706505295007567</v>
      </c>
      <c r="D7" s="439">
        <f>D6*19</f>
        <v>38</v>
      </c>
      <c r="E7" s="440">
        <f>E9/(D6+E6)</f>
        <v>17.147011095522597</v>
      </c>
      <c r="F7" s="441">
        <f>(D6+E6)*11</f>
        <v>33</v>
      </c>
      <c r="G7" s="25"/>
      <c r="H7" s="25"/>
      <c r="I7" s="387" t="s">
        <v>152</v>
      </c>
      <c r="J7" s="25"/>
      <c r="K7" s="341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BG7"/>
      <c r="BH7"/>
      <c r="BI7"/>
      <c r="BJ7"/>
      <c r="BK7"/>
    </row>
    <row r="8" spans="1:66" ht="39.75" customHeight="1" x14ac:dyDescent="0.35">
      <c r="B8" s="349" t="s">
        <v>142</v>
      </c>
      <c r="C8" s="29" t="s">
        <v>134</v>
      </c>
      <c r="D8" s="30" t="str">
        <f>CONCATENATE(B1," ",C1," ",C6," ",D1)</f>
        <v>meses de los 65 del grupo Interv</v>
      </c>
      <c r="E8" s="30" t="str">
        <f>CONCATENATE(B1," ",C1," ",C6," ",E1)</f>
        <v>meses de los 65 del grupo Contr</v>
      </c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BG8"/>
      <c r="BH8"/>
      <c r="BI8"/>
      <c r="BJ8"/>
      <c r="BK8"/>
    </row>
    <row r="9" spans="1:66" x14ac:dyDescent="0.35">
      <c r="B9" s="31" t="s">
        <v>1</v>
      </c>
      <c r="C9" s="32">
        <v>0.60635400907715586</v>
      </c>
      <c r="D9" s="383">
        <f>C9*C6</f>
        <v>39.413010590015134</v>
      </c>
      <c r="E9" s="598">
        <f>(C9+C10)*C6</f>
        <v>51.441033286567794</v>
      </c>
      <c r="F9" s="33"/>
      <c r="G9" s="33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25"/>
      <c r="AF9" s="25"/>
      <c r="AG9" s="25"/>
      <c r="AH9" s="25"/>
      <c r="BG9"/>
      <c r="BH9"/>
      <c r="BI9"/>
      <c r="BJ9"/>
      <c r="BK9"/>
    </row>
    <row r="10" spans="1:66" ht="26.5" x14ac:dyDescent="0.35">
      <c r="B10" s="35" t="s">
        <v>3</v>
      </c>
      <c r="C10" s="36">
        <v>0.18504650302388714</v>
      </c>
      <c r="D10" s="599">
        <f>(C11+C10)*C6</f>
        <v>1520.5869894099849</v>
      </c>
      <c r="E10" s="598"/>
      <c r="F10" s="28"/>
      <c r="G10" s="37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25"/>
      <c r="AF10" s="25"/>
      <c r="AG10" s="25"/>
      <c r="AH10" s="25"/>
      <c r="BG10"/>
      <c r="BH10"/>
      <c r="BI10"/>
      <c r="BJ10"/>
      <c r="BK10"/>
    </row>
    <row r="11" spans="1:66" ht="26.5" x14ac:dyDescent="0.35">
      <c r="B11" s="38" t="s">
        <v>2</v>
      </c>
      <c r="C11" s="39">
        <v>23.208599487898958</v>
      </c>
      <c r="D11" s="599"/>
      <c r="E11" s="40">
        <f>C11*C6</f>
        <v>1508.5589667134323</v>
      </c>
      <c r="F11" s="27"/>
      <c r="G11" s="37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25"/>
      <c r="AF11" s="25"/>
      <c r="AG11" s="25"/>
      <c r="AH11" s="25"/>
      <c r="BG11"/>
      <c r="BH11"/>
      <c r="BI11"/>
      <c r="BJ11"/>
      <c r="BK11"/>
    </row>
    <row r="12" spans="1:66" x14ac:dyDescent="0.35">
      <c r="B12" s="3"/>
      <c r="C12" s="42">
        <v>24</v>
      </c>
      <c r="D12" s="43">
        <f>D9+D10</f>
        <v>1560</v>
      </c>
      <c r="E12" s="43">
        <f>E9+E11</f>
        <v>1560</v>
      </c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</row>
    <row r="13" spans="1:66" ht="9" customHeight="1" x14ac:dyDescent="0.35"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</row>
    <row r="14" spans="1:66" x14ac:dyDescent="0.35">
      <c r="B14" s="540"/>
      <c r="C14" s="540"/>
      <c r="D14" s="541"/>
      <c r="E14" s="541"/>
      <c r="F14" s="25"/>
      <c r="G14" s="45" t="s">
        <v>12</v>
      </c>
      <c r="H14" s="25"/>
      <c r="I14" s="25"/>
      <c r="J14" s="25"/>
      <c r="K14" s="25"/>
      <c r="L14" s="25"/>
      <c r="M14" s="25"/>
      <c r="N14" s="25"/>
      <c r="O14" s="25"/>
      <c r="P14" s="25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</row>
    <row r="15" spans="1:66" ht="36" customHeight="1" x14ac:dyDescent="0.35">
      <c r="B15" s="543"/>
      <c r="C15" s="543"/>
      <c r="D15" s="542"/>
      <c r="E15" s="542"/>
      <c r="G15" s="600" t="str">
        <f>IF((AND(((C10+C11)/C12)&gt;((E6+F6)/C6),(C11/C12)&gt;(F6/C6))),F2,#REF!)</f>
        <v>puede representarse llegando los 65 pacientes, a los 24 meses</v>
      </c>
      <c r="H15" s="600"/>
      <c r="I15" s="600"/>
      <c r="J15" s="600"/>
      <c r="K15" s="600"/>
      <c r="L15" s="600"/>
      <c r="M15" s="600"/>
      <c r="N15" s="600"/>
      <c r="O15" s="600"/>
      <c r="P15" s="600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</row>
    <row r="16" spans="1:66" ht="18.75" customHeight="1" x14ac:dyDescent="0.35">
      <c r="B16" s="451"/>
      <c r="C16" s="451"/>
      <c r="D16" s="451"/>
      <c r="E16" s="451"/>
      <c r="G16" s="47"/>
      <c r="H16" s="426">
        <v>24</v>
      </c>
      <c r="I16" s="426">
        <v>23</v>
      </c>
      <c r="J16" s="426">
        <v>22</v>
      </c>
      <c r="K16" s="426">
        <v>21</v>
      </c>
      <c r="L16" s="426">
        <v>20</v>
      </c>
      <c r="M16" s="426">
        <v>19</v>
      </c>
      <c r="N16" s="426">
        <v>18</v>
      </c>
      <c r="O16" s="426">
        <v>17</v>
      </c>
      <c r="P16" s="426">
        <v>16</v>
      </c>
      <c r="Q16" s="426">
        <v>15</v>
      </c>
      <c r="R16" s="426">
        <v>14</v>
      </c>
      <c r="S16" s="426">
        <v>13</v>
      </c>
      <c r="T16" s="426">
        <v>12</v>
      </c>
      <c r="U16" s="426">
        <v>11</v>
      </c>
      <c r="V16" s="426">
        <v>10</v>
      </c>
      <c r="W16" s="426">
        <v>9</v>
      </c>
      <c r="X16" s="426">
        <v>8</v>
      </c>
      <c r="Y16" s="426">
        <v>7</v>
      </c>
      <c r="Z16" s="426">
        <v>6</v>
      </c>
      <c r="AA16" s="426">
        <v>5</v>
      </c>
      <c r="AB16" s="426">
        <v>4</v>
      </c>
      <c r="AC16" s="426">
        <v>3</v>
      </c>
      <c r="AD16" s="426">
        <v>2</v>
      </c>
      <c r="AE16" s="426">
        <v>1</v>
      </c>
      <c r="AF16" s="47"/>
      <c r="AG16" s="47"/>
      <c r="AH16" s="47"/>
      <c r="AI16" s="426">
        <v>24</v>
      </c>
      <c r="AJ16" s="426">
        <v>23</v>
      </c>
      <c r="AK16" s="426">
        <v>22</v>
      </c>
      <c r="AL16" s="426">
        <v>21</v>
      </c>
      <c r="AM16" s="426">
        <v>20</v>
      </c>
      <c r="AN16" s="426">
        <v>19</v>
      </c>
      <c r="AO16" s="426">
        <v>18</v>
      </c>
      <c r="AP16" s="426">
        <v>17</v>
      </c>
      <c r="AQ16" s="426">
        <v>16</v>
      </c>
      <c r="AR16" s="426">
        <v>15</v>
      </c>
      <c r="AS16" s="426">
        <v>14</v>
      </c>
      <c r="AT16" s="426">
        <v>13</v>
      </c>
      <c r="AU16" s="426">
        <v>12</v>
      </c>
      <c r="AV16" s="426">
        <v>11</v>
      </c>
      <c r="AW16" s="426">
        <v>10</v>
      </c>
      <c r="AX16" s="426">
        <v>9</v>
      </c>
      <c r="AY16" s="426">
        <v>8</v>
      </c>
      <c r="AZ16" s="426">
        <v>7</v>
      </c>
      <c r="BA16" s="426">
        <v>6</v>
      </c>
      <c r="BB16" s="426">
        <v>5</v>
      </c>
      <c r="BC16" s="426">
        <v>4</v>
      </c>
      <c r="BD16" s="426">
        <v>3</v>
      </c>
      <c r="BE16" s="426">
        <v>2</v>
      </c>
      <c r="BF16" s="426">
        <v>1</v>
      </c>
      <c r="BG16" s="47"/>
      <c r="BH16" s="47"/>
      <c r="BI16" s="47"/>
      <c r="BJ16" s="47"/>
      <c r="BK16" s="47"/>
      <c r="BL16" s="47"/>
      <c r="BM16" s="47"/>
      <c r="BN16" s="47"/>
    </row>
    <row r="17" spans="2:67" ht="17.25" customHeight="1" x14ac:dyDescent="0.35">
      <c r="B17" s="601" t="s">
        <v>203</v>
      </c>
      <c r="C17" s="601"/>
      <c r="D17" s="601"/>
      <c r="E17" s="452"/>
      <c r="H17" s="48" t="s">
        <v>211</v>
      </c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7"/>
      <c r="AF17" s="47"/>
      <c r="AG17" s="47"/>
      <c r="AH17" s="47"/>
      <c r="AI17" s="48" t="s">
        <v>13</v>
      </c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8"/>
      <c r="AV17" s="48"/>
      <c r="AW17" s="48"/>
      <c r="AX17" s="48"/>
      <c r="AY17" s="48"/>
      <c r="AZ17" s="48"/>
      <c r="BA17" s="48"/>
      <c r="BB17" s="48"/>
      <c r="BC17" s="48"/>
      <c r="BD17" s="48"/>
      <c r="BE17" s="48"/>
      <c r="BF17" s="47"/>
      <c r="BG17" s="47"/>
      <c r="BH17" s="47"/>
      <c r="BI17" s="47"/>
      <c r="BJ17" s="47"/>
      <c r="BK17" s="47"/>
    </row>
    <row r="18" spans="2:67" x14ac:dyDescent="0.35">
      <c r="B18" s="100" t="s">
        <v>210</v>
      </c>
      <c r="C18" s="453"/>
      <c r="D18" s="453"/>
      <c r="E18" s="453"/>
      <c r="H18" s="48" t="s">
        <v>176</v>
      </c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I18" s="48" t="s">
        <v>176</v>
      </c>
      <c r="AJ18" s="48"/>
      <c r="AK18" s="48"/>
      <c r="AL18" s="48"/>
      <c r="AM18" s="48"/>
      <c r="AN18" s="48"/>
      <c r="AO18" s="48"/>
      <c r="AP18" s="48"/>
      <c r="AQ18" s="48"/>
      <c r="AR18" s="48"/>
      <c r="AS18" s="48"/>
      <c r="AT18" s="48"/>
      <c r="AU18" s="48"/>
      <c r="AV18" s="48"/>
      <c r="AW18" s="48"/>
      <c r="AX18" s="48"/>
      <c r="AY18" s="48"/>
      <c r="AZ18" s="48"/>
      <c r="BA18" s="48"/>
      <c r="BB18" s="48"/>
      <c r="BC18" s="48"/>
      <c r="BD18" s="48"/>
      <c r="BE18" s="48"/>
    </row>
    <row r="19" spans="2:67" x14ac:dyDescent="0.35">
      <c r="B19" s="100" t="s">
        <v>153</v>
      </c>
      <c r="C19" s="451"/>
      <c r="D19" s="451"/>
      <c r="E19" s="451"/>
      <c r="G19" s="23"/>
      <c r="H19" s="352">
        <v>1</v>
      </c>
      <c r="I19" s="352">
        <v>2</v>
      </c>
      <c r="J19" s="352">
        <v>3</v>
      </c>
      <c r="K19" s="352">
        <v>4</v>
      </c>
      <c r="L19" s="352">
        <v>5</v>
      </c>
      <c r="M19" s="352">
        <v>6</v>
      </c>
      <c r="N19" s="352">
        <v>7</v>
      </c>
      <c r="O19" s="352">
        <v>8</v>
      </c>
      <c r="P19" s="352">
        <v>9</v>
      </c>
      <c r="Q19" s="352">
        <v>10</v>
      </c>
      <c r="R19" s="352">
        <v>11</v>
      </c>
      <c r="S19" s="352">
        <v>12</v>
      </c>
      <c r="T19" s="352">
        <v>13</v>
      </c>
      <c r="U19" s="352">
        <v>14</v>
      </c>
      <c r="V19" s="352">
        <v>15</v>
      </c>
      <c r="W19" s="352">
        <v>16</v>
      </c>
      <c r="X19" s="352">
        <v>17</v>
      </c>
      <c r="Y19" s="352">
        <v>18</v>
      </c>
      <c r="Z19" s="352">
        <v>19</v>
      </c>
      <c r="AA19" s="352">
        <v>20</v>
      </c>
      <c r="AB19" s="352">
        <v>21</v>
      </c>
      <c r="AC19" s="352">
        <v>22</v>
      </c>
      <c r="AD19" s="352">
        <v>23</v>
      </c>
      <c r="AE19" s="352">
        <v>24</v>
      </c>
      <c r="AF19" s="351"/>
      <c r="AG19" s="351"/>
      <c r="AH19" s="351"/>
      <c r="AI19" s="352">
        <v>1</v>
      </c>
      <c r="AJ19" s="352">
        <v>2</v>
      </c>
      <c r="AK19" s="352">
        <v>3</v>
      </c>
      <c r="AL19" s="352">
        <v>4</v>
      </c>
      <c r="AM19" s="352">
        <v>5</v>
      </c>
      <c r="AN19" s="352">
        <v>6</v>
      </c>
      <c r="AO19" s="352">
        <v>7</v>
      </c>
      <c r="AP19" s="352">
        <v>8</v>
      </c>
      <c r="AQ19" s="352">
        <v>9</v>
      </c>
      <c r="AR19" s="352">
        <v>10</v>
      </c>
      <c r="AS19" s="352">
        <v>11</v>
      </c>
      <c r="AT19" s="352">
        <v>12</v>
      </c>
      <c r="AU19" s="352">
        <v>13</v>
      </c>
      <c r="AV19" s="352">
        <v>14</v>
      </c>
      <c r="AW19" s="352">
        <v>15</v>
      </c>
      <c r="AX19" s="352">
        <v>16</v>
      </c>
      <c r="AY19" s="352">
        <v>17</v>
      </c>
      <c r="AZ19" s="352">
        <v>18</v>
      </c>
      <c r="BA19" s="352">
        <v>19</v>
      </c>
      <c r="BB19" s="352">
        <v>20</v>
      </c>
      <c r="BC19" s="352">
        <v>21</v>
      </c>
      <c r="BD19" s="352">
        <v>22</v>
      </c>
      <c r="BE19" s="352">
        <v>23</v>
      </c>
      <c r="BF19" s="352">
        <v>24</v>
      </c>
    </row>
    <row r="20" spans="2:67" x14ac:dyDescent="0.35">
      <c r="F20" s="594" t="s">
        <v>151</v>
      </c>
      <c r="G20" s="51">
        <v>65</v>
      </c>
      <c r="H20" s="50"/>
      <c r="I20" s="50"/>
      <c r="J20" s="50"/>
      <c r="K20" s="50"/>
      <c r="L20" s="442"/>
      <c r="M20" s="442"/>
      <c r="N20" s="442"/>
      <c r="O20" s="442"/>
      <c r="P20" s="442"/>
      <c r="Q20" s="442"/>
      <c r="R20" s="442"/>
      <c r="S20" s="442"/>
      <c r="T20" s="442"/>
      <c r="U20" s="442"/>
      <c r="V20" s="442"/>
      <c r="W20" s="442"/>
      <c r="X20" s="442"/>
      <c r="Y20" s="442"/>
      <c r="Z20" s="442"/>
      <c r="AA20" s="442"/>
      <c r="AB20" s="442"/>
      <c r="AC20" s="442"/>
      <c r="AD20" s="442"/>
      <c r="AE20" s="442"/>
      <c r="AF20" s="444">
        <v>65</v>
      </c>
      <c r="AG20" s="23"/>
      <c r="AH20" s="51">
        <v>65</v>
      </c>
      <c r="AI20" s="517"/>
      <c r="AJ20" s="517"/>
      <c r="AK20" s="517"/>
      <c r="AL20" s="517"/>
      <c r="AM20" s="517"/>
      <c r="AN20" s="517"/>
      <c r="AO20" s="517"/>
      <c r="AP20" s="517"/>
      <c r="AQ20" s="517"/>
      <c r="AR20" s="517"/>
      <c r="AS20" s="517"/>
      <c r="AT20" s="517"/>
      <c r="AU20" s="517"/>
      <c r="AV20" s="517"/>
      <c r="AW20" s="517"/>
      <c r="AX20" s="517"/>
      <c r="AY20" s="517"/>
      <c r="AZ20" s="517"/>
      <c r="BA20" s="517"/>
      <c r="BB20" s="517"/>
      <c r="BC20" s="517"/>
      <c r="BD20" s="517"/>
      <c r="BE20" s="517"/>
      <c r="BF20" s="517"/>
      <c r="BG20" s="444">
        <v>65</v>
      </c>
      <c r="BH20" s="594" t="s">
        <v>151</v>
      </c>
      <c r="BI20" s="49"/>
      <c r="BJ20" s="49"/>
      <c r="BK20" s="49"/>
      <c r="BL20" s="49"/>
      <c r="BM20" s="49"/>
      <c r="BN20" s="49"/>
      <c r="BO20" s="49"/>
    </row>
    <row r="21" spans="2:67" ht="15" thickBot="1" x14ac:dyDescent="0.4">
      <c r="F21" s="594"/>
      <c r="G21" s="51">
        <v>64</v>
      </c>
      <c r="H21" s="418"/>
      <c r="I21" s="418"/>
      <c r="J21" s="418"/>
      <c r="K21" s="418"/>
      <c r="L21" s="418"/>
      <c r="M21" s="443"/>
      <c r="N21" s="443"/>
      <c r="O21" s="443"/>
      <c r="P21" s="443"/>
      <c r="Q21" s="443"/>
      <c r="R21" s="443"/>
      <c r="S21" s="443"/>
      <c r="T21" s="443"/>
      <c r="U21" s="443"/>
      <c r="V21" s="443"/>
      <c r="W21" s="443"/>
      <c r="X21" s="443"/>
      <c r="Y21" s="443"/>
      <c r="Z21" s="443"/>
      <c r="AA21" s="443"/>
      <c r="AB21" s="443"/>
      <c r="AC21" s="443"/>
      <c r="AD21" s="443"/>
      <c r="AE21" s="443"/>
      <c r="AF21" s="444">
        <v>64</v>
      </c>
      <c r="AH21" s="51">
        <v>64</v>
      </c>
      <c r="AI21" s="518"/>
      <c r="AJ21" s="518"/>
      <c r="AK21" s="518"/>
      <c r="AL21" s="518"/>
      <c r="AM21" s="518"/>
      <c r="AN21" s="518"/>
      <c r="AO21" s="518"/>
      <c r="AP21" s="518"/>
      <c r="AQ21" s="518"/>
      <c r="AR21" s="518"/>
      <c r="AS21" s="518"/>
      <c r="AT21" s="518"/>
      <c r="AU21" s="518"/>
      <c r="AV21" s="518"/>
      <c r="AW21" s="518"/>
      <c r="AX21" s="518"/>
      <c r="AY21" s="518"/>
      <c r="AZ21" s="518"/>
      <c r="BA21" s="518"/>
      <c r="BB21" s="518"/>
      <c r="BC21" s="518"/>
      <c r="BD21" s="518"/>
      <c r="BE21" s="518"/>
      <c r="BF21" s="518"/>
      <c r="BG21" s="444">
        <v>64</v>
      </c>
      <c r="BH21" s="594"/>
      <c r="BI21" s="49"/>
      <c r="BJ21" s="49"/>
      <c r="BK21" s="49"/>
      <c r="BL21" s="49"/>
      <c r="BM21" s="49"/>
      <c r="BN21" s="49"/>
      <c r="BO21" s="49"/>
    </row>
    <row r="22" spans="2:67" ht="16" thickBot="1" x14ac:dyDescent="0.4">
      <c r="F22" s="594"/>
      <c r="G22" s="420">
        <v>63</v>
      </c>
      <c r="H22" s="421"/>
      <c r="I22" s="422"/>
      <c r="J22" s="422"/>
      <c r="K22" s="422"/>
      <c r="L22" s="422"/>
      <c r="M22" s="422"/>
      <c r="N22" s="422"/>
      <c r="O22" s="422"/>
      <c r="P22" s="422"/>
      <c r="Q22" s="422"/>
      <c r="R22" s="422"/>
      <c r="S22" s="422"/>
      <c r="T22" s="422"/>
      <c r="U22" s="422"/>
      <c r="V22" s="422"/>
      <c r="W22" s="422"/>
      <c r="X22" s="422"/>
      <c r="Y22" s="422"/>
      <c r="Z22" s="422"/>
      <c r="AA22" s="422"/>
      <c r="AB22" s="422"/>
      <c r="AC22" s="422"/>
      <c r="AD22" s="422"/>
      <c r="AE22" s="423"/>
      <c r="AF22" s="425">
        <v>63</v>
      </c>
      <c r="AG22" s="23"/>
      <c r="AH22" s="420">
        <v>63</v>
      </c>
      <c r="AI22" s="519"/>
      <c r="AJ22" s="520"/>
      <c r="AK22" s="520"/>
      <c r="AL22" s="520"/>
      <c r="AM22" s="520"/>
      <c r="AN22" s="520"/>
      <c r="AO22" s="520"/>
      <c r="AP22" s="520"/>
      <c r="AQ22" s="520"/>
      <c r="AR22" s="520"/>
      <c r="AS22" s="520"/>
      <c r="AT22" s="520"/>
      <c r="AU22" s="521"/>
      <c r="AV22" s="521"/>
      <c r="AW22" s="521"/>
      <c r="AX22" s="521"/>
      <c r="AY22" s="521"/>
      <c r="AZ22" s="521"/>
      <c r="BA22" s="521"/>
      <c r="BB22" s="521"/>
      <c r="BC22" s="521"/>
      <c r="BD22" s="521"/>
      <c r="BE22" s="521"/>
      <c r="BF22" s="521"/>
      <c r="BG22" s="449">
        <v>63</v>
      </c>
      <c r="BH22" s="594"/>
      <c r="BI22" s="49"/>
      <c r="BJ22" s="49"/>
      <c r="BK22" s="49"/>
      <c r="BL22" s="49"/>
      <c r="BM22" s="49"/>
      <c r="BN22" s="49"/>
      <c r="BO22" s="49"/>
    </row>
    <row r="23" spans="2:67" x14ac:dyDescent="0.35">
      <c r="B23" s="297" t="s">
        <v>120</v>
      </c>
      <c r="C23" s="298"/>
      <c r="D23" s="298"/>
      <c r="E23" s="299"/>
      <c r="F23" s="594"/>
      <c r="G23" s="51">
        <v>62</v>
      </c>
      <c r="H23" s="419"/>
      <c r="I23" s="419"/>
      <c r="J23" s="419"/>
      <c r="K23" s="419"/>
      <c r="L23" s="419"/>
      <c r="M23" s="419"/>
      <c r="N23" s="419"/>
      <c r="O23" s="419"/>
      <c r="P23" s="419"/>
      <c r="Q23" s="419"/>
      <c r="R23" s="419"/>
      <c r="S23" s="419"/>
      <c r="T23" s="419"/>
      <c r="U23" s="419"/>
      <c r="V23" s="419"/>
      <c r="W23" s="419"/>
      <c r="X23" s="419"/>
      <c r="Y23" s="419"/>
      <c r="Z23" s="419"/>
      <c r="AA23" s="419"/>
      <c r="AB23" s="419"/>
      <c r="AC23" s="419"/>
      <c r="AD23" s="419"/>
      <c r="AE23" s="419"/>
      <c r="AF23" s="51">
        <v>62</v>
      </c>
      <c r="AG23" s="23"/>
      <c r="AH23" s="51">
        <v>62</v>
      </c>
      <c r="AI23" s="522"/>
      <c r="AJ23" s="522"/>
      <c r="AK23" s="522"/>
      <c r="AL23" s="522"/>
      <c r="AM23" s="522"/>
      <c r="AN23" s="522"/>
      <c r="AO23" s="522"/>
      <c r="AP23" s="522"/>
      <c r="AQ23" s="522"/>
      <c r="AR23" s="522"/>
      <c r="AS23" s="522"/>
      <c r="AT23" s="522"/>
      <c r="AU23" s="522"/>
      <c r="AV23" s="522"/>
      <c r="AW23" s="522"/>
      <c r="AX23" s="522"/>
      <c r="AY23" s="522"/>
      <c r="AZ23" s="522"/>
      <c r="BA23" s="522"/>
      <c r="BB23" s="522"/>
      <c r="BC23" s="522"/>
      <c r="BD23" s="522"/>
      <c r="BE23" s="522"/>
      <c r="BF23" s="522"/>
      <c r="BG23" s="51">
        <v>62</v>
      </c>
      <c r="BH23" s="594"/>
      <c r="BI23" s="49"/>
      <c r="BJ23" s="49"/>
      <c r="BK23" s="49"/>
      <c r="BL23" s="49"/>
      <c r="BM23" s="49"/>
      <c r="BN23" s="49"/>
      <c r="BO23" s="49"/>
    </row>
    <row r="24" spans="2:67" x14ac:dyDescent="0.35">
      <c r="B24" s="300" t="s">
        <v>116</v>
      </c>
      <c r="C24" s="301" t="s">
        <v>117</v>
      </c>
      <c r="D24" s="301" t="s">
        <v>105</v>
      </c>
      <c r="E24" s="302" t="s">
        <v>11</v>
      </c>
      <c r="F24" s="594"/>
      <c r="G24" s="51">
        <v>61</v>
      </c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1">
        <v>61</v>
      </c>
      <c r="AG24" s="23"/>
      <c r="AH24" s="51">
        <v>61</v>
      </c>
      <c r="AI24" s="517"/>
      <c r="AJ24" s="517"/>
      <c r="AK24" s="517"/>
      <c r="AL24" s="517"/>
      <c r="AM24" s="517"/>
      <c r="AN24" s="517"/>
      <c r="AO24" s="517"/>
      <c r="AP24" s="517"/>
      <c r="AQ24" s="517"/>
      <c r="AR24" s="517"/>
      <c r="AS24" s="517"/>
      <c r="AT24" s="517"/>
      <c r="AU24" s="517"/>
      <c r="AV24" s="517"/>
      <c r="AW24" s="517"/>
      <c r="AX24" s="517"/>
      <c r="AY24" s="517"/>
      <c r="AZ24" s="517"/>
      <c r="BA24" s="517"/>
      <c r="BB24" s="517"/>
      <c r="BC24" s="517"/>
      <c r="BD24" s="517"/>
      <c r="BE24" s="517"/>
      <c r="BF24" s="517"/>
      <c r="BG24" s="51">
        <v>61</v>
      </c>
      <c r="BH24" s="594"/>
      <c r="BI24" s="49"/>
      <c r="BJ24" s="49"/>
      <c r="BK24" s="49"/>
      <c r="BL24" s="49"/>
      <c r="BM24" s="49"/>
      <c r="BN24" s="49"/>
      <c r="BO24" s="49"/>
    </row>
    <row r="25" spans="2:67" x14ac:dyDescent="0.35">
      <c r="B25" s="303">
        <v>3.5108958837772396E-2</v>
      </c>
      <c r="C25" s="304">
        <v>5.0529500756429653E-2</v>
      </c>
      <c r="D25" s="305">
        <f>C25-B25</f>
        <v>1.5420541918657257E-2</v>
      </c>
      <c r="E25" s="306">
        <f>1/D25</f>
        <v>64.848564030691008</v>
      </c>
      <c r="F25" s="594"/>
      <c r="G25" s="51">
        <v>60</v>
      </c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1">
        <v>60</v>
      </c>
      <c r="AG25" s="23"/>
      <c r="AH25" s="51">
        <v>60</v>
      </c>
      <c r="AI25" s="517"/>
      <c r="AJ25" s="517"/>
      <c r="AK25" s="517"/>
      <c r="AL25" s="517"/>
      <c r="AM25" s="517"/>
      <c r="AN25" s="517"/>
      <c r="AO25" s="517"/>
      <c r="AP25" s="517"/>
      <c r="AQ25" s="517"/>
      <c r="AR25" s="517"/>
      <c r="AS25" s="517"/>
      <c r="AT25" s="517"/>
      <c r="AU25" s="517"/>
      <c r="AV25" s="517"/>
      <c r="AW25" s="517"/>
      <c r="AX25" s="517"/>
      <c r="AY25" s="517"/>
      <c r="AZ25" s="517"/>
      <c r="BA25" s="517"/>
      <c r="BB25" s="517"/>
      <c r="BC25" s="517"/>
      <c r="BD25" s="517"/>
      <c r="BE25" s="517"/>
      <c r="BF25" s="517"/>
      <c r="BG25" s="51">
        <v>60</v>
      </c>
      <c r="BH25" s="594"/>
      <c r="BI25" s="49"/>
      <c r="BJ25" s="49"/>
      <c r="BK25" s="49"/>
      <c r="BL25" s="49"/>
      <c r="BM25" s="49"/>
      <c r="BN25" s="49"/>
      <c r="BO25" s="49"/>
    </row>
    <row r="26" spans="2:67" ht="15" thickBot="1" x14ac:dyDescent="0.4">
      <c r="B26" s="403" t="s">
        <v>150</v>
      </c>
      <c r="C26" s="333">
        <f>B25*E25</f>
        <v>2.2767655652421781</v>
      </c>
      <c r="D26" s="307">
        <f>D25*E25</f>
        <v>0.99999999999999989</v>
      </c>
      <c r="E26" s="332">
        <f>(1-C25)*E25</f>
        <v>61.571798465448829</v>
      </c>
      <c r="F26" s="594"/>
      <c r="G26" s="51">
        <v>59</v>
      </c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1">
        <v>59</v>
      </c>
      <c r="AG26" s="23"/>
      <c r="AH26" s="51">
        <v>59</v>
      </c>
      <c r="AI26" s="517"/>
      <c r="AJ26" s="517"/>
      <c r="AK26" s="517"/>
      <c r="AL26" s="517"/>
      <c r="AM26" s="517"/>
      <c r="AN26" s="517"/>
      <c r="AO26" s="517"/>
      <c r="AP26" s="517"/>
      <c r="AQ26" s="517"/>
      <c r="AR26" s="517"/>
      <c r="AS26" s="517"/>
      <c r="AT26" s="517"/>
      <c r="AU26" s="517"/>
      <c r="AV26" s="517"/>
      <c r="AW26" s="517"/>
      <c r="AX26" s="517"/>
      <c r="AY26" s="517"/>
      <c r="AZ26" s="517"/>
      <c r="BA26" s="517"/>
      <c r="BB26" s="517"/>
      <c r="BC26" s="517"/>
      <c r="BD26" s="517"/>
      <c r="BE26" s="517"/>
      <c r="BF26" s="517"/>
      <c r="BG26" s="51">
        <v>59</v>
      </c>
      <c r="BH26" s="594"/>
      <c r="BI26" s="49"/>
      <c r="BJ26" s="49"/>
      <c r="BK26" s="49"/>
      <c r="BL26" s="49"/>
      <c r="BM26" s="49"/>
      <c r="BN26" s="49"/>
      <c r="BO26" s="49"/>
    </row>
    <row r="27" spans="2:67" x14ac:dyDescent="0.35">
      <c r="G27" s="51">
        <v>58</v>
      </c>
      <c r="H27" s="354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1">
        <v>58</v>
      </c>
      <c r="AG27" s="52"/>
      <c r="AH27" s="51">
        <v>58</v>
      </c>
      <c r="AI27" s="523"/>
      <c r="AJ27" s="517"/>
      <c r="AK27" s="517"/>
      <c r="AL27" s="517"/>
      <c r="AM27" s="517"/>
      <c r="AN27" s="517"/>
      <c r="AO27" s="517"/>
      <c r="AP27" s="517"/>
      <c r="AQ27" s="517"/>
      <c r="AR27" s="517"/>
      <c r="AS27" s="517"/>
      <c r="AT27" s="517"/>
      <c r="AU27" s="517"/>
      <c r="AV27" s="517"/>
      <c r="AW27" s="517"/>
      <c r="AX27" s="517"/>
      <c r="AY27" s="517"/>
      <c r="AZ27" s="517"/>
      <c r="BA27" s="517"/>
      <c r="BB27" s="517"/>
      <c r="BC27" s="517"/>
      <c r="BD27" s="517"/>
      <c r="BE27" s="517"/>
      <c r="BF27" s="517"/>
      <c r="BG27" s="51">
        <v>58</v>
      </c>
      <c r="BH27" s="49"/>
      <c r="BI27" s="49"/>
      <c r="BJ27" s="49"/>
      <c r="BK27" s="49"/>
      <c r="BL27" s="49"/>
      <c r="BM27" s="49"/>
      <c r="BN27" s="49"/>
      <c r="BO27" s="49"/>
    </row>
    <row r="28" spans="2:67" x14ac:dyDescent="0.35">
      <c r="G28" s="51">
        <v>57</v>
      </c>
      <c r="H28" s="354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1">
        <v>57</v>
      </c>
      <c r="AG28" s="52"/>
      <c r="AH28" s="51">
        <v>57</v>
      </c>
      <c r="AI28" s="523"/>
      <c r="AJ28" s="517"/>
      <c r="AK28" s="517"/>
      <c r="AL28" s="517"/>
      <c r="AM28" s="517"/>
      <c r="AN28" s="517"/>
      <c r="AO28" s="517"/>
      <c r="AP28" s="517"/>
      <c r="AQ28" s="517"/>
      <c r="AR28" s="517"/>
      <c r="AS28" s="517"/>
      <c r="AT28" s="517"/>
      <c r="AU28" s="517"/>
      <c r="AV28" s="517"/>
      <c r="AW28" s="517"/>
      <c r="AX28" s="517"/>
      <c r="AY28" s="517"/>
      <c r="AZ28" s="517"/>
      <c r="BA28" s="517"/>
      <c r="BB28" s="517"/>
      <c r="BC28" s="517"/>
      <c r="BD28" s="517"/>
      <c r="BE28" s="517"/>
      <c r="BF28" s="517"/>
      <c r="BG28" s="51">
        <v>57</v>
      </c>
      <c r="BH28" s="49"/>
      <c r="BI28" s="49"/>
      <c r="BJ28" s="49"/>
      <c r="BK28" s="49"/>
      <c r="BL28" s="49"/>
      <c r="BM28" s="49"/>
      <c r="BN28" s="49"/>
      <c r="BO28" s="49"/>
    </row>
    <row r="29" spans="2:67" x14ac:dyDescent="0.35">
      <c r="G29" s="51">
        <v>56</v>
      </c>
      <c r="H29" s="354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1">
        <v>56</v>
      </c>
      <c r="AH29" s="51">
        <v>56</v>
      </c>
      <c r="AI29" s="523"/>
      <c r="AJ29" s="517"/>
      <c r="AK29" s="517"/>
      <c r="AL29" s="517"/>
      <c r="AM29" s="517"/>
      <c r="AN29" s="517"/>
      <c r="AO29" s="517"/>
      <c r="AP29" s="517"/>
      <c r="AQ29" s="517"/>
      <c r="AR29" s="517"/>
      <c r="AS29" s="517"/>
      <c r="AT29" s="517"/>
      <c r="AU29" s="517"/>
      <c r="AV29" s="517"/>
      <c r="AW29" s="517"/>
      <c r="AX29" s="517"/>
      <c r="AY29" s="517"/>
      <c r="AZ29" s="517"/>
      <c r="BA29" s="517"/>
      <c r="BB29" s="517"/>
      <c r="BC29" s="517"/>
      <c r="BD29" s="517"/>
      <c r="BE29" s="517"/>
      <c r="BF29" s="517"/>
      <c r="BG29" s="51">
        <v>56</v>
      </c>
    </row>
    <row r="30" spans="2:67" x14ac:dyDescent="0.35">
      <c r="G30" s="51">
        <v>55</v>
      </c>
      <c r="H30" s="354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1">
        <v>55</v>
      </c>
      <c r="AH30" s="51">
        <v>55</v>
      </c>
      <c r="AI30" s="523"/>
      <c r="AJ30" s="517"/>
      <c r="AK30" s="517"/>
      <c r="AL30" s="517"/>
      <c r="AM30" s="517"/>
      <c r="AN30" s="517"/>
      <c r="AO30" s="517"/>
      <c r="AP30" s="517"/>
      <c r="AQ30" s="517"/>
      <c r="AR30" s="517"/>
      <c r="AS30" s="517"/>
      <c r="AT30" s="517"/>
      <c r="AU30" s="517"/>
      <c r="AV30" s="517"/>
      <c r="AW30" s="517"/>
      <c r="AX30" s="517"/>
      <c r="AY30" s="517"/>
      <c r="AZ30" s="517"/>
      <c r="BA30" s="517"/>
      <c r="BB30" s="517"/>
      <c r="BC30" s="517"/>
      <c r="BD30" s="517"/>
      <c r="BE30" s="517"/>
      <c r="BF30" s="517"/>
      <c r="BG30" s="51">
        <v>55</v>
      </c>
    </row>
    <row r="31" spans="2:67" x14ac:dyDescent="0.35">
      <c r="G31" s="51">
        <v>54</v>
      </c>
      <c r="H31" s="354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1">
        <v>54</v>
      </c>
      <c r="AH31" s="51">
        <v>54</v>
      </c>
      <c r="AI31" s="523"/>
      <c r="AJ31" s="517"/>
      <c r="AK31" s="517"/>
      <c r="AL31" s="517"/>
      <c r="AM31" s="517"/>
      <c r="AN31" s="517"/>
      <c r="AO31" s="517"/>
      <c r="AP31" s="517"/>
      <c r="AQ31" s="517"/>
      <c r="AR31" s="517"/>
      <c r="AS31" s="517"/>
      <c r="AT31" s="517"/>
      <c r="AU31" s="517"/>
      <c r="AV31" s="517"/>
      <c r="AW31" s="517"/>
      <c r="AX31" s="517"/>
      <c r="AY31" s="517"/>
      <c r="AZ31" s="517"/>
      <c r="BA31" s="517"/>
      <c r="BB31" s="517"/>
      <c r="BC31" s="517"/>
      <c r="BD31" s="517"/>
      <c r="BE31" s="517"/>
      <c r="BF31" s="517"/>
      <c r="BG31" s="51">
        <v>54</v>
      </c>
    </row>
    <row r="32" spans="2:67" x14ac:dyDescent="0.35">
      <c r="G32" s="51">
        <v>53</v>
      </c>
      <c r="H32" s="354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1">
        <v>53</v>
      </c>
      <c r="AH32" s="51">
        <v>53</v>
      </c>
      <c r="AI32" s="523"/>
      <c r="AJ32" s="517"/>
      <c r="AK32" s="517"/>
      <c r="AL32" s="517"/>
      <c r="AM32" s="517"/>
      <c r="AN32" s="517"/>
      <c r="AO32" s="517"/>
      <c r="AP32" s="517"/>
      <c r="AQ32" s="517"/>
      <c r="AR32" s="517"/>
      <c r="AS32" s="517"/>
      <c r="AT32" s="517"/>
      <c r="AU32" s="517"/>
      <c r="AV32" s="517"/>
      <c r="AW32" s="517"/>
      <c r="AX32" s="517"/>
      <c r="AY32" s="517"/>
      <c r="AZ32" s="517"/>
      <c r="BA32" s="517"/>
      <c r="BB32" s="517"/>
      <c r="BC32" s="517"/>
      <c r="BD32" s="517"/>
      <c r="BE32" s="517"/>
      <c r="BF32" s="517"/>
      <c r="BG32" s="51">
        <v>53</v>
      </c>
    </row>
    <row r="33" spans="7:59" x14ac:dyDescent="0.35">
      <c r="G33" s="51">
        <v>52</v>
      </c>
      <c r="H33" s="354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1">
        <v>52</v>
      </c>
      <c r="AH33" s="51">
        <v>52</v>
      </c>
      <c r="AI33" s="523"/>
      <c r="AJ33" s="517"/>
      <c r="AK33" s="517"/>
      <c r="AL33" s="517"/>
      <c r="AM33" s="517"/>
      <c r="AN33" s="517"/>
      <c r="AO33" s="517"/>
      <c r="AP33" s="517"/>
      <c r="AQ33" s="517"/>
      <c r="AR33" s="517"/>
      <c r="AS33" s="517"/>
      <c r="AT33" s="517"/>
      <c r="AU33" s="517"/>
      <c r="AV33" s="517"/>
      <c r="AW33" s="517"/>
      <c r="AX33" s="517"/>
      <c r="AY33" s="517"/>
      <c r="AZ33" s="517"/>
      <c r="BA33" s="517"/>
      <c r="BB33" s="517"/>
      <c r="BC33" s="517"/>
      <c r="BD33" s="517"/>
      <c r="BE33" s="517"/>
      <c r="BF33" s="517"/>
      <c r="BG33" s="51">
        <v>52</v>
      </c>
    </row>
    <row r="34" spans="7:59" x14ac:dyDescent="0.35">
      <c r="G34" s="51">
        <v>51</v>
      </c>
      <c r="H34" s="354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1">
        <v>51</v>
      </c>
      <c r="AH34" s="51">
        <v>51</v>
      </c>
      <c r="AI34" s="523"/>
      <c r="AJ34" s="517"/>
      <c r="AK34" s="517"/>
      <c r="AL34" s="517"/>
      <c r="AM34" s="517"/>
      <c r="AN34" s="517"/>
      <c r="AO34" s="517"/>
      <c r="AP34" s="517"/>
      <c r="AQ34" s="517"/>
      <c r="AR34" s="517"/>
      <c r="AS34" s="517"/>
      <c r="AT34" s="517"/>
      <c r="AU34" s="517"/>
      <c r="AV34" s="517"/>
      <c r="AW34" s="517"/>
      <c r="AX34" s="517"/>
      <c r="AY34" s="517"/>
      <c r="AZ34" s="517"/>
      <c r="BA34" s="517"/>
      <c r="BB34" s="517"/>
      <c r="BC34" s="517"/>
      <c r="BD34" s="517"/>
      <c r="BE34" s="517"/>
      <c r="BF34" s="517"/>
      <c r="BG34" s="51">
        <v>51</v>
      </c>
    </row>
    <row r="35" spans="7:59" x14ac:dyDescent="0.35">
      <c r="G35" s="51">
        <v>50</v>
      </c>
      <c r="H35" s="354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1">
        <v>50</v>
      </c>
      <c r="AH35" s="51">
        <v>50</v>
      </c>
      <c r="AI35" s="523"/>
      <c r="AJ35" s="517"/>
      <c r="AK35" s="517"/>
      <c r="AL35" s="517"/>
      <c r="AM35" s="517"/>
      <c r="AN35" s="517"/>
      <c r="AO35" s="517"/>
      <c r="AP35" s="517"/>
      <c r="AQ35" s="517"/>
      <c r="AR35" s="517"/>
      <c r="AS35" s="517"/>
      <c r="AT35" s="517"/>
      <c r="AU35" s="517"/>
      <c r="AV35" s="517"/>
      <c r="AW35" s="517"/>
      <c r="AX35" s="517"/>
      <c r="AY35" s="517"/>
      <c r="AZ35" s="517"/>
      <c r="BA35" s="517"/>
      <c r="BB35" s="517"/>
      <c r="BC35" s="517"/>
      <c r="BD35" s="517"/>
      <c r="BE35" s="517"/>
      <c r="BF35" s="517"/>
      <c r="BG35" s="51">
        <v>50</v>
      </c>
    </row>
    <row r="36" spans="7:59" x14ac:dyDescent="0.35">
      <c r="G36" s="51">
        <v>49</v>
      </c>
      <c r="H36" s="354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1">
        <v>49</v>
      </c>
      <c r="AH36" s="51">
        <v>49</v>
      </c>
      <c r="AI36" s="523"/>
      <c r="AJ36" s="517"/>
      <c r="AK36" s="517"/>
      <c r="AL36" s="517"/>
      <c r="AM36" s="517"/>
      <c r="AN36" s="517"/>
      <c r="AO36" s="517"/>
      <c r="AP36" s="517"/>
      <c r="AQ36" s="517"/>
      <c r="AR36" s="517"/>
      <c r="AS36" s="517"/>
      <c r="AT36" s="517"/>
      <c r="AU36" s="517"/>
      <c r="AV36" s="517"/>
      <c r="AW36" s="517"/>
      <c r="AX36" s="517"/>
      <c r="AY36" s="517"/>
      <c r="AZ36" s="517"/>
      <c r="BA36" s="517"/>
      <c r="BB36" s="517"/>
      <c r="BC36" s="517"/>
      <c r="BD36" s="517"/>
      <c r="BE36" s="517"/>
      <c r="BF36" s="517"/>
      <c r="BG36" s="51">
        <v>49</v>
      </c>
    </row>
    <row r="37" spans="7:59" x14ac:dyDescent="0.35">
      <c r="G37" s="51">
        <v>48</v>
      </c>
      <c r="H37" s="354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1">
        <v>48</v>
      </c>
      <c r="AH37" s="51">
        <v>48</v>
      </c>
      <c r="AI37" s="523"/>
      <c r="AJ37" s="517"/>
      <c r="AK37" s="517"/>
      <c r="AL37" s="517"/>
      <c r="AM37" s="517"/>
      <c r="AN37" s="517"/>
      <c r="AO37" s="517"/>
      <c r="AP37" s="517"/>
      <c r="AQ37" s="517"/>
      <c r="AR37" s="517"/>
      <c r="AS37" s="517"/>
      <c r="AT37" s="517"/>
      <c r="AU37" s="517"/>
      <c r="AV37" s="517"/>
      <c r="AW37" s="517"/>
      <c r="AX37" s="517"/>
      <c r="AY37" s="517"/>
      <c r="AZ37" s="517"/>
      <c r="BA37" s="517"/>
      <c r="BB37" s="517"/>
      <c r="BC37" s="517"/>
      <c r="BD37" s="517"/>
      <c r="BE37" s="517"/>
      <c r="BF37" s="517"/>
      <c r="BG37" s="51">
        <v>48</v>
      </c>
    </row>
    <row r="38" spans="7:59" x14ac:dyDescent="0.35">
      <c r="G38" s="51">
        <v>47</v>
      </c>
      <c r="H38" s="354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1">
        <v>47</v>
      </c>
      <c r="AH38" s="51">
        <v>47</v>
      </c>
      <c r="AI38" s="523"/>
      <c r="AJ38" s="517"/>
      <c r="AK38" s="517"/>
      <c r="AL38" s="517"/>
      <c r="AM38" s="517"/>
      <c r="AN38" s="517"/>
      <c r="AO38" s="517"/>
      <c r="AP38" s="517"/>
      <c r="AQ38" s="517"/>
      <c r="AR38" s="517"/>
      <c r="AS38" s="517"/>
      <c r="AT38" s="517"/>
      <c r="AU38" s="517"/>
      <c r="AV38" s="517"/>
      <c r="AW38" s="517"/>
      <c r="AX38" s="517"/>
      <c r="AY38" s="517"/>
      <c r="AZ38" s="517"/>
      <c r="BA38" s="517"/>
      <c r="BB38" s="517"/>
      <c r="BC38" s="517"/>
      <c r="BD38" s="517"/>
      <c r="BE38" s="517"/>
      <c r="BF38" s="517"/>
      <c r="BG38" s="51">
        <v>47</v>
      </c>
    </row>
    <row r="39" spans="7:59" x14ac:dyDescent="0.35">
      <c r="G39" s="51">
        <v>46</v>
      </c>
      <c r="H39" s="354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1">
        <v>46</v>
      </c>
      <c r="AH39" s="51">
        <v>46</v>
      </c>
      <c r="AI39" s="523"/>
      <c r="AJ39" s="517"/>
      <c r="AK39" s="517"/>
      <c r="AL39" s="517"/>
      <c r="AM39" s="517"/>
      <c r="AN39" s="517"/>
      <c r="AO39" s="517"/>
      <c r="AP39" s="517"/>
      <c r="AQ39" s="517"/>
      <c r="AR39" s="517"/>
      <c r="AS39" s="517"/>
      <c r="AT39" s="517"/>
      <c r="AU39" s="517"/>
      <c r="AV39" s="517"/>
      <c r="AW39" s="517"/>
      <c r="AX39" s="517"/>
      <c r="AY39" s="517"/>
      <c r="AZ39" s="517"/>
      <c r="BA39" s="517"/>
      <c r="BB39" s="517"/>
      <c r="BC39" s="517"/>
      <c r="BD39" s="517"/>
      <c r="BE39" s="517"/>
      <c r="BF39" s="517"/>
      <c r="BG39" s="51">
        <v>46</v>
      </c>
    </row>
    <row r="40" spans="7:59" x14ac:dyDescent="0.35">
      <c r="G40" s="51">
        <v>45</v>
      </c>
      <c r="H40" s="354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1">
        <v>45</v>
      </c>
      <c r="AH40" s="51">
        <v>45</v>
      </c>
      <c r="AI40" s="523"/>
      <c r="AJ40" s="517"/>
      <c r="AK40" s="517"/>
      <c r="AL40" s="517"/>
      <c r="AM40" s="517"/>
      <c r="AN40" s="517"/>
      <c r="AO40" s="517"/>
      <c r="AP40" s="517"/>
      <c r="AQ40" s="517"/>
      <c r="AR40" s="517"/>
      <c r="AS40" s="517"/>
      <c r="AT40" s="517"/>
      <c r="AU40" s="517"/>
      <c r="AV40" s="517"/>
      <c r="AW40" s="517"/>
      <c r="AX40" s="517"/>
      <c r="AY40" s="517"/>
      <c r="AZ40" s="517"/>
      <c r="BA40" s="517"/>
      <c r="BB40" s="517"/>
      <c r="BC40" s="517"/>
      <c r="BD40" s="517"/>
      <c r="BE40" s="517"/>
      <c r="BF40" s="517"/>
      <c r="BG40" s="51">
        <v>45</v>
      </c>
    </row>
    <row r="41" spans="7:59" x14ac:dyDescent="0.35">
      <c r="G41" s="51">
        <v>44</v>
      </c>
      <c r="H41" s="354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1">
        <v>44</v>
      </c>
      <c r="AH41" s="51">
        <v>44</v>
      </c>
      <c r="AI41" s="523"/>
      <c r="AJ41" s="517"/>
      <c r="AK41" s="517"/>
      <c r="AL41" s="517"/>
      <c r="AM41" s="517"/>
      <c r="AN41" s="517"/>
      <c r="AO41" s="517"/>
      <c r="AP41" s="517"/>
      <c r="AQ41" s="517"/>
      <c r="AR41" s="517"/>
      <c r="AS41" s="517"/>
      <c r="AT41" s="517"/>
      <c r="AU41" s="517"/>
      <c r="AV41" s="517"/>
      <c r="AW41" s="517"/>
      <c r="AX41" s="517"/>
      <c r="AY41" s="517"/>
      <c r="AZ41" s="517"/>
      <c r="BA41" s="517"/>
      <c r="BB41" s="517"/>
      <c r="BC41" s="517"/>
      <c r="BD41" s="517"/>
      <c r="BE41" s="517"/>
      <c r="BF41" s="517"/>
      <c r="BG41" s="51">
        <v>44</v>
      </c>
    </row>
    <row r="42" spans="7:59" x14ac:dyDescent="0.35">
      <c r="G42" s="51">
        <v>43</v>
      </c>
      <c r="H42" s="354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1">
        <v>43</v>
      </c>
      <c r="AH42" s="51">
        <v>43</v>
      </c>
      <c r="AI42" s="523"/>
      <c r="AJ42" s="517"/>
      <c r="AK42" s="517"/>
      <c r="AL42" s="517"/>
      <c r="AM42" s="517"/>
      <c r="AN42" s="517"/>
      <c r="AO42" s="517"/>
      <c r="AP42" s="517"/>
      <c r="AQ42" s="517"/>
      <c r="AR42" s="517"/>
      <c r="AS42" s="517"/>
      <c r="AT42" s="517"/>
      <c r="AU42" s="517"/>
      <c r="AV42" s="517"/>
      <c r="AW42" s="517"/>
      <c r="AX42" s="517"/>
      <c r="AY42" s="517"/>
      <c r="AZ42" s="517"/>
      <c r="BA42" s="517"/>
      <c r="BB42" s="517"/>
      <c r="BC42" s="517"/>
      <c r="BD42" s="517"/>
      <c r="BE42" s="517"/>
      <c r="BF42" s="517"/>
      <c r="BG42" s="51">
        <v>43</v>
      </c>
    </row>
    <row r="43" spans="7:59" x14ac:dyDescent="0.35">
      <c r="G43" s="51">
        <v>42</v>
      </c>
      <c r="H43" s="354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1">
        <v>42</v>
      </c>
      <c r="AH43" s="51">
        <v>42</v>
      </c>
      <c r="AI43" s="523"/>
      <c r="AJ43" s="517"/>
      <c r="AK43" s="517"/>
      <c r="AL43" s="517"/>
      <c r="AM43" s="517"/>
      <c r="AN43" s="517"/>
      <c r="AO43" s="517"/>
      <c r="AP43" s="517"/>
      <c r="AQ43" s="517"/>
      <c r="AR43" s="517"/>
      <c r="AS43" s="517"/>
      <c r="AT43" s="517"/>
      <c r="AU43" s="517"/>
      <c r="AV43" s="517"/>
      <c r="AW43" s="517"/>
      <c r="AX43" s="517"/>
      <c r="AY43" s="517"/>
      <c r="AZ43" s="517"/>
      <c r="BA43" s="517"/>
      <c r="BB43" s="517"/>
      <c r="BC43" s="517"/>
      <c r="BD43" s="517"/>
      <c r="BE43" s="517"/>
      <c r="BF43" s="517"/>
      <c r="BG43" s="51">
        <v>42</v>
      </c>
    </row>
    <row r="44" spans="7:59" x14ac:dyDescent="0.35">
      <c r="G44" s="51">
        <v>41</v>
      </c>
      <c r="H44" s="354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1">
        <v>41</v>
      </c>
      <c r="AH44" s="51">
        <v>41</v>
      </c>
      <c r="AI44" s="523"/>
      <c r="AJ44" s="517"/>
      <c r="AK44" s="517"/>
      <c r="AL44" s="517"/>
      <c r="AM44" s="517"/>
      <c r="AN44" s="517"/>
      <c r="AO44" s="517"/>
      <c r="AP44" s="517"/>
      <c r="AQ44" s="517"/>
      <c r="AR44" s="517"/>
      <c r="AS44" s="517"/>
      <c r="AT44" s="517"/>
      <c r="AU44" s="517"/>
      <c r="AV44" s="517"/>
      <c r="AW44" s="517"/>
      <c r="AX44" s="517"/>
      <c r="AY44" s="517"/>
      <c r="AZ44" s="517"/>
      <c r="BA44" s="517"/>
      <c r="BB44" s="517"/>
      <c r="BC44" s="517"/>
      <c r="BD44" s="517"/>
      <c r="BE44" s="517"/>
      <c r="BF44" s="517"/>
      <c r="BG44" s="51">
        <v>41</v>
      </c>
    </row>
    <row r="45" spans="7:59" x14ac:dyDescent="0.35">
      <c r="G45" s="51">
        <v>40</v>
      </c>
      <c r="H45" s="354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1">
        <v>40</v>
      </c>
      <c r="AH45" s="51">
        <v>40</v>
      </c>
      <c r="AI45" s="523"/>
      <c r="AJ45" s="517"/>
      <c r="AK45" s="517"/>
      <c r="AL45" s="517"/>
      <c r="AM45" s="517"/>
      <c r="AN45" s="517"/>
      <c r="AO45" s="517"/>
      <c r="AP45" s="517"/>
      <c r="AQ45" s="517"/>
      <c r="AR45" s="517"/>
      <c r="AS45" s="517"/>
      <c r="AT45" s="517"/>
      <c r="AU45" s="517"/>
      <c r="AV45" s="517"/>
      <c r="AW45" s="517"/>
      <c r="AX45" s="517"/>
      <c r="AY45" s="517"/>
      <c r="AZ45" s="517"/>
      <c r="BA45" s="517"/>
      <c r="BB45" s="517"/>
      <c r="BC45" s="517"/>
      <c r="BD45" s="517"/>
      <c r="BE45" s="517"/>
      <c r="BF45" s="517"/>
      <c r="BG45" s="51">
        <v>40</v>
      </c>
    </row>
    <row r="46" spans="7:59" x14ac:dyDescent="0.35">
      <c r="G46" s="51">
        <v>39</v>
      </c>
      <c r="H46" s="354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1">
        <v>39</v>
      </c>
      <c r="AH46" s="51">
        <v>39</v>
      </c>
      <c r="AI46" s="523"/>
      <c r="AJ46" s="517"/>
      <c r="AK46" s="517"/>
      <c r="AL46" s="517"/>
      <c r="AM46" s="517"/>
      <c r="AN46" s="517"/>
      <c r="AO46" s="517"/>
      <c r="AP46" s="517"/>
      <c r="AQ46" s="517"/>
      <c r="AR46" s="517"/>
      <c r="AS46" s="517"/>
      <c r="AT46" s="517"/>
      <c r="AU46" s="517"/>
      <c r="AV46" s="517"/>
      <c r="AW46" s="517"/>
      <c r="AX46" s="517"/>
      <c r="AY46" s="517"/>
      <c r="AZ46" s="517"/>
      <c r="BA46" s="517"/>
      <c r="BB46" s="517"/>
      <c r="BC46" s="517"/>
      <c r="BD46" s="517"/>
      <c r="BE46" s="517"/>
      <c r="BF46" s="517"/>
      <c r="BG46" s="51">
        <v>39</v>
      </c>
    </row>
    <row r="47" spans="7:59" x14ac:dyDescent="0.35">
      <c r="G47" s="51">
        <v>38</v>
      </c>
      <c r="H47" s="354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1">
        <v>38</v>
      </c>
      <c r="AH47" s="51">
        <v>38</v>
      </c>
      <c r="AI47" s="523"/>
      <c r="AJ47" s="517"/>
      <c r="AK47" s="517"/>
      <c r="AL47" s="517"/>
      <c r="AM47" s="517"/>
      <c r="AN47" s="517"/>
      <c r="AO47" s="517"/>
      <c r="AP47" s="517"/>
      <c r="AQ47" s="517"/>
      <c r="AR47" s="517"/>
      <c r="AS47" s="517"/>
      <c r="AT47" s="517"/>
      <c r="AU47" s="517"/>
      <c r="AV47" s="517"/>
      <c r="AW47" s="517"/>
      <c r="AX47" s="517"/>
      <c r="AY47" s="517"/>
      <c r="AZ47" s="517"/>
      <c r="BA47" s="517"/>
      <c r="BB47" s="517"/>
      <c r="BC47" s="517"/>
      <c r="BD47" s="517"/>
      <c r="BE47" s="517"/>
      <c r="BF47" s="517"/>
      <c r="BG47" s="51">
        <v>38</v>
      </c>
    </row>
    <row r="48" spans="7:59" x14ac:dyDescent="0.35">
      <c r="G48" s="51">
        <v>37</v>
      </c>
      <c r="H48" s="354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1">
        <v>37</v>
      </c>
      <c r="AH48" s="51">
        <v>37</v>
      </c>
      <c r="AI48" s="523"/>
      <c r="AJ48" s="517"/>
      <c r="AK48" s="517"/>
      <c r="AL48" s="517"/>
      <c r="AM48" s="517"/>
      <c r="AN48" s="517"/>
      <c r="AO48" s="517"/>
      <c r="AP48" s="517"/>
      <c r="AQ48" s="517"/>
      <c r="AR48" s="517"/>
      <c r="AS48" s="517"/>
      <c r="AT48" s="517"/>
      <c r="AU48" s="517"/>
      <c r="AV48" s="517"/>
      <c r="AW48" s="517"/>
      <c r="AX48" s="517"/>
      <c r="AY48" s="517"/>
      <c r="AZ48" s="517"/>
      <c r="BA48" s="517"/>
      <c r="BB48" s="517"/>
      <c r="BC48" s="517"/>
      <c r="BD48" s="517"/>
      <c r="BE48" s="517"/>
      <c r="BF48" s="517"/>
      <c r="BG48" s="51">
        <v>37</v>
      </c>
    </row>
    <row r="49" spans="7:59" x14ac:dyDescent="0.35">
      <c r="G49" s="51">
        <v>36</v>
      </c>
      <c r="H49" s="354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1">
        <v>36</v>
      </c>
      <c r="AH49" s="51">
        <v>36</v>
      </c>
      <c r="AI49" s="523"/>
      <c r="AJ49" s="517"/>
      <c r="AK49" s="517"/>
      <c r="AL49" s="517"/>
      <c r="AM49" s="517"/>
      <c r="AN49" s="517"/>
      <c r="AO49" s="517"/>
      <c r="AP49" s="517"/>
      <c r="AQ49" s="517"/>
      <c r="AR49" s="517"/>
      <c r="AS49" s="517"/>
      <c r="AT49" s="517"/>
      <c r="AU49" s="517"/>
      <c r="AV49" s="517"/>
      <c r="AW49" s="517"/>
      <c r="AX49" s="517"/>
      <c r="AY49" s="517"/>
      <c r="AZ49" s="517"/>
      <c r="BA49" s="517"/>
      <c r="BB49" s="517"/>
      <c r="BC49" s="517"/>
      <c r="BD49" s="517"/>
      <c r="BE49" s="517"/>
      <c r="BF49" s="517"/>
      <c r="BG49" s="51">
        <v>36</v>
      </c>
    </row>
    <row r="50" spans="7:59" x14ac:dyDescent="0.35">
      <c r="G50" s="51">
        <v>35</v>
      </c>
      <c r="H50" s="354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1">
        <v>35</v>
      </c>
      <c r="AH50" s="51">
        <v>35</v>
      </c>
      <c r="AI50" s="523"/>
      <c r="AJ50" s="517"/>
      <c r="AK50" s="517"/>
      <c r="AL50" s="517"/>
      <c r="AM50" s="517"/>
      <c r="AN50" s="517"/>
      <c r="AO50" s="517"/>
      <c r="AP50" s="517"/>
      <c r="AQ50" s="517"/>
      <c r="AR50" s="517"/>
      <c r="AS50" s="517"/>
      <c r="AT50" s="517"/>
      <c r="AU50" s="517"/>
      <c r="AV50" s="517"/>
      <c r="AW50" s="517"/>
      <c r="AX50" s="517"/>
      <c r="AY50" s="517"/>
      <c r="AZ50" s="517"/>
      <c r="BA50" s="517"/>
      <c r="BB50" s="517"/>
      <c r="BC50" s="517"/>
      <c r="BD50" s="517"/>
      <c r="BE50" s="517"/>
      <c r="BF50" s="517"/>
      <c r="BG50" s="51">
        <v>35</v>
      </c>
    </row>
    <row r="51" spans="7:59" x14ac:dyDescent="0.35">
      <c r="G51" s="51">
        <v>34</v>
      </c>
      <c r="H51" s="354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1">
        <v>34</v>
      </c>
      <c r="AH51" s="51">
        <v>34</v>
      </c>
      <c r="AI51" s="523"/>
      <c r="AJ51" s="517"/>
      <c r="AK51" s="517"/>
      <c r="AL51" s="517"/>
      <c r="AM51" s="517"/>
      <c r="AN51" s="517"/>
      <c r="AO51" s="517"/>
      <c r="AP51" s="517"/>
      <c r="AQ51" s="517"/>
      <c r="AR51" s="517"/>
      <c r="AS51" s="517"/>
      <c r="AT51" s="517"/>
      <c r="AU51" s="517"/>
      <c r="AV51" s="517"/>
      <c r="AW51" s="517"/>
      <c r="AX51" s="517"/>
      <c r="AY51" s="517"/>
      <c r="AZ51" s="517"/>
      <c r="BA51" s="517"/>
      <c r="BB51" s="517"/>
      <c r="BC51" s="517"/>
      <c r="BD51" s="517"/>
      <c r="BE51" s="517"/>
      <c r="BF51" s="517"/>
      <c r="BG51" s="51">
        <v>34</v>
      </c>
    </row>
    <row r="52" spans="7:59" x14ac:dyDescent="0.35">
      <c r="G52" s="51">
        <v>33</v>
      </c>
      <c r="H52" s="354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1">
        <v>33</v>
      </c>
      <c r="AH52" s="51">
        <v>33</v>
      </c>
      <c r="AI52" s="523"/>
      <c r="AJ52" s="517"/>
      <c r="AK52" s="517"/>
      <c r="AL52" s="517"/>
      <c r="AM52" s="517"/>
      <c r="AN52" s="517"/>
      <c r="AO52" s="517"/>
      <c r="AP52" s="517"/>
      <c r="AQ52" s="517"/>
      <c r="AR52" s="517"/>
      <c r="AS52" s="517"/>
      <c r="AT52" s="517"/>
      <c r="AU52" s="517"/>
      <c r="AV52" s="517"/>
      <c r="AW52" s="517"/>
      <c r="AX52" s="517"/>
      <c r="AY52" s="517"/>
      <c r="AZ52" s="517"/>
      <c r="BA52" s="517"/>
      <c r="BB52" s="517"/>
      <c r="BC52" s="517"/>
      <c r="BD52" s="517"/>
      <c r="BE52" s="517"/>
      <c r="BF52" s="517"/>
      <c r="BG52" s="51">
        <v>33</v>
      </c>
    </row>
    <row r="53" spans="7:59" x14ac:dyDescent="0.35">
      <c r="G53" s="51">
        <v>32</v>
      </c>
      <c r="H53" s="354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1">
        <v>32</v>
      </c>
      <c r="AH53" s="51">
        <v>32</v>
      </c>
      <c r="AI53" s="523"/>
      <c r="AJ53" s="517"/>
      <c r="AK53" s="517"/>
      <c r="AL53" s="517"/>
      <c r="AM53" s="517"/>
      <c r="AN53" s="517"/>
      <c r="AO53" s="517"/>
      <c r="AP53" s="517"/>
      <c r="AQ53" s="517"/>
      <c r="AR53" s="517"/>
      <c r="AS53" s="517"/>
      <c r="AT53" s="517"/>
      <c r="AU53" s="517"/>
      <c r="AV53" s="517"/>
      <c r="AW53" s="517"/>
      <c r="AX53" s="517"/>
      <c r="AY53" s="517"/>
      <c r="AZ53" s="517"/>
      <c r="BA53" s="517"/>
      <c r="BB53" s="517"/>
      <c r="BC53" s="517"/>
      <c r="BD53" s="517"/>
      <c r="BE53" s="517"/>
      <c r="BF53" s="517"/>
      <c r="BG53" s="51">
        <v>32</v>
      </c>
    </row>
    <row r="54" spans="7:59" x14ac:dyDescent="0.35">
      <c r="G54" s="51">
        <v>31</v>
      </c>
      <c r="H54" s="354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1">
        <v>31</v>
      </c>
      <c r="AH54" s="51">
        <v>31</v>
      </c>
      <c r="AI54" s="523"/>
      <c r="AJ54" s="517"/>
      <c r="AK54" s="517"/>
      <c r="AL54" s="517"/>
      <c r="AM54" s="517"/>
      <c r="AN54" s="517"/>
      <c r="AO54" s="517"/>
      <c r="AP54" s="517"/>
      <c r="AQ54" s="517"/>
      <c r="AR54" s="517"/>
      <c r="AS54" s="517"/>
      <c r="AT54" s="517"/>
      <c r="AU54" s="517"/>
      <c r="AV54" s="517"/>
      <c r="AW54" s="517"/>
      <c r="AX54" s="517"/>
      <c r="AY54" s="517"/>
      <c r="AZ54" s="517"/>
      <c r="BA54" s="517"/>
      <c r="BB54" s="517"/>
      <c r="BC54" s="517"/>
      <c r="BD54" s="517"/>
      <c r="BE54" s="517"/>
      <c r="BF54" s="517"/>
      <c r="BG54" s="51">
        <v>31</v>
      </c>
    </row>
    <row r="55" spans="7:59" x14ac:dyDescent="0.35">
      <c r="G55" s="51">
        <v>30</v>
      </c>
      <c r="H55" s="354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1">
        <v>30</v>
      </c>
      <c r="AH55" s="51">
        <v>30</v>
      </c>
      <c r="AI55" s="523"/>
      <c r="AJ55" s="517"/>
      <c r="AK55" s="517"/>
      <c r="AL55" s="517"/>
      <c r="AM55" s="517"/>
      <c r="AN55" s="517"/>
      <c r="AO55" s="517"/>
      <c r="AP55" s="517"/>
      <c r="AQ55" s="517"/>
      <c r="AR55" s="517"/>
      <c r="AS55" s="517"/>
      <c r="AT55" s="517"/>
      <c r="AU55" s="517"/>
      <c r="AV55" s="517"/>
      <c r="AW55" s="517"/>
      <c r="AX55" s="517"/>
      <c r="AY55" s="517"/>
      <c r="AZ55" s="517"/>
      <c r="BA55" s="517"/>
      <c r="BB55" s="517"/>
      <c r="BC55" s="517"/>
      <c r="BD55" s="517"/>
      <c r="BE55" s="517"/>
      <c r="BF55" s="517"/>
      <c r="BG55" s="51">
        <v>30</v>
      </c>
    </row>
    <row r="56" spans="7:59" x14ac:dyDescent="0.35">
      <c r="G56" s="51">
        <v>29</v>
      </c>
      <c r="H56" s="354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1">
        <v>29</v>
      </c>
      <c r="AH56" s="51">
        <v>29</v>
      </c>
      <c r="AI56" s="523"/>
      <c r="AJ56" s="517"/>
      <c r="AK56" s="517"/>
      <c r="AL56" s="517"/>
      <c r="AM56" s="517"/>
      <c r="AN56" s="517"/>
      <c r="AO56" s="517"/>
      <c r="AP56" s="517"/>
      <c r="AQ56" s="517"/>
      <c r="AR56" s="517"/>
      <c r="AS56" s="517"/>
      <c r="AT56" s="517"/>
      <c r="AU56" s="517"/>
      <c r="AV56" s="517"/>
      <c r="AW56" s="517"/>
      <c r="AX56" s="517"/>
      <c r="AY56" s="517"/>
      <c r="AZ56" s="517"/>
      <c r="BA56" s="517"/>
      <c r="BB56" s="517"/>
      <c r="BC56" s="517"/>
      <c r="BD56" s="517"/>
      <c r="BE56" s="517"/>
      <c r="BF56" s="517"/>
      <c r="BG56" s="51">
        <v>29</v>
      </c>
    </row>
    <row r="57" spans="7:59" x14ac:dyDescent="0.35">
      <c r="G57" s="51">
        <v>28</v>
      </c>
      <c r="H57" s="354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1">
        <v>28</v>
      </c>
      <c r="AH57" s="51">
        <v>28</v>
      </c>
      <c r="AI57" s="523"/>
      <c r="AJ57" s="517"/>
      <c r="AK57" s="517"/>
      <c r="AL57" s="517"/>
      <c r="AM57" s="517"/>
      <c r="AN57" s="517"/>
      <c r="AO57" s="517"/>
      <c r="AP57" s="517"/>
      <c r="AQ57" s="517"/>
      <c r="AR57" s="517"/>
      <c r="AS57" s="517"/>
      <c r="AT57" s="517"/>
      <c r="AU57" s="517"/>
      <c r="AV57" s="517"/>
      <c r="AW57" s="517"/>
      <c r="AX57" s="517"/>
      <c r="AY57" s="517"/>
      <c r="AZ57" s="517"/>
      <c r="BA57" s="517"/>
      <c r="BB57" s="517"/>
      <c r="BC57" s="517"/>
      <c r="BD57" s="517"/>
      <c r="BE57" s="517"/>
      <c r="BF57" s="517"/>
      <c r="BG57" s="51">
        <v>28</v>
      </c>
    </row>
    <row r="58" spans="7:59" x14ac:dyDescent="0.35">
      <c r="G58" s="51">
        <v>27</v>
      </c>
      <c r="H58" s="354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1">
        <v>27</v>
      </c>
      <c r="AH58" s="51">
        <v>27</v>
      </c>
      <c r="AI58" s="523"/>
      <c r="AJ58" s="517"/>
      <c r="AK58" s="517"/>
      <c r="AL58" s="517"/>
      <c r="AM58" s="517"/>
      <c r="AN58" s="517"/>
      <c r="AO58" s="517"/>
      <c r="AP58" s="517"/>
      <c r="AQ58" s="517"/>
      <c r="AR58" s="517"/>
      <c r="AS58" s="517"/>
      <c r="AT58" s="517"/>
      <c r="AU58" s="517"/>
      <c r="AV58" s="517"/>
      <c r="AW58" s="517"/>
      <c r="AX58" s="517"/>
      <c r="AY58" s="517"/>
      <c r="AZ58" s="517"/>
      <c r="BA58" s="517"/>
      <c r="BB58" s="517"/>
      <c r="BC58" s="517"/>
      <c r="BD58" s="517"/>
      <c r="BE58" s="517"/>
      <c r="BF58" s="517"/>
      <c r="BG58" s="51">
        <v>27</v>
      </c>
    </row>
    <row r="59" spans="7:59" x14ac:dyDescent="0.35">
      <c r="G59" s="51">
        <v>26</v>
      </c>
      <c r="H59" s="354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1">
        <v>26</v>
      </c>
      <c r="AH59" s="51">
        <v>26</v>
      </c>
      <c r="AI59" s="523"/>
      <c r="AJ59" s="517"/>
      <c r="AK59" s="517"/>
      <c r="AL59" s="517"/>
      <c r="AM59" s="517"/>
      <c r="AN59" s="517"/>
      <c r="AO59" s="517"/>
      <c r="AP59" s="517"/>
      <c r="AQ59" s="517"/>
      <c r="AR59" s="517"/>
      <c r="AS59" s="517"/>
      <c r="AT59" s="517"/>
      <c r="AU59" s="517"/>
      <c r="AV59" s="517"/>
      <c r="AW59" s="517"/>
      <c r="AX59" s="517"/>
      <c r="AY59" s="517"/>
      <c r="AZ59" s="517"/>
      <c r="BA59" s="517"/>
      <c r="BB59" s="517"/>
      <c r="BC59" s="517"/>
      <c r="BD59" s="517"/>
      <c r="BE59" s="517"/>
      <c r="BF59" s="517"/>
      <c r="BG59" s="51">
        <v>26</v>
      </c>
    </row>
    <row r="60" spans="7:59" x14ac:dyDescent="0.35">
      <c r="G60" s="51">
        <v>25</v>
      </c>
      <c r="H60" s="354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1">
        <v>25</v>
      </c>
      <c r="AH60" s="51">
        <v>25</v>
      </c>
      <c r="AI60" s="523"/>
      <c r="AJ60" s="517"/>
      <c r="AK60" s="517"/>
      <c r="AL60" s="517"/>
      <c r="AM60" s="517"/>
      <c r="AN60" s="517"/>
      <c r="AO60" s="517"/>
      <c r="AP60" s="517"/>
      <c r="AQ60" s="517"/>
      <c r="AR60" s="517"/>
      <c r="AS60" s="517"/>
      <c r="AT60" s="517"/>
      <c r="AU60" s="517"/>
      <c r="AV60" s="517"/>
      <c r="AW60" s="517"/>
      <c r="AX60" s="517"/>
      <c r="AY60" s="517"/>
      <c r="AZ60" s="517"/>
      <c r="BA60" s="517"/>
      <c r="BB60" s="517"/>
      <c r="BC60" s="517"/>
      <c r="BD60" s="517"/>
      <c r="BE60" s="517"/>
      <c r="BF60" s="517"/>
      <c r="BG60" s="51">
        <v>25</v>
      </c>
    </row>
    <row r="61" spans="7:59" x14ac:dyDescent="0.35">
      <c r="G61" s="51">
        <v>24</v>
      </c>
      <c r="H61" s="354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1">
        <v>24</v>
      </c>
      <c r="AH61" s="51">
        <v>24</v>
      </c>
      <c r="AI61" s="523"/>
      <c r="AJ61" s="517"/>
      <c r="AK61" s="517"/>
      <c r="AL61" s="517"/>
      <c r="AM61" s="517"/>
      <c r="AN61" s="517"/>
      <c r="AO61" s="517"/>
      <c r="AP61" s="517"/>
      <c r="AQ61" s="517"/>
      <c r="AR61" s="517"/>
      <c r="AS61" s="517"/>
      <c r="AT61" s="517"/>
      <c r="AU61" s="517"/>
      <c r="AV61" s="517"/>
      <c r="AW61" s="517"/>
      <c r="AX61" s="517"/>
      <c r="AY61" s="517"/>
      <c r="AZ61" s="517"/>
      <c r="BA61" s="517"/>
      <c r="BB61" s="517"/>
      <c r="BC61" s="517"/>
      <c r="BD61" s="517"/>
      <c r="BE61" s="517"/>
      <c r="BF61" s="517"/>
      <c r="BG61" s="51">
        <v>24</v>
      </c>
    </row>
    <row r="62" spans="7:59" x14ac:dyDescent="0.35">
      <c r="G62" s="51">
        <v>23</v>
      </c>
      <c r="H62" s="354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1">
        <v>23</v>
      </c>
      <c r="AH62" s="51">
        <v>23</v>
      </c>
      <c r="AI62" s="523"/>
      <c r="AJ62" s="517"/>
      <c r="AK62" s="517"/>
      <c r="AL62" s="517"/>
      <c r="AM62" s="517"/>
      <c r="AN62" s="517"/>
      <c r="AO62" s="517"/>
      <c r="AP62" s="517"/>
      <c r="AQ62" s="517"/>
      <c r="AR62" s="517"/>
      <c r="AS62" s="517"/>
      <c r="AT62" s="517"/>
      <c r="AU62" s="517"/>
      <c r="AV62" s="517"/>
      <c r="AW62" s="517"/>
      <c r="AX62" s="517"/>
      <c r="AY62" s="517"/>
      <c r="AZ62" s="517"/>
      <c r="BA62" s="517"/>
      <c r="BB62" s="517"/>
      <c r="BC62" s="517"/>
      <c r="BD62" s="517"/>
      <c r="BE62" s="517"/>
      <c r="BF62" s="517"/>
      <c r="BG62" s="51">
        <v>23</v>
      </c>
    </row>
    <row r="63" spans="7:59" x14ac:dyDescent="0.35">
      <c r="G63" s="51">
        <v>22</v>
      </c>
      <c r="H63" s="354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1">
        <v>22</v>
      </c>
      <c r="AH63" s="51">
        <v>22</v>
      </c>
      <c r="AI63" s="523"/>
      <c r="AJ63" s="517"/>
      <c r="AK63" s="517"/>
      <c r="AL63" s="517"/>
      <c r="AM63" s="517"/>
      <c r="AN63" s="517"/>
      <c r="AO63" s="517"/>
      <c r="AP63" s="517"/>
      <c r="AQ63" s="517"/>
      <c r="AR63" s="517"/>
      <c r="AS63" s="517"/>
      <c r="AT63" s="517"/>
      <c r="AU63" s="517"/>
      <c r="AV63" s="517"/>
      <c r="AW63" s="517"/>
      <c r="AX63" s="517"/>
      <c r="AY63" s="517"/>
      <c r="AZ63" s="517"/>
      <c r="BA63" s="517"/>
      <c r="BB63" s="517"/>
      <c r="BC63" s="517"/>
      <c r="BD63" s="517"/>
      <c r="BE63" s="517"/>
      <c r="BF63" s="517"/>
      <c r="BG63" s="51">
        <v>22</v>
      </c>
    </row>
    <row r="64" spans="7:59" x14ac:dyDescent="0.35">
      <c r="G64" s="51">
        <v>21</v>
      </c>
      <c r="H64" s="354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1">
        <v>21</v>
      </c>
      <c r="AH64" s="51">
        <v>21</v>
      </c>
      <c r="AI64" s="523"/>
      <c r="AJ64" s="517"/>
      <c r="AK64" s="517"/>
      <c r="AL64" s="517"/>
      <c r="AM64" s="517"/>
      <c r="AN64" s="517"/>
      <c r="AO64" s="517"/>
      <c r="AP64" s="517"/>
      <c r="AQ64" s="517"/>
      <c r="AR64" s="517"/>
      <c r="AS64" s="517"/>
      <c r="AT64" s="517"/>
      <c r="AU64" s="517"/>
      <c r="AV64" s="517"/>
      <c r="AW64" s="517"/>
      <c r="AX64" s="517"/>
      <c r="AY64" s="517"/>
      <c r="AZ64" s="517"/>
      <c r="BA64" s="517"/>
      <c r="BB64" s="517"/>
      <c r="BC64" s="517"/>
      <c r="BD64" s="517"/>
      <c r="BE64" s="517"/>
      <c r="BF64" s="517"/>
      <c r="BG64" s="51">
        <v>21</v>
      </c>
    </row>
    <row r="65" spans="7:59" x14ac:dyDescent="0.35">
      <c r="G65" s="51">
        <v>20</v>
      </c>
      <c r="H65" s="354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1">
        <v>20</v>
      </c>
      <c r="AH65" s="51">
        <v>20</v>
      </c>
      <c r="AI65" s="523"/>
      <c r="AJ65" s="517"/>
      <c r="AK65" s="517"/>
      <c r="AL65" s="517"/>
      <c r="AM65" s="517"/>
      <c r="AN65" s="517"/>
      <c r="AO65" s="517"/>
      <c r="AP65" s="517"/>
      <c r="AQ65" s="517"/>
      <c r="AR65" s="517"/>
      <c r="AS65" s="517"/>
      <c r="AT65" s="517"/>
      <c r="AU65" s="517"/>
      <c r="AV65" s="517"/>
      <c r="AW65" s="517"/>
      <c r="AX65" s="517"/>
      <c r="AY65" s="517"/>
      <c r="AZ65" s="517"/>
      <c r="BA65" s="517"/>
      <c r="BB65" s="517"/>
      <c r="BC65" s="517"/>
      <c r="BD65" s="517"/>
      <c r="BE65" s="517"/>
      <c r="BF65" s="517"/>
      <c r="BG65" s="51">
        <v>20</v>
      </c>
    </row>
    <row r="66" spans="7:59" x14ac:dyDescent="0.35">
      <c r="G66" s="51">
        <v>19</v>
      </c>
      <c r="H66" s="354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1">
        <v>19</v>
      </c>
      <c r="AH66" s="51">
        <v>19</v>
      </c>
      <c r="AI66" s="523"/>
      <c r="AJ66" s="517"/>
      <c r="AK66" s="517"/>
      <c r="AL66" s="517"/>
      <c r="AM66" s="517"/>
      <c r="AN66" s="517"/>
      <c r="AO66" s="517"/>
      <c r="AP66" s="517"/>
      <c r="AQ66" s="517"/>
      <c r="AR66" s="517"/>
      <c r="AS66" s="517"/>
      <c r="AT66" s="517"/>
      <c r="AU66" s="517"/>
      <c r="AV66" s="517"/>
      <c r="AW66" s="517"/>
      <c r="AX66" s="517"/>
      <c r="AY66" s="517"/>
      <c r="AZ66" s="517"/>
      <c r="BA66" s="517"/>
      <c r="BB66" s="517"/>
      <c r="BC66" s="517"/>
      <c r="BD66" s="517"/>
      <c r="BE66" s="517"/>
      <c r="BF66" s="517"/>
      <c r="BG66" s="51">
        <v>19</v>
      </c>
    </row>
    <row r="67" spans="7:59" x14ac:dyDescent="0.35">
      <c r="G67" s="51">
        <v>18</v>
      </c>
      <c r="H67" s="354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1">
        <v>18</v>
      </c>
      <c r="AH67" s="51">
        <v>18</v>
      </c>
      <c r="AI67" s="523"/>
      <c r="AJ67" s="517"/>
      <c r="AK67" s="517"/>
      <c r="AL67" s="517"/>
      <c r="AM67" s="517"/>
      <c r="AN67" s="517"/>
      <c r="AO67" s="517"/>
      <c r="AP67" s="517"/>
      <c r="AQ67" s="517"/>
      <c r="AR67" s="517"/>
      <c r="AS67" s="517"/>
      <c r="AT67" s="517"/>
      <c r="AU67" s="517"/>
      <c r="AV67" s="517"/>
      <c r="AW67" s="517"/>
      <c r="AX67" s="517"/>
      <c r="AY67" s="517"/>
      <c r="AZ67" s="517"/>
      <c r="BA67" s="517"/>
      <c r="BB67" s="517"/>
      <c r="BC67" s="517"/>
      <c r="BD67" s="517"/>
      <c r="BE67" s="517"/>
      <c r="BF67" s="517"/>
      <c r="BG67" s="51">
        <v>18</v>
      </c>
    </row>
    <row r="68" spans="7:59" x14ac:dyDescent="0.35">
      <c r="G68" s="51">
        <v>17</v>
      </c>
      <c r="H68" s="354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1">
        <v>17</v>
      </c>
      <c r="AH68" s="51">
        <v>17</v>
      </c>
      <c r="AI68" s="523"/>
      <c r="AJ68" s="517"/>
      <c r="AK68" s="517"/>
      <c r="AL68" s="517"/>
      <c r="AM68" s="517"/>
      <c r="AN68" s="517"/>
      <c r="AO68" s="517"/>
      <c r="AP68" s="517"/>
      <c r="AQ68" s="517"/>
      <c r="AR68" s="517"/>
      <c r="AS68" s="517"/>
      <c r="AT68" s="517"/>
      <c r="AU68" s="517"/>
      <c r="AV68" s="517"/>
      <c r="AW68" s="517"/>
      <c r="AX68" s="517"/>
      <c r="AY68" s="517"/>
      <c r="AZ68" s="517"/>
      <c r="BA68" s="517"/>
      <c r="BB68" s="517"/>
      <c r="BC68" s="517"/>
      <c r="BD68" s="517"/>
      <c r="BE68" s="517"/>
      <c r="BF68" s="517"/>
      <c r="BG68" s="51">
        <v>17</v>
      </c>
    </row>
    <row r="69" spans="7:59" x14ac:dyDescent="0.35">
      <c r="G69" s="51">
        <v>16</v>
      </c>
      <c r="H69" s="354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1">
        <v>16</v>
      </c>
      <c r="AH69" s="51">
        <v>16</v>
      </c>
      <c r="AI69" s="523"/>
      <c r="AJ69" s="517"/>
      <c r="AK69" s="517"/>
      <c r="AL69" s="517"/>
      <c r="AM69" s="517"/>
      <c r="AN69" s="517"/>
      <c r="AO69" s="517"/>
      <c r="AP69" s="517"/>
      <c r="AQ69" s="517"/>
      <c r="AR69" s="517"/>
      <c r="AS69" s="517"/>
      <c r="AT69" s="517"/>
      <c r="AU69" s="517"/>
      <c r="AV69" s="517"/>
      <c r="AW69" s="517"/>
      <c r="AX69" s="517"/>
      <c r="AY69" s="517"/>
      <c r="AZ69" s="517"/>
      <c r="BA69" s="517"/>
      <c r="BB69" s="517"/>
      <c r="BC69" s="517"/>
      <c r="BD69" s="517"/>
      <c r="BE69" s="517"/>
      <c r="BF69" s="517"/>
      <c r="BG69" s="51">
        <v>16</v>
      </c>
    </row>
    <row r="70" spans="7:59" x14ac:dyDescent="0.35">
      <c r="G70" s="51">
        <v>15</v>
      </c>
      <c r="H70" s="354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1">
        <v>15</v>
      </c>
      <c r="AH70" s="51">
        <v>15</v>
      </c>
      <c r="AI70" s="523"/>
      <c r="AJ70" s="517"/>
      <c r="AK70" s="517"/>
      <c r="AL70" s="517"/>
      <c r="AM70" s="517"/>
      <c r="AN70" s="517"/>
      <c r="AO70" s="517"/>
      <c r="AP70" s="517"/>
      <c r="AQ70" s="517"/>
      <c r="AR70" s="517"/>
      <c r="AS70" s="517"/>
      <c r="AT70" s="517"/>
      <c r="AU70" s="517"/>
      <c r="AV70" s="517"/>
      <c r="AW70" s="517"/>
      <c r="AX70" s="517"/>
      <c r="AY70" s="517"/>
      <c r="AZ70" s="517"/>
      <c r="BA70" s="517"/>
      <c r="BB70" s="517"/>
      <c r="BC70" s="517"/>
      <c r="BD70" s="517"/>
      <c r="BE70" s="517"/>
      <c r="BF70" s="517"/>
      <c r="BG70" s="51">
        <v>15</v>
      </c>
    </row>
    <row r="71" spans="7:59" x14ac:dyDescent="0.35">
      <c r="G71" s="51">
        <v>14</v>
      </c>
      <c r="H71" s="354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1">
        <v>14</v>
      </c>
      <c r="AH71" s="51">
        <v>14</v>
      </c>
      <c r="AI71" s="523"/>
      <c r="AJ71" s="517"/>
      <c r="AK71" s="517"/>
      <c r="AL71" s="517"/>
      <c r="AM71" s="517"/>
      <c r="AN71" s="517"/>
      <c r="AO71" s="517"/>
      <c r="AP71" s="517"/>
      <c r="AQ71" s="517"/>
      <c r="AR71" s="517"/>
      <c r="AS71" s="517"/>
      <c r="AT71" s="517"/>
      <c r="AU71" s="517"/>
      <c r="AV71" s="517"/>
      <c r="AW71" s="517"/>
      <c r="AX71" s="517"/>
      <c r="AY71" s="517"/>
      <c r="AZ71" s="517"/>
      <c r="BA71" s="517"/>
      <c r="BB71" s="517"/>
      <c r="BC71" s="517"/>
      <c r="BD71" s="517"/>
      <c r="BE71" s="517"/>
      <c r="BF71" s="517"/>
      <c r="BG71" s="51">
        <v>14</v>
      </c>
    </row>
    <row r="72" spans="7:59" x14ac:dyDescent="0.35">
      <c r="G72" s="51">
        <v>13</v>
      </c>
      <c r="H72" s="354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1">
        <v>13</v>
      </c>
      <c r="AH72" s="51">
        <v>13</v>
      </c>
      <c r="AI72" s="523"/>
      <c r="AJ72" s="517"/>
      <c r="AK72" s="517"/>
      <c r="AL72" s="517"/>
      <c r="AM72" s="517"/>
      <c r="AN72" s="517"/>
      <c r="AO72" s="517"/>
      <c r="AP72" s="517"/>
      <c r="AQ72" s="517"/>
      <c r="AR72" s="517"/>
      <c r="AS72" s="517"/>
      <c r="AT72" s="517"/>
      <c r="AU72" s="517"/>
      <c r="AV72" s="517"/>
      <c r="AW72" s="517"/>
      <c r="AX72" s="517"/>
      <c r="AY72" s="517"/>
      <c r="AZ72" s="517"/>
      <c r="BA72" s="517"/>
      <c r="BB72" s="517"/>
      <c r="BC72" s="517"/>
      <c r="BD72" s="517"/>
      <c r="BE72" s="517"/>
      <c r="BF72" s="517"/>
      <c r="BG72" s="51">
        <v>13</v>
      </c>
    </row>
    <row r="73" spans="7:59" x14ac:dyDescent="0.35">
      <c r="G73" s="51">
        <v>12</v>
      </c>
      <c r="H73" s="354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1">
        <v>12</v>
      </c>
      <c r="AH73" s="51">
        <v>12</v>
      </c>
      <c r="AI73" s="523"/>
      <c r="AJ73" s="517"/>
      <c r="AK73" s="517"/>
      <c r="AL73" s="517"/>
      <c r="AM73" s="517"/>
      <c r="AN73" s="517"/>
      <c r="AO73" s="517"/>
      <c r="AP73" s="517"/>
      <c r="AQ73" s="517"/>
      <c r="AR73" s="517"/>
      <c r="AS73" s="517"/>
      <c r="AT73" s="517"/>
      <c r="AU73" s="517"/>
      <c r="AV73" s="517"/>
      <c r="AW73" s="517"/>
      <c r="AX73" s="517"/>
      <c r="AY73" s="517"/>
      <c r="AZ73" s="517"/>
      <c r="BA73" s="517"/>
      <c r="BB73" s="517"/>
      <c r="BC73" s="517"/>
      <c r="BD73" s="517"/>
      <c r="BE73" s="517"/>
      <c r="BF73" s="517"/>
      <c r="BG73" s="51">
        <v>12</v>
      </c>
    </row>
    <row r="74" spans="7:59" x14ac:dyDescent="0.35">
      <c r="G74" s="51">
        <v>11</v>
      </c>
      <c r="H74" s="354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1">
        <v>11</v>
      </c>
      <c r="AH74" s="51">
        <v>11</v>
      </c>
      <c r="AI74" s="523"/>
      <c r="AJ74" s="517"/>
      <c r="AK74" s="517"/>
      <c r="AL74" s="517"/>
      <c r="AM74" s="517"/>
      <c r="AN74" s="517"/>
      <c r="AO74" s="517"/>
      <c r="AP74" s="517"/>
      <c r="AQ74" s="517"/>
      <c r="AR74" s="517"/>
      <c r="AS74" s="517"/>
      <c r="AT74" s="517"/>
      <c r="AU74" s="517"/>
      <c r="AV74" s="517"/>
      <c r="AW74" s="517"/>
      <c r="AX74" s="517"/>
      <c r="AY74" s="517"/>
      <c r="AZ74" s="517"/>
      <c r="BA74" s="517"/>
      <c r="BB74" s="517"/>
      <c r="BC74" s="517"/>
      <c r="BD74" s="517"/>
      <c r="BE74" s="517"/>
      <c r="BF74" s="517"/>
      <c r="BG74" s="51">
        <v>11</v>
      </c>
    </row>
    <row r="75" spans="7:59" x14ac:dyDescent="0.35">
      <c r="G75" s="51">
        <v>10</v>
      </c>
      <c r="H75" s="354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1">
        <v>10</v>
      </c>
      <c r="AH75" s="51">
        <v>10</v>
      </c>
      <c r="AI75" s="523"/>
      <c r="AJ75" s="517"/>
      <c r="AK75" s="517"/>
      <c r="AL75" s="517"/>
      <c r="AM75" s="517"/>
      <c r="AN75" s="517"/>
      <c r="AO75" s="517"/>
      <c r="AP75" s="517"/>
      <c r="AQ75" s="517"/>
      <c r="AR75" s="517"/>
      <c r="AS75" s="517"/>
      <c r="AT75" s="517"/>
      <c r="AU75" s="517"/>
      <c r="AV75" s="517"/>
      <c r="AW75" s="517"/>
      <c r="AX75" s="517"/>
      <c r="AY75" s="517"/>
      <c r="AZ75" s="517"/>
      <c r="BA75" s="517"/>
      <c r="BB75" s="517"/>
      <c r="BC75" s="517"/>
      <c r="BD75" s="517"/>
      <c r="BE75" s="517"/>
      <c r="BF75" s="517"/>
      <c r="BG75" s="51">
        <v>10</v>
      </c>
    </row>
    <row r="76" spans="7:59" x14ac:dyDescent="0.35">
      <c r="G76" s="51">
        <v>9</v>
      </c>
      <c r="H76" s="354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1">
        <v>9</v>
      </c>
      <c r="AH76" s="51">
        <v>9</v>
      </c>
      <c r="AI76" s="523"/>
      <c r="AJ76" s="517"/>
      <c r="AK76" s="517"/>
      <c r="AL76" s="517"/>
      <c r="AM76" s="517"/>
      <c r="AN76" s="517"/>
      <c r="AO76" s="517"/>
      <c r="AP76" s="517"/>
      <c r="AQ76" s="517"/>
      <c r="AR76" s="517"/>
      <c r="AS76" s="517"/>
      <c r="AT76" s="517"/>
      <c r="AU76" s="517"/>
      <c r="AV76" s="517"/>
      <c r="AW76" s="517"/>
      <c r="AX76" s="517"/>
      <c r="AY76" s="517"/>
      <c r="AZ76" s="517"/>
      <c r="BA76" s="517"/>
      <c r="BB76" s="517"/>
      <c r="BC76" s="517"/>
      <c r="BD76" s="517"/>
      <c r="BE76" s="517"/>
      <c r="BF76" s="517"/>
      <c r="BG76" s="51">
        <v>9</v>
      </c>
    </row>
    <row r="77" spans="7:59" x14ac:dyDescent="0.35">
      <c r="G77" s="51">
        <v>8</v>
      </c>
      <c r="H77" s="354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1">
        <v>8</v>
      </c>
      <c r="AH77" s="51">
        <v>8</v>
      </c>
      <c r="AI77" s="523"/>
      <c r="AJ77" s="517"/>
      <c r="AK77" s="517"/>
      <c r="AL77" s="517"/>
      <c r="AM77" s="517"/>
      <c r="AN77" s="517"/>
      <c r="AO77" s="517"/>
      <c r="AP77" s="517"/>
      <c r="AQ77" s="517"/>
      <c r="AR77" s="517"/>
      <c r="AS77" s="517"/>
      <c r="AT77" s="517"/>
      <c r="AU77" s="517"/>
      <c r="AV77" s="517"/>
      <c r="AW77" s="517"/>
      <c r="AX77" s="517"/>
      <c r="AY77" s="517"/>
      <c r="AZ77" s="517"/>
      <c r="BA77" s="517"/>
      <c r="BB77" s="517"/>
      <c r="BC77" s="517"/>
      <c r="BD77" s="517"/>
      <c r="BE77" s="517"/>
      <c r="BF77" s="517"/>
      <c r="BG77" s="51">
        <v>8</v>
      </c>
    </row>
    <row r="78" spans="7:59" x14ac:dyDescent="0.35">
      <c r="G78" s="51">
        <v>7</v>
      </c>
      <c r="H78" s="354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1">
        <v>7</v>
      </c>
      <c r="AH78" s="51">
        <v>7</v>
      </c>
      <c r="AI78" s="523"/>
      <c r="AJ78" s="517"/>
      <c r="AK78" s="517"/>
      <c r="AL78" s="517"/>
      <c r="AM78" s="517"/>
      <c r="AN78" s="517"/>
      <c r="AO78" s="517"/>
      <c r="AP78" s="517"/>
      <c r="AQ78" s="517"/>
      <c r="AR78" s="517"/>
      <c r="AS78" s="517"/>
      <c r="AT78" s="517"/>
      <c r="AU78" s="517"/>
      <c r="AV78" s="517"/>
      <c r="AW78" s="517"/>
      <c r="AX78" s="517"/>
      <c r="AY78" s="517"/>
      <c r="AZ78" s="517"/>
      <c r="BA78" s="517"/>
      <c r="BB78" s="517"/>
      <c r="BC78" s="517"/>
      <c r="BD78" s="517"/>
      <c r="BE78" s="517"/>
      <c r="BF78" s="517"/>
      <c r="BG78" s="51">
        <v>7</v>
      </c>
    </row>
    <row r="79" spans="7:59" x14ac:dyDescent="0.35">
      <c r="G79" s="51">
        <v>6</v>
      </c>
      <c r="H79" s="354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1">
        <v>6</v>
      </c>
      <c r="AH79" s="51">
        <v>6</v>
      </c>
      <c r="AI79" s="523"/>
      <c r="AJ79" s="517"/>
      <c r="AK79" s="517"/>
      <c r="AL79" s="517"/>
      <c r="AM79" s="517"/>
      <c r="AN79" s="517"/>
      <c r="AO79" s="517"/>
      <c r="AP79" s="517"/>
      <c r="AQ79" s="517"/>
      <c r="AR79" s="517"/>
      <c r="AS79" s="517"/>
      <c r="AT79" s="517"/>
      <c r="AU79" s="517"/>
      <c r="AV79" s="517"/>
      <c r="AW79" s="517"/>
      <c r="AX79" s="517"/>
      <c r="AY79" s="517"/>
      <c r="AZ79" s="517"/>
      <c r="BA79" s="517"/>
      <c r="BB79" s="517"/>
      <c r="BC79" s="517"/>
      <c r="BD79" s="517"/>
      <c r="BE79" s="517"/>
      <c r="BF79" s="517"/>
      <c r="BG79" s="51">
        <v>6</v>
      </c>
    </row>
    <row r="80" spans="7:59" x14ac:dyDescent="0.35">
      <c r="G80" s="51">
        <v>5</v>
      </c>
      <c r="H80" s="354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1">
        <v>5</v>
      </c>
      <c r="AH80" s="51">
        <v>5</v>
      </c>
      <c r="AI80" s="523"/>
      <c r="AJ80" s="517"/>
      <c r="AK80" s="517"/>
      <c r="AL80" s="517"/>
      <c r="AM80" s="517"/>
      <c r="AN80" s="517"/>
      <c r="AO80" s="517"/>
      <c r="AP80" s="517"/>
      <c r="AQ80" s="517"/>
      <c r="AR80" s="517"/>
      <c r="AS80" s="517"/>
      <c r="AT80" s="517"/>
      <c r="AU80" s="517"/>
      <c r="AV80" s="517"/>
      <c r="AW80" s="517"/>
      <c r="AX80" s="517"/>
      <c r="AY80" s="517"/>
      <c r="AZ80" s="517"/>
      <c r="BA80" s="517"/>
      <c r="BB80" s="517"/>
      <c r="BC80" s="517"/>
      <c r="BD80" s="517"/>
      <c r="BE80" s="517"/>
      <c r="BF80" s="517"/>
      <c r="BG80" s="51">
        <v>5</v>
      </c>
    </row>
    <row r="81" spans="7:59" x14ac:dyDescent="0.35">
      <c r="G81" s="51">
        <v>4</v>
      </c>
      <c r="H81" s="354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1">
        <v>4</v>
      </c>
      <c r="AH81" s="51">
        <v>4</v>
      </c>
      <c r="AI81" s="523"/>
      <c r="AJ81" s="517"/>
      <c r="AK81" s="517"/>
      <c r="AL81" s="517"/>
      <c r="AM81" s="517"/>
      <c r="AN81" s="517"/>
      <c r="AO81" s="517"/>
      <c r="AP81" s="517"/>
      <c r="AQ81" s="517"/>
      <c r="AR81" s="517"/>
      <c r="AS81" s="517"/>
      <c r="AT81" s="517"/>
      <c r="AU81" s="517"/>
      <c r="AV81" s="517"/>
      <c r="AW81" s="517"/>
      <c r="AX81" s="517"/>
      <c r="AY81" s="517"/>
      <c r="AZ81" s="517"/>
      <c r="BA81" s="517"/>
      <c r="BB81" s="517"/>
      <c r="BC81" s="517"/>
      <c r="BD81" s="517"/>
      <c r="BE81" s="517"/>
      <c r="BF81" s="517"/>
      <c r="BG81" s="51">
        <v>4</v>
      </c>
    </row>
    <row r="82" spans="7:59" x14ac:dyDescent="0.35">
      <c r="G82" s="51">
        <v>3</v>
      </c>
      <c r="H82" s="354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1">
        <v>3</v>
      </c>
      <c r="AH82" s="51">
        <v>3</v>
      </c>
      <c r="AI82" s="523"/>
      <c r="AJ82" s="517"/>
      <c r="AK82" s="517"/>
      <c r="AL82" s="517"/>
      <c r="AM82" s="517"/>
      <c r="AN82" s="517"/>
      <c r="AO82" s="517"/>
      <c r="AP82" s="517"/>
      <c r="AQ82" s="517"/>
      <c r="AR82" s="517"/>
      <c r="AS82" s="517"/>
      <c r="AT82" s="517"/>
      <c r="AU82" s="517"/>
      <c r="AV82" s="517"/>
      <c r="AW82" s="517"/>
      <c r="AX82" s="517"/>
      <c r="AY82" s="517"/>
      <c r="AZ82" s="517"/>
      <c r="BA82" s="517"/>
      <c r="BB82" s="517"/>
      <c r="BC82" s="517"/>
      <c r="BD82" s="517"/>
      <c r="BE82" s="517"/>
      <c r="BF82" s="517"/>
      <c r="BG82" s="51">
        <v>3</v>
      </c>
    </row>
    <row r="83" spans="7:59" x14ac:dyDescent="0.35">
      <c r="G83" s="51">
        <v>2</v>
      </c>
      <c r="H83" s="354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51">
        <v>2</v>
      </c>
      <c r="AH83" s="51">
        <v>2</v>
      </c>
      <c r="AI83" s="523"/>
      <c r="AJ83" s="517"/>
      <c r="AK83" s="517"/>
      <c r="AL83" s="517"/>
      <c r="AM83" s="517"/>
      <c r="AN83" s="517"/>
      <c r="AO83" s="517"/>
      <c r="AP83" s="517"/>
      <c r="AQ83" s="517"/>
      <c r="AR83" s="517"/>
      <c r="AS83" s="517"/>
      <c r="AT83" s="517"/>
      <c r="AU83" s="517"/>
      <c r="AV83" s="517"/>
      <c r="AW83" s="517"/>
      <c r="AX83" s="517"/>
      <c r="AY83" s="517"/>
      <c r="AZ83" s="517"/>
      <c r="BA83" s="517"/>
      <c r="BB83" s="517"/>
      <c r="BC83" s="517"/>
      <c r="BD83" s="517"/>
      <c r="BE83" s="517"/>
      <c r="BF83" s="517"/>
      <c r="BG83" s="51">
        <v>2</v>
      </c>
    </row>
    <row r="84" spans="7:59" x14ac:dyDescent="0.35">
      <c r="G84" s="51">
        <v>1</v>
      </c>
      <c r="H84" s="354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1">
        <v>1</v>
      </c>
      <c r="AH84" s="51">
        <v>1</v>
      </c>
      <c r="AI84" s="523"/>
      <c r="AJ84" s="517"/>
      <c r="AK84" s="517"/>
      <c r="AL84" s="517"/>
      <c r="AM84" s="517"/>
      <c r="AN84" s="517"/>
      <c r="AO84" s="517"/>
      <c r="AP84" s="517"/>
      <c r="AQ84" s="517"/>
      <c r="AR84" s="517"/>
      <c r="AS84" s="517"/>
      <c r="AT84" s="517"/>
      <c r="AU84" s="517"/>
      <c r="AV84" s="517"/>
      <c r="AW84" s="517"/>
      <c r="AX84" s="517"/>
      <c r="AY84" s="517"/>
      <c r="AZ84" s="517"/>
      <c r="BA84" s="517"/>
      <c r="BB84" s="517"/>
      <c r="BC84" s="517"/>
      <c r="BD84" s="517"/>
      <c r="BE84" s="517"/>
      <c r="BF84" s="517"/>
      <c r="BG84" s="51">
        <v>1</v>
      </c>
    </row>
    <row r="85" spans="7:59" x14ac:dyDescent="0.35">
      <c r="H85" s="352">
        <v>1</v>
      </c>
      <c r="I85" s="352">
        <v>2</v>
      </c>
      <c r="J85" s="352">
        <v>3</v>
      </c>
      <c r="K85" s="352">
        <v>4</v>
      </c>
      <c r="L85" s="352">
        <v>5</v>
      </c>
      <c r="M85" s="352">
        <v>6</v>
      </c>
      <c r="N85" s="352">
        <v>7</v>
      </c>
      <c r="O85" s="352">
        <v>8</v>
      </c>
      <c r="P85" s="352">
        <v>9</v>
      </c>
      <c r="Q85" s="352">
        <v>10</v>
      </c>
      <c r="R85" s="352">
        <v>11</v>
      </c>
      <c r="S85" s="352">
        <v>12</v>
      </c>
      <c r="T85" s="352">
        <v>13</v>
      </c>
      <c r="U85" s="352">
        <v>14</v>
      </c>
      <c r="V85" s="352">
        <v>15</v>
      </c>
      <c r="W85" s="352">
        <v>16</v>
      </c>
      <c r="X85" s="352">
        <v>17</v>
      </c>
      <c r="Y85" s="352">
        <v>18</v>
      </c>
      <c r="Z85" s="352">
        <v>19</v>
      </c>
      <c r="AA85" s="352">
        <v>20</v>
      </c>
      <c r="AB85" s="352">
        <v>21</v>
      </c>
      <c r="AC85" s="352">
        <v>22</v>
      </c>
      <c r="AD85" s="352">
        <v>23</v>
      </c>
      <c r="AE85" s="352">
        <v>24</v>
      </c>
      <c r="AI85" s="353">
        <v>1</v>
      </c>
      <c r="AJ85" s="352">
        <v>2</v>
      </c>
      <c r="AK85" s="353">
        <v>3</v>
      </c>
      <c r="AL85" s="352">
        <v>4</v>
      </c>
      <c r="AM85" s="353">
        <v>5</v>
      </c>
      <c r="AN85" s="352">
        <v>6</v>
      </c>
      <c r="AO85" s="353">
        <v>7</v>
      </c>
      <c r="AP85" s="352">
        <v>8</v>
      </c>
      <c r="AQ85" s="353">
        <v>9</v>
      </c>
      <c r="AR85" s="352">
        <v>10</v>
      </c>
      <c r="AS85" s="353">
        <v>11</v>
      </c>
      <c r="AT85" s="352">
        <v>12</v>
      </c>
      <c r="AU85" s="353">
        <v>13</v>
      </c>
      <c r="AV85" s="352">
        <v>14</v>
      </c>
      <c r="AW85" s="353">
        <v>15</v>
      </c>
      <c r="AX85" s="352">
        <v>16</v>
      </c>
      <c r="AY85" s="353">
        <v>17</v>
      </c>
      <c r="AZ85" s="352">
        <v>18</v>
      </c>
      <c r="BA85" s="353">
        <v>19</v>
      </c>
      <c r="BB85" s="352">
        <v>20</v>
      </c>
      <c r="BC85" s="353">
        <v>21</v>
      </c>
      <c r="BD85" s="352">
        <v>22</v>
      </c>
      <c r="BE85" s="353">
        <v>23</v>
      </c>
      <c r="BF85" s="352">
        <v>24</v>
      </c>
    </row>
    <row r="86" spans="7:59" x14ac:dyDescent="0.35">
      <c r="H86" s="48" t="s">
        <v>176</v>
      </c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  <c r="T86" s="48"/>
      <c r="U86" s="48"/>
      <c r="V86" s="48"/>
      <c r="W86" s="48"/>
      <c r="X86" s="48"/>
      <c r="Y86" s="48"/>
      <c r="Z86" s="48"/>
      <c r="AA86" s="48"/>
      <c r="AB86" s="48"/>
      <c r="AC86" s="48"/>
      <c r="AD86" s="48"/>
      <c r="AE86" s="48"/>
      <c r="AI86" s="48" t="s">
        <v>176</v>
      </c>
      <c r="AJ86" s="23"/>
      <c r="AK86" s="23"/>
      <c r="AL86" s="23"/>
      <c r="AM86" s="23"/>
      <c r="AN86" s="23"/>
      <c r="AO86" s="23"/>
      <c r="AP86" s="23"/>
      <c r="AQ86" s="23"/>
      <c r="AR86" s="23"/>
      <c r="AS86" s="23"/>
      <c r="AT86" s="23"/>
      <c r="AU86" s="23"/>
      <c r="AV86" s="23"/>
      <c r="AW86" s="23"/>
      <c r="AX86" s="23"/>
      <c r="AY86" s="23"/>
      <c r="AZ86" s="23"/>
      <c r="BA86" s="23"/>
      <c r="BB86" s="23"/>
      <c r="BC86" s="23"/>
      <c r="BD86" s="23"/>
      <c r="BE86" s="23"/>
      <c r="BF86" s="23"/>
    </row>
    <row r="87" spans="7:59" x14ac:dyDescent="0.35">
      <c r="H87" s="48" t="s">
        <v>211</v>
      </c>
      <c r="I87" s="48"/>
      <c r="J87" s="48"/>
      <c r="K87" s="48"/>
      <c r="L87" s="48"/>
      <c r="M87" s="48"/>
      <c r="N87" s="48"/>
      <c r="O87" s="48"/>
      <c r="P87" s="48"/>
      <c r="Q87" s="48"/>
      <c r="R87" s="48"/>
      <c r="S87" s="48"/>
      <c r="T87" s="48"/>
      <c r="U87" s="48"/>
      <c r="V87" s="48"/>
      <c r="W87" s="48"/>
      <c r="X87" s="48"/>
      <c r="Y87" s="48"/>
      <c r="Z87" s="48"/>
      <c r="AA87" s="48"/>
      <c r="AB87" s="48"/>
      <c r="AC87" s="48"/>
      <c r="AD87" s="48"/>
      <c r="AE87" s="47"/>
      <c r="AF87" s="47"/>
      <c r="AG87" s="47"/>
      <c r="AH87" s="47"/>
      <c r="AI87" s="48" t="s">
        <v>13</v>
      </c>
      <c r="AJ87" s="48"/>
    </row>
  </sheetData>
  <mergeCells count="7">
    <mergeCell ref="B4:BH4"/>
    <mergeCell ref="F20:F26"/>
    <mergeCell ref="BH20:BH26"/>
    <mergeCell ref="E9:E10"/>
    <mergeCell ref="D10:D11"/>
    <mergeCell ref="G15:P15"/>
    <mergeCell ref="B17:D17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O88"/>
  <sheetViews>
    <sheetView topLeftCell="A3" zoomScale="70" zoomScaleNormal="70" workbookViewId="0">
      <selection activeCell="B3" sqref="B3"/>
    </sheetView>
  </sheetViews>
  <sheetFormatPr baseColWidth="10" defaultRowHeight="14.5" x14ac:dyDescent="0.35"/>
  <cols>
    <col min="1" max="1" width="1.26953125" customWidth="1"/>
    <col min="2" max="2" width="16.54296875" customWidth="1"/>
    <col min="4" max="5" width="10.54296875" customWidth="1"/>
    <col min="6" max="6" width="5.81640625" customWidth="1"/>
    <col min="7" max="7" width="5.1796875" customWidth="1"/>
    <col min="8" max="31" width="2.6328125" customWidth="1"/>
    <col min="32" max="32" width="3.26953125" customWidth="1"/>
    <col min="33" max="33" width="4.453125" customWidth="1"/>
    <col min="34" max="34" width="3.26953125" customWidth="1"/>
    <col min="35" max="58" width="2.6328125" customWidth="1"/>
    <col min="59" max="59" width="4.1796875" style="23" customWidth="1"/>
    <col min="60" max="60" width="3.7265625" style="23" customWidth="1"/>
    <col min="61" max="61" width="2" style="23" customWidth="1"/>
    <col min="62" max="67" width="3.7265625" style="23" customWidth="1"/>
    <col min="75" max="75" width="2.54296875" customWidth="1"/>
  </cols>
  <sheetData>
    <row r="1" spans="1:66" hidden="1" x14ac:dyDescent="0.35">
      <c r="B1" s="22" t="str">
        <f>C8</f>
        <v>meses</v>
      </c>
      <c r="C1" s="22" t="s">
        <v>4</v>
      </c>
      <c r="D1" s="22" t="s">
        <v>5</v>
      </c>
      <c r="E1" s="22" t="s">
        <v>6</v>
      </c>
      <c r="F1" s="22"/>
      <c r="G1" s="22"/>
      <c r="BG1"/>
      <c r="BH1"/>
      <c r="BI1"/>
      <c r="BJ1"/>
      <c r="BK1"/>
    </row>
    <row r="2" spans="1:66" hidden="1" x14ac:dyDescent="0.35">
      <c r="B2" s="22" t="s">
        <v>7</v>
      </c>
      <c r="C2" s="22" t="s">
        <v>8</v>
      </c>
      <c r="D2" s="22" t="s">
        <v>9</v>
      </c>
      <c r="E2" s="22" t="s">
        <v>10</v>
      </c>
      <c r="F2" s="22" t="str">
        <f>CONCATENATE(C2," ",C6," ",D2," ",C12," ",C8)</f>
        <v>puede representarse llegando los 66 pacientes, a los 24 meses</v>
      </c>
      <c r="G2" s="22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BG2"/>
      <c r="BH2"/>
      <c r="BI2"/>
      <c r="BJ2"/>
      <c r="BK2"/>
    </row>
    <row r="3" spans="1:66" ht="8.25" customHeight="1" thickBot="1" x14ac:dyDescent="0.4">
      <c r="A3" s="494"/>
      <c r="B3" s="496"/>
      <c r="C3" s="494"/>
      <c r="D3" s="496"/>
      <c r="E3" s="496"/>
      <c r="F3" s="496"/>
      <c r="G3" s="496"/>
      <c r="H3" s="496"/>
      <c r="I3" s="496"/>
      <c r="J3" s="496"/>
      <c r="K3" s="496"/>
      <c r="L3" s="496"/>
      <c r="M3" s="496"/>
      <c r="N3" s="496"/>
      <c r="O3" s="496"/>
      <c r="P3" s="496"/>
      <c r="Q3" s="496"/>
      <c r="R3" s="496"/>
      <c r="S3" s="496"/>
      <c r="T3" s="496"/>
      <c r="U3" s="496"/>
      <c r="V3" s="496"/>
      <c r="W3" s="496"/>
      <c r="X3" s="496"/>
      <c r="Y3" s="496"/>
      <c r="Z3" s="496"/>
      <c r="AA3" s="496"/>
      <c r="AB3" s="496"/>
      <c r="AC3" s="496"/>
      <c r="AD3" s="496"/>
      <c r="AE3" s="496"/>
      <c r="AF3" s="497"/>
      <c r="AG3" s="497"/>
      <c r="AH3" s="497"/>
      <c r="AI3" s="494"/>
      <c r="AJ3" s="494"/>
      <c r="AK3" s="494"/>
      <c r="AL3" s="494"/>
      <c r="AM3" s="494"/>
      <c r="AN3" s="494"/>
      <c r="AO3" s="494"/>
      <c r="AP3" s="494"/>
      <c r="AQ3" s="494"/>
      <c r="AR3" s="494"/>
      <c r="AS3" s="494"/>
      <c r="AT3" s="494"/>
      <c r="AU3" s="494"/>
      <c r="AV3" s="494"/>
      <c r="AW3" s="494"/>
      <c r="AX3" s="494"/>
      <c r="AY3" s="494"/>
      <c r="AZ3" s="494"/>
      <c r="BA3" s="494"/>
      <c r="BB3" s="494"/>
      <c r="BC3" s="494"/>
      <c r="BD3" s="494"/>
      <c r="BE3" s="494"/>
      <c r="BF3" s="494"/>
      <c r="BG3" s="494"/>
      <c r="BH3" s="494"/>
      <c r="BI3"/>
      <c r="BJ3"/>
      <c r="BK3"/>
    </row>
    <row r="4" spans="1:66" ht="54.5" customHeight="1" thickBot="1" x14ac:dyDescent="0.4">
      <c r="A4" s="494"/>
      <c r="B4" s="595" t="s">
        <v>217</v>
      </c>
      <c r="C4" s="596"/>
      <c r="D4" s="596"/>
      <c r="E4" s="596"/>
      <c r="F4" s="596"/>
      <c r="G4" s="596"/>
      <c r="H4" s="596"/>
      <c r="I4" s="596"/>
      <c r="J4" s="596"/>
      <c r="K4" s="596"/>
      <c r="L4" s="596"/>
      <c r="M4" s="596"/>
      <c r="N4" s="596"/>
      <c r="O4" s="596"/>
      <c r="P4" s="596"/>
      <c r="Q4" s="596"/>
      <c r="R4" s="596"/>
      <c r="S4" s="596"/>
      <c r="T4" s="596"/>
      <c r="U4" s="596"/>
      <c r="V4" s="596"/>
      <c r="W4" s="596"/>
      <c r="X4" s="596"/>
      <c r="Y4" s="596"/>
      <c r="Z4" s="596"/>
      <c r="AA4" s="596"/>
      <c r="AB4" s="596"/>
      <c r="AC4" s="596"/>
      <c r="AD4" s="596"/>
      <c r="AE4" s="596"/>
      <c r="AF4" s="596"/>
      <c r="AG4" s="596"/>
      <c r="AH4" s="596"/>
      <c r="AI4" s="596"/>
      <c r="AJ4" s="596"/>
      <c r="AK4" s="596"/>
      <c r="AL4" s="596"/>
      <c r="AM4" s="596"/>
      <c r="AN4" s="596"/>
      <c r="AO4" s="596"/>
      <c r="AP4" s="596"/>
      <c r="AQ4" s="596"/>
      <c r="AR4" s="596"/>
      <c r="AS4" s="596"/>
      <c r="AT4" s="596"/>
      <c r="AU4" s="596"/>
      <c r="AV4" s="596"/>
      <c r="AW4" s="596"/>
      <c r="AX4" s="596"/>
      <c r="AY4" s="596"/>
      <c r="AZ4" s="596"/>
      <c r="BA4" s="596"/>
      <c r="BB4" s="596"/>
      <c r="BC4" s="596"/>
      <c r="BD4" s="596"/>
      <c r="BE4" s="596"/>
      <c r="BF4" s="596"/>
      <c r="BG4" s="596"/>
      <c r="BH4" s="597"/>
      <c r="BI4"/>
      <c r="BJ4"/>
      <c r="BK4"/>
    </row>
    <row r="5" spans="1:66" ht="8" customHeight="1" x14ac:dyDescent="0.35">
      <c r="A5" s="494"/>
      <c r="B5" s="499"/>
      <c r="C5" s="499"/>
      <c r="D5" s="499"/>
      <c r="E5" s="499"/>
      <c r="F5" s="499"/>
      <c r="G5" s="499"/>
      <c r="H5" s="499"/>
      <c r="I5" s="499"/>
      <c r="J5" s="499"/>
      <c r="K5" s="499"/>
      <c r="L5" s="499"/>
      <c r="M5" s="499"/>
      <c r="N5" s="499"/>
      <c r="O5" s="499"/>
      <c r="P5" s="499"/>
      <c r="Q5" s="499"/>
      <c r="R5" s="499"/>
      <c r="S5" s="499"/>
      <c r="T5" s="499"/>
      <c r="U5" s="499"/>
      <c r="V5" s="499"/>
      <c r="W5" s="499"/>
      <c r="X5" s="499"/>
      <c r="Y5" s="499"/>
      <c r="Z5" s="499"/>
      <c r="AA5" s="499"/>
      <c r="AB5" s="499"/>
      <c r="AC5" s="499"/>
      <c r="AD5" s="499"/>
      <c r="AE5" s="499"/>
      <c r="AF5" s="499"/>
      <c r="AG5" s="499"/>
      <c r="AH5" s="499"/>
      <c r="AI5" s="499"/>
      <c r="AJ5" s="499"/>
      <c r="AK5" s="499"/>
      <c r="AL5" s="499"/>
      <c r="AM5" s="499"/>
      <c r="AN5" s="499"/>
      <c r="AO5" s="499"/>
      <c r="AP5" s="499"/>
      <c r="AQ5" s="499"/>
      <c r="AR5" s="499"/>
      <c r="AS5" s="499"/>
      <c r="AT5" s="499"/>
      <c r="AU5" s="499"/>
      <c r="AV5" s="499"/>
      <c r="AW5" s="499"/>
      <c r="AX5" s="499"/>
      <c r="AY5" s="499"/>
      <c r="AZ5" s="499"/>
      <c r="BA5" s="499"/>
      <c r="BB5" s="499"/>
      <c r="BC5" s="499"/>
      <c r="BD5" s="499"/>
      <c r="BE5" s="499"/>
      <c r="BF5" s="499"/>
      <c r="BG5" s="499"/>
      <c r="BH5" s="494"/>
      <c r="BI5"/>
      <c r="BJ5"/>
      <c r="BK5"/>
    </row>
    <row r="6" spans="1:66" ht="26" x14ac:dyDescent="0.35">
      <c r="B6" s="348" t="s">
        <v>143</v>
      </c>
      <c r="C6" s="26">
        <f>D6+E6+F6</f>
        <v>66</v>
      </c>
      <c r="D6" s="500">
        <v>2</v>
      </c>
      <c r="E6" s="501">
        <v>1</v>
      </c>
      <c r="F6" s="502">
        <v>63</v>
      </c>
      <c r="H6" s="25"/>
      <c r="I6" s="386" t="s">
        <v>204</v>
      </c>
      <c r="J6" s="25"/>
      <c r="K6" s="342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"/>
      <c r="BG6"/>
      <c r="BH6"/>
      <c r="BI6"/>
      <c r="BJ6"/>
      <c r="BK6"/>
    </row>
    <row r="7" spans="1:66" ht="15.75" customHeight="1" x14ac:dyDescent="0.35">
      <c r="B7" s="25"/>
      <c r="C7" s="438">
        <f>D9/D6</f>
        <v>18.931316187594554</v>
      </c>
      <c r="D7" s="439">
        <f>D6*19</f>
        <v>38</v>
      </c>
      <c r="E7" s="440">
        <f>E9/(D6+E6)</f>
        <v>16.612214965218893</v>
      </c>
      <c r="F7" s="441">
        <f>(D6+E6)*11</f>
        <v>33</v>
      </c>
      <c r="G7" s="25"/>
      <c r="H7" s="25"/>
      <c r="I7" s="387" t="s">
        <v>152</v>
      </c>
      <c r="J7" s="25"/>
      <c r="K7" s="341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BG7"/>
      <c r="BH7"/>
      <c r="BI7"/>
      <c r="BJ7"/>
      <c r="BK7"/>
    </row>
    <row r="8" spans="1:66" ht="39.75" customHeight="1" x14ac:dyDescent="0.35">
      <c r="B8" s="349" t="s">
        <v>142</v>
      </c>
      <c r="C8" s="29" t="s">
        <v>134</v>
      </c>
      <c r="D8" s="30" t="str">
        <f>CONCATENATE(B1," ",C1," ",C6," ",D1)</f>
        <v>meses de los 66 del grupo Interv</v>
      </c>
      <c r="E8" s="30" t="str">
        <f>CONCATENATE(B1," ",C1," ",C6," ",E1)</f>
        <v>meses de los 66 del grupo Contr</v>
      </c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BG8"/>
      <c r="BH8"/>
      <c r="BI8"/>
      <c r="BJ8"/>
      <c r="BK8"/>
    </row>
    <row r="9" spans="1:66" x14ac:dyDescent="0.35">
      <c r="B9" s="31" t="s">
        <v>1</v>
      </c>
      <c r="C9" s="32">
        <v>0.57367624810892592</v>
      </c>
      <c r="D9" s="383">
        <f>C9*C6</f>
        <v>37.862632375189108</v>
      </c>
      <c r="E9" s="598">
        <f>(C9+C10)*C6</f>
        <v>49.836644895656676</v>
      </c>
      <c r="F9" s="33"/>
      <c r="G9" s="33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25"/>
      <c r="AF9" s="25"/>
      <c r="AG9" s="25"/>
      <c r="AH9" s="25"/>
      <c r="BG9"/>
      <c r="BH9"/>
      <c r="BI9"/>
      <c r="BJ9"/>
      <c r="BK9"/>
    </row>
    <row r="10" spans="1:66" ht="26.5" x14ac:dyDescent="0.35">
      <c r="B10" s="35" t="s">
        <v>3</v>
      </c>
      <c r="C10" s="36">
        <v>0.1814244321282964</v>
      </c>
      <c r="D10" s="599">
        <f>(C11+C10)*C6</f>
        <v>1546.1373676248111</v>
      </c>
      <c r="E10" s="598"/>
      <c r="F10" s="28"/>
      <c r="G10" s="37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25"/>
      <c r="AF10" s="25"/>
      <c r="AG10" s="25"/>
      <c r="AH10" s="25"/>
      <c r="BG10"/>
      <c r="BH10"/>
      <c r="BI10"/>
      <c r="BJ10"/>
      <c r="BK10"/>
    </row>
    <row r="11" spans="1:66" ht="26.5" x14ac:dyDescent="0.35">
      <c r="B11" s="38" t="s">
        <v>2</v>
      </c>
      <c r="C11" s="39">
        <v>23.24489931976278</v>
      </c>
      <c r="D11" s="599"/>
      <c r="E11" s="40">
        <f>C11*C6</f>
        <v>1534.1633551043435</v>
      </c>
      <c r="F11" s="27"/>
      <c r="G11" s="37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25"/>
      <c r="AF11" s="25"/>
      <c r="AG11" s="25"/>
      <c r="AH11" s="25"/>
      <c r="BG11"/>
      <c r="BH11"/>
      <c r="BI11"/>
      <c r="BJ11"/>
      <c r="BK11"/>
    </row>
    <row r="12" spans="1:66" x14ac:dyDescent="0.35">
      <c r="B12" s="3"/>
      <c r="C12" s="42">
        <v>24.000000000000004</v>
      </c>
      <c r="D12" s="43">
        <f>D9+D10</f>
        <v>1584.0000000000002</v>
      </c>
      <c r="E12" s="43">
        <f>E9+E11</f>
        <v>1584.0000000000002</v>
      </c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</row>
    <row r="13" spans="1:66" ht="9" customHeight="1" x14ac:dyDescent="0.35"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</row>
    <row r="14" spans="1:66" x14ac:dyDescent="0.35">
      <c r="B14" s="540"/>
      <c r="C14" s="540"/>
      <c r="D14" s="541"/>
      <c r="E14" s="541"/>
      <c r="F14" s="25"/>
      <c r="G14" s="45" t="s">
        <v>12</v>
      </c>
      <c r="H14" s="25"/>
      <c r="I14" s="25"/>
      <c r="J14" s="25"/>
      <c r="K14" s="25"/>
      <c r="L14" s="25"/>
      <c r="M14" s="25"/>
      <c r="N14" s="25"/>
      <c r="O14" s="25"/>
      <c r="P14" s="25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</row>
    <row r="15" spans="1:66" ht="36" customHeight="1" x14ac:dyDescent="0.35">
      <c r="B15" s="543"/>
      <c r="C15" s="543"/>
      <c r="D15" s="542"/>
      <c r="E15" s="542"/>
      <c r="G15" s="600" t="str">
        <f>IF((AND(((C10+C11)/C12)&gt;((E6+F6)/C6),(C11/C12)&gt;(F6/C6))),F2,#REF!)</f>
        <v>puede representarse llegando los 66 pacientes, a los 24 meses</v>
      </c>
      <c r="H15" s="600"/>
      <c r="I15" s="600"/>
      <c r="J15" s="600"/>
      <c r="K15" s="600"/>
      <c r="L15" s="600"/>
      <c r="M15" s="600"/>
      <c r="N15" s="600"/>
      <c r="O15" s="600"/>
      <c r="P15" s="600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</row>
    <row r="16" spans="1:66" ht="18.75" customHeight="1" x14ac:dyDescent="0.35">
      <c r="B16" s="46"/>
      <c r="C16" s="46"/>
      <c r="D16" s="46"/>
      <c r="E16" s="46"/>
      <c r="G16" s="47"/>
      <c r="H16" s="426">
        <v>24</v>
      </c>
      <c r="I16" s="426">
        <v>23</v>
      </c>
      <c r="J16" s="426">
        <v>22</v>
      </c>
      <c r="K16" s="426">
        <v>21</v>
      </c>
      <c r="L16" s="426">
        <v>20</v>
      </c>
      <c r="M16" s="426">
        <v>19</v>
      </c>
      <c r="N16" s="426">
        <v>18</v>
      </c>
      <c r="O16" s="426">
        <v>17</v>
      </c>
      <c r="P16" s="426">
        <v>16</v>
      </c>
      <c r="Q16" s="426">
        <v>15</v>
      </c>
      <c r="R16" s="426">
        <v>14</v>
      </c>
      <c r="S16" s="426">
        <v>13</v>
      </c>
      <c r="T16" s="426">
        <v>12</v>
      </c>
      <c r="U16" s="426">
        <v>11</v>
      </c>
      <c r="V16" s="426">
        <v>10</v>
      </c>
      <c r="W16" s="426">
        <v>9</v>
      </c>
      <c r="X16" s="426">
        <v>8</v>
      </c>
      <c r="Y16" s="426">
        <v>7</v>
      </c>
      <c r="Z16" s="426">
        <v>6</v>
      </c>
      <c r="AA16" s="426">
        <v>5</v>
      </c>
      <c r="AB16" s="426">
        <v>4</v>
      </c>
      <c r="AC16" s="426">
        <v>3</v>
      </c>
      <c r="AD16" s="426">
        <v>2</v>
      </c>
      <c r="AE16" s="426">
        <v>1</v>
      </c>
      <c r="AF16" s="47"/>
      <c r="AG16" s="47"/>
      <c r="AH16" s="47"/>
      <c r="AI16" s="426">
        <v>24</v>
      </c>
      <c r="AJ16" s="426">
        <v>23</v>
      </c>
      <c r="AK16" s="426">
        <v>22</v>
      </c>
      <c r="AL16" s="426">
        <v>21</v>
      </c>
      <c r="AM16" s="426">
        <v>20</v>
      </c>
      <c r="AN16" s="426">
        <v>19</v>
      </c>
      <c r="AO16" s="426">
        <v>18</v>
      </c>
      <c r="AP16" s="426">
        <v>17</v>
      </c>
      <c r="AQ16" s="426">
        <v>16</v>
      </c>
      <c r="AR16" s="426">
        <v>15</v>
      </c>
      <c r="AS16" s="426">
        <v>14</v>
      </c>
      <c r="AT16" s="426">
        <v>13</v>
      </c>
      <c r="AU16" s="426">
        <v>12</v>
      </c>
      <c r="AV16" s="426">
        <v>11</v>
      </c>
      <c r="AW16" s="426">
        <v>10</v>
      </c>
      <c r="AX16" s="426">
        <v>9</v>
      </c>
      <c r="AY16" s="426">
        <v>8</v>
      </c>
      <c r="AZ16" s="426">
        <v>7</v>
      </c>
      <c r="BA16" s="426">
        <v>6</v>
      </c>
      <c r="BB16" s="426">
        <v>5</v>
      </c>
      <c r="BC16" s="426">
        <v>4</v>
      </c>
      <c r="BD16" s="426">
        <v>3</v>
      </c>
      <c r="BE16" s="426">
        <v>2</v>
      </c>
      <c r="BF16" s="426">
        <v>1</v>
      </c>
      <c r="BG16" s="47"/>
      <c r="BH16" s="47"/>
      <c r="BI16" s="47"/>
      <c r="BJ16" s="47"/>
      <c r="BK16" s="47"/>
      <c r="BL16" s="47"/>
      <c r="BM16" s="47"/>
      <c r="BN16" s="47"/>
    </row>
    <row r="17" spans="2:67" ht="17.25" customHeight="1" x14ac:dyDescent="0.35">
      <c r="B17" s="601" t="s">
        <v>175</v>
      </c>
      <c r="C17" s="601"/>
      <c r="D17" s="601"/>
      <c r="E17" s="601"/>
      <c r="H17" s="48" t="s">
        <v>211</v>
      </c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7"/>
      <c r="AF17" s="47"/>
      <c r="AG17" s="47"/>
      <c r="AH17" s="47"/>
      <c r="AI17" s="48" t="s">
        <v>13</v>
      </c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8"/>
      <c r="AV17" s="48"/>
      <c r="AW17" s="48"/>
      <c r="AX17" s="48"/>
      <c r="AY17" s="48"/>
      <c r="AZ17" s="48"/>
      <c r="BA17" s="48"/>
      <c r="BB17" s="48"/>
      <c r="BC17" s="48"/>
      <c r="BD17" s="48"/>
      <c r="BE17" s="48"/>
      <c r="BF17" s="47"/>
      <c r="BG17" s="47"/>
      <c r="BH17" s="47"/>
      <c r="BI17" s="47"/>
      <c r="BJ17" s="47"/>
      <c r="BK17" s="47"/>
    </row>
    <row r="18" spans="2:67" x14ac:dyDescent="0.35">
      <c r="B18" s="601"/>
      <c r="C18" s="601"/>
      <c r="D18" s="601"/>
      <c r="E18" s="601"/>
      <c r="H18" s="48" t="s">
        <v>176</v>
      </c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I18" s="48" t="s">
        <v>176</v>
      </c>
      <c r="AJ18" s="48"/>
      <c r="AK18" s="48"/>
      <c r="AL18" s="48"/>
      <c r="AM18" s="48"/>
      <c r="AN18" s="48"/>
      <c r="AO18" s="48"/>
      <c r="AP18" s="48"/>
      <c r="AQ18" s="48"/>
      <c r="AR18" s="48"/>
      <c r="AS18" s="48"/>
      <c r="AT18" s="48"/>
      <c r="AU18" s="48"/>
      <c r="AV18" s="48"/>
      <c r="AW18" s="48"/>
      <c r="AX18" s="48"/>
      <c r="AY18" s="48"/>
      <c r="AZ18" s="48"/>
      <c r="BA18" s="48"/>
      <c r="BB18" s="48"/>
      <c r="BC18" s="48"/>
      <c r="BD18" s="48"/>
      <c r="BE18" s="48"/>
    </row>
    <row r="19" spans="2:67" x14ac:dyDescent="0.35">
      <c r="B19" s="327" t="s">
        <v>210</v>
      </c>
      <c r="C19" s="46"/>
      <c r="D19" s="46"/>
      <c r="E19" s="46"/>
      <c r="G19" s="23"/>
      <c r="H19" s="352">
        <v>1</v>
      </c>
      <c r="I19" s="352">
        <v>2</v>
      </c>
      <c r="J19" s="352">
        <v>3</v>
      </c>
      <c r="K19" s="352">
        <v>4</v>
      </c>
      <c r="L19" s="352">
        <v>5</v>
      </c>
      <c r="M19" s="352">
        <v>6</v>
      </c>
      <c r="N19" s="352">
        <v>7</v>
      </c>
      <c r="O19" s="352">
        <v>8</v>
      </c>
      <c r="P19" s="352">
        <v>9</v>
      </c>
      <c r="Q19" s="352">
        <v>10</v>
      </c>
      <c r="R19" s="352">
        <v>11</v>
      </c>
      <c r="S19" s="352">
        <v>12</v>
      </c>
      <c r="T19" s="352">
        <v>13</v>
      </c>
      <c r="U19" s="352">
        <v>14</v>
      </c>
      <c r="V19" s="352">
        <v>15</v>
      </c>
      <c r="W19" s="352">
        <v>16</v>
      </c>
      <c r="X19" s="352">
        <v>17</v>
      </c>
      <c r="Y19" s="352">
        <v>18</v>
      </c>
      <c r="Z19" s="352">
        <v>19</v>
      </c>
      <c r="AA19" s="352">
        <v>20</v>
      </c>
      <c r="AB19" s="352">
        <v>21</v>
      </c>
      <c r="AC19" s="352">
        <v>22</v>
      </c>
      <c r="AD19" s="352">
        <v>23</v>
      </c>
      <c r="AE19" s="352">
        <v>24</v>
      </c>
      <c r="AF19" s="351"/>
      <c r="AG19" s="351"/>
      <c r="AH19" s="351"/>
      <c r="AI19" s="352">
        <v>1</v>
      </c>
      <c r="AJ19" s="352">
        <v>2</v>
      </c>
      <c r="AK19" s="352">
        <v>3</v>
      </c>
      <c r="AL19" s="352">
        <v>4</v>
      </c>
      <c r="AM19" s="352">
        <v>5</v>
      </c>
      <c r="AN19" s="352">
        <v>6</v>
      </c>
      <c r="AO19" s="352">
        <v>7</v>
      </c>
      <c r="AP19" s="352">
        <v>8</v>
      </c>
      <c r="AQ19" s="352">
        <v>9</v>
      </c>
      <c r="AR19" s="352">
        <v>10</v>
      </c>
      <c r="AS19" s="352">
        <v>11</v>
      </c>
      <c r="AT19" s="352">
        <v>12</v>
      </c>
      <c r="AU19" s="352">
        <v>13</v>
      </c>
      <c r="AV19" s="352">
        <v>14</v>
      </c>
      <c r="AW19" s="352">
        <v>15</v>
      </c>
      <c r="AX19" s="352">
        <v>16</v>
      </c>
      <c r="AY19" s="352">
        <v>17</v>
      </c>
      <c r="AZ19" s="352">
        <v>18</v>
      </c>
      <c r="BA19" s="352">
        <v>19</v>
      </c>
      <c r="BB19" s="352">
        <v>20</v>
      </c>
      <c r="BC19" s="352">
        <v>21</v>
      </c>
      <c r="BD19" s="352">
        <v>22</v>
      </c>
      <c r="BE19" s="352">
        <v>23</v>
      </c>
      <c r="BF19" s="352">
        <v>24</v>
      </c>
    </row>
    <row r="20" spans="2:67" x14ac:dyDescent="0.35">
      <c r="B20" s="327" t="s">
        <v>153</v>
      </c>
      <c r="F20" s="594" t="s">
        <v>151</v>
      </c>
      <c r="G20" s="51">
        <v>66</v>
      </c>
      <c r="H20" s="50"/>
      <c r="I20" s="50"/>
      <c r="J20" s="50"/>
      <c r="K20" s="50"/>
      <c r="L20" s="50"/>
      <c r="M20" s="442"/>
      <c r="N20" s="442"/>
      <c r="O20" s="442"/>
      <c r="P20" s="442"/>
      <c r="Q20" s="442"/>
      <c r="R20" s="442"/>
      <c r="S20" s="442"/>
      <c r="T20" s="442"/>
      <c r="U20" s="442"/>
      <c r="V20" s="442"/>
      <c r="W20" s="442"/>
      <c r="X20" s="442"/>
      <c r="Y20" s="442"/>
      <c r="Z20" s="442"/>
      <c r="AA20" s="442"/>
      <c r="AB20" s="442"/>
      <c r="AC20" s="442"/>
      <c r="AD20" s="442"/>
      <c r="AE20" s="442"/>
      <c r="AF20" s="444">
        <v>66</v>
      </c>
      <c r="AG20" s="23"/>
      <c r="AH20" s="51">
        <v>66</v>
      </c>
      <c r="AI20" s="517"/>
      <c r="AJ20" s="517"/>
      <c r="AK20" s="517"/>
      <c r="AL20" s="517"/>
      <c r="AM20" s="517"/>
      <c r="AN20" s="517"/>
      <c r="AO20" s="517"/>
      <c r="AP20" s="517"/>
      <c r="AQ20" s="517"/>
      <c r="AR20" s="517"/>
      <c r="AS20" s="517"/>
      <c r="AT20" s="517"/>
      <c r="AU20" s="517"/>
      <c r="AV20" s="517"/>
      <c r="AW20" s="517"/>
      <c r="AX20" s="517"/>
      <c r="AY20" s="517"/>
      <c r="AZ20" s="517"/>
      <c r="BA20" s="517"/>
      <c r="BB20" s="517"/>
      <c r="BC20" s="517"/>
      <c r="BD20" s="517"/>
      <c r="BE20" s="517"/>
      <c r="BF20" s="517"/>
      <c r="BG20" s="444">
        <v>66</v>
      </c>
      <c r="BH20" s="594" t="s">
        <v>151</v>
      </c>
      <c r="BI20" s="49"/>
      <c r="BJ20" s="49"/>
      <c r="BK20" s="49"/>
      <c r="BL20" s="49"/>
      <c r="BM20" s="49"/>
      <c r="BN20" s="49"/>
      <c r="BO20" s="49"/>
    </row>
    <row r="21" spans="2:67" ht="15" thickBot="1" x14ac:dyDescent="0.4">
      <c r="F21" s="594"/>
      <c r="G21" s="51">
        <v>65</v>
      </c>
      <c r="H21" s="418"/>
      <c r="I21" s="418"/>
      <c r="J21" s="418"/>
      <c r="K21" s="418"/>
      <c r="L21" s="418"/>
      <c r="M21" s="443"/>
      <c r="N21" s="443"/>
      <c r="O21" s="443"/>
      <c r="P21" s="443"/>
      <c r="Q21" s="443"/>
      <c r="R21" s="443"/>
      <c r="S21" s="443"/>
      <c r="T21" s="443"/>
      <c r="U21" s="443"/>
      <c r="V21" s="443"/>
      <c r="W21" s="443"/>
      <c r="X21" s="443"/>
      <c r="Y21" s="443"/>
      <c r="Z21" s="443"/>
      <c r="AA21" s="443"/>
      <c r="AB21" s="443"/>
      <c r="AC21" s="443"/>
      <c r="AD21" s="443"/>
      <c r="AE21" s="443"/>
      <c r="AF21" s="444">
        <v>65</v>
      </c>
      <c r="AH21" s="51">
        <v>65</v>
      </c>
      <c r="AI21" s="518"/>
      <c r="AJ21" s="518"/>
      <c r="AK21" s="518"/>
      <c r="AL21" s="518"/>
      <c r="AM21" s="518"/>
      <c r="AN21" s="518"/>
      <c r="AO21" s="518"/>
      <c r="AP21" s="518"/>
      <c r="AQ21" s="518"/>
      <c r="AR21" s="518"/>
      <c r="AS21" s="518"/>
      <c r="AT21" s="518"/>
      <c r="AU21" s="518"/>
      <c r="AV21" s="518"/>
      <c r="AW21" s="518"/>
      <c r="AX21" s="518"/>
      <c r="AY21" s="518"/>
      <c r="AZ21" s="518"/>
      <c r="BA21" s="518"/>
      <c r="BB21" s="518"/>
      <c r="BC21" s="518"/>
      <c r="BD21" s="518"/>
      <c r="BE21" s="518"/>
      <c r="BF21" s="518"/>
      <c r="BG21" s="444">
        <v>65</v>
      </c>
      <c r="BH21" s="594"/>
      <c r="BI21" s="49"/>
      <c r="BJ21" s="49"/>
      <c r="BK21" s="49"/>
      <c r="BL21" s="49"/>
      <c r="BM21" s="49"/>
      <c r="BN21" s="49"/>
      <c r="BO21" s="49"/>
    </row>
    <row r="22" spans="2:67" ht="16" thickBot="1" x14ac:dyDescent="0.4">
      <c r="F22" s="594"/>
      <c r="G22" s="420">
        <v>64</v>
      </c>
      <c r="H22" s="421"/>
      <c r="I22" s="422"/>
      <c r="J22" s="422"/>
      <c r="K22" s="422"/>
      <c r="L22" s="422"/>
      <c r="M22" s="422"/>
      <c r="N22" s="422"/>
      <c r="O22" s="422"/>
      <c r="P22" s="422"/>
      <c r="Q22" s="422"/>
      <c r="R22" s="422"/>
      <c r="S22" s="422"/>
      <c r="T22" s="422"/>
      <c r="U22" s="422"/>
      <c r="V22" s="422"/>
      <c r="W22" s="422"/>
      <c r="X22" s="422"/>
      <c r="Y22" s="422"/>
      <c r="Z22" s="422"/>
      <c r="AA22" s="422"/>
      <c r="AB22" s="422"/>
      <c r="AC22" s="422"/>
      <c r="AD22" s="422"/>
      <c r="AE22" s="423"/>
      <c r="AF22" s="425">
        <v>64</v>
      </c>
      <c r="AG22" s="23"/>
      <c r="AH22" s="420">
        <v>64</v>
      </c>
      <c r="AI22" s="519"/>
      <c r="AJ22" s="520"/>
      <c r="AK22" s="520"/>
      <c r="AL22" s="520"/>
      <c r="AM22" s="520"/>
      <c r="AN22" s="520"/>
      <c r="AO22" s="520"/>
      <c r="AP22" s="520"/>
      <c r="AQ22" s="520"/>
      <c r="AR22" s="520"/>
      <c r="AS22" s="520"/>
      <c r="AT22" s="520"/>
      <c r="AU22" s="521"/>
      <c r="AV22" s="521"/>
      <c r="AW22" s="521"/>
      <c r="AX22" s="521"/>
      <c r="AY22" s="521"/>
      <c r="AZ22" s="521"/>
      <c r="BA22" s="521"/>
      <c r="BB22" s="521"/>
      <c r="BC22" s="521"/>
      <c r="BD22" s="521"/>
      <c r="BE22" s="521"/>
      <c r="BF22" s="521"/>
      <c r="BG22" s="449">
        <v>64</v>
      </c>
      <c r="BH22" s="594"/>
      <c r="BI22" s="49"/>
      <c r="BJ22" s="49"/>
      <c r="BK22" s="49"/>
      <c r="BL22" s="49"/>
      <c r="BM22" s="49"/>
      <c r="BN22" s="49"/>
      <c r="BO22" s="49"/>
    </row>
    <row r="23" spans="2:67" x14ac:dyDescent="0.35">
      <c r="B23" s="297" t="s">
        <v>120</v>
      </c>
      <c r="C23" s="298"/>
      <c r="D23" s="298"/>
      <c r="E23" s="299"/>
      <c r="F23" s="594"/>
      <c r="G23" s="51">
        <v>63</v>
      </c>
      <c r="H23" s="419"/>
      <c r="I23" s="419"/>
      <c r="J23" s="419"/>
      <c r="K23" s="419"/>
      <c r="L23" s="419"/>
      <c r="M23" s="419"/>
      <c r="N23" s="419"/>
      <c r="O23" s="419"/>
      <c r="P23" s="419"/>
      <c r="Q23" s="419"/>
      <c r="R23" s="419"/>
      <c r="S23" s="419"/>
      <c r="T23" s="419"/>
      <c r="U23" s="419"/>
      <c r="V23" s="419"/>
      <c r="W23" s="419"/>
      <c r="X23" s="419"/>
      <c r="Y23" s="419"/>
      <c r="Z23" s="419"/>
      <c r="AA23" s="419"/>
      <c r="AB23" s="419"/>
      <c r="AC23" s="419"/>
      <c r="AD23" s="419"/>
      <c r="AE23" s="419"/>
      <c r="AF23" s="51">
        <v>63</v>
      </c>
      <c r="AG23" s="23"/>
      <c r="AH23" s="51">
        <v>63</v>
      </c>
      <c r="AI23" s="522"/>
      <c r="AJ23" s="522"/>
      <c r="AK23" s="522"/>
      <c r="AL23" s="522"/>
      <c r="AM23" s="522"/>
      <c r="AN23" s="522"/>
      <c r="AO23" s="522"/>
      <c r="AP23" s="522"/>
      <c r="AQ23" s="522"/>
      <c r="AR23" s="522"/>
      <c r="AS23" s="522"/>
      <c r="AT23" s="522"/>
      <c r="AU23" s="522"/>
      <c r="AV23" s="522"/>
      <c r="AW23" s="522"/>
      <c r="AX23" s="522"/>
      <c r="AY23" s="522"/>
      <c r="AZ23" s="522"/>
      <c r="BA23" s="522"/>
      <c r="BB23" s="522"/>
      <c r="BC23" s="522"/>
      <c r="BD23" s="522"/>
      <c r="BE23" s="522"/>
      <c r="BF23" s="522"/>
      <c r="BG23" s="51">
        <v>63</v>
      </c>
      <c r="BH23" s="594"/>
      <c r="BI23" s="49"/>
      <c r="BJ23" s="49"/>
      <c r="BK23" s="49"/>
      <c r="BL23" s="49"/>
      <c r="BM23" s="49"/>
      <c r="BN23" s="49"/>
      <c r="BO23" s="49"/>
    </row>
    <row r="24" spans="2:67" x14ac:dyDescent="0.35">
      <c r="B24" s="300" t="s">
        <v>116</v>
      </c>
      <c r="C24" s="301" t="s">
        <v>117</v>
      </c>
      <c r="D24" s="301" t="s">
        <v>105</v>
      </c>
      <c r="E24" s="302" t="s">
        <v>11</v>
      </c>
      <c r="F24" s="594"/>
      <c r="G24" s="51">
        <v>62</v>
      </c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1">
        <v>62</v>
      </c>
      <c r="AG24" s="23"/>
      <c r="AH24" s="51">
        <v>62</v>
      </c>
      <c r="AI24" s="517"/>
      <c r="AJ24" s="517"/>
      <c r="AK24" s="517"/>
      <c r="AL24" s="517"/>
      <c r="AM24" s="517"/>
      <c r="AN24" s="517"/>
      <c r="AO24" s="517"/>
      <c r="AP24" s="517"/>
      <c r="AQ24" s="517"/>
      <c r="AR24" s="517"/>
      <c r="AS24" s="517"/>
      <c r="AT24" s="517"/>
      <c r="AU24" s="517"/>
      <c r="AV24" s="517"/>
      <c r="AW24" s="517"/>
      <c r="AX24" s="517"/>
      <c r="AY24" s="517"/>
      <c r="AZ24" s="517"/>
      <c r="BA24" s="517"/>
      <c r="BB24" s="517"/>
      <c r="BC24" s="517"/>
      <c r="BD24" s="517"/>
      <c r="BE24" s="517"/>
      <c r="BF24" s="517"/>
      <c r="BG24" s="51">
        <v>62</v>
      </c>
      <c r="BH24" s="594"/>
      <c r="BI24" s="49"/>
      <c r="BJ24" s="49"/>
      <c r="BK24" s="49"/>
      <c r="BL24" s="49"/>
      <c r="BM24" s="49"/>
      <c r="BN24" s="49"/>
      <c r="BO24" s="49"/>
    </row>
    <row r="25" spans="2:67" x14ac:dyDescent="0.35">
      <c r="B25" s="303">
        <v>3.2687651331719129E-2</v>
      </c>
      <c r="C25" s="304">
        <v>4.7806354009077158E-2</v>
      </c>
      <c r="D25" s="305">
        <f>C25-B25</f>
        <v>1.5118702677358029E-2</v>
      </c>
      <c r="E25" s="306">
        <f>1/D25</f>
        <v>66.143241344220186</v>
      </c>
      <c r="F25" s="594"/>
      <c r="G25" s="51">
        <v>61</v>
      </c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1">
        <v>61</v>
      </c>
      <c r="AG25" s="23"/>
      <c r="AH25" s="51">
        <v>61</v>
      </c>
      <c r="AI25" s="517"/>
      <c r="AJ25" s="517"/>
      <c r="AK25" s="517"/>
      <c r="AL25" s="517"/>
      <c r="AM25" s="517"/>
      <c r="AN25" s="517"/>
      <c r="AO25" s="517"/>
      <c r="AP25" s="517"/>
      <c r="AQ25" s="517"/>
      <c r="AR25" s="517"/>
      <c r="AS25" s="517"/>
      <c r="AT25" s="517"/>
      <c r="AU25" s="517"/>
      <c r="AV25" s="517"/>
      <c r="AW25" s="517"/>
      <c r="AX25" s="517"/>
      <c r="AY25" s="517"/>
      <c r="AZ25" s="517"/>
      <c r="BA25" s="517"/>
      <c r="BB25" s="517"/>
      <c r="BC25" s="517"/>
      <c r="BD25" s="517"/>
      <c r="BE25" s="517"/>
      <c r="BF25" s="517"/>
      <c r="BG25" s="51">
        <v>61</v>
      </c>
      <c r="BH25" s="594"/>
      <c r="BI25" s="49"/>
      <c r="BJ25" s="49"/>
      <c r="BK25" s="49"/>
      <c r="BL25" s="49"/>
      <c r="BM25" s="49"/>
      <c r="BN25" s="49"/>
      <c r="BO25" s="49"/>
    </row>
    <row r="26" spans="2:67" ht="15" thickBot="1" x14ac:dyDescent="0.4">
      <c r="B26" s="403" t="s">
        <v>150</v>
      </c>
      <c r="C26" s="333">
        <f>B25*E25</f>
        <v>2.1620672110096186</v>
      </c>
      <c r="D26" s="307">
        <f>D25*E25</f>
        <v>1</v>
      </c>
      <c r="E26" s="332">
        <f>(1-C25)*E25</f>
        <v>62.981174133210565</v>
      </c>
      <c r="F26" s="594"/>
      <c r="G26" s="51">
        <v>60</v>
      </c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1">
        <v>60</v>
      </c>
      <c r="AG26" s="23"/>
      <c r="AH26" s="51">
        <v>60</v>
      </c>
      <c r="AI26" s="517"/>
      <c r="AJ26" s="517"/>
      <c r="AK26" s="517"/>
      <c r="AL26" s="517"/>
      <c r="AM26" s="517"/>
      <c r="AN26" s="517"/>
      <c r="AO26" s="517"/>
      <c r="AP26" s="517"/>
      <c r="AQ26" s="517"/>
      <c r="AR26" s="517"/>
      <c r="AS26" s="517"/>
      <c r="AT26" s="517"/>
      <c r="AU26" s="517"/>
      <c r="AV26" s="517"/>
      <c r="AW26" s="517"/>
      <c r="AX26" s="517"/>
      <c r="AY26" s="517"/>
      <c r="AZ26" s="517"/>
      <c r="BA26" s="517"/>
      <c r="BB26" s="517"/>
      <c r="BC26" s="517"/>
      <c r="BD26" s="517"/>
      <c r="BE26" s="517"/>
      <c r="BF26" s="517"/>
      <c r="BG26" s="51">
        <v>60</v>
      </c>
      <c r="BH26" s="594"/>
      <c r="BI26" s="49"/>
      <c r="BJ26" s="49"/>
      <c r="BK26" s="49"/>
      <c r="BL26" s="49"/>
      <c r="BM26" s="49"/>
      <c r="BN26" s="49"/>
      <c r="BO26" s="49"/>
    </row>
    <row r="27" spans="2:67" x14ac:dyDescent="0.35">
      <c r="G27" s="51">
        <v>59</v>
      </c>
      <c r="H27" s="354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1">
        <v>59</v>
      </c>
      <c r="AG27" s="52"/>
      <c r="AH27" s="51">
        <v>59</v>
      </c>
      <c r="AI27" s="523"/>
      <c r="AJ27" s="517"/>
      <c r="AK27" s="517"/>
      <c r="AL27" s="517"/>
      <c r="AM27" s="517"/>
      <c r="AN27" s="517"/>
      <c r="AO27" s="517"/>
      <c r="AP27" s="517"/>
      <c r="AQ27" s="517"/>
      <c r="AR27" s="517"/>
      <c r="AS27" s="517"/>
      <c r="AT27" s="517"/>
      <c r="AU27" s="517"/>
      <c r="AV27" s="517"/>
      <c r="AW27" s="517"/>
      <c r="AX27" s="517"/>
      <c r="AY27" s="517"/>
      <c r="AZ27" s="517"/>
      <c r="BA27" s="517"/>
      <c r="BB27" s="517"/>
      <c r="BC27" s="517"/>
      <c r="BD27" s="517"/>
      <c r="BE27" s="517"/>
      <c r="BF27" s="517"/>
      <c r="BG27" s="51">
        <v>59</v>
      </c>
      <c r="BH27" s="49"/>
      <c r="BI27" s="49"/>
      <c r="BJ27" s="49"/>
      <c r="BK27" s="49"/>
      <c r="BL27" s="49"/>
      <c r="BM27" s="49"/>
      <c r="BN27" s="49"/>
      <c r="BO27" s="49"/>
    </row>
    <row r="28" spans="2:67" x14ac:dyDescent="0.35">
      <c r="G28" s="51">
        <v>58</v>
      </c>
      <c r="H28" s="354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1">
        <v>58</v>
      </c>
      <c r="AG28" s="52"/>
      <c r="AH28" s="51">
        <v>58</v>
      </c>
      <c r="AI28" s="523"/>
      <c r="AJ28" s="517"/>
      <c r="AK28" s="517"/>
      <c r="AL28" s="517"/>
      <c r="AM28" s="517"/>
      <c r="AN28" s="517"/>
      <c r="AO28" s="517"/>
      <c r="AP28" s="517"/>
      <c r="AQ28" s="517"/>
      <c r="AR28" s="517"/>
      <c r="AS28" s="517"/>
      <c r="AT28" s="517"/>
      <c r="AU28" s="517"/>
      <c r="AV28" s="517"/>
      <c r="AW28" s="517"/>
      <c r="AX28" s="517"/>
      <c r="AY28" s="517"/>
      <c r="AZ28" s="517"/>
      <c r="BA28" s="517"/>
      <c r="BB28" s="517"/>
      <c r="BC28" s="517"/>
      <c r="BD28" s="517"/>
      <c r="BE28" s="517"/>
      <c r="BF28" s="517"/>
      <c r="BG28" s="51">
        <v>58</v>
      </c>
      <c r="BH28" s="49"/>
      <c r="BI28" s="49"/>
      <c r="BJ28" s="49"/>
      <c r="BK28" s="49"/>
      <c r="BL28" s="49"/>
      <c r="BM28" s="49"/>
      <c r="BN28" s="49"/>
      <c r="BO28" s="49"/>
    </row>
    <row r="29" spans="2:67" x14ac:dyDescent="0.35">
      <c r="G29" s="51">
        <v>57</v>
      </c>
      <c r="H29" s="354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1">
        <v>57</v>
      </c>
      <c r="AH29" s="51">
        <v>57</v>
      </c>
      <c r="AI29" s="523"/>
      <c r="AJ29" s="517"/>
      <c r="AK29" s="517"/>
      <c r="AL29" s="517"/>
      <c r="AM29" s="517"/>
      <c r="AN29" s="517"/>
      <c r="AO29" s="517"/>
      <c r="AP29" s="517"/>
      <c r="AQ29" s="517"/>
      <c r="AR29" s="517"/>
      <c r="AS29" s="517"/>
      <c r="AT29" s="517"/>
      <c r="AU29" s="517"/>
      <c r="AV29" s="517"/>
      <c r="AW29" s="517"/>
      <c r="AX29" s="517"/>
      <c r="AY29" s="517"/>
      <c r="AZ29" s="517"/>
      <c r="BA29" s="517"/>
      <c r="BB29" s="517"/>
      <c r="BC29" s="517"/>
      <c r="BD29" s="517"/>
      <c r="BE29" s="517"/>
      <c r="BF29" s="517"/>
      <c r="BG29" s="51">
        <v>57</v>
      </c>
    </row>
    <row r="30" spans="2:67" x14ac:dyDescent="0.35">
      <c r="G30" s="51">
        <v>56</v>
      </c>
      <c r="H30" s="354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1">
        <v>56</v>
      </c>
      <c r="AH30" s="51">
        <v>56</v>
      </c>
      <c r="AI30" s="523"/>
      <c r="AJ30" s="517"/>
      <c r="AK30" s="517"/>
      <c r="AL30" s="517"/>
      <c r="AM30" s="517"/>
      <c r="AN30" s="517"/>
      <c r="AO30" s="517"/>
      <c r="AP30" s="517"/>
      <c r="AQ30" s="517"/>
      <c r="AR30" s="517"/>
      <c r="AS30" s="517"/>
      <c r="AT30" s="517"/>
      <c r="AU30" s="517"/>
      <c r="AV30" s="517"/>
      <c r="AW30" s="517"/>
      <c r="AX30" s="517"/>
      <c r="AY30" s="517"/>
      <c r="AZ30" s="517"/>
      <c r="BA30" s="517"/>
      <c r="BB30" s="517"/>
      <c r="BC30" s="517"/>
      <c r="BD30" s="517"/>
      <c r="BE30" s="517"/>
      <c r="BF30" s="517"/>
      <c r="BG30" s="51">
        <v>56</v>
      </c>
    </row>
    <row r="31" spans="2:67" x14ac:dyDescent="0.35">
      <c r="G31" s="51">
        <v>55</v>
      </c>
      <c r="H31" s="354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1">
        <v>55</v>
      </c>
      <c r="AH31" s="51">
        <v>55</v>
      </c>
      <c r="AI31" s="523"/>
      <c r="AJ31" s="517"/>
      <c r="AK31" s="517"/>
      <c r="AL31" s="517"/>
      <c r="AM31" s="517"/>
      <c r="AN31" s="517"/>
      <c r="AO31" s="517"/>
      <c r="AP31" s="517"/>
      <c r="AQ31" s="517"/>
      <c r="AR31" s="517"/>
      <c r="AS31" s="517"/>
      <c r="AT31" s="517"/>
      <c r="AU31" s="517"/>
      <c r="AV31" s="517"/>
      <c r="AW31" s="517"/>
      <c r="AX31" s="517"/>
      <c r="AY31" s="517"/>
      <c r="AZ31" s="517"/>
      <c r="BA31" s="517"/>
      <c r="BB31" s="517"/>
      <c r="BC31" s="517"/>
      <c r="BD31" s="517"/>
      <c r="BE31" s="517"/>
      <c r="BF31" s="517"/>
      <c r="BG31" s="51">
        <v>55</v>
      </c>
    </row>
    <row r="32" spans="2:67" x14ac:dyDescent="0.35">
      <c r="G32" s="51">
        <v>54</v>
      </c>
      <c r="H32" s="354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1">
        <v>54</v>
      </c>
      <c r="AH32" s="51">
        <v>54</v>
      </c>
      <c r="AI32" s="523"/>
      <c r="AJ32" s="517"/>
      <c r="AK32" s="517"/>
      <c r="AL32" s="517"/>
      <c r="AM32" s="517"/>
      <c r="AN32" s="517"/>
      <c r="AO32" s="517"/>
      <c r="AP32" s="517"/>
      <c r="AQ32" s="517"/>
      <c r="AR32" s="517"/>
      <c r="AS32" s="517"/>
      <c r="AT32" s="517"/>
      <c r="AU32" s="517"/>
      <c r="AV32" s="517"/>
      <c r="AW32" s="517"/>
      <c r="AX32" s="517"/>
      <c r="AY32" s="517"/>
      <c r="AZ32" s="517"/>
      <c r="BA32" s="517"/>
      <c r="BB32" s="517"/>
      <c r="BC32" s="517"/>
      <c r="BD32" s="517"/>
      <c r="BE32" s="517"/>
      <c r="BF32" s="517"/>
      <c r="BG32" s="51">
        <v>54</v>
      </c>
    </row>
    <row r="33" spans="7:59" x14ac:dyDescent="0.35">
      <c r="G33" s="51">
        <v>53</v>
      </c>
      <c r="H33" s="354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1">
        <v>53</v>
      </c>
      <c r="AH33" s="51">
        <v>53</v>
      </c>
      <c r="AI33" s="523"/>
      <c r="AJ33" s="517"/>
      <c r="AK33" s="517"/>
      <c r="AL33" s="517"/>
      <c r="AM33" s="517"/>
      <c r="AN33" s="517"/>
      <c r="AO33" s="517"/>
      <c r="AP33" s="517"/>
      <c r="AQ33" s="517"/>
      <c r="AR33" s="517"/>
      <c r="AS33" s="517"/>
      <c r="AT33" s="517"/>
      <c r="AU33" s="517"/>
      <c r="AV33" s="517"/>
      <c r="AW33" s="517"/>
      <c r="AX33" s="517"/>
      <c r="AY33" s="517"/>
      <c r="AZ33" s="517"/>
      <c r="BA33" s="517"/>
      <c r="BB33" s="517"/>
      <c r="BC33" s="517"/>
      <c r="BD33" s="517"/>
      <c r="BE33" s="517"/>
      <c r="BF33" s="517"/>
      <c r="BG33" s="51">
        <v>53</v>
      </c>
    </row>
    <row r="34" spans="7:59" x14ac:dyDescent="0.35">
      <c r="G34" s="51">
        <v>52</v>
      </c>
      <c r="H34" s="354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1">
        <v>52</v>
      </c>
      <c r="AH34" s="51">
        <v>52</v>
      </c>
      <c r="AI34" s="523"/>
      <c r="AJ34" s="517"/>
      <c r="AK34" s="517"/>
      <c r="AL34" s="517"/>
      <c r="AM34" s="517"/>
      <c r="AN34" s="517"/>
      <c r="AO34" s="517"/>
      <c r="AP34" s="517"/>
      <c r="AQ34" s="517"/>
      <c r="AR34" s="517"/>
      <c r="AS34" s="517"/>
      <c r="AT34" s="517"/>
      <c r="AU34" s="517"/>
      <c r="AV34" s="517"/>
      <c r="AW34" s="517"/>
      <c r="AX34" s="517"/>
      <c r="AY34" s="517"/>
      <c r="AZ34" s="517"/>
      <c r="BA34" s="517"/>
      <c r="BB34" s="517"/>
      <c r="BC34" s="517"/>
      <c r="BD34" s="517"/>
      <c r="BE34" s="517"/>
      <c r="BF34" s="517"/>
      <c r="BG34" s="51">
        <v>52</v>
      </c>
    </row>
    <row r="35" spans="7:59" x14ac:dyDescent="0.35">
      <c r="G35" s="51">
        <v>51</v>
      </c>
      <c r="H35" s="354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1">
        <v>51</v>
      </c>
      <c r="AH35" s="51">
        <v>51</v>
      </c>
      <c r="AI35" s="523"/>
      <c r="AJ35" s="517"/>
      <c r="AK35" s="517"/>
      <c r="AL35" s="517"/>
      <c r="AM35" s="517"/>
      <c r="AN35" s="517"/>
      <c r="AO35" s="517"/>
      <c r="AP35" s="517"/>
      <c r="AQ35" s="517"/>
      <c r="AR35" s="517"/>
      <c r="AS35" s="517"/>
      <c r="AT35" s="517"/>
      <c r="AU35" s="517"/>
      <c r="AV35" s="517"/>
      <c r="AW35" s="517"/>
      <c r="AX35" s="517"/>
      <c r="AY35" s="517"/>
      <c r="AZ35" s="517"/>
      <c r="BA35" s="517"/>
      <c r="BB35" s="517"/>
      <c r="BC35" s="517"/>
      <c r="BD35" s="517"/>
      <c r="BE35" s="517"/>
      <c r="BF35" s="517"/>
      <c r="BG35" s="51">
        <v>51</v>
      </c>
    </row>
    <row r="36" spans="7:59" x14ac:dyDescent="0.35">
      <c r="G36" s="51">
        <v>50</v>
      </c>
      <c r="H36" s="354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1">
        <v>50</v>
      </c>
      <c r="AH36" s="51">
        <v>50</v>
      </c>
      <c r="AI36" s="523"/>
      <c r="AJ36" s="517"/>
      <c r="AK36" s="517"/>
      <c r="AL36" s="517"/>
      <c r="AM36" s="517"/>
      <c r="AN36" s="517"/>
      <c r="AO36" s="517"/>
      <c r="AP36" s="517"/>
      <c r="AQ36" s="517"/>
      <c r="AR36" s="517"/>
      <c r="AS36" s="517"/>
      <c r="AT36" s="517"/>
      <c r="AU36" s="517"/>
      <c r="AV36" s="517"/>
      <c r="AW36" s="517"/>
      <c r="AX36" s="517"/>
      <c r="AY36" s="517"/>
      <c r="AZ36" s="517"/>
      <c r="BA36" s="517"/>
      <c r="BB36" s="517"/>
      <c r="BC36" s="517"/>
      <c r="BD36" s="517"/>
      <c r="BE36" s="517"/>
      <c r="BF36" s="517"/>
      <c r="BG36" s="51">
        <v>50</v>
      </c>
    </row>
    <row r="37" spans="7:59" x14ac:dyDescent="0.35">
      <c r="G37" s="51">
        <v>49</v>
      </c>
      <c r="H37" s="354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1">
        <v>49</v>
      </c>
      <c r="AH37" s="51">
        <v>49</v>
      </c>
      <c r="AI37" s="523"/>
      <c r="AJ37" s="517"/>
      <c r="AK37" s="517"/>
      <c r="AL37" s="517"/>
      <c r="AM37" s="517"/>
      <c r="AN37" s="517"/>
      <c r="AO37" s="517"/>
      <c r="AP37" s="517"/>
      <c r="AQ37" s="517"/>
      <c r="AR37" s="517"/>
      <c r="AS37" s="517"/>
      <c r="AT37" s="517"/>
      <c r="AU37" s="517"/>
      <c r="AV37" s="517"/>
      <c r="AW37" s="517"/>
      <c r="AX37" s="517"/>
      <c r="AY37" s="517"/>
      <c r="AZ37" s="517"/>
      <c r="BA37" s="517"/>
      <c r="BB37" s="517"/>
      <c r="BC37" s="517"/>
      <c r="BD37" s="517"/>
      <c r="BE37" s="517"/>
      <c r="BF37" s="517"/>
      <c r="BG37" s="51">
        <v>49</v>
      </c>
    </row>
    <row r="38" spans="7:59" x14ac:dyDescent="0.35">
      <c r="G38" s="51">
        <v>48</v>
      </c>
      <c r="H38" s="354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1">
        <v>48</v>
      </c>
      <c r="AH38" s="51">
        <v>48</v>
      </c>
      <c r="AI38" s="523"/>
      <c r="AJ38" s="517"/>
      <c r="AK38" s="517"/>
      <c r="AL38" s="517"/>
      <c r="AM38" s="517"/>
      <c r="AN38" s="517"/>
      <c r="AO38" s="517"/>
      <c r="AP38" s="517"/>
      <c r="AQ38" s="517"/>
      <c r="AR38" s="517"/>
      <c r="AS38" s="517"/>
      <c r="AT38" s="517"/>
      <c r="AU38" s="517"/>
      <c r="AV38" s="517"/>
      <c r="AW38" s="517"/>
      <c r="AX38" s="517"/>
      <c r="AY38" s="517"/>
      <c r="AZ38" s="517"/>
      <c r="BA38" s="517"/>
      <c r="BB38" s="517"/>
      <c r="BC38" s="517"/>
      <c r="BD38" s="517"/>
      <c r="BE38" s="517"/>
      <c r="BF38" s="517"/>
      <c r="BG38" s="51">
        <v>48</v>
      </c>
    </row>
    <row r="39" spans="7:59" x14ac:dyDescent="0.35">
      <c r="G39" s="51">
        <v>47</v>
      </c>
      <c r="H39" s="354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1">
        <v>47</v>
      </c>
      <c r="AH39" s="51">
        <v>47</v>
      </c>
      <c r="AI39" s="523"/>
      <c r="AJ39" s="517"/>
      <c r="AK39" s="517"/>
      <c r="AL39" s="517"/>
      <c r="AM39" s="517"/>
      <c r="AN39" s="517"/>
      <c r="AO39" s="517"/>
      <c r="AP39" s="517"/>
      <c r="AQ39" s="517"/>
      <c r="AR39" s="517"/>
      <c r="AS39" s="517"/>
      <c r="AT39" s="517"/>
      <c r="AU39" s="517"/>
      <c r="AV39" s="517"/>
      <c r="AW39" s="517"/>
      <c r="AX39" s="517"/>
      <c r="AY39" s="517"/>
      <c r="AZ39" s="517"/>
      <c r="BA39" s="517"/>
      <c r="BB39" s="517"/>
      <c r="BC39" s="517"/>
      <c r="BD39" s="517"/>
      <c r="BE39" s="517"/>
      <c r="BF39" s="517"/>
      <c r="BG39" s="51">
        <v>47</v>
      </c>
    </row>
    <row r="40" spans="7:59" x14ac:dyDescent="0.35">
      <c r="G40" s="51">
        <v>46</v>
      </c>
      <c r="H40" s="354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1">
        <v>46</v>
      </c>
      <c r="AH40" s="51">
        <v>46</v>
      </c>
      <c r="AI40" s="523"/>
      <c r="AJ40" s="517"/>
      <c r="AK40" s="517"/>
      <c r="AL40" s="517"/>
      <c r="AM40" s="517"/>
      <c r="AN40" s="517"/>
      <c r="AO40" s="517"/>
      <c r="AP40" s="517"/>
      <c r="AQ40" s="517"/>
      <c r="AR40" s="517"/>
      <c r="AS40" s="517"/>
      <c r="AT40" s="517"/>
      <c r="AU40" s="517"/>
      <c r="AV40" s="517"/>
      <c r="AW40" s="517"/>
      <c r="AX40" s="517"/>
      <c r="AY40" s="517"/>
      <c r="AZ40" s="517"/>
      <c r="BA40" s="517"/>
      <c r="BB40" s="517"/>
      <c r="BC40" s="517"/>
      <c r="BD40" s="517"/>
      <c r="BE40" s="517"/>
      <c r="BF40" s="517"/>
      <c r="BG40" s="51">
        <v>46</v>
      </c>
    </row>
    <row r="41" spans="7:59" x14ac:dyDescent="0.35">
      <c r="G41" s="51">
        <v>45</v>
      </c>
      <c r="H41" s="354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1">
        <v>45</v>
      </c>
      <c r="AH41" s="51">
        <v>45</v>
      </c>
      <c r="AI41" s="523"/>
      <c r="AJ41" s="517"/>
      <c r="AK41" s="517"/>
      <c r="AL41" s="517"/>
      <c r="AM41" s="517"/>
      <c r="AN41" s="517"/>
      <c r="AO41" s="517"/>
      <c r="AP41" s="517"/>
      <c r="AQ41" s="517"/>
      <c r="AR41" s="517"/>
      <c r="AS41" s="517"/>
      <c r="AT41" s="517"/>
      <c r="AU41" s="517"/>
      <c r="AV41" s="517"/>
      <c r="AW41" s="517"/>
      <c r="AX41" s="517"/>
      <c r="AY41" s="517"/>
      <c r="AZ41" s="517"/>
      <c r="BA41" s="517"/>
      <c r="BB41" s="517"/>
      <c r="BC41" s="517"/>
      <c r="BD41" s="517"/>
      <c r="BE41" s="517"/>
      <c r="BF41" s="517"/>
      <c r="BG41" s="51">
        <v>45</v>
      </c>
    </row>
    <row r="42" spans="7:59" x14ac:dyDescent="0.35">
      <c r="G42" s="51">
        <v>44</v>
      </c>
      <c r="H42" s="354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1">
        <v>44</v>
      </c>
      <c r="AH42" s="51">
        <v>44</v>
      </c>
      <c r="AI42" s="523"/>
      <c r="AJ42" s="517"/>
      <c r="AK42" s="517"/>
      <c r="AL42" s="517"/>
      <c r="AM42" s="517"/>
      <c r="AN42" s="517"/>
      <c r="AO42" s="517"/>
      <c r="AP42" s="517"/>
      <c r="AQ42" s="517"/>
      <c r="AR42" s="517"/>
      <c r="AS42" s="517"/>
      <c r="AT42" s="517"/>
      <c r="AU42" s="517"/>
      <c r="AV42" s="517"/>
      <c r="AW42" s="517"/>
      <c r="AX42" s="517"/>
      <c r="AY42" s="517"/>
      <c r="AZ42" s="517"/>
      <c r="BA42" s="517"/>
      <c r="BB42" s="517"/>
      <c r="BC42" s="517"/>
      <c r="BD42" s="517"/>
      <c r="BE42" s="517"/>
      <c r="BF42" s="517"/>
      <c r="BG42" s="51">
        <v>44</v>
      </c>
    </row>
    <row r="43" spans="7:59" x14ac:dyDescent="0.35">
      <c r="G43" s="51">
        <v>43</v>
      </c>
      <c r="H43" s="354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1">
        <v>43</v>
      </c>
      <c r="AH43" s="51">
        <v>43</v>
      </c>
      <c r="AI43" s="523"/>
      <c r="AJ43" s="517"/>
      <c r="AK43" s="517"/>
      <c r="AL43" s="517"/>
      <c r="AM43" s="517"/>
      <c r="AN43" s="517"/>
      <c r="AO43" s="517"/>
      <c r="AP43" s="517"/>
      <c r="AQ43" s="517"/>
      <c r="AR43" s="517"/>
      <c r="AS43" s="517"/>
      <c r="AT43" s="517"/>
      <c r="AU43" s="517"/>
      <c r="AV43" s="517"/>
      <c r="AW43" s="517"/>
      <c r="AX43" s="517"/>
      <c r="AY43" s="517"/>
      <c r="AZ43" s="517"/>
      <c r="BA43" s="517"/>
      <c r="BB43" s="517"/>
      <c r="BC43" s="517"/>
      <c r="BD43" s="517"/>
      <c r="BE43" s="517"/>
      <c r="BF43" s="517"/>
      <c r="BG43" s="51">
        <v>43</v>
      </c>
    </row>
    <row r="44" spans="7:59" x14ac:dyDescent="0.35">
      <c r="G44" s="51">
        <v>42</v>
      </c>
      <c r="H44" s="354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1">
        <v>42</v>
      </c>
      <c r="AH44" s="51">
        <v>42</v>
      </c>
      <c r="AI44" s="523"/>
      <c r="AJ44" s="517"/>
      <c r="AK44" s="517"/>
      <c r="AL44" s="517"/>
      <c r="AM44" s="517"/>
      <c r="AN44" s="517"/>
      <c r="AO44" s="517"/>
      <c r="AP44" s="517"/>
      <c r="AQ44" s="517"/>
      <c r="AR44" s="517"/>
      <c r="AS44" s="517"/>
      <c r="AT44" s="517"/>
      <c r="AU44" s="517"/>
      <c r="AV44" s="517"/>
      <c r="AW44" s="517"/>
      <c r="AX44" s="517"/>
      <c r="AY44" s="517"/>
      <c r="AZ44" s="517"/>
      <c r="BA44" s="517"/>
      <c r="BB44" s="517"/>
      <c r="BC44" s="517"/>
      <c r="BD44" s="517"/>
      <c r="BE44" s="517"/>
      <c r="BF44" s="517"/>
      <c r="BG44" s="51">
        <v>42</v>
      </c>
    </row>
    <row r="45" spans="7:59" x14ac:dyDescent="0.35">
      <c r="G45" s="51">
        <v>41</v>
      </c>
      <c r="H45" s="354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1">
        <v>41</v>
      </c>
      <c r="AH45" s="51">
        <v>41</v>
      </c>
      <c r="AI45" s="523"/>
      <c r="AJ45" s="517"/>
      <c r="AK45" s="517"/>
      <c r="AL45" s="517"/>
      <c r="AM45" s="517"/>
      <c r="AN45" s="517"/>
      <c r="AO45" s="517"/>
      <c r="AP45" s="517"/>
      <c r="AQ45" s="517"/>
      <c r="AR45" s="517"/>
      <c r="AS45" s="517"/>
      <c r="AT45" s="517"/>
      <c r="AU45" s="517"/>
      <c r="AV45" s="517"/>
      <c r="AW45" s="517"/>
      <c r="AX45" s="517"/>
      <c r="AY45" s="517"/>
      <c r="AZ45" s="517"/>
      <c r="BA45" s="517"/>
      <c r="BB45" s="517"/>
      <c r="BC45" s="517"/>
      <c r="BD45" s="517"/>
      <c r="BE45" s="517"/>
      <c r="BF45" s="517"/>
      <c r="BG45" s="51">
        <v>41</v>
      </c>
    </row>
    <row r="46" spans="7:59" x14ac:dyDescent="0.35">
      <c r="G46" s="51">
        <v>40</v>
      </c>
      <c r="H46" s="354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1">
        <v>40</v>
      </c>
      <c r="AH46" s="51">
        <v>40</v>
      </c>
      <c r="AI46" s="523"/>
      <c r="AJ46" s="517"/>
      <c r="AK46" s="517"/>
      <c r="AL46" s="517"/>
      <c r="AM46" s="517"/>
      <c r="AN46" s="517"/>
      <c r="AO46" s="517"/>
      <c r="AP46" s="517"/>
      <c r="AQ46" s="517"/>
      <c r="AR46" s="517"/>
      <c r="AS46" s="517"/>
      <c r="AT46" s="517"/>
      <c r="AU46" s="517"/>
      <c r="AV46" s="517"/>
      <c r="AW46" s="517"/>
      <c r="AX46" s="517"/>
      <c r="AY46" s="517"/>
      <c r="AZ46" s="517"/>
      <c r="BA46" s="517"/>
      <c r="BB46" s="517"/>
      <c r="BC46" s="517"/>
      <c r="BD46" s="517"/>
      <c r="BE46" s="517"/>
      <c r="BF46" s="517"/>
      <c r="BG46" s="51">
        <v>40</v>
      </c>
    </row>
    <row r="47" spans="7:59" x14ac:dyDescent="0.35">
      <c r="G47" s="51">
        <v>39</v>
      </c>
      <c r="H47" s="354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1">
        <v>39</v>
      </c>
      <c r="AH47" s="51">
        <v>39</v>
      </c>
      <c r="AI47" s="523"/>
      <c r="AJ47" s="517"/>
      <c r="AK47" s="517"/>
      <c r="AL47" s="517"/>
      <c r="AM47" s="517"/>
      <c r="AN47" s="517"/>
      <c r="AO47" s="517"/>
      <c r="AP47" s="517"/>
      <c r="AQ47" s="517"/>
      <c r="AR47" s="517"/>
      <c r="AS47" s="517"/>
      <c r="AT47" s="517"/>
      <c r="AU47" s="517"/>
      <c r="AV47" s="517"/>
      <c r="AW47" s="517"/>
      <c r="AX47" s="517"/>
      <c r="AY47" s="517"/>
      <c r="AZ47" s="517"/>
      <c r="BA47" s="517"/>
      <c r="BB47" s="517"/>
      <c r="BC47" s="517"/>
      <c r="BD47" s="517"/>
      <c r="BE47" s="517"/>
      <c r="BF47" s="517"/>
      <c r="BG47" s="51">
        <v>39</v>
      </c>
    </row>
    <row r="48" spans="7:59" x14ac:dyDescent="0.35">
      <c r="G48" s="51">
        <v>38</v>
      </c>
      <c r="H48" s="354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1">
        <v>38</v>
      </c>
      <c r="AH48" s="51">
        <v>38</v>
      </c>
      <c r="AI48" s="523"/>
      <c r="AJ48" s="517"/>
      <c r="AK48" s="517"/>
      <c r="AL48" s="517"/>
      <c r="AM48" s="517"/>
      <c r="AN48" s="517"/>
      <c r="AO48" s="517"/>
      <c r="AP48" s="517"/>
      <c r="AQ48" s="517"/>
      <c r="AR48" s="517"/>
      <c r="AS48" s="517"/>
      <c r="AT48" s="517"/>
      <c r="AU48" s="517"/>
      <c r="AV48" s="517"/>
      <c r="AW48" s="517"/>
      <c r="AX48" s="517"/>
      <c r="AY48" s="517"/>
      <c r="AZ48" s="517"/>
      <c r="BA48" s="517"/>
      <c r="BB48" s="517"/>
      <c r="BC48" s="517"/>
      <c r="BD48" s="517"/>
      <c r="BE48" s="517"/>
      <c r="BF48" s="517"/>
      <c r="BG48" s="51">
        <v>38</v>
      </c>
    </row>
    <row r="49" spans="7:59" x14ac:dyDescent="0.35">
      <c r="G49" s="51">
        <v>37</v>
      </c>
      <c r="H49" s="354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1">
        <v>37</v>
      </c>
      <c r="AH49" s="51">
        <v>37</v>
      </c>
      <c r="AI49" s="523"/>
      <c r="AJ49" s="517"/>
      <c r="AK49" s="517"/>
      <c r="AL49" s="517"/>
      <c r="AM49" s="517"/>
      <c r="AN49" s="517"/>
      <c r="AO49" s="517"/>
      <c r="AP49" s="517"/>
      <c r="AQ49" s="517"/>
      <c r="AR49" s="517"/>
      <c r="AS49" s="517"/>
      <c r="AT49" s="517"/>
      <c r="AU49" s="517"/>
      <c r="AV49" s="517"/>
      <c r="AW49" s="517"/>
      <c r="AX49" s="517"/>
      <c r="AY49" s="517"/>
      <c r="AZ49" s="517"/>
      <c r="BA49" s="517"/>
      <c r="BB49" s="517"/>
      <c r="BC49" s="517"/>
      <c r="BD49" s="517"/>
      <c r="BE49" s="517"/>
      <c r="BF49" s="517"/>
      <c r="BG49" s="51">
        <v>37</v>
      </c>
    </row>
    <row r="50" spans="7:59" x14ac:dyDescent="0.35">
      <c r="G50" s="51">
        <v>36</v>
      </c>
      <c r="H50" s="354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1">
        <v>36</v>
      </c>
      <c r="AH50" s="51">
        <v>36</v>
      </c>
      <c r="AI50" s="523"/>
      <c r="AJ50" s="517"/>
      <c r="AK50" s="517"/>
      <c r="AL50" s="517"/>
      <c r="AM50" s="517"/>
      <c r="AN50" s="517"/>
      <c r="AO50" s="517"/>
      <c r="AP50" s="517"/>
      <c r="AQ50" s="517"/>
      <c r="AR50" s="517"/>
      <c r="AS50" s="517"/>
      <c r="AT50" s="517"/>
      <c r="AU50" s="517"/>
      <c r="AV50" s="517"/>
      <c r="AW50" s="517"/>
      <c r="AX50" s="517"/>
      <c r="AY50" s="517"/>
      <c r="AZ50" s="517"/>
      <c r="BA50" s="517"/>
      <c r="BB50" s="517"/>
      <c r="BC50" s="517"/>
      <c r="BD50" s="517"/>
      <c r="BE50" s="517"/>
      <c r="BF50" s="517"/>
      <c r="BG50" s="51">
        <v>36</v>
      </c>
    </row>
    <row r="51" spans="7:59" x14ac:dyDescent="0.35">
      <c r="G51" s="51">
        <v>35</v>
      </c>
      <c r="H51" s="354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1">
        <v>35</v>
      </c>
      <c r="AH51" s="51">
        <v>35</v>
      </c>
      <c r="AI51" s="523"/>
      <c r="AJ51" s="517"/>
      <c r="AK51" s="517"/>
      <c r="AL51" s="517"/>
      <c r="AM51" s="517"/>
      <c r="AN51" s="517"/>
      <c r="AO51" s="517"/>
      <c r="AP51" s="517"/>
      <c r="AQ51" s="517"/>
      <c r="AR51" s="517"/>
      <c r="AS51" s="517"/>
      <c r="AT51" s="517"/>
      <c r="AU51" s="517"/>
      <c r="AV51" s="517"/>
      <c r="AW51" s="517"/>
      <c r="AX51" s="517"/>
      <c r="AY51" s="517"/>
      <c r="AZ51" s="517"/>
      <c r="BA51" s="517"/>
      <c r="BB51" s="517"/>
      <c r="BC51" s="517"/>
      <c r="BD51" s="517"/>
      <c r="BE51" s="517"/>
      <c r="BF51" s="517"/>
      <c r="BG51" s="51">
        <v>35</v>
      </c>
    </row>
    <row r="52" spans="7:59" x14ac:dyDescent="0.35">
      <c r="G52" s="51">
        <v>34</v>
      </c>
      <c r="H52" s="354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1">
        <v>34</v>
      </c>
      <c r="AH52" s="51">
        <v>34</v>
      </c>
      <c r="AI52" s="523"/>
      <c r="AJ52" s="517"/>
      <c r="AK52" s="517"/>
      <c r="AL52" s="517"/>
      <c r="AM52" s="517"/>
      <c r="AN52" s="517"/>
      <c r="AO52" s="517"/>
      <c r="AP52" s="517"/>
      <c r="AQ52" s="517"/>
      <c r="AR52" s="517"/>
      <c r="AS52" s="517"/>
      <c r="AT52" s="517"/>
      <c r="AU52" s="517"/>
      <c r="AV52" s="517"/>
      <c r="AW52" s="517"/>
      <c r="AX52" s="517"/>
      <c r="AY52" s="517"/>
      <c r="AZ52" s="517"/>
      <c r="BA52" s="517"/>
      <c r="BB52" s="517"/>
      <c r="BC52" s="517"/>
      <c r="BD52" s="517"/>
      <c r="BE52" s="517"/>
      <c r="BF52" s="517"/>
      <c r="BG52" s="51">
        <v>34</v>
      </c>
    </row>
    <row r="53" spans="7:59" x14ac:dyDescent="0.35">
      <c r="G53" s="51">
        <v>33</v>
      </c>
      <c r="H53" s="354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1">
        <v>33</v>
      </c>
      <c r="AH53" s="51">
        <v>33</v>
      </c>
      <c r="AI53" s="523"/>
      <c r="AJ53" s="517"/>
      <c r="AK53" s="517"/>
      <c r="AL53" s="517"/>
      <c r="AM53" s="517"/>
      <c r="AN53" s="517"/>
      <c r="AO53" s="517"/>
      <c r="AP53" s="517"/>
      <c r="AQ53" s="517"/>
      <c r="AR53" s="517"/>
      <c r="AS53" s="517"/>
      <c r="AT53" s="517"/>
      <c r="AU53" s="517"/>
      <c r="AV53" s="517"/>
      <c r="AW53" s="517"/>
      <c r="AX53" s="517"/>
      <c r="AY53" s="517"/>
      <c r="AZ53" s="517"/>
      <c r="BA53" s="517"/>
      <c r="BB53" s="517"/>
      <c r="BC53" s="517"/>
      <c r="BD53" s="517"/>
      <c r="BE53" s="517"/>
      <c r="BF53" s="517"/>
      <c r="BG53" s="51">
        <v>33</v>
      </c>
    </row>
    <row r="54" spans="7:59" x14ac:dyDescent="0.35">
      <c r="G54" s="51">
        <v>32</v>
      </c>
      <c r="H54" s="354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1">
        <v>32</v>
      </c>
      <c r="AH54" s="51">
        <v>32</v>
      </c>
      <c r="AI54" s="523"/>
      <c r="AJ54" s="517"/>
      <c r="AK54" s="517"/>
      <c r="AL54" s="517"/>
      <c r="AM54" s="517"/>
      <c r="AN54" s="517"/>
      <c r="AO54" s="517"/>
      <c r="AP54" s="517"/>
      <c r="AQ54" s="517"/>
      <c r="AR54" s="517"/>
      <c r="AS54" s="517"/>
      <c r="AT54" s="517"/>
      <c r="AU54" s="517"/>
      <c r="AV54" s="517"/>
      <c r="AW54" s="517"/>
      <c r="AX54" s="517"/>
      <c r="AY54" s="517"/>
      <c r="AZ54" s="517"/>
      <c r="BA54" s="517"/>
      <c r="BB54" s="517"/>
      <c r="BC54" s="517"/>
      <c r="BD54" s="517"/>
      <c r="BE54" s="517"/>
      <c r="BF54" s="517"/>
      <c r="BG54" s="51">
        <v>32</v>
      </c>
    </row>
    <row r="55" spans="7:59" x14ac:dyDescent="0.35">
      <c r="G55" s="51">
        <v>31</v>
      </c>
      <c r="H55" s="354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1">
        <v>31</v>
      </c>
      <c r="AH55" s="51">
        <v>31</v>
      </c>
      <c r="AI55" s="523"/>
      <c r="AJ55" s="517"/>
      <c r="AK55" s="517"/>
      <c r="AL55" s="517"/>
      <c r="AM55" s="517"/>
      <c r="AN55" s="517"/>
      <c r="AO55" s="517"/>
      <c r="AP55" s="517"/>
      <c r="AQ55" s="517"/>
      <c r="AR55" s="517"/>
      <c r="AS55" s="517"/>
      <c r="AT55" s="517"/>
      <c r="AU55" s="517"/>
      <c r="AV55" s="517"/>
      <c r="AW55" s="517"/>
      <c r="AX55" s="517"/>
      <c r="AY55" s="517"/>
      <c r="AZ55" s="517"/>
      <c r="BA55" s="517"/>
      <c r="BB55" s="517"/>
      <c r="BC55" s="517"/>
      <c r="BD55" s="517"/>
      <c r="BE55" s="517"/>
      <c r="BF55" s="517"/>
      <c r="BG55" s="51">
        <v>31</v>
      </c>
    </row>
    <row r="56" spans="7:59" x14ac:dyDescent="0.35">
      <c r="G56" s="51">
        <v>30</v>
      </c>
      <c r="H56" s="354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1">
        <v>30</v>
      </c>
      <c r="AH56" s="51">
        <v>30</v>
      </c>
      <c r="AI56" s="523"/>
      <c r="AJ56" s="517"/>
      <c r="AK56" s="517"/>
      <c r="AL56" s="517"/>
      <c r="AM56" s="517"/>
      <c r="AN56" s="517"/>
      <c r="AO56" s="517"/>
      <c r="AP56" s="517"/>
      <c r="AQ56" s="517"/>
      <c r="AR56" s="517"/>
      <c r="AS56" s="517"/>
      <c r="AT56" s="517"/>
      <c r="AU56" s="517"/>
      <c r="AV56" s="517"/>
      <c r="AW56" s="517"/>
      <c r="AX56" s="517"/>
      <c r="AY56" s="517"/>
      <c r="AZ56" s="517"/>
      <c r="BA56" s="517"/>
      <c r="BB56" s="517"/>
      <c r="BC56" s="517"/>
      <c r="BD56" s="517"/>
      <c r="BE56" s="517"/>
      <c r="BF56" s="517"/>
      <c r="BG56" s="51">
        <v>30</v>
      </c>
    </row>
    <row r="57" spans="7:59" x14ac:dyDescent="0.35">
      <c r="G57" s="51">
        <v>29</v>
      </c>
      <c r="H57" s="354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1">
        <v>29</v>
      </c>
      <c r="AH57" s="51">
        <v>29</v>
      </c>
      <c r="AI57" s="523"/>
      <c r="AJ57" s="517"/>
      <c r="AK57" s="517"/>
      <c r="AL57" s="517"/>
      <c r="AM57" s="517"/>
      <c r="AN57" s="517"/>
      <c r="AO57" s="517"/>
      <c r="AP57" s="517"/>
      <c r="AQ57" s="517"/>
      <c r="AR57" s="517"/>
      <c r="AS57" s="517"/>
      <c r="AT57" s="517"/>
      <c r="AU57" s="517"/>
      <c r="AV57" s="517"/>
      <c r="AW57" s="517"/>
      <c r="AX57" s="517"/>
      <c r="AY57" s="517"/>
      <c r="AZ57" s="517"/>
      <c r="BA57" s="517"/>
      <c r="BB57" s="517"/>
      <c r="BC57" s="517"/>
      <c r="BD57" s="517"/>
      <c r="BE57" s="517"/>
      <c r="BF57" s="517"/>
      <c r="BG57" s="51">
        <v>29</v>
      </c>
    </row>
    <row r="58" spans="7:59" x14ac:dyDescent="0.35">
      <c r="G58" s="51">
        <v>28</v>
      </c>
      <c r="H58" s="354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1">
        <v>28</v>
      </c>
      <c r="AH58" s="51">
        <v>28</v>
      </c>
      <c r="AI58" s="523"/>
      <c r="AJ58" s="517"/>
      <c r="AK58" s="517"/>
      <c r="AL58" s="517"/>
      <c r="AM58" s="517"/>
      <c r="AN58" s="517"/>
      <c r="AO58" s="517"/>
      <c r="AP58" s="517"/>
      <c r="AQ58" s="517"/>
      <c r="AR58" s="517"/>
      <c r="AS58" s="517"/>
      <c r="AT58" s="517"/>
      <c r="AU58" s="517"/>
      <c r="AV58" s="517"/>
      <c r="AW58" s="517"/>
      <c r="AX58" s="517"/>
      <c r="AY58" s="517"/>
      <c r="AZ58" s="517"/>
      <c r="BA58" s="517"/>
      <c r="BB58" s="517"/>
      <c r="BC58" s="517"/>
      <c r="BD58" s="517"/>
      <c r="BE58" s="517"/>
      <c r="BF58" s="517"/>
      <c r="BG58" s="51">
        <v>28</v>
      </c>
    </row>
    <row r="59" spans="7:59" x14ac:dyDescent="0.35">
      <c r="G59" s="51">
        <v>27</v>
      </c>
      <c r="H59" s="354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1">
        <v>27</v>
      </c>
      <c r="AH59" s="51">
        <v>27</v>
      </c>
      <c r="AI59" s="523"/>
      <c r="AJ59" s="517"/>
      <c r="AK59" s="517"/>
      <c r="AL59" s="517"/>
      <c r="AM59" s="517"/>
      <c r="AN59" s="517"/>
      <c r="AO59" s="517"/>
      <c r="AP59" s="517"/>
      <c r="AQ59" s="517"/>
      <c r="AR59" s="517"/>
      <c r="AS59" s="517"/>
      <c r="AT59" s="517"/>
      <c r="AU59" s="517"/>
      <c r="AV59" s="517"/>
      <c r="AW59" s="517"/>
      <c r="AX59" s="517"/>
      <c r="AY59" s="517"/>
      <c r="AZ59" s="517"/>
      <c r="BA59" s="517"/>
      <c r="BB59" s="517"/>
      <c r="BC59" s="517"/>
      <c r="BD59" s="517"/>
      <c r="BE59" s="517"/>
      <c r="BF59" s="517"/>
      <c r="BG59" s="51">
        <v>27</v>
      </c>
    </row>
    <row r="60" spans="7:59" x14ac:dyDescent="0.35">
      <c r="G60" s="51">
        <v>26</v>
      </c>
      <c r="H60" s="354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1">
        <v>26</v>
      </c>
      <c r="AH60" s="51">
        <v>26</v>
      </c>
      <c r="AI60" s="523"/>
      <c r="AJ60" s="517"/>
      <c r="AK60" s="517"/>
      <c r="AL60" s="517"/>
      <c r="AM60" s="517"/>
      <c r="AN60" s="517"/>
      <c r="AO60" s="517"/>
      <c r="AP60" s="517"/>
      <c r="AQ60" s="517"/>
      <c r="AR60" s="517"/>
      <c r="AS60" s="517"/>
      <c r="AT60" s="517"/>
      <c r="AU60" s="517"/>
      <c r="AV60" s="517"/>
      <c r="AW60" s="517"/>
      <c r="AX60" s="517"/>
      <c r="AY60" s="517"/>
      <c r="AZ60" s="517"/>
      <c r="BA60" s="517"/>
      <c r="BB60" s="517"/>
      <c r="BC60" s="517"/>
      <c r="BD60" s="517"/>
      <c r="BE60" s="517"/>
      <c r="BF60" s="517"/>
      <c r="BG60" s="51">
        <v>26</v>
      </c>
    </row>
    <row r="61" spans="7:59" x14ac:dyDescent="0.35">
      <c r="G61" s="51">
        <v>25</v>
      </c>
      <c r="H61" s="354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1">
        <v>25</v>
      </c>
      <c r="AH61" s="51">
        <v>25</v>
      </c>
      <c r="AI61" s="523"/>
      <c r="AJ61" s="517"/>
      <c r="AK61" s="517"/>
      <c r="AL61" s="517"/>
      <c r="AM61" s="517"/>
      <c r="AN61" s="517"/>
      <c r="AO61" s="517"/>
      <c r="AP61" s="517"/>
      <c r="AQ61" s="517"/>
      <c r="AR61" s="517"/>
      <c r="AS61" s="517"/>
      <c r="AT61" s="517"/>
      <c r="AU61" s="517"/>
      <c r="AV61" s="517"/>
      <c r="AW61" s="517"/>
      <c r="AX61" s="517"/>
      <c r="AY61" s="517"/>
      <c r="AZ61" s="517"/>
      <c r="BA61" s="517"/>
      <c r="BB61" s="517"/>
      <c r="BC61" s="517"/>
      <c r="BD61" s="517"/>
      <c r="BE61" s="517"/>
      <c r="BF61" s="517"/>
      <c r="BG61" s="51">
        <v>25</v>
      </c>
    </row>
    <row r="62" spans="7:59" x14ac:dyDescent="0.35">
      <c r="G62" s="51">
        <v>24</v>
      </c>
      <c r="H62" s="354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1">
        <v>24</v>
      </c>
      <c r="AH62" s="51">
        <v>24</v>
      </c>
      <c r="AI62" s="523"/>
      <c r="AJ62" s="517"/>
      <c r="AK62" s="517"/>
      <c r="AL62" s="517"/>
      <c r="AM62" s="517"/>
      <c r="AN62" s="517"/>
      <c r="AO62" s="517"/>
      <c r="AP62" s="517"/>
      <c r="AQ62" s="517"/>
      <c r="AR62" s="517"/>
      <c r="AS62" s="517"/>
      <c r="AT62" s="517"/>
      <c r="AU62" s="517"/>
      <c r="AV62" s="517"/>
      <c r="AW62" s="517"/>
      <c r="AX62" s="517"/>
      <c r="AY62" s="517"/>
      <c r="AZ62" s="517"/>
      <c r="BA62" s="517"/>
      <c r="BB62" s="517"/>
      <c r="BC62" s="517"/>
      <c r="BD62" s="517"/>
      <c r="BE62" s="517"/>
      <c r="BF62" s="517"/>
      <c r="BG62" s="51">
        <v>24</v>
      </c>
    </row>
    <row r="63" spans="7:59" x14ac:dyDescent="0.35">
      <c r="G63" s="51">
        <v>23</v>
      </c>
      <c r="H63" s="354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1">
        <v>23</v>
      </c>
      <c r="AH63" s="51">
        <v>23</v>
      </c>
      <c r="AI63" s="523"/>
      <c r="AJ63" s="517"/>
      <c r="AK63" s="517"/>
      <c r="AL63" s="517"/>
      <c r="AM63" s="517"/>
      <c r="AN63" s="517"/>
      <c r="AO63" s="517"/>
      <c r="AP63" s="517"/>
      <c r="AQ63" s="517"/>
      <c r="AR63" s="517"/>
      <c r="AS63" s="517"/>
      <c r="AT63" s="517"/>
      <c r="AU63" s="517"/>
      <c r="AV63" s="517"/>
      <c r="AW63" s="517"/>
      <c r="AX63" s="517"/>
      <c r="AY63" s="517"/>
      <c r="AZ63" s="517"/>
      <c r="BA63" s="517"/>
      <c r="BB63" s="517"/>
      <c r="BC63" s="517"/>
      <c r="BD63" s="517"/>
      <c r="BE63" s="517"/>
      <c r="BF63" s="517"/>
      <c r="BG63" s="51">
        <v>23</v>
      </c>
    </row>
    <row r="64" spans="7:59" x14ac:dyDescent="0.35">
      <c r="G64" s="51">
        <v>22</v>
      </c>
      <c r="H64" s="354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1">
        <v>22</v>
      </c>
      <c r="AH64" s="51">
        <v>22</v>
      </c>
      <c r="AI64" s="523"/>
      <c r="AJ64" s="517"/>
      <c r="AK64" s="517"/>
      <c r="AL64" s="517"/>
      <c r="AM64" s="517"/>
      <c r="AN64" s="517"/>
      <c r="AO64" s="517"/>
      <c r="AP64" s="517"/>
      <c r="AQ64" s="517"/>
      <c r="AR64" s="517"/>
      <c r="AS64" s="517"/>
      <c r="AT64" s="517"/>
      <c r="AU64" s="517"/>
      <c r="AV64" s="517"/>
      <c r="AW64" s="517"/>
      <c r="AX64" s="517"/>
      <c r="AY64" s="517"/>
      <c r="AZ64" s="517"/>
      <c r="BA64" s="517"/>
      <c r="BB64" s="517"/>
      <c r="BC64" s="517"/>
      <c r="BD64" s="517"/>
      <c r="BE64" s="517"/>
      <c r="BF64" s="517"/>
      <c r="BG64" s="51">
        <v>22</v>
      </c>
    </row>
    <row r="65" spans="7:59" x14ac:dyDescent="0.35">
      <c r="G65" s="51">
        <v>21</v>
      </c>
      <c r="H65" s="354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1">
        <v>21</v>
      </c>
      <c r="AH65" s="51">
        <v>21</v>
      </c>
      <c r="AI65" s="523"/>
      <c r="AJ65" s="517"/>
      <c r="AK65" s="517"/>
      <c r="AL65" s="517"/>
      <c r="AM65" s="517"/>
      <c r="AN65" s="517"/>
      <c r="AO65" s="517"/>
      <c r="AP65" s="517"/>
      <c r="AQ65" s="517"/>
      <c r="AR65" s="517"/>
      <c r="AS65" s="517"/>
      <c r="AT65" s="517"/>
      <c r="AU65" s="517"/>
      <c r="AV65" s="517"/>
      <c r="AW65" s="517"/>
      <c r="AX65" s="517"/>
      <c r="AY65" s="517"/>
      <c r="AZ65" s="517"/>
      <c r="BA65" s="517"/>
      <c r="BB65" s="517"/>
      <c r="BC65" s="517"/>
      <c r="BD65" s="517"/>
      <c r="BE65" s="517"/>
      <c r="BF65" s="517"/>
      <c r="BG65" s="51">
        <v>21</v>
      </c>
    </row>
    <row r="66" spans="7:59" x14ac:dyDescent="0.35">
      <c r="G66" s="51">
        <v>20</v>
      </c>
      <c r="H66" s="354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1">
        <v>20</v>
      </c>
      <c r="AH66" s="51">
        <v>20</v>
      </c>
      <c r="AI66" s="523"/>
      <c r="AJ66" s="517"/>
      <c r="AK66" s="517"/>
      <c r="AL66" s="517"/>
      <c r="AM66" s="517"/>
      <c r="AN66" s="517"/>
      <c r="AO66" s="517"/>
      <c r="AP66" s="517"/>
      <c r="AQ66" s="517"/>
      <c r="AR66" s="517"/>
      <c r="AS66" s="517"/>
      <c r="AT66" s="517"/>
      <c r="AU66" s="517"/>
      <c r="AV66" s="517"/>
      <c r="AW66" s="517"/>
      <c r="AX66" s="517"/>
      <c r="AY66" s="517"/>
      <c r="AZ66" s="517"/>
      <c r="BA66" s="517"/>
      <c r="BB66" s="517"/>
      <c r="BC66" s="517"/>
      <c r="BD66" s="517"/>
      <c r="BE66" s="517"/>
      <c r="BF66" s="517"/>
      <c r="BG66" s="51">
        <v>20</v>
      </c>
    </row>
    <row r="67" spans="7:59" x14ac:dyDescent="0.35">
      <c r="G67" s="51">
        <v>19</v>
      </c>
      <c r="H67" s="354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1">
        <v>19</v>
      </c>
      <c r="AH67" s="51">
        <v>19</v>
      </c>
      <c r="AI67" s="523"/>
      <c r="AJ67" s="517"/>
      <c r="AK67" s="517"/>
      <c r="AL67" s="517"/>
      <c r="AM67" s="517"/>
      <c r="AN67" s="517"/>
      <c r="AO67" s="517"/>
      <c r="AP67" s="517"/>
      <c r="AQ67" s="517"/>
      <c r="AR67" s="517"/>
      <c r="AS67" s="517"/>
      <c r="AT67" s="517"/>
      <c r="AU67" s="517"/>
      <c r="AV67" s="517"/>
      <c r="AW67" s="517"/>
      <c r="AX67" s="517"/>
      <c r="AY67" s="517"/>
      <c r="AZ67" s="517"/>
      <c r="BA67" s="517"/>
      <c r="BB67" s="517"/>
      <c r="BC67" s="517"/>
      <c r="BD67" s="517"/>
      <c r="BE67" s="517"/>
      <c r="BF67" s="517"/>
      <c r="BG67" s="51">
        <v>19</v>
      </c>
    </row>
    <row r="68" spans="7:59" x14ac:dyDescent="0.35">
      <c r="G68" s="51">
        <v>18</v>
      </c>
      <c r="H68" s="354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1">
        <v>18</v>
      </c>
      <c r="AH68" s="51">
        <v>18</v>
      </c>
      <c r="AI68" s="523"/>
      <c r="AJ68" s="517"/>
      <c r="AK68" s="517"/>
      <c r="AL68" s="517"/>
      <c r="AM68" s="517"/>
      <c r="AN68" s="517"/>
      <c r="AO68" s="517"/>
      <c r="AP68" s="517"/>
      <c r="AQ68" s="517"/>
      <c r="AR68" s="517"/>
      <c r="AS68" s="517"/>
      <c r="AT68" s="517"/>
      <c r="AU68" s="517"/>
      <c r="AV68" s="517"/>
      <c r="AW68" s="517"/>
      <c r="AX68" s="517"/>
      <c r="AY68" s="517"/>
      <c r="AZ68" s="517"/>
      <c r="BA68" s="517"/>
      <c r="BB68" s="517"/>
      <c r="BC68" s="517"/>
      <c r="BD68" s="517"/>
      <c r="BE68" s="517"/>
      <c r="BF68" s="517"/>
      <c r="BG68" s="51">
        <v>18</v>
      </c>
    </row>
    <row r="69" spans="7:59" x14ac:dyDescent="0.35">
      <c r="G69" s="51">
        <v>17</v>
      </c>
      <c r="H69" s="354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1">
        <v>17</v>
      </c>
      <c r="AH69" s="51">
        <v>17</v>
      </c>
      <c r="AI69" s="523"/>
      <c r="AJ69" s="517"/>
      <c r="AK69" s="517"/>
      <c r="AL69" s="517"/>
      <c r="AM69" s="517"/>
      <c r="AN69" s="517"/>
      <c r="AO69" s="517"/>
      <c r="AP69" s="517"/>
      <c r="AQ69" s="517"/>
      <c r="AR69" s="517"/>
      <c r="AS69" s="517"/>
      <c r="AT69" s="517"/>
      <c r="AU69" s="517"/>
      <c r="AV69" s="517"/>
      <c r="AW69" s="517"/>
      <c r="AX69" s="517"/>
      <c r="AY69" s="517"/>
      <c r="AZ69" s="517"/>
      <c r="BA69" s="517"/>
      <c r="BB69" s="517"/>
      <c r="BC69" s="517"/>
      <c r="BD69" s="517"/>
      <c r="BE69" s="517"/>
      <c r="BF69" s="517"/>
      <c r="BG69" s="51">
        <v>17</v>
      </c>
    </row>
    <row r="70" spans="7:59" x14ac:dyDescent="0.35">
      <c r="G70" s="51">
        <v>16</v>
      </c>
      <c r="H70" s="354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1">
        <v>16</v>
      </c>
      <c r="AH70" s="51">
        <v>16</v>
      </c>
      <c r="AI70" s="523"/>
      <c r="AJ70" s="517"/>
      <c r="AK70" s="517"/>
      <c r="AL70" s="517"/>
      <c r="AM70" s="517"/>
      <c r="AN70" s="517"/>
      <c r="AO70" s="517"/>
      <c r="AP70" s="517"/>
      <c r="AQ70" s="517"/>
      <c r="AR70" s="517"/>
      <c r="AS70" s="517"/>
      <c r="AT70" s="517"/>
      <c r="AU70" s="517"/>
      <c r="AV70" s="517"/>
      <c r="AW70" s="517"/>
      <c r="AX70" s="517"/>
      <c r="AY70" s="517"/>
      <c r="AZ70" s="517"/>
      <c r="BA70" s="517"/>
      <c r="BB70" s="517"/>
      <c r="BC70" s="517"/>
      <c r="BD70" s="517"/>
      <c r="BE70" s="517"/>
      <c r="BF70" s="517"/>
      <c r="BG70" s="51">
        <v>16</v>
      </c>
    </row>
    <row r="71" spans="7:59" x14ac:dyDescent="0.35">
      <c r="G71" s="51">
        <v>15</v>
      </c>
      <c r="H71" s="354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1">
        <v>15</v>
      </c>
      <c r="AH71" s="51">
        <v>15</v>
      </c>
      <c r="AI71" s="523"/>
      <c r="AJ71" s="517"/>
      <c r="AK71" s="517"/>
      <c r="AL71" s="517"/>
      <c r="AM71" s="517"/>
      <c r="AN71" s="517"/>
      <c r="AO71" s="517"/>
      <c r="AP71" s="517"/>
      <c r="AQ71" s="517"/>
      <c r="AR71" s="517"/>
      <c r="AS71" s="517"/>
      <c r="AT71" s="517"/>
      <c r="AU71" s="517"/>
      <c r="AV71" s="517"/>
      <c r="AW71" s="517"/>
      <c r="AX71" s="517"/>
      <c r="AY71" s="517"/>
      <c r="AZ71" s="517"/>
      <c r="BA71" s="517"/>
      <c r="BB71" s="517"/>
      <c r="BC71" s="517"/>
      <c r="BD71" s="517"/>
      <c r="BE71" s="517"/>
      <c r="BF71" s="517"/>
      <c r="BG71" s="51">
        <v>15</v>
      </c>
    </row>
    <row r="72" spans="7:59" x14ac:dyDescent="0.35">
      <c r="G72" s="51">
        <v>14</v>
      </c>
      <c r="H72" s="354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1">
        <v>14</v>
      </c>
      <c r="AH72" s="51">
        <v>14</v>
      </c>
      <c r="AI72" s="523"/>
      <c r="AJ72" s="517"/>
      <c r="AK72" s="517"/>
      <c r="AL72" s="517"/>
      <c r="AM72" s="517"/>
      <c r="AN72" s="517"/>
      <c r="AO72" s="517"/>
      <c r="AP72" s="517"/>
      <c r="AQ72" s="517"/>
      <c r="AR72" s="517"/>
      <c r="AS72" s="517"/>
      <c r="AT72" s="517"/>
      <c r="AU72" s="517"/>
      <c r="AV72" s="517"/>
      <c r="AW72" s="517"/>
      <c r="AX72" s="517"/>
      <c r="AY72" s="517"/>
      <c r="AZ72" s="517"/>
      <c r="BA72" s="517"/>
      <c r="BB72" s="517"/>
      <c r="BC72" s="517"/>
      <c r="BD72" s="517"/>
      <c r="BE72" s="517"/>
      <c r="BF72" s="517"/>
      <c r="BG72" s="51">
        <v>14</v>
      </c>
    </row>
    <row r="73" spans="7:59" x14ac:dyDescent="0.35">
      <c r="G73" s="51">
        <v>13</v>
      </c>
      <c r="H73" s="354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1">
        <v>13</v>
      </c>
      <c r="AH73" s="51">
        <v>13</v>
      </c>
      <c r="AI73" s="523"/>
      <c r="AJ73" s="517"/>
      <c r="AK73" s="517"/>
      <c r="AL73" s="517"/>
      <c r="AM73" s="517"/>
      <c r="AN73" s="517"/>
      <c r="AO73" s="517"/>
      <c r="AP73" s="517"/>
      <c r="AQ73" s="517"/>
      <c r="AR73" s="517"/>
      <c r="AS73" s="517"/>
      <c r="AT73" s="517"/>
      <c r="AU73" s="517"/>
      <c r="AV73" s="517"/>
      <c r="AW73" s="517"/>
      <c r="AX73" s="517"/>
      <c r="AY73" s="517"/>
      <c r="AZ73" s="517"/>
      <c r="BA73" s="517"/>
      <c r="BB73" s="517"/>
      <c r="BC73" s="517"/>
      <c r="BD73" s="517"/>
      <c r="BE73" s="517"/>
      <c r="BF73" s="517"/>
      <c r="BG73" s="51">
        <v>13</v>
      </c>
    </row>
    <row r="74" spans="7:59" x14ac:dyDescent="0.35">
      <c r="G74" s="51">
        <v>12</v>
      </c>
      <c r="H74" s="354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1">
        <v>12</v>
      </c>
      <c r="AH74" s="51">
        <v>12</v>
      </c>
      <c r="AI74" s="523"/>
      <c r="AJ74" s="517"/>
      <c r="AK74" s="517"/>
      <c r="AL74" s="517"/>
      <c r="AM74" s="517"/>
      <c r="AN74" s="517"/>
      <c r="AO74" s="517"/>
      <c r="AP74" s="517"/>
      <c r="AQ74" s="517"/>
      <c r="AR74" s="517"/>
      <c r="AS74" s="517"/>
      <c r="AT74" s="517"/>
      <c r="AU74" s="517"/>
      <c r="AV74" s="517"/>
      <c r="AW74" s="517"/>
      <c r="AX74" s="517"/>
      <c r="AY74" s="517"/>
      <c r="AZ74" s="517"/>
      <c r="BA74" s="517"/>
      <c r="BB74" s="517"/>
      <c r="BC74" s="517"/>
      <c r="BD74" s="517"/>
      <c r="BE74" s="517"/>
      <c r="BF74" s="517"/>
      <c r="BG74" s="51">
        <v>12</v>
      </c>
    </row>
    <row r="75" spans="7:59" x14ac:dyDescent="0.35">
      <c r="G75" s="51">
        <v>11</v>
      </c>
      <c r="H75" s="354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1">
        <v>11</v>
      </c>
      <c r="AH75" s="51">
        <v>11</v>
      </c>
      <c r="AI75" s="523"/>
      <c r="AJ75" s="517"/>
      <c r="AK75" s="517"/>
      <c r="AL75" s="517"/>
      <c r="AM75" s="517"/>
      <c r="AN75" s="517"/>
      <c r="AO75" s="517"/>
      <c r="AP75" s="517"/>
      <c r="AQ75" s="517"/>
      <c r="AR75" s="517"/>
      <c r="AS75" s="517"/>
      <c r="AT75" s="517"/>
      <c r="AU75" s="517"/>
      <c r="AV75" s="517"/>
      <c r="AW75" s="517"/>
      <c r="AX75" s="517"/>
      <c r="AY75" s="517"/>
      <c r="AZ75" s="517"/>
      <c r="BA75" s="517"/>
      <c r="BB75" s="517"/>
      <c r="BC75" s="517"/>
      <c r="BD75" s="517"/>
      <c r="BE75" s="517"/>
      <c r="BF75" s="517"/>
      <c r="BG75" s="51">
        <v>11</v>
      </c>
    </row>
    <row r="76" spans="7:59" x14ac:dyDescent="0.35">
      <c r="G76" s="51">
        <v>10</v>
      </c>
      <c r="H76" s="354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1">
        <v>10</v>
      </c>
      <c r="AH76" s="51">
        <v>10</v>
      </c>
      <c r="AI76" s="523"/>
      <c r="AJ76" s="517"/>
      <c r="AK76" s="517"/>
      <c r="AL76" s="517"/>
      <c r="AM76" s="517"/>
      <c r="AN76" s="517"/>
      <c r="AO76" s="517"/>
      <c r="AP76" s="517"/>
      <c r="AQ76" s="517"/>
      <c r="AR76" s="517"/>
      <c r="AS76" s="517"/>
      <c r="AT76" s="517"/>
      <c r="AU76" s="517"/>
      <c r="AV76" s="517"/>
      <c r="AW76" s="517"/>
      <c r="AX76" s="517"/>
      <c r="AY76" s="517"/>
      <c r="AZ76" s="517"/>
      <c r="BA76" s="517"/>
      <c r="BB76" s="517"/>
      <c r="BC76" s="517"/>
      <c r="BD76" s="517"/>
      <c r="BE76" s="517"/>
      <c r="BF76" s="517"/>
      <c r="BG76" s="51">
        <v>10</v>
      </c>
    </row>
    <row r="77" spans="7:59" x14ac:dyDescent="0.35">
      <c r="G77" s="51">
        <v>9</v>
      </c>
      <c r="H77" s="354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1">
        <v>9</v>
      </c>
      <c r="AH77" s="51">
        <v>9</v>
      </c>
      <c r="AI77" s="523"/>
      <c r="AJ77" s="517"/>
      <c r="AK77" s="517"/>
      <c r="AL77" s="517"/>
      <c r="AM77" s="517"/>
      <c r="AN77" s="517"/>
      <c r="AO77" s="517"/>
      <c r="AP77" s="517"/>
      <c r="AQ77" s="517"/>
      <c r="AR77" s="517"/>
      <c r="AS77" s="517"/>
      <c r="AT77" s="517"/>
      <c r="AU77" s="517"/>
      <c r="AV77" s="517"/>
      <c r="AW77" s="517"/>
      <c r="AX77" s="517"/>
      <c r="AY77" s="517"/>
      <c r="AZ77" s="517"/>
      <c r="BA77" s="517"/>
      <c r="BB77" s="517"/>
      <c r="BC77" s="517"/>
      <c r="BD77" s="517"/>
      <c r="BE77" s="517"/>
      <c r="BF77" s="517"/>
      <c r="BG77" s="51">
        <v>9</v>
      </c>
    </row>
    <row r="78" spans="7:59" x14ac:dyDescent="0.35">
      <c r="G78" s="51">
        <v>8</v>
      </c>
      <c r="H78" s="354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1">
        <v>8</v>
      </c>
      <c r="AH78" s="51">
        <v>8</v>
      </c>
      <c r="AI78" s="523"/>
      <c r="AJ78" s="517"/>
      <c r="AK78" s="517"/>
      <c r="AL78" s="517"/>
      <c r="AM78" s="517"/>
      <c r="AN78" s="517"/>
      <c r="AO78" s="517"/>
      <c r="AP78" s="517"/>
      <c r="AQ78" s="517"/>
      <c r="AR78" s="517"/>
      <c r="AS78" s="517"/>
      <c r="AT78" s="517"/>
      <c r="AU78" s="517"/>
      <c r="AV78" s="517"/>
      <c r="AW78" s="517"/>
      <c r="AX78" s="517"/>
      <c r="AY78" s="517"/>
      <c r="AZ78" s="517"/>
      <c r="BA78" s="517"/>
      <c r="BB78" s="517"/>
      <c r="BC78" s="517"/>
      <c r="BD78" s="517"/>
      <c r="BE78" s="517"/>
      <c r="BF78" s="517"/>
      <c r="BG78" s="51">
        <v>8</v>
      </c>
    </row>
    <row r="79" spans="7:59" x14ac:dyDescent="0.35">
      <c r="G79" s="51">
        <v>7</v>
      </c>
      <c r="H79" s="354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1">
        <v>7</v>
      </c>
      <c r="AH79" s="51">
        <v>7</v>
      </c>
      <c r="AI79" s="523"/>
      <c r="AJ79" s="517"/>
      <c r="AK79" s="517"/>
      <c r="AL79" s="517"/>
      <c r="AM79" s="517"/>
      <c r="AN79" s="517"/>
      <c r="AO79" s="517"/>
      <c r="AP79" s="517"/>
      <c r="AQ79" s="517"/>
      <c r="AR79" s="517"/>
      <c r="AS79" s="517"/>
      <c r="AT79" s="517"/>
      <c r="AU79" s="517"/>
      <c r="AV79" s="517"/>
      <c r="AW79" s="517"/>
      <c r="AX79" s="517"/>
      <c r="AY79" s="517"/>
      <c r="AZ79" s="517"/>
      <c r="BA79" s="517"/>
      <c r="BB79" s="517"/>
      <c r="BC79" s="517"/>
      <c r="BD79" s="517"/>
      <c r="BE79" s="517"/>
      <c r="BF79" s="517"/>
      <c r="BG79" s="51">
        <v>7</v>
      </c>
    </row>
    <row r="80" spans="7:59" x14ac:dyDescent="0.35">
      <c r="G80" s="51">
        <v>6</v>
      </c>
      <c r="H80" s="354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1">
        <v>6</v>
      </c>
      <c r="AH80" s="51">
        <v>6</v>
      </c>
      <c r="AI80" s="523"/>
      <c r="AJ80" s="517"/>
      <c r="AK80" s="517"/>
      <c r="AL80" s="517"/>
      <c r="AM80" s="517"/>
      <c r="AN80" s="517"/>
      <c r="AO80" s="517"/>
      <c r="AP80" s="517"/>
      <c r="AQ80" s="517"/>
      <c r="AR80" s="517"/>
      <c r="AS80" s="517"/>
      <c r="AT80" s="517"/>
      <c r="AU80" s="517"/>
      <c r="AV80" s="517"/>
      <c r="AW80" s="517"/>
      <c r="AX80" s="517"/>
      <c r="AY80" s="517"/>
      <c r="AZ80" s="517"/>
      <c r="BA80" s="517"/>
      <c r="BB80" s="517"/>
      <c r="BC80" s="517"/>
      <c r="BD80" s="517"/>
      <c r="BE80" s="517"/>
      <c r="BF80" s="517"/>
      <c r="BG80" s="51">
        <v>6</v>
      </c>
    </row>
    <row r="81" spans="7:59" x14ac:dyDescent="0.35">
      <c r="G81" s="51">
        <v>5</v>
      </c>
      <c r="H81" s="354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1">
        <v>5</v>
      </c>
      <c r="AH81" s="51">
        <v>5</v>
      </c>
      <c r="AI81" s="523"/>
      <c r="AJ81" s="517"/>
      <c r="AK81" s="517"/>
      <c r="AL81" s="517"/>
      <c r="AM81" s="517"/>
      <c r="AN81" s="517"/>
      <c r="AO81" s="517"/>
      <c r="AP81" s="517"/>
      <c r="AQ81" s="517"/>
      <c r="AR81" s="517"/>
      <c r="AS81" s="517"/>
      <c r="AT81" s="517"/>
      <c r="AU81" s="517"/>
      <c r="AV81" s="517"/>
      <c r="AW81" s="517"/>
      <c r="AX81" s="517"/>
      <c r="AY81" s="517"/>
      <c r="AZ81" s="517"/>
      <c r="BA81" s="517"/>
      <c r="BB81" s="517"/>
      <c r="BC81" s="517"/>
      <c r="BD81" s="517"/>
      <c r="BE81" s="517"/>
      <c r="BF81" s="517"/>
      <c r="BG81" s="51">
        <v>5</v>
      </c>
    </row>
    <row r="82" spans="7:59" x14ac:dyDescent="0.35">
      <c r="G82" s="51">
        <v>4</v>
      </c>
      <c r="H82" s="354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1">
        <v>4</v>
      </c>
      <c r="AH82" s="51">
        <v>4</v>
      </c>
      <c r="AI82" s="523"/>
      <c r="AJ82" s="517"/>
      <c r="AK82" s="517"/>
      <c r="AL82" s="517"/>
      <c r="AM82" s="517"/>
      <c r="AN82" s="517"/>
      <c r="AO82" s="517"/>
      <c r="AP82" s="517"/>
      <c r="AQ82" s="517"/>
      <c r="AR82" s="517"/>
      <c r="AS82" s="517"/>
      <c r="AT82" s="517"/>
      <c r="AU82" s="517"/>
      <c r="AV82" s="517"/>
      <c r="AW82" s="517"/>
      <c r="AX82" s="517"/>
      <c r="AY82" s="517"/>
      <c r="AZ82" s="517"/>
      <c r="BA82" s="517"/>
      <c r="BB82" s="517"/>
      <c r="BC82" s="517"/>
      <c r="BD82" s="517"/>
      <c r="BE82" s="517"/>
      <c r="BF82" s="517"/>
      <c r="BG82" s="51">
        <v>4</v>
      </c>
    </row>
    <row r="83" spans="7:59" x14ac:dyDescent="0.35">
      <c r="G83" s="51">
        <v>3</v>
      </c>
      <c r="H83" s="354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51">
        <v>3</v>
      </c>
      <c r="AH83" s="51">
        <v>3</v>
      </c>
      <c r="AI83" s="523"/>
      <c r="AJ83" s="517"/>
      <c r="AK83" s="517"/>
      <c r="AL83" s="517"/>
      <c r="AM83" s="517"/>
      <c r="AN83" s="517"/>
      <c r="AO83" s="517"/>
      <c r="AP83" s="517"/>
      <c r="AQ83" s="517"/>
      <c r="AR83" s="517"/>
      <c r="AS83" s="517"/>
      <c r="AT83" s="517"/>
      <c r="AU83" s="517"/>
      <c r="AV83" s="517"/>
      <c r="AW83" s="517"/>
      <c r="AX83" s="517"/>
      <c r="AY83" s="517"/>
      <c r="AZ83" s="517"/>
      <c r="BA83" s="517"/>
      <c r="BB83" s="517"/>
      <c r="BC83" s="517"/>
      <c r="BD83" s="517"/>
      <c r="BE83" s="517"/>
      <c r="BF83" s="517"/>
      <c r="BG83" s="51">
        <v>3</v>
      </c>
    </row>
    <row r="84" spans="7:59" x14ac:dyDescent="0.35">
      <c r="G84" s="51">
        <v>2</v>
      </c>
      <c r="H84" s="354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1">
        <v>2</v>
      </c>
      <c r="AH84" s="51">
        <v>2</v>
      </c>
      <c r="AI84" s="523"/>
      <c r="AJ84" s="517"/>
      <c r="AK84" s="517"/>
      <c r="AL84" s="517"/>
      <c r="AM84" s="517"/>
      <c r="AN84" s="517"/>
      <c r="AO84" s="517"/>
      <c r="AP84" s="517"/>
      <c r="AQ84" s="517"/>
      <c r="AR84" s="517"/>
      <c r="AS84" s="517"/>
      <c r="AT84" s="517"/>
      <c r="AU84" s="517"/>
      <c r="AV84" s="517"/>
      <c r="AW84" s="517"/>
      <c r="AX84" s="517"/>
      <c r="AY84" s="517"/>
      <c r="AZ84" s="517"/>
      <c r="BA84" s="517"/>
      <c r="BB84" s="517"/>
      <c r="BC84" s="517"/>
      <c r="BD84" s="517"/>
      <c r="BE84" s="517"/>
      <c r="BF84" s="517"/>
      <c r="BG84" s="51">
        <v>2</v>
      </c>
    </row>
    <row r="85" spans="7:59" x14ac:dyDescent="0.35">
      <c r="G85" s="51">
        <v>1</v>
      </c>
      <c r="H85" s="354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50"/>
      <c r="AF85" s="51">
        <v>1</v>
      </c>
      <c r="AH85" s="51">
        <v>1</v>
      </c>
      <c r="AI85" s="523"/>
      <c r="AJ85" s="517"/>
      <c r="AK85" s="517"/>
      <c r="AL85" s="517"/>
      <c r="AM85" s="517"/>
      <c r="AN85" s="517"/>
      <c r="AO85" s="517"/>
      <c r="AP85" s="517"/>
      <c r="AQ85" s="517"/>
      <c r="AR85" s="517"/>
      <c r="AS85" s="517"/>
      <c r="AT85" s="517"/>
      <c r="AU85" s="517"/>
      <c r="AV85" s="517"/>
      <c r="AW85" s="517"/>
      <c r="AX85" s="517"/>
      <c r="AY85" s="517"/>
      <c r="AZ85" s="517"/>
      <c r="BA85" s="517"/>
      <c r="BB85" s="517"/>
      <c r="BC85" s="517"/>
      <c r="BD85" s="517"/>
      <c r="BE85" s="517"/>
      <c r="BF85" s="517"/>
      <c r="BG85" s="51">
        <v>1</v>
      </c>
    </row>
    <row r="86" spans="7:59" x14ac:dyDescent="0.35">
      <c r="H86" s="352">
        <v>1</v>
      </c>
      <c r="I86" s="352">
        <v>2</v>
      </c>
      <c r="J86" s="352">
        <v>3</v>
      </c>
      <c r="K86" s="352">
        <v>4</v>
      </c>
      <c r="L86" s="352">
        <v>5</v>
      </c>
      <c r="M86" s="352">
        <v>6</v>
      </c>
      <c r="N86" s="352">
        <v>7</v>
      </c>
      <c r="O86" s="352">
        <v>8</v>
      </c>
      <c r="P86" s="352">
        <v>9</v>
      </c>
      <c r="Q86" s="352">
        <v>10</v>
      </c>
      <c r="R86" s="352">
        <v>11</v>
      </c>
      <c r="S86" s="352">
        <v>12</v>
      </c>
      <c r="T86" s="352">
        <v>13</v>
      </c>
      <c r="U86" s="352">
        <v>14</v>
      </c>
      <c r="V86" s="352">
        <v>15</v>
      </c>
      <c r="W86" s="352">
        <v>16</v>
      </c>
      <c r="X86" s="352">
        <v>17</v>
      </c>
      <c r="Y86" s="352">
        <v>18</v>
      </c>
      <c r="Z86" s="352">
        <v>19</v>
      </c>
      <c r="AA86" s="352">
        <v>20</v>
      </c>
      <c r="AB86" s="352">
        <v>21</v>
      </c>
      <c r="AC86" s="352">
        <v>22</v>
      </c>
      <c r="AD86" s="352">
        <v>23</v>
      </c>
      <c r="AE86" s="352">
        <v>24</v>
      </c>
      <c r="AI86" s="353">
        <v>1</v>
      </c>
      <c r="AJ86" s="352">
        <v>2</v>
      </c>
      <c r="AK86" s="353">
        <v>3</v>
      </c>
      <c r="AL86" s="352">
        <v>4</v>
      </c>
      <c r="AM86" s="353">
        <v>5</v>
      </c>
      <c r="AN86" s="352">
        <v>6</v>
      </c>
      <c r="AO86" s="353">
        <v>7</v>
      </c>
      <c r="AP86" s="352">
        <v>8</v>
      </c>
      <c r="AQ86" s="353">
        <v>9</v>
      </c>
      <c r="AR86" s="352">
        <v>10</v>
      </c>
      <c r="AS86" s="353">
        <v>11</v>
      </c>
      <c r="AT86" s="352">
        <v>12</v>
      </c>
      <c r="AU86" s="353">
        <v>13</v>
      </c>
      <c r="AV86" s="352">
        <v>14</v>
      </c>
      <c r="AW86" s="353">
        <v>15</v>
      </c>
      <c r="AX86" s="352">
        <v>16</v>
      </c>
      <c r="AY86" s="353">
        <v>17</v>
      </c>
      <c r="AZ86" s="352">
        <v>18</v>
      </c>
      <c r="BA86" s="353">
        <v>19</v>
      </c>
      <c r="BB86" s="352">
        <v>20</v>
      </c>
      <c r="BC86" s="353">
        <v>21</v>
      </c>
      <c r="BD86" s="352">
        <v>22</v>
      </c>
      <c r="BE86" s="353">
        <v>23</v>
      </c>
      <c r="BF86" s="352">
        <v>24</v>
      </c>
    </row>
    <row r="87" spans="7:59" x14ac:dyDescent="0.35">
      <c r="H87" s="48" t="s">
        <v>176</v>
      </c>
      <c r="I87" s="48"/>
      <c r="J87" s="48"/>
      <c r="K87" s="48"/>
      <c r="L87" s="48"/>
      <c r="M87" s="48"/>
      <c r="N87" s="48"/>
      <c r="O87" s="48"/>
      <c r="P87" s="48"/>
      <c r="Q87" s="48"/>
      <c r="R87" s="48"/>
      <c r="S87" s="48"/>
      <c r="T87" s="48"/>
      <c r="U87" s="48"/>
      <c r="V87" s="48"/>
      <c r="W87" s="48"/>
      <c r="X87" s="48"/>
      <c r="Y87" s="48"/>
      <c r="Z87" s="48"/>
      <c r="AA87" s="48"/>
      <c r="AB87" s="48"/>
      <c r="AC87" s="48"/>
      <c r="AD87" s="48"/>
      <c r="AE87" s="48"/>
      <c r="AI87" s="48" t="s">
        <v>176</v>
      </c>
      <c r="AJ87" s="23"/>
      <c r="AK87" s="23"/>
      <c r="AL87" s="23"/>
      <c r="AM87" s="23"/>
      <c r="AN87" s="23"/>
      <c r="AO87" s="23"/>
      <c r="AP87" s="23"/>
      <c r="AQ87" s="23"/>
      <c r="AR87" s="23"/>
      <c r="AS87" s="23"/>
      <c r="AT87" s="23"/>
      <c r="AU87" s="23"/>
      <c r="AV87" s="23"/>
      <c r="AW87" s="23"/>
      <c r="AX87" s="23"/>
      <c r="AY87" s="23"/>
      <c r="AZ87" s="23"/>
      <c r="BA87" s="23"/>
      <c r="BB87" s="23"/>
      <c r="BC87" s="23"/>
      <c r="BD87" s="23"/>
      <c r="BE87" s="23"/>
      <c r="BF87" s="23"/>
    </row>
    <row r="88" spans="7:59" x14ac:dyDescent="0.35">
      <c r="H88" s="48" t="s">
        <v>211</v>
      </c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  <c r="U88" s="48"/>
      <c r="V88" s="48"/>
      <c r="W88" s="48"/>
      <c r="X88" s="48"/>
      <c r="Y88" s="48"/>
      <c r="Z88" s="48"/>
      <c r="AA88" s="48"/>
      <c r="AB88" s="48"/>
      <c r="AC88" s="48"/>
      <c r="AD88" s="48"/>
      <c r="AE88" s="47"/>
      <c r="AF88" s="47"/>
      <c r="AG88" s="47"/>
      <c r="AH88" s="47"/>
      <c r="AI88" s="48" t="s">
        <v>13</v>
      </c>
      <c r="AJ88" s="48"/>
    </row>
  </sheetData>
  <mergeCells count="7">
    <mergeCell ref="B4:BH4"/>
    <mergeCell ref="F20:F26"/>
    <mergeCell ref="BH20:BH26"/>
    <mergeCell ref="E9:E10"/>
    <mergeCell ref="D10:D11"/>
    <mergeCell ref="G15:P15"/>
    <mergeCell ref="B17:E18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O49"/>
  <sheetViews>
    <sheetView topLeftCell="A3" zoomScale="70" zoomScaleNormal="70" workbookViewId="0">
      <selection activeCell="B3" sqref="B3"/>
    </sheetView>
  </sheetViews>
  <sheetFormatPr baseColWidth="10" defaultRowHeight="14.5" x14ac:dyDescent="0.35"/>
  <cols>
    <col min="1" max="1" width="0.90625" customWidth="1"/>
    <col min="2" max="2" width="15.54296875" customWidth="1"/>
    <col min="4" max="5" width="10.54296875" customWidth="1"/>
    <col min="6" max="6" width="5.81640625" customWidth="1"/>
    <col min="7" max="7" width="5.1796875" customWidth="1"/>
    <col min="8" max="31" width="2.6328125" customWidth="1"/>
    <col min="32" max="34" width="3.26953125" customWidth="1"/>
    <col min="35" max="58" width="2.6328125" customWidth="1"/>
    <col min="59" max="59" width="5.36328125" style="23" customWidth="1"/>
    <col min="60" max="60" width="3.7265625" style="23" customWidth="1"/>
    <col min="61" max="61" width="2.81640625" style="23" customWidth="1"/>
    <col min="62" max="67" width="3.7265625" style="23" customWidth="1"/>
    <col min="75" max="75" width="2.54296875" customWidth="1"/>
  </cols>
  <sheetData>
    <row r="1" spans="1:63" hidden="1" x14ac:dyDescent="0.35">
      <c r="B1" s="22" t="str">
        <f>C8</f>
        <v>meses</v>
      </c>
      <c r="C1" s="22" t="s">
        <v>4</v>
      </c>
      <c r="D1" s="22" t="s">
        <v>5</v>
      </c>
      <c r="E1" s="22" t="s">
        <v>6</v>
      </c>
      <c r="F1" s="22"/>
      <c r="G1" s="22"/>
      <c r="BG1"/>
      <c r="BH1"/>
      <c r="BI1"/>
      <c r="BJ1"/>
      <c r="BK1"/>
    </row>
    <row r="2" spans="1:63" hidden="1" x14ac:dyDescent="0.35">
      <c r="B2" s="22" t="s">
        <v>7</v>
      </c>
      <c r="C2" s="22" t="s">
        <v>8</v>
      </c>
      <c r="D2" s="22" t="s">
        <v>9</v>
      </c>
      <c r="E2" s="22" t="s">
        <v>10</v>
      </c>
      <c r="F2" s="22" t="str">
        <f>CONCATENATE(C2," ",C6," ",D2," ",C12," ",C8)</f>
        <v>puede representarse llegando los 26 pacientes, a los 24 meses</v>
      </c>
      <c r="G2" s="22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BG2"/>
      <c r="BH2"/>
      <c r="BI2"/>
      <c r="BJ2"/>
      <c r="BK2"/>
    </row>
    <row r="3" spans="1:63" ht="8.25" customHeight="1" thickBot="1" x14ac:dyDescent="0.4">
      <c r="A3" s="494"/>
      <c r="B3" s="496"/>
      <c r="C3" s="494"/>
      <c r="D3" s="496"/>
      <c r="E3" s="496"/>
      <c r="F3" s="496"/>
      <c r="G3" s="496"/>
      <c r="H3" s="496"/>
      <c r="I3" s="496"/>
      <c r="J3" s="496"/>
      <c r="K3" s="496"/>
      <c r="L3" s="496"/>
      <c r="M3" s="496"/>
      <c r="N3" s="496"/>
      <c r="O3" s="496"/>
      <c r="P3" s="496"/>
      <c r="Q3" s="496"/>
      <c r="R3" s="496"/>
      <c r="S3" s="496"/>
      <c r="T3" s="496"/>
      <c r="U3" s="496"/>
      <c r="V3" s="496"/>
      <c r="W3" s="496"/>
      <c r="X3" s="496"/>
      <c r="Y3" s="496"/>
      <c r="Z3" s="496"/>
      <c r="AA3" s="496"/>
      <c r="AB3" s="496"/>
      <c r="AC3" s="496"/>
      <c r="AD3" s="496"/>
      <c r="AE3" s="496"/>
      <c r="AF3" s="497"/>
      <c r="AG3" s="497"/>
      <c r="AH3" s="497"/>
      <c r="AI3" s="494"/>
      <c r="AJ3" s="494"/>
      <c r="AK3" s="494"/>
      <c r="AL3" s="494"/>
      <c r="AM3" s="494"/>
      <c r="AN3" s="494"/>
      <c r="AO3" s="494"/>
      <c r="AP3" s="494"/>
      <c r="AQ3" s="494"/>
      <c r="AR3" s="494"/>
      <c r="AS3" s="494"/>
      <c r="AT3" s="494"/>
      <c r="AU3" s="494"/>
      <c r="AV3" s="494"/>
      <c r="AW3" s="494"/>
      <c r="AX3" s="494"/>
      <c r="AY3" s="494"/>
      <c r="AZ3" s="494"/>
      <c r="BA3" s="494"/>
      <c r="BB3" s="494"/>
      <c r="BC3" s="494"/>
      <c r="BD3" s="494"/>
      <c r="BE3" s="494"/>
      <c r="BF3" s="494"/>
      <c r="BG3" s="494"/>
      <c r="BH3" s="494"/>
      <c r="BI3" s="494"/>
      <c r="BJ3"/>
      <c r="BK3"/>
    </row>
    <row r="4" spans="1:63" ht="59.5" customHeight="1" thickBot="1" x14ac:dyDescent="0.4">
      <c r="A4" s="494"/>
      <c r="B4" s="595" t="s">
        <v>216</v>
      </c>
      <c r="C4" s="596"/>
      <c r="D4" s="596"/>
      <c r="E4" s="596"/>
      <c r="F4" s="596"/>
      <c r="G4" s="596"/>
      <c r="H4" s="596"/>
      <c r="I4" s="596"/>
      <c r="J4" s="596"/>
      <c r="K4" s="596"/>
      <c r="L4" s="596"/>
      <c r="M4" s="596"/>
      <c r="N4" s="596"/>
      <c r="O4" s="596"/>
      <c r="P4" s="596"/>
      <c r="Q4" s="596"/>
      <c r="R4" s="596"/>
      <c r="S4" s="596"/>
      <c r="T4" s="596"/>
      <c r="U4" s="596"/>
      <c r="V4" s="596"/>
      <c r="W4" s="596"/>
      <c r="X4" s="596"/>
      <c r="Y4" s="596"/>
      <c r="Z4" s="596"/>
      <c r="AA4" s="596"/>
      <c r="AB4" s="596"/>
      <c r="AC4" s="596"/>
      <c r="AD4" s="596"/>
      <c r="AE4" s="596"/>
      <c r="AF4" s="596"/>
      <c r="AG4" s="596"/>
      <c r="AH4" s="596"/>
      <c r="AI4" s="596"/>
      <c r="AJ4" s="596"/>
      <c r="AK4" s="596"/>
      <c r="AL4" s="596"/>
      <c r="AM4" s="596"/>
      <c r="AN4" s="596"/>
      <c r="AO4" s="596"/>
      <c r="AP4" s="596"/>
      <c r="AQ4" s="596"/>
      <c r="AR4" s="596"/>
      <c r="AS4" s="596"/>
      <c r="AT4" s="596"/>
      <c r="AU4" s="596"/>
      <c r="AV4" s="596"/>
      <c r="AW4" s="596"/>
      <c r="AX4" s="596"/>
      <c r="AY4" s="596"/>
      <c r="AZ4" s="596"/>
      <c r="BA4" s="596"/>
      <c r="BB4" s="596"/>
      <c r="BC4" s="596"/>
      <c r="BD4" s="596"/>
      <c r="BE4" s="596"/>
      <c r="BF4" s="596"/>
      <c r="BG4" s="596"/>
      <c r="BH4" s="597"/>
      <c r="BI4" s="494"/>
      <c r="BJ4"/>
      <c r="BK4"/>
    </row>
    <row r="5" spans="1:63" ht="9" customHeight="1" x14ac:dyDescent="0.35">
      <c r="A5" s="494"/>
      <c r="B5" s="499"/>
      <c r="C5" s="499"/>
      <c r="D5" s="499"/>
      <c r="E5" s="499"/>
      <c r="F5" s="499"/>
      <c r="G5" s="499"/>
      <c r="H5" s="499"/>
      <c r="I5" s="499"/>
      <c r="J5" s="499"/>
      <c r="K5" s="499"/>
      <c r="L5" s="499"/>
      <c r="M5" s="499"/>
      <c r="N5" s="499"/>
      <c r="O5" s="499"/>
      <c r="P5" s="499"/>
      <c r="Q5" s="499"/>
      <c r="R5" s="499"/>
      <c r="S5" s="499"/>
      <c r="T5" s="499"/>
      <c r="U5" s="499"/>
      <c r="V5" s="499"/>
      <c r="W5" s="499"/>
      <c r="X5" s="499"/>
      <c r="Y5" s="499"/>
      <c r="Z5" s="499"/>
      <c r="AA5" s="499"/>
      <c r="AB5" s="499"/>
      <c r="AC5" s="499"/>
      <c r="AD5" s="499"/>
      <c r="AE5" s="499"/>
      <c r="AF5" s="499"/>
      <c r="AG5" s="499"/>
      <c r="AH5" s="499"/>
      <c r="AI5" s="499"/>
      <c r="AJ5" s="499"/>
      <c r="AK5" s="499"/>
      <c r="AL5" s="499"/>
      <c r="AM5" s="499"/>
      <c r="AN5" s="499"/>
      <c r="AO5" s="499"/>
      <c r="AP5" s="499"/>
      <c r="AQ5" s="499"/>
      <c r="AR5" s="499"/>
      <c r="AS5" s="499"/>
      <c r="AT5" s="499"/>
      <c r="AU5" s="499"/>
      <c r="AV5" s="499"/>
      <c r="AW5" s="499"/>
      <c r="AX5" s="499"/>
      <c r="AY5" s="499"/>
      <c r="AZ5" s="499"/>
      <c r="BA5" s="499"/>
      <c r="BB5" s="499"/>
      <c r="BC5" s="499"/>
      <c r="BD5" s="499"/>
      <c r="BE5" s="499"/>
      <c r="BF5" s="499"/>
      <c r="BG5" s="499"/>
      <c r="BH5" s="499"/>
      <c r="BI5" s="494"/>
      <c r="BJ5"/>
      <c r="BK5"/>
    </row>
    <row r="6" spans="1:63" ht="26" x14ac:dyDescent="0.35">
      <c r="B6" s="348" t="s">
        <v>143</v>
      </c>
      <c r="C6" s="26">
        <f>D6+E6+F6</f>
        <v>26</v>
      </c>
      <c r="D6" s="500">
        <v>3</v>
      </c>
      <c r="E6" s="501">
        <v>1</v>
      </c>
      <c r="F6" s="502">
        <v>22</v>
      </c>
      <c r="H6" s="25"/>
      <c r="I6" s="386" t="s">
        <v>204</v>
      </c>
      <c r="J6" s="25"/>
      <c r="K6" s="342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"/>
      <c r="BG6"/>
      <c r="BH6"/>
      <c r="BI6"/>
      <c r="BJ6"/>
      <c r="BK6"/>
    </row>
    <row r="7" spans="1:63" ht="15" customHeight="1" x14ac:dyDescent="0.35">
      <c r="B7" s="25"/>
      <c r="C7" s="438">
        <f>D9/D6</f>
        <v>17.558850226928897</v>
      </c>
      <c r="D7" s="439">
        <f>D6*17</f>
        <v>51</v>
      </c>
      <c r="E7" s="440">
        <f>E9/(D6+E6)</f>
        <v>16.13972812489698</v>
      </c>
      <c r="F7" s="441">
        <f>(D6+E6)*11</f>
        <v>44</v>
      </c>
      <c r="G7" s="25"/>
      <c r="H7" s="25"/>
      <c r="I7" s="387" t="s">
        <v>152</v>
      </c>
      <c r="J7" s="25"/>
      <c r="K7" s="341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BG7"/>
      <c r="BH7"/>
      <c r="BI7"/>
      <c r="BJ7"/>
      <c r="BK7"/>
    </row>
    <row r="8" spans="1:63" ht="39.75" customHeight="1" x14ac:dyDescent="0.35">
      <c r="B8" s="349" t="s">
        <v>142</v>
      </c>
      <c r="C8" s="29" t="s">
        <v>134</v>
      </c>
      <c r="D8" s="30" t="str">
        <f>CONCATENATE(B1," ",C1," ",C6," ",D1)</f>
        <v>meses de los 26 del grupo Interv</v>
      </c>
      <c r="E8" s="30" t="str">
        <f>CONCATENATE(B1," ",C1," ",C6," ",E1)</f>
        <v>meses de los 26 del grupo Contr</v>
      </c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BG8"/>
      <c r="BH8"/>
      <c r="BI8"/>
      <c r="BJ8"/>
      <c r="BK8"/>
    </row>
    <row r="9" spans="1:63" ht="21" customHeight="1" x14ac:dyDescent="0.35">
      <c r="B9" s="446" t="s">
        <v>1</v>
      </c>
      <c r="C9" s="32">
        <v>2.0260211800302574</v>
      </c>
      <c r="D9" s="383">
        <f>C9*C6</f>
        <v>52.67655068078669</v>
      </c>
      <c r="E9" s="602">
        <f>(C9+C10)*C6</f>
        <v>64.558912499587919</v>
      </c>
      <c r="F9" s="33"/>
      <c r="G9" s="33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25"/>
      <c r="AF9" s="25"/>
      <c r="AG9" s="25"/>
      <c r="AH9" s="25"/>
      <c r="BG9"/>
      <c r="BH9"/>
      <c r="BI9"/>
      <c r="BJ9"/>
      <c r="BK9"/>
    </row>
    <row r="10" spans="1:63" ht="26" x14ac:dyDescent="0.35">
      <c r="B10" s="447" t="s">
        <v>3</v>
      </c>
      <c r="C10" s="36">
        <v>0.45701391610773934</v>
      </c>
      <c r="D10" s="604">
        <f>(C11+C10)*C6</f>
        <v>571.3234493192133</v>
      </c>
      <c r="E10" s="603"/>
      <c r="F10" s="28"/>
      <c r="G10" s="37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25"/>
      <c r="AF10" s="25"/>
      <c r="AG10" s="25"/>
      <c r="AH10" s="25"/>
      <c r="BG10"/>
      <c r="BH10"/>
      <c r="BI10"/>
      <c r="BJ10"/>
      <c r="BK10"/>
    </row>
    <row r="11" spans="1:63" ht="26" x14ac:dyDescent="0.35">
      <c r="B11" s="448" t="s">
        <v>2</v>
      </c>
      <c r="C11" s="39">
        <v>21.516964903862004</v>
      </c>
      <c r="D11" s="605"/>
      <c r="E11" s="40">
        <f>C11*C6</f>
        <v>559.4410875004121</v>
      </c>
      <c r="F11" s="27"/>
      <c r="G11" s="37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25"/>
      <c r="AF11" s="25"/>
      <c r="AG11" s="25"/>
      <c r="AH11" s="25"/>
      <c r="BG11"/>
      <c r="BH11"/>
      <c r="BI11"/>
      <c r="BJ11"/>
      <c r="BK11"/>
    </row>
    <row r="12" spans="1:63" x14ac:dyDescent="0.35">
      <c r="B12" s="3"/>
      <c r="C12" s="42">
        <v>24</v>
      </c>
      <c r="D12" s="43">
        <f>D9+D10</f>
        <v>624</v>
      </c>
      <c r="E12" s="43">
        <f>E9+E11</f>
        <v>624</v>
      </c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</row>
    <row r="13" spans="1:63" ht="9" customHeight="1" x14ac:dyDescent="0.35"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</row>
    <row r="14" spans="1:63" x14ac:dyDescent="0.35">
      <c r="B14" s="540"/>
      <c r="C14" s="540"/>
      <c r="D14" s="541"/>
      <c r="E14" s="541"/>
      <c r="F14" s="25"/>
      <c r="G14" s="45" t="s">
        <v>12</v>
      </c>
      <c r="H14" s="25"/>
      <c r="I14" s="25"/>
      <c r="J14" s="25"/>
      <c r="K14" s="25"/>
      <c r="L14" s="25"/>
      <c r="M14" s="25"/>
      <c r="N14" s="25"/>
      <c r="O14" s="25"/>
      <c r="P14" s="25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</row>
    <row r="15" spans="1:63" ht="36" customHeight="1" x14ac:dyDescent="0.35">
      <c r="B15" s="543"/>
      <c r="C15" s="543"/>
      <c r="D15" s="542"/>
      <c r="E15" s="542"/>
      <c r="G15" s="606" t="str">
        <f>IF((AND(((C10+C11)/C12)&gt;((E6+F6)/C6),(C11/C12)&gt;(F6/C6))),F2,#REF!)</f>
        <v>puede representarse llegando los 26 pacientes, a los 24 meses</v>
      </c>
      <c r="H15" s="607"/>
      <c r="I15" s="607"/>
      <c r="J15" s="607"/>
      <c r="K15" s="607"/>
      <c r="L15" s="607"/>
      <c r="M15" s="607"/>
      <c r="N15" s="607"/>
      <c r="O15" s="607"/>
      <c r="P15" s="608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</row>
    <row r="16" spans="1:63" ht="18.75" customHeight="1" x14ac:dyDescent="0.35">
      <c r="B16" s="399" t="s">
        <v>214</v>
      </c>
      <c r="C16" s="46"/>
      <c r="D16" s="46"/>
      <c r="E16" s="46"/>
      <c r="G16" s="47"/>
      <c r="H16" s="426">
        <v>24</v>
      </c>
      <c r="I16" s="426">
        <v>23</v>
      </c>
      <c r="J16" s="426">
        <v>22</v>
      </c>
      <c r="K16" s="426">
        <v>21</v>
      </c>
      <c r="L16" s="426">
        <v>20</v>
      </c>
      <c r="M16" s="426">
        <v>19</v>
      </c>
      <c r="N16" s="426">
        <v>18</v>
      </c>
      <c r="O16" s="426">
        <v>17</v>
      </c>
      <c r="P16" s="426">
        <v>16</v>
      </c>
      <c r="Q16" s="426">
        <v>15</v>
      </c>
      <c r="R16" s="426">
        <v>14</v>
      </c>
      <c r="S16" s="426">
        <v>13</v>
      </c>
      <c r="T16" s="426">
        <v>12</v>
      </c>
      <c r="U16" s="426">
        <v>11</v>
      </c>
      <c r="V16" s="426">
        <v>10</v>
      </c>
      <c r="W16" s="426">
        <v>9</v>
      </c>
      <c r="X16" s="426">
        <v>8</v>
      </c>
      <c r="Y16" s="426">
        <v>7</v>
      </c>
      <c r="Z16" s="426">
        <v>6</v>
      </c>
      <c r="AA16" s="426">
        <v>5</v>
      </c>
      <c r="AB16" s="426">
        <v>4</v>
      </c>
      <c r="AC16" s="426">
        <v>3</v>
      </c>
      <c r="AD16" s="426">
        <v>2</v>
      </c>
      <c r="AE16" s="426">
        <v>1</v>
      </c>
      <c r="AF16" s="47"/>
      <c r="AG16" s="47"/>
      <c r="AH16" s="47"/>
      <c r="AI16" s="426">
        <v>24</v>
      </c>
      <c r="AJ16" s="426">
        <v>23</v>
      </c>
      <c r="AK16" s="426">
        <v>22</v>
      </c>
      <c r="AL16" s="426">
        <v>21</v>
      </c>
      <c r="AM16" s="426">
        <v>20</v>
      </c>
      <c r="AN16" s="426">
        <v>19</v>
      </c>
      <c r="AO16" s="426">
        <v>18</v>
      </c>
      <c r="AP16" s="426">
        <v>17</v>
      </c>
      <c r="AQ16" s="426">
        <v>16</v>
      </c>
      <c r="AR16" s="426">
        <v>15</v>
      </c>
      <c r="AS16" s="426">
        <v>14</v>
      </c>
      <c r="AT16" s="426">
        <v>13</v>
      </c>
      <c r="AU16" s="426">
        <v>12</v>
      </c>
      <c r="AV16" s="426">
        <v>11</v>
      </c>
      <c r="AW16" s="426">
        <v>10</v>
      </c>
      <c r="AX16" s="426">
        <v>9</v>
      </c>
      <c r="AY16" s="426">
        <v>8</v>
      </c>
      <c r="AZ16" s="426">
        <v>7</v>
      </c>
      <c r="BA16" s="426">
        <v>6</v>
      </c>
      <c r="BB16" s="426">
        <v>5</v>
      </c>
      <c r="BC16" s="426">
        <v>4</v>
      </c>
      <c r="BD16" s="426">
        <v>3</v>
      </c>
      <c r="BE16" s="426">
        <v>2</v>
      </c>
      <c r="BF16" s="426">
        <v>1</v>
      </c>
      <c r="BG16" s="47"/>
      <c r="BH16" s="47"/>
      <c r="BI16" s="47"/>
      <c r="BJ16" s="47"/>
      <c r="BK16" s="25"/>
    </row>
    <row r="17" spans="2:67" ht="17.25" customHeight="1" x14ac:dyDescent="0.35">
      <c r="B17" s="601" t="s">
        <v>229</v>
      </c>
      <c r="C17" s="601"/>
      <c r="D17" s="601"/>
      <c r="E17" s="601"/>
      <c r="H17" s="48" t="s">
        <v>211</v>
      </c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7"/>
      <c r="AF17" s="47"/>
      <c r="AG17" s="47"/>
      <c r="AH17" s="47"/>
      <c r="AI17" s="48" t="s">
        <v>13</v>
      </c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8"/>
      <c r="AV17" s="48"/>
      <c r="AW17" s="48"/>
      <c r="AX17" s="48"/>
      <c r="AY17" s="48"/>
      <c r="AZ17" s="48"/>
      <c r="BA17" s="48"/>
      <c r="BB17" s="48"/>
      <c r="BC17" s="48"/>
      <c r="BD17" s="48"/>
      <c r="BE17" s="48"/>
      <c r="BF17" s="47"/>
      <c r="BG17" s="47"/>
      <c r="BH17" s="47"/>
      <c r="BI17" s="47"/>
      <c r="BJ17" s="47"/>
      <c r="BK17" s="47"/>
    </row>
    <row r="18" spans="2:67" x14ac:dyDescent="0.35">
      <c r="B18" s="601"/>
      <c r="C18" s="601"/>
      <c r="D18" s="601"/>
      <c r="E18" s="601"/>
      <c r="H18" s="48" t="s">
        <v>215</v>
      </c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I18" s="48" t="s">
        <v>215</v>
      </c>
      <c r="AJ18" s="48"/>
      <c r="AK18" s="48"/>
      <c r="AL18" s="48"/>
      <c r="AM18" s="48"/>
      <c r="AN18" s="48"/>
      <c r="AO18" s="48"/>
      <c r="AP18" s="48"/>
      <c r="AQ18" s="48"/>
      <c r="AR18" s="48"/>
      <c r="AS18" s="48"/>
      <c r="AT18" s="48"/>
      <c r="AU18" s="48"/>
      <c r="AV18" s="48"/>
      <c r="AW18" s="48"/>
      <c r="AX18" s="48"/>
      <c r="AY18" s="48"/>
      <c r="AZ18" s="48"/>
      <c r="BA18" s="48"/>
      <c r="BB18" s="48"/>
      <c r="BC18" s="48"/>
      <c r="BD18" s="48"/>
      <c r="BE18" s="48"/>
    </row>
    <row r="19" spans="2:67" x14ac:dyDescent="0.35">
      <c r="B19" s="601"/>
      <c r="C19" s="601"/>
      <c r="D19" s="601"/>
      <c r="E19" s="601"/>
      <c r="G19" s="23"/>
      <c r="H19" s="352">
        <v>1</v>
      </c>
      <c r="I19" s="352">
        <v>2</v>
      </c>
      <c r="J19" s="352">
        <v>3</v>
      </c>
      <c r="K19" s="352">
        <v>4</v>
      </c>
      <c r="L19" s="352">
        <v>5</v>
      </c>
      <c r="M19" s="352">
        <v>6</v>
      </c>
      <c r="N19" s="352">
        <v>7</v>
      </c>
      <c r="O19" s="352">
        <v>8</v>
      </c>
      <c r="P19" s="352">
        <v>9</v>
      </c>
      <c r="Q19" s="352">
        <v>10</v>
      </c>
      <c r="R19" s="352">
        <v>11</v>
      </c>
      <c r="S19" s="352">
        <v>12</v>
      </c>
      <c r="T19" s="352">
        <v>13</v>
      </c>
      <c r="U19" s="352">
        <v>14</v>
      </c>
      <c r="V19" s="352">
        <v>15</v>
      </c>
      <c r="W19" s="352">
        <v>16</v>
      </c>
      <c r="X19" s="352">
        <v>17</v>
      </c>
      <c r="Y19" s="352">
        <v>18</v>
      </c>
      <c r="Z19" s="352">
        <v>19</v>
      </c>
      <c r="AA19" s="352">
        <v>20</v>
      </c>
      <c r="AB19" s="352">
        <v>21</v>
      </c>
      <c r="AC19" s="352">
        <v>22</v>
      </c>
      <c r="AD19" s="352">
        <v>23</v>
      </c>
      <c r="AE19" s="352">
        <v>24</v>
      </c>
      <c r="AF19" s="351"/>
      <c r="AG19" s="351"/>
      <c r="AH19" s="351"/>
      <c r="AI19" s="352">
        <v>1</v>
      </c>
      <c r="AJ19" s="352">
        <v>2</v>
      </c>
      <c r="AK19" s="352">
        <v>3</v>
      </c>
      <c r="AL19" s="352">
        <v>4</v>
      </c>
      <c r="AM19" s="352">
        <v>5</v>
      </c>
      <c r="AN19" s="352">
        <v>6</v>
      </c>
      <c r="AO19" s="352">
        <v>7</v>
      </c>
      <c r="AP19" s="352">
        <v>8</v>
      </c>
      <c r="AQ19" s="352">
        <v>9</v>
      </c>
      <c r="AR19" s="352">
        <v>10</v>
      </c>
      <c r="AS19" s="352">
        <v>11</v>
      </c>
      <c r="AT19" s="352">
        <v>12</v>
      </c>
      <c r="AU19" s="352">
        <v>13</v>
      </c>
      <c r="AV19" s="352">
        <v>14</v>
      </c>
      <c r="AW19" s="352">
        <v>15</v>
      </c>
      <c r="AX19" s="352">
        <v>16</v>
      </c>
      <c r="AY19" s="352">
        <v>17</v>
      </c>
      <c r="AZ19" s="352">
        <v>18</v>
      </c>
      <c r="BA19" s="352">
        <v>19</v>
      </c>
      <c r="BB19" s="352">
        <v>20</v>
      </c>
      <c r="BC19" s="352">
        <v>21</v>
      </c>
      <c r="BD19" s="352">
        <v>22</v>
      </c>
      <c r="BE19" s="352">
        <v>23</v>
      </c>
      <c r="BF19" s="352">
        <v>24</v>
      </c>
    </row>
    <row r="20" spans="2:67" x14ac:dyDescent="0.35">
      <c r="B20" s="100" t="s">
        <v>210</v>
      </c>
      <c r="C20" s="52"/>
      <c r="F20" s="594" t="s">
        <v>151</v>
      </c>
      <c r="G20" s="51">
        <v>26</v>
      </c>
      <c r="H20" s="50"/>
      <c r="I20" s="50"/>
      <c r="J20" s="50"/>
      <c r="K20" s="50"/>
      <c r="L20" s="50"/>
      <c r="M20" s="50"/>
      <c r="N20" s="442"/>
      <c r="O20" s="442"/>
      <c r="P20" s="442"/>
      <c r="Q20" s="442"/>
      <c r="R20" s="442"/>
      <c r="S20" s="442"/>
      <c r="T20" s="442"/>
      <c r="U20" s="442"/>
      <c r="V20" s="442"/>
      <c r="W20" s="442"/>
      <c r="X20" s="442"/>
      <c r="Y20" s="442"/>
      <c r="Z20" s="442"/>
      <c r="AA20" s="442"/>
      <c r="AB20" s="442"/>
      <c r="AC20" s="442"/>
      <c r="AD20" s="442"/>
      <c r="AE20" s="442"/>
      <c r="AF20" s="53">
        <v>26</v>
      </c>
      <c r="AG20" s="23"/>
      <c r="AH20" s="51">
        <v>26</v>
      </c>
      <c r="AI20" s="517"/>
      <c r="AJ20" s="517"/>
      <c r="AK20" s="517"/>
      <c r="AL20" s="517"/>
      <c r="AM20" s="517"/>
      <c r="AN20" s="517"/>
      <c r="AO20" s="517"/>
      <c r="AP20" s="517"/>
      <c r="AQ20" s="517"/>
      <c r="AR20" s="517"/>
      <c r="AS20" s="517"/>
      <c r="AT20" s="517"/>
      <c r="AU20" s="517"/>
      <c r="AV20" s="517"/>
      <c r="AW20" s="517"/>
      <c r="AX20" s="517"/>
      <c r="AY20" s="517"/>
      <c r="AZ20" s="517"/>
      <c r="BA20" s="517"/>
      <c r="BB20" s="517"/>
      <c r="BC20" s="517"/>
      <c r="BD20" s="517"/>
      <c r="BE20" s="517"/>
      <c r="BF20" s="517"/>
      <c r="BG20" s="53">
        <v>26</v>
      </c>
      <c r="BH20" s="594" t="s">
        <v>151</v>
      </c>
      <c r="BI20" s="49"/>
      <c r="BJ20" s="49"/>
      <c r="BK20" s="49"/>
      <c r="BL20" s="49"/>
      <c r="BM20" s="49"/>
      <c r="BN20" s="49"/>
      <c r="BO20" s="49"/>
    </row>
    <row r="21" spans="2:67" x14ac:dyDescent="0.35">
      <c r="B21" s="100" t="s">
        <v>153</v>
      </c>
      <c r="C21" s="52"/>
      <c r="F21" s="594"/>
      <c r="G21" s="51">
        <v>25</v>
      </c>
      <c r="H21" s="50"/>
      <c r="I21" s="50"/>
      <c r="J21" s="50"/>
      <c r="K21" s="50"/>
      <c r="L21" s="50"/>
      <c r="M21" s="50"/>
      <c r="N21" s="442"/>
      <c r="O21" s="442"/>
      <c r="P21" s="442"/>
      <c r="Q21" s="442"/>
      <c r="R21" s="442"/>
      <c r="S21" s="442"/>
      <c r="T21" s="442"/>
      <c r="U21" s="442"/>
      <c r="V21" s="442"/>
      <c r="W21" s="442"/>
      <c r="X21" s="442"/>
      <c r="Y21" s="442"/>
      <c r="Z21" s="442"/>
      <c r="AA21" s="442"/>
      <c r="AB21" s="442"/>
      <c r="AC21" s="442"/>
      <c r="AD21" s="442"/>
      <c r="AE21" s="442"/>
      <c r="AF21" s="53">
        <v>25</v>
      </c>
      <c r="AH21" s="51">
        <v>25</v>
      </c>
      <c r="AI21" s="517"/>
      <c r="AJ21" s="517"/>
      <c r="AK21" s="517"/>
      <c r="AL21" s="517"/>
      <c r="AM21" s="517"/>
      <c r="AN21" s="517"/>
      <c r="AO21" s="517"/>
      <c r="AP21" s="517"/>
      <c r="AQ21" s="517"/>
      <c r="AR21" s="517"/>
      <c r="AS21" s="517"/>
      <c r="AT21" s="517"/>
      <c r="AU21" s="517"/>
      <c r="AV21" s="517"/>
      <c r="AW21" s="517"/>
      <c r="AX21" s="517"/>
      <c r="AY21" s="517"/>
      <c r="AZ21" s="517"/>
      <c r="BA21" s="517"/>
      <c r="BB21" s="517"/>
      <c r="BC21" s="517"/>
      <c r="BD21" s="517"/>
      <c r="BE21" s="517"/>
      <c r="BF21" s="517"/>
      <c r="BG21" s="53">
        <v>25</v>
      </c>
      <c r="BH21" s="594"/>
      <c r="BI21" s="49"/>
      <c r="BJ21" s="49"/>
      <c r="BK21" s="49"/>
      <c r="BL21" s="49"/>
      <c r="BM21" s="49"/>
      <c r="BN21" s="49"/>
      <c r="BO21" s="49"/>
    </row>
    <row r="22" spans="2:67" ht="15" thickBot="1" x14ac:dyDescent="0.4">
      <c r="B22" s="52"/>
      <c r="C22" s="52"/>
      <c r="F22" s="594"/>
      <c r="G22" s="51">
        <v>24</v>
      </c>
      <c r="H22" s="50"/>
      <c r="I22" s="50"/>
      <c r="J22" s="50"/>
      <c r="K22" s="50"/>
      <c r="L22" s="50"/>
      <c r="M22" s="50"/>
      <c r="N22" s="50"/>
      <c r="O22" s="442"/>
      <c r="P22" s="442"/>
      <c r="Q22" s="442"/>
      <c r="R22" s="442"/>
      <c r="S22" s="442"/>
      <c r="T22" s="442"/>
      <c r="U22" s="442"/>
      <c r="V22" s="442"/>
      <c r="W22" s="442"/>
      <c r="X22" s="442"/>
      <c r="Y22" s="442"/>
      <c r="Z22" s="442"/>
      <c r="AA22" s="442"/>
      <c r="AB22" s="442"/>
      <c r="AC22" s="442"/>
      <c r="AD22" s="442"/>
      <c r="AE22" s="442"/>
      <c r="AF22" s="53">
        <v>24</v>
      </c>
      <c r="AH22" s="51">
        <v>24</v>
      </c>
      <c r="AI22" s="517"/>
      <c r="AJ22" s="517"/>
      <c r="AK22" s="517"/>
      <c r="AL22" s="517"/>
      <c r="AM22" s="517"/>
      <c r="AN22" s="517"/>
      <c r="AO22" s="517"/>
      <c r="AP22" s="517"/>
      <c r="AQ22" s="517"/>
      <c r="AR22" s="517"/>
      <c r="AS22" s="517"/>
      <c r="AT22" s="517"/>
      <c r="AU22" s="517"/>
      <c r="AV22" s="517"/>
      <c r="AW22" s="517"/>
      <c r="AX22" s="517"/>
      <c r="AY22" s="517"/>
      <c r="AZ22" s="517"/>
      <c r="BA22" s="517"/>
      <c r="BB22" s="517"/>
      <c r="BC22" s="517"/>
      <c r="BD22" s="517"/>
      <c r="BE22" s="517"/>
      <c r="BF22" s="517"/>
      <c r="BG22" s="53">
        <v>24</v>
      </c>
      <c r="BH22" s="594"/>
      <c r="BI22" s="49"/>
      <c r="BJ22" s="49"/>
      <c r="BK22" s="49"/>
      <c r="BL22" s="49"/>
      <c r="BM22" s="49"/>
      <c r="BN22" s="49"/>
      <c r="BO22" s="49"/>
    </row>
    <row r="23" spans="2:67" ht="16" thickBot="1" x14ac:dyDescent="0.4">
      <c r="B23" s="297" t="s">
        <v>120</v>
      </c>
      <c r="C23" s="298"/>
      <c r="D23" s="298"/>
      <c r="E23" s="299"/>
      <c r="F23" s="594"/>
      <c r="G23" s="420">
        <v>23</v>
      </c>
      <c r="H23" s="421"/>
      <c r="I23" s="422"/>
      <c r="J23" s="422"/>
      <c r="K23" s="422"/>
      <c r="L23" s="422"/>
      <c r="M23" s="422"/>
      <c r="N23" s="422"/>
      <c r="O23" s="422"/>
      <c r="P23" s="422"/>
      <c r="Q23" s="422"/>
      <c r="R23" s="422"/>
      <c r="S23" s="422"/>
      <c r="T23" s="422"/>
      <c r="U23" s="422"/>
      <c r="V23" s="422"/>
      <c r="W23" s="422"/>
      <c r="X23" s="422"/>
      <c r="Y23" s="422"/>
      <c r="Z23" s="422"/>
      <c r="AA23" s="422"/>
      <c r="AB23" s="422"/>
      <c r="AC23" s="422"/>
      <c r="AD23" s="422"/>
      <c r="AE23" s="422"/>
      <c r="AF23" s="425">
        <v>23</v>
      </c>
      <c r="AG23" s="23"/>
      <c r="AH23" s="420">
        <v>23</v>
      </c>
      <c r="AI23" s="519"/>
      <c r="AJ23" s="520"/>
      <c r="AK23" s="520"/>
      <c r="AL23" s="520"/>
      <c r="AM23" s="520"/>
      <c r="AN23" s="520"/>
      <c r="AO23" s="520"/>
      <c r="AP23" s="520"/>
      <c r="AQ23" s="520"/>
      <c r="AR23" s="520"/>
      <c r="AS23" s="520"/>
      <c r="AT23" s="520"/>
      <c r="AU23" s="520"/>
      <c r="AV23" s="520"/>
      <c r="AW23" s="520"/>
      <c r="AX23" s="520"/>
      <c r="AY23" s="520"/>
      <c r="AZ23" s="520"/>
      <c r="BA23" s="520"/>
      <c r="BB23" s="520"/>
      <c r="BC23" s="520"/>
      <c r="BD23" s="520"/>
      <c r="BE23" s="520"/>
      <c r="BF23" s="520"/>
      <c r="BG23" s="424">
        <v>23</v>
      </c>
      <c r="BH23" s="594"/>
      <c r="BI23" s="49"/>
      <c r="BJ23" s="49"/>
      <c r="BK23" s="49"/>
      <c r="BL23" s="49"/>
      <c r="BM23" s="49"/>
      <c r="BN23" s="49"/>
      <c r="BO23" s="49"/>
    </row>
    <row r="24" spans="2:67" x14ac:dyDescent="0.35">
      <c r="B24" s="300" t="s">
        <v>116</v>
      </c>
      <c r="C24" s="301" t="s">
        <v>117</v>
      </c>
      <c r="D24" s="301" t="s">
        <v>105</v>
      </c>
      <c r="E24" s="302" t="s">
        <v>11</v>
      </c>
      <c r="F24" s="594"/>
      <c r="G24" s="51">
        <v>22</v>
      </c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1">
        <v>22</v>
      </c>
      <c r="AG24" s="23"/>
      <c r="AH24" s="51">
        <v>22</v>
      </c>
      <c r="AI24" s="517"/>
      <c r="AJ24" s="517"/>
      <c r="AK24" s="517"/>
      <c r="AL24" s="517"/>
      <c r="AM24" s="517"/>
      <c r="AN24" s="517"/>
      <c r="AO24" s="517"/>
      <c r="AP24" s="517"/>
      <c r="AQ24" s="517"/>
      <c r="AR24" s="517"/>
      <c r="AS24" s="517"/>
      <c r="AT24" s="517"/>
      <c r="AU24" s="517"/>
      <c r="AV24" s="517"/>
      <c r="AW24" s="517"/>
      <c r="AX24" s="517"/>
      <c r="AY24" s="517"/>
      <c r="AZ24" s="517"/>
      <c r="BA24" s="517"/>
      <c r="BB24" s="517"/>
      <c r="BC24" s="517"/>
      <c r="BD24" s="517"/>
      <c r="BE24" s="517"/>
      <c r="BF24" s="517"/>
      <c r="BG24" s="51">
        <v>22</v>
      </c>
      <c r="BH24" s="594"/>
      <c r="BI24" s="49"/>
      <c r="BJ24" s="49"/>
      <c r="BK24" s="49"/>
      <c r="BL24" s="49"/>
      <c r="BM24" s="49"/>
      <c r="BN24" s="49"/>
      <c r="BO24" s="49"/>
    </row>
    <row r="25" spans="2:67" x14ac:dyDescent="0.35">
      <c r="B25" s="303">
        <v>0.13075060532687652</v>
      </c>
      <c r="C25" s="304">
        <v>0.16883509833585478</v>
      </c>
      <c r="D25" s="305">
        <f>C25-B25</f>
        <v>3.808449300897826E-2</v>
      </c>
      <c r="E25" s="306">
        <f>1/D25</f>
        <v>26.25740612496152</v>
      </c>
      <c r="F25" s="594"/>
      <c r="G25" s="51">
        <v>21</v>
      </c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1">
        <v>21</v>
      </c>
      <c r="AG25" s="23"/>
      <c r="AH25" s="51">
        <v>21</v>
      </c>
      <c r="AI25" s="517"/>
      <c r="AJ25" s="517"/>
      <c r="AK25" s="517"/>
      <c r="AL25" s="517"/>
      <c r="AM25" s="517"/>
      <c r="AN25" s="517"/>
      <c r="AO25" s="517"/>
      <c r="AP25" s="517"/>
      <c r="AQ25" s="517"/>
      <c r="AR25" s="517"/>
      <c r="AS25" s="517"/>
      <c r="AT25" s="517"/>
      <c r="AU25" s="517"/>
      <c r="AV25" s="517"/>
      <c r="AW25" s="517"/>
      <c r="AX25" s="517"/>
      <c r="AY25" s="517"/>
      <c r="AZ25" s="517"/>
      <c r="BA25" s="517"/>
      <c r="BB25" s="517"/>
      <c r="BC25" s="517"/>
      <c r="BD25" s="517"/>
      <c r="BE25" s="517"/>
      <c r="BF25" s="517"/>
      <c r="BG25" s="51">
        <v>21</v>
      </c>
      <c r="BH25" s="594"/>
      <c r="BI25" s="49"/>
      <c r="BJ25" s="49"/>
      <c r="BK25" s="49"/>
      <c r="BL25" s="49"/>
      <c r="BM25" s="49"/>
      <c r="BN25" s="49"/>
      <c r="BO25" s="49"/>
    </row>
    <row r="26" spans="2:67" ht="15" thickBot="1" x14ac:dyDescent="0.4">
      <c r="B26" s="403" t="s">
        <v>150</v>
      </c>
      <c r="C26" s="333">
        <f>B25*E25</f>
        <v>3.4331717451523538</v>
      </c>
      <c r="D26" s="307">
        <f>D25*E25</f>
        <v>0.99999999999999989</v>
      </c>
      <c r="E26" s="332">
        <f>(1-C25)*E25</f>
        <v>21.824234379809166</v>
      </c>
      <c r="F26" s="594"/>
      <c r="G26" s="51">
        <v>20</v>
      </c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1">
        <v>20</v>
      </c>
      <c r="AG26" s="23"/>
      <c r="AH26" s="51">
        <v>20</v>
      </c>
      <c r="AI26" s="517"/>
      <c r="AJ26" s="517"/>
      <c r="AK26" s="517"/>
      <c r="AL26" s="517"/>
      <c r="AM26" s="517"/>
      <c r="AN26" s="517"/>
      <c r="AO26" s="517"/>
      <c r="AP26" s="517"/>
      <c r="AQ26" s="517"/>
      <c r="AR26" s="517"/>
      <c r="AS26" s="517"/>
      <c r="AT26" s="517"/>
      <c r="AU26" s="517"/>
      <c r="AV26" s="517"/>
      <c r="AW26" s="517"/>
      <c r="AX26" s="517"/>
      <c r="AY26" s="517"/>
      <c r="AZ26" s="517"/>
      <c r="BA26" s="517"/>
      <c r="BB26" s="517"/>
      <c r="BC26" s="517"/>
      <c r="BD26" s="517"/>
      <c r="BE26" s="517"/>
      <c r="BF26" s="517"/>
      <c r="BG26" s="51">
        <v>20</v>
      </c>
      <c r="BH26" s="594"/>
      <c r="BI26" s="49"/>
      <c r="BJ26" s="49"/>
      <c r="BK26" s="49"/>
      <c r="BL26" s="49"/>
      <c r="BM26" s="49"/>
      <c r="BN26" s="49"/>
      <c r="BO26" s="49"/>
    </row>
    <row r="27" spans="2:67" x14ac:dyDescent="0.35">
      <c r="G27" s="51">
        <v>19</v>
      </c>
      <c r="H27" s="354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1">
        <v>19</v>
      </c>
      <c r="AG27" s="52"/>
      <c r="AH27" s="51">
        <v>19</v>
      </c>
      <c r="AI27" s="523"/>
      <c r="AJ27" s="517"/>
      <c r="AK27" s="517"/>
      <c r="AL27" s="517"/>
      <c r="AM27" s="517"/>
      <c r="AN27" s="517"/>
      <c r="AO27" s="517"/>
      <c r="AP27" s="517"/>
      <c r="AQ27" s="517"/>
      <c r="AR27" s="517"/>
      <c r="AS27" s="517"/>
      <c r="AT27" s="517"/>
      <c r="AU27" s="517"/>
      <c r="AV27" s="517"/>
      <c r="AW27" s="517"/>
      <c r="AX27" s="517"/>
      <c r="AY27" s="517"/>
      <c r="AZ27" s="517"/>
      <c r="BA27" s="517"/>
      <c r="BB27" s="517"/>
      <c r="BC27" s="517"/>
      <c r="BD27" s="517"/>
      <c r="BE27" s="517"/>
      <c r="BF27" s="517"/>
      <c r="BG27" s="51">
        <v>19</v>
      </c>
      <c r="BH27" s="49"/>
      <c r="BI27" s="49"/>
      <c r="BJ27" s="49"/>
      <c r="BK27" s="49"/>
      <c r="BL27" s="49"/>
      <c r="BM27" s="49"/>
      <c r="BN27" s="49"/>
      <c r="BO27" s="49"/>
    </row>
    <row r="28" spans="2:67" x14ac:dyDescent="0.35">
      <c r="G28" s="51">
        <v>18</v>
      </c>
      <c r="H28" s="354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1">
        <v>18</v>
      </c>
      <c r="AG28" s="52"/>
      <c r="AH28" s="51">
        <v>18</v>
      </c>
      <c r="AI28" s="523"/>
      <c r="AJ28" s="517"/>
      <c r="AK28" s="517"/>
      <c r="AL28" s="517"/>
      <c r="AM28" s="517"/>
      <c r="AN28" s="517"/>
      <c r="AO28" s="517"/>
      <c r="AP28" s="517"/>
      <c r="AQ28" s="517"/>
      <c r="AR28" s="517"/>
      <c r="AS28" s="517"/>
      <c r="AT28" s="517"/>
      <c r="AU28" s="517"/>
      <c r="AV28" s="517"/>
      <c r="AW28" s="517"/>
      <c r="AX28" s="517"/>
      <c r="AY28" s="517"/>
      <c r="AZ28" s="517"/>
      <c r="BA28" s="517"/>
      <c r="BB28" s="517"/>
      <c r="BC28" s="517"/>
      <c r="BD28" s="517"/>
      <c r="BE28" s="517"/>
      <c r="BF28" s="517"/>
      <c r="BG28" s="51">
        <v>18</v>
      </c>
      <c r="BH28" s="49"/>
      <c r="BI28" s="49"/>
      <c r="BJ28" s="49"/>
      <c r="BK28" s="49"/>
      <c r="BL28" s="49"/>
      <c r="BM28" s="49"/>
      <c r="BN28" s="49"/>
      <c r="BO28" s="49"/>
    </row>
    <row r="29" spans="2:67" x14ac:dyDescent="0.35">
      <c r="G29" s="51">
        <v>17</v>
      </c>
      <c r="H29" s="354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1">
        <v>17</v>
      </c>
      <c r="AH29" s="51">
        <v>17</v>
      </c>
      <c r="AI29" s="523"/>
      <c r="AJ29" s="517"/>
      <c r="AK29" s="517"/>
      <c r="AL29" s="517"/>
      <c r="AM29" s="517"/>
      <c r="AN29" s="517"/>
      <c r="AO29" s="517"/>
      <c r="AP29" s="517"/>
      <c r="AQ29" s="517"/>
      <c r="AR29" s="517"/>
      <c r="AS29" s="517"/>
      <c r="AT29" s="517"/>
      <c r="AU29" s="517"/>
      <c r="AV29" s="517"/>
      <c r="AW29" s="517"/>
      <c r="AX29" s="517"/>
      <c r="AY29" s="517"/>
      <c r="AZ29" s="517"/>
      <c r="BA29" s="517"/>
      <c r="BB29" s="517"/>
      <c r="BC29" s="517"/>
      <c r="BD29" s="517"/>
      <c r="BE29" s="517"/>
      <c r="BF29" s="517"/>
      <c r="BG29" s="51">
        <v>17</v>
      </c>
    </row>
    <row r="30" spans="2:67" x14ac:dyDescent="0.35">
      <c r="G30" s="51">
        <v>16</v>
      </c>
      <c r="H30" s="354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1">
        <v>16</v>
      </c>
      <c r="AH30" s="51">
        <v>16</v>
      </c>
      <c r="AI30" s="523"/>
      <c r="AJ30" s="517"/>
      <c r="AK30" s="517"/>
      <c r="AL30" s="517"/>
      <c r="AM30" s="517"/>
      <c r="AN30" s="517"/>
      <c r="AO30" s="517"/>
      <c r="AP30" s="517"/>
      <c r="AQ30" s="517"/>
      <c r="AR30" s="517"/>
      <c r="AS30" s="517"/>
      <c r="AT30" s="517"/>
      <c r="AU30" s="517"/>
      <c r="AV30" s="517"/>
      <c r="AW30" s="517"/>
      <c r="AX30" s="517"/>
      <c r="AY30" s="517"/>
      <c r="AZ30" s="517"/>
      <c r="BA30" s="517"/>
      <c r="BB30" s="517"/>
      <c r="BC30" s="517"/>
      <c r="BD30" s="517"/>
      <c r="BE30" s="517"/>
      <c r="BF30" s="517"/>
      <c r="BG30" s="51">
        <v>16</v>
      </c>
    </row>
    <row r="31" spans="2:67" x14ac:dyDescent="0.35">
      <c r="G31" s="51">
        <v>15</v>
      </c>
      <c r="H31" s="354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1">
        <v>15</v>
      </c>
      <c r="AH31" s="51">
        <v>15</v>
      </c>
      <c r="AI31" s="523"/>
      <c r="AJ31" s="517"/>
      <c r="AK31" s="517"/>
      <c r="AL31" s="517"/>
      <c r="AM31" s="517"/>
      <c r="AN31" s="517"/>
      <c r="AO31" s="517"/>
      <c r="AP31" s="517"/>
      <c r="AQ31" s="517"/>
      <c r="AR31" s="517"/>
      <c r="AS31" s="517"/>
      <c r="AT31" s="517"/>
      <c r="AU31" s="517"/>
      <c r="AV31" s="517"/>
      <c r="AW31" s="517"/>
      <c r="AX31" s="517"/>
      <c r="AY31" s="517"/>
      <c r="AZ31" s="517"/>
      <c r="BA31" s="517"/>
      <c r="BB31" s="517"/>
      <c r="BC31" s="517"/>
      <c r="BD31" s="517"/>
      <c r="BE31" s="517"/>
      <c r="BF31" s="517"/>
      <c r="BG31" s="51">
        <v>15</v>
      </c>
    </row>
    <row r="32" spans="2:67" x14ac:dyDescent="0.35">
      <c r="G32" s="51">
        <v>14</v>
      </c>
      <c r="H32" s="354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1">
        <v>14</v>
      </c>
      <c r="AH32" s="51">
        <v>14</v>
      </c>
      <c r="AI32" s="523"/>
      <c r="AJ32" s="517"/>
      <c r="AK32" s="517"/>
      <c r="AL32" s="517"/>
      <c r="AM32" s="517"/>
      <c r="AN32" s="517"/>
      <c r="AO32" s="517"/>
      <c r="AP32" s="517"/>
      <c r="AQ32" s="517"/>
      <c r="AR32" s="517"/>
      <c r="AS32" s="517"/>
      <c r="AT32" s="517"/>
      <c r="AU32" s="517"/>
      <c r="AV32" s="517"/>
      <c r="AW32" s="517"/>
      <c r="AX32" s="517"/>
      <c r="AY32" s="517"/>
      <c r="AZ32" s="517"/>
      <c r="BA32" s="517"/>
      <c r="BB32" s="517"/>
      <c r="BC32" s="517"/>
      <c r="BD32" s="517"/>
      <c r="BE32" s="517"/>
      <c r="BF32" s="517"/>
      <c r="BG32" s="51">
        <v>14</v>
      </c>
    </row>
    <row r="33" spans="7:59" x14ac:dyDescent="0.35">
      <c r="G33" s="51">
        <v>13</v>
      </c>
      <c r="H33" s="354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1">
        <v>13</v>
      </c>
      <c r="AH33" s="51">
        <v>13</v>
      </c>
      <c r="AI33" s="523"/>
      <c r="AJ33" s="517"/>
      <c r="AK33" s="517"/>
      <c r="AL33" s="517"/>
      <c r="AM33" s="517"/>
      <c r="AN33" s="517"/>
      <c r="AO33" s="517"/>
      <c r="AP33" s="517"/>
      <c r="AQ33" s="517"/>
      <c r="AR33" s="517"/>
      <c r="AS33" s="517"/>
      <c r="AT33" s="517"/>
      <c r="AU33" s="517"/>
      <c r="AV33" s="517"/>
      <c r="AW33" s="517"/>
      <c r="AX33" s="517"/>
      <c r="AY33" s="517"/>
      <c r="AZ33" s="517"/>
      <c r="BA33" s="517"/>
      <c r="BB33" s="517"/>
      <c r="BC33" s="517"/>
      <c r="BD33" s="517"/>
      <c r="BE33" s="517"/>
      <c r="BF33" s="517"/>
      <c r="BG33" s="51">
        <v>13</v>
      </c>
    </row>
    <row r="34" spans="7:59" x14ac:dyDescent="0.35">
      <c r="G34" s="51">
        <v>12</v>
      </c>
      <c r="H34" s="354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1">
        <v>12</v>
      </c>
      <c r="AH34" s="51">
        <v>12</v>
      </c>
      <c r="AI34" s="523"/>
      <c r="AJ34" s="517"/>
      <c r="AK34" s="517"/>
      <c r="AL34" s="517"/>
      <c r="AM34" s="517"/>
      <c r="AN34" s="517"/>
      <c r="AO34" s="517"/>
      <c r="AP34" s="517"/>
      <c r="AQ34" s="517"/>
      <c r="AR34" s="517"/>
      <c r="AS34" s="517"/>
      <c r="AT34" s="517"/>
      <c r="AU34" s="517"/>
      <c r="AV34" s="517"/>
      <c r="AW34" s="517"/>
      <c r="AX34" s="517"/>
      <c r="AY34" s="517"/>
      <c r="AZ34" s="517"/>
      <c r="BA34" s="517"/>
      <c r="BB34" s="517"/>
      <c r="BC34" s="517"/>
      <c r="BD34" s="517"/>
      <c r="BE34" s="517"/>
      <c r="BF34" s="517"/>
      <c r="BG34" s="51">
        <v>12</v>
      </c>
    </row>
    <row r="35" spans="7:59" x14ac:dyDescent="0.35">
      <c r="G35" s="51">
        <v>11</v>
      </c>
      <c r="H35" s="354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1">
        <v>11</v>
      </c>
      <c r="AH35" s="51">
        <v>11</v>
      </c>
      <c r="AI35" s="523"/>
      <c r="AJ35" s="517"/>
      <c r="AK35" s="517"/>
      <c r="AL35" s="517"/>
      <c r="AM35" s="517"/>
      <c r="AN35" s="517"/>
      <c r="AO35" s="517"/>
      <c r="AP35" s="517"/>
      <c r="AQ35" s="517"/>
      <c r="AR35" s="517"/>
      <c r="AS35" s="517"/>
      <c r="AT35" s="517"/>
      <c r="AU35" s="517"/>
      <c r="AV35" s="517"/>
      <c r="AW35" s="517"/>
      <c r="AX35" s="517"/>
      <c r="AY35" s="517"/>
      <c r="AZ35" s="517"/>
      <c r="BA35" s="517"/>
      <c r="BB35" s="517"/>
      <c r="BC35" s="517"/>
      <c r="BD35" s="517"/>
      <c r="BE35" s="517"/>
      <c r="BF35" s="517"/>
      <c r="BG35" s="51">
        <v>11</v>
      </c>
    </row>
    <row r="36" spans="7:59" x14ac:dyDescent="0.35">
      <c r="G36" s="51">
        <v>10</v>
      </c>
      <c r="H36" s="354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1">
        <v>10</v>
      </c>
      <c r="AH36" s="51">
        <v>10</v>
      </c>
      <c r="AI36" s="523"/>
      <c r="AJ36" s="517"/>
      <c r="AK36" s="517"/>
      <c r="AL36" s="517"/>
      <c r="AM36" s="517"/>
      <c r="AN36" s="517"/>
      <c r="AO36" s="517"/>
      <c r="AP36" s="517"/>
      <c r="AQ36" s="517"/>
      <c r="AR36" s="517"/>
      <c r="AS36" s="517"/>
      <c r="AT36" s="517"/>
      <c r="AU36" s="517"/>
      <c r="AV36" s="517"/>
      <c r="AW36" s="517"/>
      <c r="AX36" s="517"/>
      <c r="AY36" s="517"/>
      <c r="AZ36" s="517"/>
      <c r="BA36" s="517"/>
      <c r="BB36" s="517"/>
      <c r="BC36" s="517"/>
      <c r="BD36" s="517"/>
      <c r="BE36" s="517"/>
      <c r="BF36" s="517"/>
      <c r="BG36" s="51">
        <v>10</v>
      </c>
    </row>
    <row r="37" spans="7:59" x14ac:dyDescent="0.35">
      <c r="G37" s="51">
        <v>9</v>
      </c>
      <c r="H37" s="354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1">
        <v>9</v>
      </c>
      <c r="AH37" s="51">
        <v>9</v>
      </c>
      <c r="AI37" s="523"/>
      <c r="AJ37" s="517"/>
      <c r="AK37" s="517"/>
      <c r="AL37" s="517"/>
      <c r="AM37" s="517"/>
      <c r="AN37" s="517"/>
      <c r="AO37" s="517"/>
      <c r="AP37" s="517"/>
      <c r="AQ37" s="517"/>
      <c r="AR37" s="517"/>
      <c r="AS37" s="517"/>
      <c r="AT37" s="517"/>
      <c r="AU37" s="517"/>
      <c r="AV37" s="517"/>
      <c r="AW37" s="517"/>
      <c r="AX37" s="517"/>
      <c r="AY37" s="517"/>
      <c r="AZ37" s="517"/>
      <c r="BA37" s="517"/>
      <c r="BB37" s="517"/>
      <c r="BC37" s="517"/>
      <c r="BD37" s="517"/>
      <c r="BE37" s="517"/>
      <c r="BF37" s="517"/>
      <c r="BG37" s="51">
        <v>9</v>
      </c>
    </row>
    <row r="38" spans="7:59" x14ac:dyDescent="0.35">
      <c r="G38" s="51">
        <v>8</v>
      </c>
      <c r="H38" s="354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1">
        <v>8</v>
      </c>
      <c r="AH38" s="51">
        <v>8</v>
      </c>
      <c r="AI38" s="523"/>
      <c r="AJ38" s="517"/>
      <c r="AK38" s="517"/>
      <c r="AL38" s="517"/>
      <c r="AM38" s="517"/>
      <c r="AN38" s="517"/>
      <c r="AO38" s="517"/>
      <c r="AP38" s="517"/>
      <c r="AQ38" s="517"/>
      <c r="AR38" s="517"/>
      <c r="AS38" s="517"/>
      <c r="AT38" s="517"/>
      <c r="AU38" s="517"/>
      <c r="AV38" s="517"/>
      <c r="AW38" s="517"/>
      <c r="AX38" s="517"/>
      <c r="AY38" s="517"/>
      <c r="AZ38" s="517"/>
      <c r="BA38" s="517"/>
      <c r="BB38" s="517"/>
      <c r="BC38" s="517"/>
      <c r="BD38" s="517"/>
      <c r="BE38" s="517"/>
      <c r="BF38" s="517"/>
      <c r="BG38" s="51">
        <v>8</v>
      </c>
    </row>
    <row r="39" spans="7:59" x14ac:dyDescent="0.35">
      <c r="G39" s="51">
        <v>7</v>
      </c>
      <c r="H39" s="354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1">
        <v>7</v>
      </c>
      <c r="AH39" s="51">
        <v>7</v>
      </c>
      <c r="AI39" s="523"/>
      <c r="AJ39" s="517"/>
      <c r="AK39" s="517"/>
      <c r="AL39" s="517"/>
      <c r="AM39" s="517"/>
      <c r="AN39" s="517"/>
      <c r="AO39" s="517"/>
      <c r="AP39" s="517"/>
      <c r="AQ39" s="517"/>
      <c r="AR39" s="517"/>
      <c r="AS39" s="517"/>
      <c r="AT39" s="517"/>
      <c r="AU39" s="517"/>
      <c r="AV39" s="517"/>
      <c r="AW39" s="517"/>
      <c r="AX39" s="517"/>
      <c r="AY39" s="517"/>
      <c r="AZ39" s="517"/>
      <c r="BA39" s="517"/>
      <c r="BB39" s="517"/>
      <c r="BC39" s="517"/>
      <c r="BD39" s="517"/>
      <c r="BE39" s="517"/>
      <c r="BF39" s="517"/>
      <c r="BG39" s="51">
        <v>7</v>
      </c>
    </row>
    <row r="40" spans="7:59" x14ac:dyDescent="0.35">
      <c r="G40" s="51">
        <v>6</v>
      </c>
      <c r="H40" s="354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1">
        <v>6</v>
      </c>
      <c r="AH40" s="51">
        <v>6</v>
      </c>
      <c r="AI40" s="523"/>
      <c r="AJ40" s="517"/>
      <c r="AK40" s="517"/>
      <c r="AL40" s="517"/>
      <c r="AM40" s="517"/>
      <c r="AN40" s="517"/>
      <c r="AO40" s="517"/>
      <c r="AP40" s="517"/>
      <c r="AQ40" s="517"/>
      <c r="AR40" s="517"/>
      <c r="AS40" s="517"/>
      <c r="AT40" s="517"/>
      <c r="AU40" s="517"/>
      <c r="AV40" s="517"/>
      <c r="AW40" s="517"/>
      <c r="AX40" s="517"/>
      <c r="AY40" s="517"/>
      <c r="AZ40" s="517"/>
      <c r="BA40" s="517"/>
      <c r="BB40" s="517"/>
      <c r="BC40" s="517"/>
      <c r="BD40" s="517"/>
      <c r="BE40" s="517"/>
      <c r="BF40" s="517"/>
      <c r="BG40" s="51">
        <v>6</v>
      </c>
    </row>
    <row r="41" spans="7:59" x14ac:dyDescent="0.35">
      <c r="G41" s="51">
        <v>5</v>
      </c>
      <c r="H41" s="354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1">
        <v>5</v>
      </c>
      <c r="AH41" s="51">
        <v>5</v>
      </c>
      <c r="AI41" s="523"/>
      <c r="AJ41" s="517"/>
      <c r="AK41" s="517"/>
      <c r="AL41" s="517"/>
      <c r="AM41" s="517"/>
      <c r="AN41" s="517"/>
      <c r="AO41" s="517"/>
      <c r="AP41" s="517"/>
      <c r="AQ41" s="517"/>
      <c r="AR41" s="517"/>
      <c r="AS41" s="517"/>
      <c r="AT41" s="517"/>
      <c r="AU41" s="517"/>
      <c r="AV41" s="517"/>
      <c r="AW41" s="517"/>
      <c r="AX41" s="517"/>
      <c r="AY41" s="517"/>
      <c r="AZ41" s="517"/>
      <c r="BA41" s="517"/>
      <c r="BB41" s="517"/>
      <c r="BC41" s="517"/>
      <c r="BD41" s="517"/>
      <c r="BE41" s="517"/>
      <c r="BF41" s="517"/>
      <c r="BG41" s="51">
        <v>5</v>
      </c>
    </row>
    <row r="42" spans="7:59" x14ac:dyDescent="0.35">
      <c r="G42" s="51">
        <v>4</v>
      </c>
      <c r="H42" s="354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1">
        <v>4</v>
      </c>
      <c r="AH42" s="51">
        <v>4</v>
      </c>
      <c r="AI42" s="523"/>
      <c r="AJ42" s="517"/>
      <c r="AK42" s="517"/>
      <c r="AL42" s="517"/>
      <c r="AM42" s="517"/>
      <c r="AN42" s="517"/>
      <c r="AO42" s="517"/>
      <c r="AP42" s="517"/>
      <c r="AQ42" s="517"/>
      <c r="AR42" s="517"/>
      <c r="AS42" s="517"/>
      <c r="AT42" s="517"/>
      <c r="AU42" s="517"/>
      <c r="AV42" s="517"/>
      <c r="AW42" s="517"/>
      <c r="AX42" s="517"/>
      <c r="AY42" s="517"/>
      <c r="AZ42" s="517"/>
      <c r="BA42" s="517"/>
      <c r="BB42" s="517"/>
      <c r="BC42" s="517"/>
      <c r="BD42" s="517"/>
      <c r="BE42" s="517"/>
      <c r="BF42" s="517"/>
      <c r="BG42" s="51">
        <v>4</v>
      </c>
    </row>
    <row r="43" spans="7:59" x14ac:dyDescent="0.35">
      <c r="G43" s="51">
        <v>3</v>
      </c>
      <c r="H43" s="354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1">
        <v>3</v>
      </c>
      <c r="AH43" s="51">
        <v>3</v>
      </c>
      <c r="AI43" s="523"/>
      <c r="AJ43" s="517"/>
      <c r="AK43" s="517"/>
      <c r="AL43" s="517"/>
      <c r="AM43" s="517"/>
      <c r="AN43" s="517"/>
      <c r="AO43" s="517"/>
      <c r="AP43" s="517"/>
      <c r="AQ43" s="517"/>
      <c r="AR43" s="517"/>
      <c r="AS43" s="517"/>
      <c r="AT43" s="517"/>
      <c r="AU43" s="517"/>
      <c r="AV43" s="517"/>
      <c r="AW43" s="517"/>
      <c r="AX43" s="517"/>
      <c r="AY43" s="517"/>
      <c r="AZ43" s="517"/>
      <c r="BA43" s="517"/>
      <c r="BB43" s="517"/>
      <c r="BC43" s="517"/>
      <c r="BD43" s="517"/>
      <c r="BE43" s="517"/>
      <c r="BF43" s="517"/>
      <c r="BG43" s="51">
        <v>3</v>
      </c>
    </row>
    <row r="44" spans="7:59" x14ac:dyDescent="0.35">
      <c r="G44" s="51">
        <v>2</v>
      </c>
      <c r="H44" s="354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1">
        <v>2</v>
      </c>
      <c r="AH44" s="51">
        <v>2</v>
      </c>
      <c r="AI44" s="523"/>
      <c r="AJ44" s="517"/>
      <c r="AK44" s="517"/>
      <c r="AL44" s="517"/>
      <c r="AM44" s="517"/>
      <c r="AN44" s="517"/>
      <c r="AO44" s="517"/>
      <c r="AP44" s="517"/>
      <c r="AQ44" s="517"/>
      <c r="AR44" s="517"/>
      <c r="AS44" s="517"/>
      <c r="AT44" s="517"/>
      <c r="AU44" s="517"/>
      <c r="AV44" s="517"/>
      <c r="AW44" s="517"/>
      <c r="AX44" s="517"/>
      <c r="AY44" s="517"/>
      <c r="AZ44" s="517"/>
      <c r="BA44" s="517"/>
      <c r="BB44" s="517"/>
      <c r="BC44" s="517"/>
      <c r="BD44" s="517"/>
      <c r="BE44" s="517"/>
      <c r="BF44" s="517"/>
      <c r="BG44" s="51">
        <v>2</v>
      </c>
    </row>
    <row r="45" spans="7:59" x14ac:dyDescent="0.35">
      <c r="G45" s="51">
        <v>1</v>
      </c>
      <c r="H45" s="354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1">
        <v>1</v>
      </c>
      <c r="AH45" s="51">
        <v>1</v>
      </c>
      <c r="AI45" s="523"/>
      <c r="AJ45" s="517"/>
      <c r="AK45" s="517"/>
      <c r="AL45" s="517"/>
      <c r="AM45" s="517"/>
      <c r="AN45" s="517"/>
      <c r="AO45" s="517"/>
      <c r="AP45" s="517"/>
      <c r="AQ45" s="517"/>
      <c r="AR45" s="517"/>
      <c r="AS45" s="517"/>
      <c r="AT45" s="517"/>
      <c r="AU45" s="517"/>
      <c r="AV45" s="517"/>
      <c r="AW45" s="517"/>
      <c r="AX45" s="517"/>
      <c r="AY45" s="517"/>
      <c r="AZ45" s="517"/>
      <c r="BA45" s="517"/>
      <c r="BB45" s="517"/>
      <c r="BC45" s="517"/>
      <c r="BD45" s="517"/>
      <c r="BE45" s="517"/>
      <c r="BF45" s="517"/>
      <c r="BG45" s="51">
        <v>1</v>
      </c>
    </row>
    <row r="46" spans="7:59" x14ac:dyDescent="0.35">
      <c r="H46" s="352">
        <v>1</v>
      </c>
      <c r="I46" s="352">
        <v>2</v>
      </c>
      <c r="J46" s="352">
        <v>3</v>
      </c>
      <c r="K46" s="352">
        <v>4</v>
      </c>
      <c r="L46" s="352">
        <v>5</v>
      </c>
      <c r="M46" s="352">
        <v>6</v>
      </c>
      <c r="N46" s="352">
        <v>7</v>
      </c>
      <c r="O46" s="352">
        <v>8</v>
      </c>
      <c r="P46" s="352">
        <v>9</v>
      </c>
      <c r="Q46" s="352">
        <v>10</v>
      </c>
      <c r="R46" s="352">
        <v>11</v>
      </c>
      <c r="S46" s="352">
        <v>12</v>
      </c>
      <c r="T46" s="352">
        <v>13</v>
      </c>
      <c r="U46" s="352">
        <v>14</v>
      </c>
      <c r="V46" s="352">
        <v>15</v>
      </c>
      <c r="W46" s="352">
        <v>16</v>
      </c>
      <c r="X46" s="352">
        <v>17</v>
      </c>
      <c r="Y46" s="352">
        <v>18</v>
      </c>
      <c r="Z46" s="352">
        <v>19</v>
      </c>
      <c r="AA46" s="352">
        <v>20</v>
      </c>
      <c r="AB46" s="352">
        <v>21</v>
      </c>
      <c r="AC46" s="352">
        <v>22</v>
      </c>
      <c r="AD46" s="352">
        <v>23</v>
      </c>
      <c r="AE46" s="352">
        <v>24</v>
      </c>
      <c r="AF46" s="351"/>
      <c r="AG46" s="351"/>
      <c r="AH46" s="351"/>
      <c r="AI46" s="353">
        <v>1</v>
      </c>
      <c r="AJ46" s="352">
        <v>2</v>
      </c>
      <c r="AK46" s="352">
        <v>3</v>
      </c>
      <c r="AL46" s="352">
        <v>4</v>
      </c>
      <c r="AM46" s="352">
        <v>5</v>
      </c>
      <c r="AN46" s="352">
        <v>6</v>
      </c>
      <c r="AO46" s="352">
        <v>7</v>
      </c>
      <c r="AP46" s="352">
        <v>8</v>
      </c>
      <c r="AQ46" s="352">
        <v>9</v>
      </c>
      <c r="AR46" s="352">
        <v>10</v>
      </c>
      <c r="AS46" s="352">
        <v>11</v>
      </c>
      <c r="AT46" s="352">
        <v>12</v>
      </c>
      <c r="AU46" s="352">
        <v>13</v>
      </c>
      <c r="AV46" s="352">
        <v>14</v>
      </c>
      <c r="AW46" s="352">
        <v>15</v>
      </c>
      <c r="AX46" s="352">
        <v>16</v>
      </c>
      <c r="AY46" s="352">
        <v>17</v>
      </c>
      <c r="AZ46" s="352">
        <v>18</v>
      </c>
      <c r="BA46" s="352">
        <v>19</v>
      </c>
      <c r="BB46" s="352">
        <v>20</v>
      </c>
      <c r="BC46" s="352">
        <v>21</v>
      </c>
      <c r="BD46" s="352">
        <v>22</v>
      </c>
      <c r="BE46" s="352">
        <v>23</v>
      </c>
      <c r="BF46" s="352">
        <v>24</v>
      </c>
    </row>
    <row r="47" spans="7:59" x14ac:dyDescent="0.35">
      <c r="G47" s="23"/>
      <c r="H47" s="48" t="s">
        <v>215</v>
      </c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I47" s="48" t="s">
        <v>215</v>
      </c>
      <c r="AJ47" s="48"/>
      <c r="AK47" s="48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  <c r="BA47" s="23"/>
      <c r="BB47" s="23"/>
      <c r="BC47" s="23"/>
      <c r="BD47" s="23"/>
      <c r="BE47" s="23"/>
      <c r="BF47" s="23"/>
    </row>
    <row r="48" spans="7:59" x14ac:dyDescent="0.35">
      <c r="H48" s="48" t="s">
        <v>211</v>
      </c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7"/>
      <c r="AF48" s="47"/>
      <c r="AG48" s="47"/>
      <c r="AH48" s="47"/>
      <c r="AI48" s="48" t="s">
        <v>13</v>
      </c>
      <c r="AJ48" s="48"/>
    </row>
    <row r="49" spans="36:36" x14ac:dyDescent="0.35">
      <c r="AJ49" s="48"/>
    </row>
  </sheetData>
  <mergeCells count="7">
    <mergeCell ref="F20:F26"/>
    <mergeCell ref="BH20:BH26"/>
    <mergeCell ref="B4:BH4"/>
    <mergeCell ref="E9:E10"/>
    <mergeCell ref="D10:D11"/>
    <mergeCell ref="G15:P15"/>
    <mergeCell ref="B17:E19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IncAcum</vt:lpstr>
      <vt:lpstr>Gr1.1 FGe40 3x3</vt:lpstr>
      <vt:lpstr>Gr1.2 FGe10 3x3</vt:lpstr>
      <vt:lpstr>Gr1.3 ERT 3x3</vt:lpstr>
      <vt:lpstr>Gr1.4 VarPrim 3x3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Galo</dc:creator>
  <cp:lastModifiedBy>Galo Agustín Sánchez Robles</cp:lastModifiedBy>
  <dcterms:created xsi:type="dcterms:W3CDTF">2018-11-20T13:30:16Z</dcterms:created>
  <dcterms:modified xsi:type="dcterms:W3CDTF">2023-04-22T16:34:21Z</dcterms:modified>
</cp:coreProperties>
</file>