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11595" windowHeight="7140" activeTab="0"/>
  </bookViews>
  <sheets>
    <sheet name="desde HR" sheetId="1" r:id="rId1"/>
    <sheet name="IncAcum" sheetId="2" r:id="rId2"/>
    <sheet name="Tamaño por HR" sheetId="3" r:id="rId3"/>
  </sheets>
  <definedNames/>
  <calcPr fullCalcOnLoad="1"/>
</workbook>
</file>

<file path=xl/sharedStrings.xml><?xml version="1.0" encoding="utf-8"?>
<sst xmlns="http://schemas.openxmlformats.org/spreadsheetml/2006/main" count="388" uniqueCount="329">
  <si>
    <t>Límite inferior del IC</t>
  </si>
  <si>
    <t>Límite superior del IC</t>
  </si>
  <si>
    <t>Sin eventos</t>
  </si>
  <si>
    <t>Con eventos</t>
  </si>
  <si>
    <t>RR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</si>
  <si>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</si>
  <si>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</si>
  <si>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</si>
  <si>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</si>
  <si>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</si>
  <si>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</si>
  <si>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</si>
  <si>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</si>
  <si>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</si>
  <si>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</si>
  <si>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</si>
  <si>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</si>
  <si>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</si>
  <si>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</si>
  <si>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</si>
  <si>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</si>
  <si>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</si>
  <si>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</si>
  <si>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</si>
  <si>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</si>
  <si>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</si>
  <si>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</si>
  <si>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</si>
  <si>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</si>
  <si>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</si>
  <si>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</si>
  <si>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</si>
  <si>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</si>
  <si>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</si>
  <si>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</si>
  <si>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</si>
  <si>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</si>
  <si>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</si>
  <si>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</si>
  <si>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</si>
  <si>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</si>
  <si>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Permanecerán sanos sin tomar el fármaco</t>
  </si>
  <si>
    <t>Enfermarán incluso tomando el fármaco</t>
  </si>
  <si>
    <t>Z α/2 = Dif Proporc / EE Dif proporc</t>
  </si>
  <si>
    <t>RRR</t>
  </si>
  <si>
    <t xml:space="preserve">NNT = 1 / RAR = </t>
  </si>
  <si>
    <t>RAR (IC 95%)</t>
  </si>
  <si>
    <t>NNT (IC 95%)</t>
  </si>
  <si>
    <t>(</t>
  </si>
  <si>
    <t>)</t>
  </si>
  <si>
    <t>-</t>
  </si>
  <si>
    <t>%</t>
  </si>
  <si>
    <t>RAR (IC95%)</t>
  </si>
  <si>
    <t>HR (IC 95%)</t>
  </si>
  <si>
    <t>% Eventos interv = complementario:</t>
  </si>
  <si>
    <t>NNT</t>
  </si>
  <si>
    <t>/</t>
  </si>
  <si>
    <t>RAR</t>
  </si>
  <si>
    <t>potencia</t>
  </si>
  <si>
    <t>Potencia</t>
  </si>
  <si>
    <t>Permanecerán sanos por tomar el fármaco</t>
  </si>
  <si>
    <t>Enfermarán por tomar el fármaco</t>
  </si>
  <si>
    <t>Enfermarán incluso sin tomar el fármaco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</si>
  <si>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</si>
  <si>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</si>
  <si>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</si>
  <si>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</si>
  <si>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</si>
  <si>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</si>
  <si>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</si>
  <si>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</si>
  <si>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</si>
  <si>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>Nº event Interv (%)</t>
  </si>
  <si>
    <t>Nº event Control (%)</t>
  </si>
  <si>
    <t>% RA interv</t>
  </si>
  <si>
    <t>% RA control</t>
  </si>
  <si>
    <t>% RA control =</t>
  </si>
  <si>
    <t>Estimación puntual</t>
  </si>
  <si>
    <t>100% - % RA control =</t>
  </si>
  <si>
    <t>Cálculo de RAR y NNT a partir del HR y el % RA en el grupo control</t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</si>
  <si>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</si>
  <si>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>S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</si>
  <si>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</si>
  <si>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</si>
  <si>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t>Límite inferior del IC 95%</t>
  </si>
  <si>
    <t>Límite superior del IC 95%</t>
  </si>
  <si>
    <r>
      <t xml:space="preserve">CÁLCULO DE LA </t>
    </r>
    <r>
      <rPr>
        <b/>
        <i/>
        <sz val="9"/>
        <rFont val="Calibri"/>
        <family val="2"/>
      </rPr>
      <t>p</t>
    </r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</si>
  <si>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</si>
  <si>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</si>
  <si>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</si>
  <si>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 con sus IC 95%, potencia estadística y valor de p</t>
  </si>
  <si>
    <t>Intervención</t>
  </si>
  <si>
    <t>Control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</si>
  <si>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</si>
  <si>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</si>
  <si>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</si>
  <si>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</si>
  <si>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=&gt;</t>
  </si>
  <si>
    <r>
      <t xml:space="preserve">1 -β =  p (rechazar Ho </t>
    </r>
    <r>
      <rPr>
        <sz val="10"/>
        <rFont val="Calibri"/>
        <family val="2"/>
      </rPr>
      <t>│ Ho falsa)</t>
    </r>
  </si>
  <si>
    <t>1 -β =  potencia estadística resultante =  p de detectar una diferencia entre ambos, en caso de que exista</t>
  </si>
  <si>
    <t>Potencia de contraste</t>
  </si>
  <si>
    <t>DM: diferencia de proporciones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</si>
  <si>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</si>
  <si>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α = probab de que la diferencia detectada entre ambos sea debida al azar, en caso de que no exista</t>
  </si>
  <si>
    <r>
      <t xml:space="preserve">1-α =  p (no rechazar Ho </t>
    </r>
    <r>
      <rPr>
        <sz val="10"/>
        <rFont val="Calibri"/>
        <family val="2"/>
      </rPr>
      <t>│ Ho verdadera)</t>
    </r>
  </si>
  <si>
    <t>1-α = nivel e confianza =  p (no rechazar Ho │ Ho verdadera)</t>
  </si>
  <si>
    <t xml:space="preserve"> p (no rechazar Ho │ Ho verdadera)</t>
  </si>
  <si>
    <t xml:space="preserve"> β =&gt; probabilidad de no detectar una diferencia que sí exista.</t>
  </si>
  <si>
    <t>β =  probabilidad de no detectar una diferencia que sí exista =  p (no rechazar Ho │ Ho falsa)</t>
  </si>
  <si>
    <t>Dif Proporc =  RAR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</si>
  <si>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</si>
  <si>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</si>
  <si>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</si>
  <si>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t>Chi cuadrado de Pearson</t>
  </si>
  <si>
    <t>IC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</si>
  <si>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</si>
  <si>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</si>
  <si>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</si>
  <si>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</si>
  <si>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</si>
  <si>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</si>
  <si>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</si>
  <si>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</si>
  <si>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</si>
  <si>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</si>
  <si>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</si>
  <si>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</si>
  <si>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</si>
  <si>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</si>
  <si>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Z α/2 (0,05)</t>
  </si>
  <si>
    <t>Proporción</t>
  </si>
  <si>
    <t>NND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</si>
  <si>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</si>
  <si>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</si>
  <si>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</si>
  <si>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</si>
  <si>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</si>
  <si>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t>% Interv (Fact Box)</t>
  </si>
  <si>
    <t>Placebo</t>
  </si>
  <si>
    <t>IAM no fatal</t>
  </si>
  <si>
    <t>Medidas del efecto, calculadas desde los HR ajustados obtenidos por los investigadores</t>
  </si>
  <si>
    <t>Nº Eventos crudos (%)</t>
  </si>
  <si>
    <t>VARIABLES DE BENEFICIOS</t>
  </si>
  <si>
    <r>
      <rPr>
        <b/>
        <sz val="10"/>
        <color indexed="12"/>
        <rFont val="Calibri"/>
        <family val="2"/>
      </rPr>
      <t>(*)</t>
    </r>
    <r>
      <rPr>
        <sz val="10"/>
        <rFont val="Calibri"/>
        <family val="2"/>
      </rPr>
      <t xml:space="preserve"> La FDA define un evento adverso grave (serious adverse event, SAE) cuando el resultado del paciente es uno de los siguientes: 1) Muerte;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</si>
  <si>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r>
      <t>Nº de pacientes con evento en</t>
    </r>
    <r>
      <rPr>
        <b/>
        <sz val="10"/>
        <rFont val="Calibri"/>
        <family val="2"/>
      </rPr>
      <t xml:space="preserve"> 2 años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</si>
  <si>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r>
      <t>Valor de</t>
    </r>
    <r>
      <rPr>
        <b/>
        <i/>
        <sz val="10"/>
        <rFont val="Calibri"/>
        <family val="2"/>
      </rPr>
      <t xml:space="preserve"> p</t>
    </r>
  </si>
  <si>
    <t>Hoja información al usuario (FACT BOX)</t>
  </si>
  <si>
    <t>[Mort CV, IAM o ACV]</t>
  </si>
  <si>
    <t>RR (IC 95%)</t>
  </si>
  <si>
    <t>Estatinas + Alirocumab, n= 9462</t>
  </si>
  <si>
    <t>Estatinas + Placebo, n= 9462</t>
  </si>
  <si>
    <t>Medidas del efecto obtenidas por incidencias acumuladas, en 2,8 años</t>
  </si>
  <si>
    <t>Nº eventos ajustados (%)</t>
  </si>
  <si>
    <t>Nº eventos crudos (%)</t>
  </si>
  <si>
    <t>Schwartz GG, Steg PG, Szarek M, on behalf of the ODDYSEY OUTCOMES Committees and Investigators. Alirocumab and Cardiovascular Outcomes after Acute Coronary Syndrome. N Engl J Med. 2018 Nov 29;379(22):2097-2107.</t>
  </si>
  <si>
    <t>RAR (IC 95%) en 2,8 años</t>
  </si>
  <si>
    <t>NNT (IC 95%) en 2,8 años</t>
  </si>
  <si>
    <r>
      <t>Nº de pacientes con evento en</t>
    </r>
    <r>
      <rPr>
        <b/>
        <sz val="10"/>
        <rFont val="Calibri"/>
        <family val="2"/>
      </rPr>
      <t xml:space="preserve"> 2,8 años </t>
    </r>
    <r>
      <rPr>
        <sz val="10"/>
        <rFont val="Calibri"/>
        <family val="2"/>
      </rPr>
      <t>por cada 100 tratados con:</t>
    </r>
  </si>
  <si>
    <t>Alirocumab</t>
  </si>
  <si>
    <t>0,85 (0,73-0,98)</t>
  </si>
  <si>
    <t>0,88 (0,74-1,05)</t>
  </si>
  <si>
    <t>0,34% (-0,14% a 0,74%)</t>
  </si>
  <si>
    <t>295 (136 a -709)</t>
  </si>
  <si>
    <t>14,26%</t>
  </si>
  <si>
    <t>0,88 (0,8-0,96)</t>
  </si>
  <si>
    <t>1,09% (0,36% a 1,83%)</t>
  </si>
  <si>
    <t>92 (55 a 276)</t>
  </si>
  <si>
    <t>0,86 (0,77-0,96)</t>
  </si>
  <si>
    <t>Angina inestable que requiere hospitalización</t>
  </si>
  <si>
    <t>0,86 (0,79-0,93)</t>
  </si>
  <si>
    <t>1,58% (0,78% a 2,38%)</t>
  </si>
  <si>
    <t>63 (42 a 127)</t>
  </si>
  <si>
    <t>Mortalidad por causa cardiovascular</t>
  </si>
  <si>
    <t>Mortalidad por cualquier causa</t>
  </si>
  <si>
    <t>Cálculo del tamaño necesario de la muestra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</si>
  <si>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Error alfa</t>
    </r>
    <r>
      <rPr>
        <sz val="10"/>
        <rFont val="Calibri"/>
        <family val="2"/>
      </rPr>
      <t xml:space="preserve">: significación estadística; </t>
    </r>
    <r>
      <rPr>
        <b/>
        <sz val="10"/>
        <rFont val="Calibri"/>
        <family val="2"/>
      </rPr>
      <t>Potencia estadística</t>
    </r>
    <r>
      <rPr>
        <sz val="10"/>
        <rFont val="Calibri"/>
        <family val="2"/>
      </rPr>
      <t xml:space="preserve"> = 1 - Error beta; </t>
    </r>
    <r>
      <rPr>
        <b/>
        <sz val="10"/>
        <rFont val="Calibri"/>
        <family val="2"/>
      </rPr>
      <t>n</t>
    </r>
    <r>
      <rPr>
        <sz val="10"/>
        <rFont val="Calibri"/>
        <family val="2"/>
      </rPr>
      <t>: número de pacientes necesario de cada uno de los grupos</t>
    </r>
  </si>
  <si>
    <r>
      <t>S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 xml:space="preserve"> = S</t>
    </r>
    <r>
      <rPr>
        <vertAlign val="subscript"/>
        <sz val="11"/>
        <rFont val="Calibri"/>
        <family val="2"/>
      </rPr>
      <t>c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=&gt;</t>
    </r>
  </si>
  <si>
    <r>
      <t>1-RA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>= (1-RA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>)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=&gt;</t>
    </r>
  </si>
  <si>
    <r>
      <t>RA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>= 1 - (1-RA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>)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</t>
    </r>
  </si>
  <si>
    <r>
      <t>si se espera un 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 xml:space="preserve"> /año =</t>
    </r>
  </si>
  <si>
    <t>durante</t>
  </si>
  <si>
    <t>años</t>
  </si>
  <si>
    <r>
      <t xml:space="preserve"> =&gt; se espera un 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 xml:space="preserve"> =</t>
    </r>
  </si>
  <si>
    <t>y se espera un HR =</t>
  </si>
  <si>
    <r>
      <t>entonces RA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>= 1 - (1-RA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>)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=</t>
    </r>
  </si>
  <si>
    <t>DETERMINACIÓN DEL TAMAÑO DE MUESTRA EN CADA GRUPO DE ESTUDIO PARA LA COMPARACIÓN DE DOS PROPORCIONES.</t>
  </si>
  <si>
    <t xml:space="preserve">Siguendo en mismo razonamiento que antes: </t>
  </si>
  <si>
    <r>
      <t>n = 2pq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(z</t>
    </r>
    <r>
      <rPr>
        <b/>
        <vertAlign val="subscript"/>
        <sz val="11"/>
        <rFont val="Calibri"/>
        <family val="2"/>
      </rPr>
      <t>α/2</t>
    </r>
    <r>
      <rPr>
        <b/>
        <sz val="11"/>
        <rFont val="Calibri"/>
        <family val="2"/>
      </rPr>
      <t xml:space="preserve"> + z</t>
    </r>
    <r>
      <rPr>
        <b/>
        <vertAlign val="subscript"/>
        <sz val="11"/>
        <rFont val="Calibri"/>
        <family val="2"/>
      </rPr>
      <t>β</t>
    </r>
    <r>
      <rPr>
        <b/>
        <sz val="11"/>
        <rFont val="Calibri"/>
        <family val="2"/>
      </rPr>
      <t>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/ (pA - pB)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</t>
    </r>
  </si>
  <si>
    <t>La proporción que debe usarse no es ni pA ni pB, sino la llamada porporción media (pM) = pA+pB/2, y así=&gt;</t>
  </si>
  <si>
    <r>
      <t>n = 2* (pM * qM) * (z α/2 + zβ)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/ (pA - pB)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</t>
    </r>
  </si>
  <si>
    <t>CÁLCULO DEL TAMAÑO DE MUESTRA PARA UNA DIFERENCIA DE DOS PROPORCIONES</t>
  </si>
  <si>
    <t>qA</t>
  </si>
  <si>
    <t>% RA intervención</t>
  </si>
  <si>
    <t>qB</t>
  </si>
  <si>
    <t>pM (=proporción Media)</t>
  </si>
  <si>
    <t>qM</t>
  </si>
  <si>
    <t>=&gt; z α/2 =</t>
  </si>
  <si>
    <t>Según estos cálculos ¿cuándo debería pararse el estudio?</t>
  </si>
  <si>
    <t>=&gt; zβ =</t>
  </si>
  <si>
    <t>Nº eventos esperados en el grupo control</t>
  </si>
  <si>
    <t>Numerador</t>
  </si>
  <si>
    <t>Nº eventos esperados en el grupo intervención</t>
  </si>
  <si>
    <t>Denominador</t>
  </si>
  <si>
    <t>Suma de los eventos</t>
  </si>
  <si>
    <t>n (cada grupo) =</t>
  </si>
  <si>
    <t>2n (total) =</t>
  </si>
  <si>
    <t>Significación estadística = 5%</t>
  </si>
  <si>
    <t>Si potencia estadística = 90% =&gt; error beta = 100% - 90% = 10%</t>
  </si>
  <si>
    <t xml:space="preserve">Si espero pérdidas del </t>
  </si>
  <si>
    <t>=&gt; Total =</t>
  </si>
  <si>
    <t>por grupo</t>
  </si>
  <si>
    <t>Cualquier evento adverso</t>
  </si>
  <si>
    <t>Cualquier evento adverso que origina el abandono del tratamiento</t>
  </si>
  <si>
    <t>Reacción local en el sitio de la inyección</t>
  </si>
  <si>
    <t>7165/9451 (75,81%)</t>
  </si>
  <si>
    <t>7282/9443 (77,12%)</t>
  </si>
  <si>
    <t>0,98 (0,97-1)</t>
  </si>
  <si>
    <t>1,3% (0,09% a 2,51%)</t>
  </si>
  <si>
    <t>77 (40 a 1065)</t>
  </si>
  <si>
    <t>56,02%</t>
  </si>
  <si>
    <t>2205/9451 (23,33%)</t>
  </si>
  <si>
    <t>2350/9443 (24,89%)</t>
  </si>
  <si>
    <t>0,94 (0,89-0,99)</t>
  </si>
  <si>
    <t>1,56% (0,34% a 2,78%)</t>
  </si>
  <si>
    <t>64 (36 a 298)</t>
  </si>
  <si>
    <t>70,51%</t>
  </si>
  <si>
    <t>343/9451 (3,63%)</t>
  </si>
  <si>
    <t>324/9443 (3,43%)</t>
  </si>
  <si>
    <t>1,06 (0,91-1,23)</t>
  </si>
  <si>
    <t>-0,2% (-0,73% a 0,33%)</t>
  </si>
  <si>
    <t>-505 (303 a -138)</t>
  </si>
  <si>
    <t>11,08%</t>
  </si>
  <si>
    <t>Cualquier evento adverso que conduce a la muerte</t>
  </si>
  <si>
    <t>181/9451 (1,92%)</t>
  </si>
  <si>
    <t>222/9443 (2,35%)</t>
  </si>
  <si>
    <t>0,81 (0,67-0,99)</t>
  </si>
  <si>
    <t>0,44% (0,02% a 0,85%)</t>
  </si>
  <si>
    <t>229 (118 a 4807)</t>
  </si>
  <si>
    <t>54,5%</t>
  </si>
  <si>
    <t>Incidencia nueva de diabetes en los pacientes sin diabetes en el inicio</t>
  </si>
  <si>
    <t>506/2688 (18,82%)</t>
  </si>
  <si>
    <t>583/2747 (21,22%)</t>
  </si>
  <si>
    <t>0,89 (0,8-0,99)</t>
  </si>
  <si>
    <t>2,4% (0,27% a 4,53%)</t>
  </si>
  <si>
    <t>42 (22 a 365)</t>
  </si>
  <si>
    <t>59,83%</t>
  </si>
  <si>
    <t>648/6763 (9,58%)</t>
  </si>
  <si>
    <t>676/6696 (10,1%)</t>
  </si>
  <si>
    <t>0,95 (0,86-1,05)</t>
  </si>
  <si>
    <t>0,51% (-0,49% a 1,52%)</t>
  </si>
  <si>
    <t>195 (66 a -203)</t>
  </si>
  <si>
    <t>16,88%</t>
  </si>
  <si>
    <t>Ictus hemorrágico</t>
  </si>
  <si>
    <t>Estatinas + Alirocumab, n= 9451</t>
  </si>
  <si>
    <t>Estatinas + Placebo, n= 9443</t>
  </si>
  <si>
    <t>9/9451 (0,1%)</t>
  </si>
  <si>
    <t>16/9443 (0,17%)</t>
  </si>
  <si>
    <t>0,56 (0,25-1,27)</t>
  </si>
  <si>
    <t>0,07% (-0,04% a 0,18%)</t>
  </si>
  <si>
    <t>1348 (550 a -2459)</t>
  </si>
  <si>
    <t>28,88%</t>
  </si>
  <si>
    <t>143/9451 (1,51%)</t>
  </si>
  <si>
    <t>167/9443 (1,77%)</t>
  </si>
  <si>
    <t>0,86 (0,69-1,07)</t>
  </si>
  <si>
    <t>0,26% (-0,11% a 0,62%)</t>
  </si>
  <si>
    <t>391 (162 a -910)</t>
  </si>
  <si>
    <t>28,16%</t>
  </si>
  <si>
    <t>500/9451 (5,29%)</t>
  </si>
  <si>
    <t>534/9443 (5,65%)</t>
  </si>
  <si>
    <t>0,94 (0,83-1,05)</t>
  </si>
  <si>
    <t>0,36% (-0,29% a 1,01%)</t>
  </si>
  <si>
    <t>274 (99 a -351)</t>
  </si>
  <si>
    <t>19,53%</t>
  </si>
  <si>
    <t>Trastornos hepáticos</t>
  </si>
  <si>
    <t>Trastornos neurocognitivo</t>
  </si>
  <si>
    <t>360/9451 (3,81%)</t>
  </si>
  <si>
    <t>203/9443 (2,15%)</t>
  </si>
  <si>
    <t>1,77 (1,5-2,1)</t>
  </si>
  <si>
    <t>-1,66% (-2,14% a -1,17%)</t>
  </si>
  <si>
    <t>-60 (-85 a -47)</t>
  </si>
  <si>
    <t>100%</t>
  </si>
  <si>
    <t>Cataratas</t>
  </si>
  <si>
    <t>120/9451 (1,27%)</t>
  </si>
  <si>
    <t>134/9443 (1,42%)</t>
  </si>
  <si>
    <t>0,89 (0,7-1,14)</t>
  </si>
  <si>
    <t>0,15% (-0,18% a 0,48%)</t>
  </si>
  <si>
    <t>670 (209 a -549)</t>
  </si>
  <si>
    <r>
      <rPr>
        <b/>
        <sz val="12"/>
        <color indexed="60"/>
        <rFont val="Calibri"/>
        <family val="2"/>
      </rPr>
      <t xml:space="preserve">Tabla nnt-1: </t>
    </r>
    <r>
      <rPr>
        <b/>
        <sz val="12"/>
        <rFont val="Calibri"/>
        <family val="2"/>
      </rPr>
      <t>Pacientes de 59 años (DE 9), con un síndrome agudo coronario en los 12 meses previos, que se están tratando con dosis altas de estatinas.</t>
    </r>
  </si>
  <si>
    <r>
      <rPr>
        <b/>
        <sz val="12"/>
        <color indexed="60"/>
        <rFont val="Calibri"/>
        <family val="2"/>
      </rPr>
      <t xml:space="preserve">Tabla nnt-2: </t>
    </r>
    <r>
      <rPr>
        <b/>
        <sz val="12"/>
        <rFont val="Calibri"/>
        <family val="2"/>
      </rPr>
      <t>EFECTOS ADVERSOS</t>
    </r>
  </si>
  <si>
    <t>Cualquier evento MAYOR de enfermedad coronaria</t>
  </si>
  <si>
    <t>1,03% (0,29% a 1,7%)</t>
  </si>
  <si>
    <t>97 (59 a 340)</t>
  </si>
  <si>
    <t>Hospitalización por insuficiencia cardíaca</t>
  </si>
  <si>
    <t>0,98 (0,79-1,2)</t>
  </si>
  <si>
    <t>0,04% (-0,37% a 0,39%)</t>
  </si>
  <si>
    <t>2668 (254 a -267)</t>
  </si>
  <si>
    <t>0,92 (0,76-1,11)</t>
  </si>
  <si>
    <t>0,19% (-0,25% a 0,56%)</t>
  </si>
  <si>
    <t>539 (179 a -393)</t>
  </si>
  <si>
    <r>
      <rPr>
        <u val="single"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>ACV:</t>
    </r>
    <r>
      <rPr>
        <sz val="10"/>
        <rFont val="Calibri"/>
        <family val="2"/>
      </rPr>
      <t xml:space="preserve"> accidente cerebrovascular; </t>
    </r>
    <r>
      <rPr>
        <b/>
        <sz val="10"/>
        <rFont val="Calibri"/>
        <family val="2"/>
      </rPr>
      <t xml:space="preserve">CV: </t>
    </r>
    <r>
      <rPr>
        <sz val="10"/>
        <rFont val="Calibri"/>
        <family val="2"/>
      </rPr>
      <t xml:space="preserve">cardiovascular; </t>
    </r>
    <r>
      <rPr>
        <b/>
        <sz val="10"/>
        <rFont val="Calibri"/>
        <family val="2"/>
      </rPr>
      <t xml:space="preserve">DE: </t>
    </r>
    <r>
      <rPr>
        <sz val="10"/>
        <rFont val="Calibri"/>
        <family val="2"/>
      </rPr>
      <t xml:space="preserve">desviación estándar;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>IAM:</t>
    </r>
    <r>
      <rPr>
        <sz val="10"/>
        <rFont val="Calibri"/>
        <family val="2"/>
      </rPr>
      <t xml:space="preserve"> infarto agudo de miocardio;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>Mort CV:</t>
    </r>
    <r>
      <rPr>
        <sz val="10"/>
        <rFont val="Calibri"/>
        <family val="2"/>
      </rPr>
      <t xml:space="preserve"> mortalidad por causa cardiovascular; </t>
    </r>
    <r>
      <rPr>
        <b/>
        <sz val="10"/>
        <rFont val="Calibri"/>
        <family val="2"/>
      </rPr>
      <t xml:space="preserve">RevasCoron: </t>
    </r>
    <r>
      <rPr>
        <sz val="10"/>
        <rFont val="Calibri"/>
        <family val="2"/>
      </rPr>
      <t xml:space="preserve">revascularización coronaria; 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relativo; </t>
    </r>
    <r>
      <rPr>
        <b/>
        <sz val="10"/>
        <rFont val="Calibri"/>
        <family val="2"/>
      </rPr>
      <t>SAC:</t>
    </r>
    <r>
      <rPr>
        <sz val="10"/>
        <rFont val="Calibri"/>
        <family val="2"/>
      </rPr>
      <t xml:space="preserve"> síndrome agudo coronario.</t>
    </r>
  </si>
  <si>
    <t>Para un error beta (1 cola)</t>
  </si>
  <si>
    <t>Para un error alfa (2 colas)</t>
  </si>
  <si>
    <t>Empeoramiento de la diabetes en los pacientes con diabetes en el inicio</t>
  </si>
  <si>
    <t>Mortalidad por enfermedad coronaria</t>
  </si>
  <si>
    <t>ACV isquémico fatal o no fatal</t>
  </si>
  <si>
    <t>0,85 (0,78-0,93)</t>
  </si>
  <si>
    <t>1,59% (0,74% a 2,33%)</t>
  </si>
  <si>
    <t>63 (43 a 136)</t>
  </si>
  <si>
    <t>0,22% (0,06% a 0,37%)</t>
  </si>
  <si>
    <t>448 (272 a 1568)</t>
  </si>
  <si>
    <t>0,09% (0,03% a 0,15%)</t>
  </si>
  <si>
    <t>1130 (687 a 3955)</t>
  </si>
  <si>
    <t>Mortalidad por enfermedad coronaria, IAM no fatal, ACV isquémico fatal o no fatal, o Angina inestable que requiere hospitalización</t>
  </si>
  <si>
    <t>&lt; 65 años</t>
  </si>
  <si>
    <t>≥ 65 años</t>
  </si>
  <si>
    <t>Muertes 3y</t>
  </si>
  <si>
    <t>Mort SG &lt; 65 años</t>
  </si>
  <si>
    <r>
      <t xml:space="preserve">Mort SG </t>
    </r>
    <r>
      <rPr>
        <i/>
        <sz val="10"/>
        <rFont val="Calibri"/>
        <family val="2"/>
      </rPr>
      <t>≥</t>
    </r>
    <r>
      <rPr>
        <i/>
        <sz val="10"/>
        <rFont val="Calibri"/>
        <family val="2"/>
      </rPr>
      <t xml:space="preserve"> 65 años</t>
    </r>
  </si>
  <si>
    <t>0,94 (0,77-1,15)</t>
  </si>
  <si>
    <t>0,16% (-0,42% a 0,64%)</t>
  </si>
  <si>
    <t>609 (155 a -239)</t>
  </si>
  <si>
    <t>0,77 (0,62-0,95)</t>
  </si>
  <si>
    <t>1,72% (0,36% a 2,84%)</t>
  </si>
  <si>
    <t>58 (35 a 275)</t>
  </si>
  <si>
    <t>0,61% (0,08% a 1,1%)</t>
  </si>
  <si>
    <t>164 (91 a 1232)</t>
  </si>
  <si>
    <r>
      <t xml:space="preserve">Cualquier EA que amenaza la vida o el funcionamiento del paciente (“serious” </t>
    </r>
    <r>
      <rPr>
        <sz val="10"/>
        <color indexed="12"/>
        <rFont val="Calibri"/>
        <family val="2"/>
      </rPr>
      <t>(*)</t>
    </r>
  </si>
  <si>
    <t>20181107-ECA Odyssey Out 2,8y, SAC estat+[Aliroc vs Pl], -Mort -MACE. Schwartz</t>
  </si>
  <si>
    <t>ECA ODYSSEY OUTCOMES, mediana de seguimiento 2,8 años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</si>
</sst>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\ _€_-;\-* #,##0.0000\ _€_-;_-* &quot;-&quot;????\ _€_-;_-@_-"/>
    <numFmt numFmtId="195" formatCode="_-* #,##0.00\ _€_-;\-* #,##0.00\ _€_-;_-* \-??\ _€_-;_-@_-"/>
    <numFmt numFmtId="196" formatCode="_-* #,##0\ _€_-;\-* #,##0\ _€_-;_-* &quot;-&quot;?\ _€_-;_-@_-"/>
    <numFmt numFmtId="197" formatCode="[$-C0A]dddd\,\ dd&quot; de &quot;mmmm&quot; de &quot;yyyy"/>
    <numFmt numFmtId="198" formatCode="#,##0.00_ ;\-#,##0.00\ "/>
    <numFmt numFmtId="199" formatCode="_-* #,##0.00000\ _€_-;\-* #,##0.00000\ _€_-;_-* &quot;-&quot;???\ _€_-;_-@_-"/>
    <numFmt numFmtId="200" formatCode="[$-C0A]dddd\,\ d&quot; de &quot;mmmm&quot; de &quot;yyyy"/>
    <numFmt numFmtId="201" formatCode="_-* #,##0.0000000\ _€_-;\-* #,##0.0000000\ _€_-;_-* &quot;-&quot;??\ _€_-;_-@_-"/>
    <numFmt numFmtId="202" formatCode="0.000000000"/>
    <numFmt numFmtId="203" formatCode="0.0000000000"/>
    <numFmt numFmtId="204" formatCode="0.00000000000"/>
    <numFmt numFmtId="205" formatCode="0.000000000000"/>
    <numFmt numFmtId="206" formatCode="_-* #,##0.00\ _€_-;\-* #,##0.00\ _€_-;_-* &quot;-&quot;???\ _€_-;_-@_-"/>
  </numFmts>
  <fonts count="11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b/>
      <vertAlign val="subscript"/>
      <sz val="10"/>
      <name val="Calibri"/>
      <family val="2"/>
    </font>
    <font>
      <b/>
      <sz val="12"/>
      <color indexed="60"/>
      <name val="Calibri"/>
      <family val="2"/>
    </font>
    <font>
      <sz val="11"/>
      <name val="Calibri"/>
      <family val="2"/>
    </font>
    <font>
      <b/>
      <sz val="10"/>
      <color indexed="12"/>
      <name val="Calibri"/>
      <family val="2"/>
    </font>
    <font>
      <sz val="12"/>
      <color indexed="12"/>
      <name val="Trebuchet MS"/>
      <family val="2"/>
    </font>
    <font>
      <vertAlign val="subscript"/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Calibri"/>
      <family val="2"/>
    </font>
    <font>
      <u val="single"/>
      <sz val="10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b/>
      <sz val="10"/>
      <color indexed="50"/>
      <name val="Calibri"/>
      <family val="2"/>
    </font>
    <font>
      <sz val="10"/>
      <color indexed="52"/>
      <name val="Calibri"/>
      <family val="2"/>
    </font>
    <font>
      <sz val="8"/>
      <name val="Calibri"/>
      <family val="2"/>
    </font>
    <font>
      <b/>
      <sz val="10"/>
      <color indexed="57"/>
      <name val="Calibri"/>
      <family val="2"/>
    </font>
    <font>
      <sz val="10"/>
      <color indexed="63"/>
      <name val="Calibri"/>
      <family val="2"/>
    </font>
    <font>
      <sz val="10"/>
      <color indexed="20"/>
      <name val="Calibri"/>
      <family val="2"/>
    </font>
    <font>
      <sz val="10"/>
      <color indexed="14"/>
      <name val="Calibri"/>
      <family val="2"/>
    </font>
    <font>
      <sz val="12"/>
      <name val="Calibri"/>
      <family val="2"/>
    </font>
    <font>
      <sz val="10"/>
      <color indexed="61"/>
      <name val="Calibri"/>
      <family val="2"/>
    </font>
    <font>
      <sz val="9"/>
      <name val="Calibri"/>
      <family val="2"/>
    </font>
    <font>
      <b/>
      <sz val="23"/>
      <name val="Calibri"/>
      <family val="2"/>
    </font>
    <font>
      <b/>
      <sz val="9"/>
      <name val="Calibri"/>
      <family val="2"/>
    </font>
    <font>
      <b/>
      <sz val="10"/>
      <color indexed="14"/>
      <name val="Calibri"/>
      <family val="2"/>
    </font>
    <font>
      <b/>
      <sz val="10"/>
      <color indexed="63"/>
      <name val="Calibri"/>
      <family val="2"/>
    </font>
    <font>
      <sz val="8.1"/>
      <color indexed="6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17"/>
      <name val="Calibri"/>
      <family val="2"/>
    </font>
    <font>
      <sz val="8"/>
      <color indexed="17"/>
      <name val="Calibri"/>
      <family val="2"/>
    </font>
    <font>
      <b/>
      <sz val="16"/>
      <name val="Calibri"/>
      <family val="2"/>
    </font>
    <font>
      <b/>
      <sz val="16"/>
      <color indexed="11"/>
      <name val="Calibri"/>
      <family val="2"/>
    </font>
    <font>
      <b/>
      <sz val="16"/>
      <color indexed="10"/>
      <name val="Calibri"/>
      <family val="2"/>
    </font>
    <font>
      <sz val="16"/>
      <name val="Calibri"/>
      <family val="2"/>
    </font>
    <font>
      <b/>
      <sz val="11"/>
      <color indexed="12"/>
      <name val="Calibri"/>
      <family val="2"/>
    </font>
    <font>
      <b/>
      <sz val="11"/>
      <color indexed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name val="Calibri"/>
      <family val="2"/>
    </font>
    <font>
      <sz val="12"/>
      <color indexed="16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sz val="10"/>
      <color indexed="10"/>
      <name val="Calibri"/>
      <family val="2"/>
    </font>
    <font>
      <b/>
      <i/>
      <sz val="12"/>
      <name val="Calibri"/>
      <family val="2"/>
    </font>
    <font>
      <b/>
      <i/>
      <sz val="12"/>
      <color indexed="11"/>
      <name val="Calibri"/>
      <family val="2"/>
    </font>
    <font>
      <b/>
      <i/>
      <sz val="12"/>
      <color indexed="10"/>
      <name val="Calibri"/>
      <family val="2"/>
    </font>
    <font>
      <i/>
      <sz val="10"/>
      <color indexed="17"/>
      <name val="Calibri"/>
      <family val="2"/>
    </font>
    <font>
      <b/>
      <sz val="14"/>
      <name val="Calibri"/>
      <family val="2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FF"/>
      <name val="Calibri"/>
      <family val="2"/>
    </font>
    <font>
      <sz val="10"/>
      <color rgb="FF008000"/>
      <name val="Calibri"/>
      <family val="2"/>
    </font>
    <font>
      <sz val="8"/>
      <color rgb="FF008000"/>
      <name val="Calibri"/>
      <family val="2"/>
    </font>
    <font>
      <b/>
      <sz val="16"/>
      <color rgb="FF00CC00"/>
      <name val="Calibri"/>
      <family val="2"/>
    </font>
    <font>
      <b/>
      <sz val="16"/>
      <color rgb="FFFF0000"/>
      <name val="Calibri"/>
      <family val="2"/>
    </font>
    <font>
      <b/>
      <sz val="11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color rgb="FF00CC00"/>
      <name val="Calibri"/>
      <family val="2"/>
    </font>
    <font>
      <b/>
      <sz val="11"/>
      <color rgb="FFFF0000"/>
      <name val="Calibri"/>
      <family val="2"/>
    </font>
    <font>
      <sz val="11"/>
      <color rgb="FFFFC000"/>
      <name val="Calibri"/>
      <family val="2"/>
    </font>
    <font>
      <sz val="10"/>
      <color rgb="FFFF0000"/>
      <name val="Calibri"/>
      <family val="2"/>
    </font>
    <font>
      <b/>
      <i/>
      <sz val="12"/>
      <color rgb="FF00CC00"/>
      <name val="Calibri"/>
      <family val="2"/>
    </font>
    <font>
      <b/>
      <i/>
      <sz val="12"/>
      <color rgb="FFFF0000"/>
      <name val="Calibri"/>
      <family val="2"/>
    </font>
    <font>
      <i/>
      <sz val="10"/>
      <color rgb="FF008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4" fillId="21" borderId="6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7" applyNumberFormat="0" applyFill="0" applyAlignment="0" applyProtection="0"/>
    <xf numFmtId="0" fontId="90" fillId="0" borderId="8" applyNumberFormat="0" applyFill="0" applyAlignment="0" applyProtection="0"/>
    <xf numFmtId="0" fontId="99" fillId="0" borderId="9" applyNumberFormat="0" applyFill="0" applyAlignment="0" applyProtection="0"/>
  </cellStyleXfs>
  <cellXfs count="583">
    <xf numFmtId="0" fontId="0" fillId="0" borderId="0" xfId="0" applyAlignment="1">
      <alignment/>
    </xf>
    <xf numFmtId="164" fontId="4" fillId="0" borderId="0" xfId="49" applyNumberFormat="1" applyFont="1" applyFill="1" applyBorder="1" applyAlignment="1">
      <alignment/>
    </xf>
    <xf numFmtId="164" fontId="43" fillId="0" borderId="0" xfId="49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10" fontId="24" fillId="0" borderId="0" xfId="55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0" fontId="5" fillId="0" borderId="0" xfId="55" applyNumberFormat="1" applyFont="1" applyBorder="1" applyAlignment="1">
      <alignment horizontal="center"/>
    </xf>
    <xf numFmtId="0" fontId="15" fillId="0" borderId="0" xfId="0" applyFont="1" applyFill="1" applyBorder="1" applyAlignment="1">
      <alignment vertical="distributed"/>
    </xf>
    <xf numFmtId="0" fontId="5" fillId="0" borderId="0" xfId="0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Alignment="1">
      <alignment/>
    </xf>
    <xf numFmtId="43" fontId="5" fillId="0" borderId="0" xfId="49" applyFont="1" applyFill="1" applyAlignment="1">
      <alignment horizontal="center"/>
    </xf>
    <xf numFmtId="9" fontId="5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3" fontId="45" fillId="0" borderId="0" xfId="49" applyFont="1" applyFill="1" applyBorder="1" applyAlignment="1">
      <alignment horizontal="center"/>
    </xf>
    <xf numFmtId="43" fontId="5" fillId="0" borderId="0" xfId="49" applyFont="1" applyFill="1" applyAlignment="1">
      <alignment/>
    </xf>
    <xf numFmtId="0" fontId="46" fillId="0" borderId="0" xfId="0" applyFont="1" applyFill="1" applyAlignment="1">
      <alignment/>
    </xf>
    <xf numFmtId="0" fontId="5" fillId="0" borderId="0" xfId="0" applyFont="1" applyBorder="1" applyAlignment="1">
      <alignment/>
    </xf>
    <xf numFmtId="43" fontId="5" fillId="0" borderId="0" xfId="49" applyFont="1" applyFill="1" applyBorder="1" applyAlignment="1">
      <alignment/>
    </xf>
    <xf numFmtId="0" fontId="5" fillId="0" borderId="0" xfId="0" applyFont="1" applyBorder="1" applyAlignment="1">
      <alignment horizontal="right"/>
    </xf>
    <xf numFmtId="10" fontId="5" fillId="0" borderId="0" xfId="55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47" fillId="0" borderId="0" xfId="0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/>
    </xf>
    <xf numFmtId="10" fontId="5" fillId="0" borderId="0" xfId="55" applyNumberFormat="1" applyFont="1" applyFill="1" applyBorder="1" applyAlignment="1">
      <alignment horizontal="center"/>
    </xf>
    <xf numFmtId="43" fontId="48" fillId="0" borderId="0" xfId="49" applyFont="1" applyFill="1" applyBorder="1" applyAlignment="1">
      <alignment/>
    </xf>
    <xf numFmtId="0" fontId="4" fillId="0" borderId="0" xfId="0" applyFont="1" applyFill="1" applyAlignment="1">
      <alignment horizontal="center"/>
    </xf>
    <xf numFmtId="43" fontId="48" fillId="0" borderId="0" xfId="49" applyFont="1" applyFill="1" applyAlignment="1">
      <alignment horizontal="right"/>
    </xf>
    <xf numFmtId="0" fontId="48" fillId="0" borderId="0" xfId="0" applyFont="1" applyFill="1" applyBorder="1" applyAlignment="1">
      <alignment/>
    </xf>
    <xf numFmtId="43" fontId="5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43" fontId="5" fillId="0" borderId="0" xfId="49" applyFont="1" applyFill="1" applyBorder="1" applyAlignment="1">
      <alignment horizontal="center"/>
    </xf>
    <xf numFmtId="169" fontId="5" fillId="0" borderId="0" xfId="49" applyNumberFormat="1" applyFont="1" applyFill="1" applyBorder="1" applyAlignment="1">
      <alignment horizontal="center"/>
    </xf>
    <xf numFmtId="43" fontId="4" fillId="0" borderId="0" xfId="49" applyFont="1" applyFill="1" applyBorder="1" applyAlignment="1">
      <alignment/>
    </xf>
    <xf numFmtId="0" fontId="24" fillId="0" borderId="0" xfId="0" applyFont="1" applyAlignment="1">
      <alignment horizontal="right"/>
    </xf>
    <xf numFmtId="0" fontId="44" fillId="0" borderId="0" xfId="0" applyFont="1" applyFill="1" applyAlignment="1">
      <alignment/>
    </xf>
    <xf numFmtId="0" fontId="24" fillId="0" borderId="0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 horizontal="left"/>
    </xf>
    <xf numFmtId="169" fontId="5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10" fontId="5" fillId="0" borderId="0" xfId="55" applyNumberFormat="1" applyFont="1" applyAlignment="1">
      <alignment/>
    </xf>
    <xf numFmtId="10" fontId="5" fillId="0" borderId="0" xfId="0" applyNumberFormat="1" applyFont="1" applyAlignment="1">
      <alignment/>
    </xf>
    <xf numFmtId="10" fontId="5" fillId="0" borderId="0" xfId="0" applyNumberFormat="1" applyFont="1" applyFill="1" applyBorder="1" applyAlignment="1">
      <alignment/>
    </xf>
    <xf numFmtId="10" fontId="44" fillId="0" borderId="0" xfId="55" applyNumberFormat="1" applyFont="1" applyFill="1" applyBorder="1" applyAlignment="1">
      <alignment horizontal="center"/>
    </xf>
    <xf numFmtId="164" fontId="44" fillId="0" borderId="0" xfId="49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49" fontId="24" fillId="0" borderId="0" xfId="0" applyNumberFormat="1" applyFont="1" applyAlignment="1">
      <alignment/>
    </xf>
    <xf numFmtId="0" fontId="50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3" fontId="4" fillId="0" borderId="0" xfId="49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4" fillId="0" borderId="14" xfId="49" applyNumberFormat="1" applyFont="1" applyFill="1" applyBorder="1" applyAlignment="1">
      <alignment/>
    </xf>
    <xf numFmtId="164" fontId="15" fillId="0" borderId="14" xfId="49" applyNumberFormat="1" applyFont="1" applyFill="1" applyBorder="1" applyAlignment="1">
      <alignment/>
    </xf>
    <xf numFmtId="164" fontId="24" fillId="0" borderId="0" xfId="49" applyNumberFormat="1" applyFont="1" applyFill="1" applyBorder="1" applyAlignment="1">
      <alignment/>
    </xf>
    <xf numFmtId="164" fontId="15" fillId="0" borderId="0" xfId="49" applyNumberFormat="1" applyFont="1" applyFill="1" applyBorder="1" applyAlignment="1">
      <alignment/>
    </xf>
    <xf numFmtId="43" fontId="51" fillId="0" borderId="14" xfId="49" applyFont="1" applyBorder="1" applyAlignment="1">
      <alignment/>
    </xf>
    <xf numFmtId="0" fontId="15" fillId="0" borderId="0" xfId="0" applyFont="1" applyBorder="1" applyAlignment="1">
      <alignment horizontal="right"/>
    </xf>
    <xf numFmtId="43" fontId="5" fillId="0" borderId="0" xfId="49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distributed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3" fontId="54" fillId="0" borderId="0" xfId="49" applyFont="1" applyFill="1" applyBorder="1" applyAlignment="1">
      <alignment horizontal="right"/>
    </xf>
    <xf numFmtId="166" fontId="5" fillId="0" borderId="0" xfId="49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65" fontId="4" fillId="0" borderId="0" xfId="49" applyNumberFormat="1" applyFont="1" applyFill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4" fillId="0" borderId="0" xfId="55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43" fontId="45" fillId="0" borderId="0" xfId="49" applyFont="1" applyFill="1" applyBorder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6" fontId="5" fillId="0" borderId="0" xfId="49" applyNumberFormat="1" applyFont="1" applyFill="1" applyAlignment="1">
      <alignment/>
    </xf>
    <xf numFmtId="0" fontId="5" fillId="0" borderId="0" xfId="0" applyFont="1" applyAlignment="1">
      <alignment horizontal="center" vertical="center"/>
    </xf>
    <xf numFmtId="18" fontId="5" fillId="0" borderId="0" xfId="49" applyNumberFormat="1" applyFont="1" applyBorder="1" applyAlignment="1">
      <alignment horizontal="center"/>
    </xf>
    <xf numFmtId="0" fontId="56" fillId="0" borderId="14" xfId="0" applyFont="1" applyBorder="1" applyAlignment="1">
      <alignment horizontal="right"/>
    </xf>
    <xf numFmtId="171" fontId="4" fillId="0" borderId="10" xfId="49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10" fontId="5" fillId="33" borderId="19" xfId="55" applyNumberFormat="1" applyFont="1" applyFill="1" applyBorder="1" applyAlignment="1">
      <alignment vertical="center"/>
    </xf>
    <xf numFmtId="49" fontId="6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10" fontId="5" fillId="0" borderId="19" xfId="55" applyNumberFormat="1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5" fillId="33" borderId="14" xfId="0" applyNumberFormat="1" applyFont="1" applyFill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5" fillId="33" borderId="14" xfId="49" applyNumberFormat="1" applyFont="1" applyFill="1" applyBorder="1" applyAlignment="1">
      <alignment vertical="center"/>
    </xf>
    <xf numFmtId="2" fontId="5" fillId="0" borderId="14" xfId="49" applyNumberFormat="1" applyFont="1" applyBorder="1" applyAlignment="1">
      <alignment horizontal="center" vertical="center" wrapText="1"/>
    </xf>
    <xf numFmtId="2" fontId="5" fillId="0" borderId="14" xfId="49" applyNumberFormat="1" applyFont="1" applyFill="1" applyBorder="1" applyAlignment="1">
      <alignment horizontal="center" vertical="center" wrapText="1"/>
    </xf>
    <xf numFmtId="2" fontId="5" fillId="0" borderId="18" xfId="49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169" fontId="5" fillId="0" borderId="24" xfId="49" applyNumberFormat="1" applyFont="1" applyFill="1" applyBorder="1" applyAlignment="1">
      <alignment horizontal="center"/>
    </xf>
    <xf numFmtId="43" fontId="5" fillId="0" borderId="24" xfId="49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3" fontId="4" fillId="0" borderId="22" xfId="49" applyFont="1" applyFill="1" applyBorder="1" applyAlignment="1">
      <alignment/>
    </xf>
    <xf numFmtId="0" fontId="5" fillId="0" borderId="25" xfId="0" applyFont="1" applyBorder="1" applyAlignment="1">
      <alignment/>
    </xf>
    <xf numFmtId="170" fontId="5" fillId="0" borderId="25" xfId="0" applyNumberFormat="1" applyFont="1" applyBorder="1" applyAlignment="1">
      <alignment/>
    </xf>
    <xf numFmtId="43" fontId="5" fillId="0" borderId="25" xfId="49" applyFont="1" applyFill="1" applyBorder="1" applyAlignment="1">
      <alignment horizontal="center"/>
    </xf>
    <xf numFmtId="43" fontId="4" fillId="0" borderId="25" xfId="49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43" fontId="5" fillId="0" borderId="0" xfId="49" applyFont="1" applyFill="1" applyBorder="1" applyAlignment="1">
      <alignment/>
    </xf>
    <xf numFmtId="0" fontId="4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43" fontId="54" fillId="0" borderId="24" xfId="49" applyFont="1" applyFill="1" applyBorder="1" applyAlignment="1">
      <alignment horizontal="right"/>
    </xf>
    <xf numFmtId="0" fontId="5" fillId="0" borderId="24" xfId="0" applyFont="1" applyFill="1" applyBorder="1" applyAlignment="1">
      <alignment horizontal="left"/>
    </xf>
    <xf numFmtId="177" fontId="5" fillId="0" borderId="26" xfId="0" applyNumberFormat="1" applyFont="1" applyBorder="1" applyAlignment="1">
      <alignment/>
    </xf>
    <xf numFmtId="165" fontId="4" fillId="0" borderId="26" xfId="49" applyNumberFormat="1" applyFont="1" applyFill="1" applyBorder="1" applyAlignment="1">
      <alignment/>
    </xf>
    <xf numFmtId="166" fontId="5" fillId="35" borderId="26" xfId="49" applyNumberFormat="1" applyFont="1" applyFill="1" applyBorder="1" applyAlignment="1">
      <alignment/>
    </xf>
    <xf numFmtId="10" fontId="55" fillId="0" borderId="26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0" fontId="5" fillId="0" borderId="26" xfId="55" applyNumberFormat="1" applyFont="1" applyFill="1" applyBorder="1" applyAlignment="1">
      <alignment/>
    </xf>
    <xf numFmtId="0" fontId="5" fillId="0" borderId="24" xfId="0" applyFont="1" applyFill="1" applyBorder="1" applyAlignment="1">
      <alignment horizontal="right"/>
    </xf>
    <xf numFmtId="190" fontId="5" fillId="0" borderId="24" xfId="49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/>
    </xf>
    <xf numFmtId="43" fontId="4" fillId="0" borderId="24" xfId="49" applyFont="1" applyFill="1" applyBorder="1" applyAlignment="1">
      <alignment/>
    </xf>
    <xf numFmtId="43" fontId="4" fillId="0" borderId="17" xfId="49" applyFont="1" applyFill="1" applyBorder="1" applyAlignment="1">
      <alignment/>
    </xf>
    <xf numFmtId="0" fontId="49" fillId="0" borderId="25" xfId="0" applyFont="1" applyBorder="1" applyAlignment="1">
      <alignment/>
    </xf>
    <xf numFmtId="43" fontId="4" fillId="0" borderId="14" xfId="0" applyNumberFormat="1" applyFont="1" applyBorder="1" applyAlignment="1">
      <alignment/>
    </xf>
    <xf numFmtId="165" fontId="4" fillId="36" borderId="14" xfId="49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49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43" fontId="5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textRotation="90"/>
    </xf>
    <xf numFmtId="43" fontId="5" fillId="0" borderId="0" xfId="49" applyFont="1" applyFill="1" applyBorder="1" applyAlignment="1">
      <alignment horizontal="center" vertical="center"/>
    </xf>
    <xf numFmtId="10" fontId="5" fillId="0" borderId="0" xfId="55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10" fontId="5" fillId="0" borderId="0" xfId="55" applyNumberFormat="1" applyFont="1" applyFill="1" applyBorder="1" applyAlignment="1">
      <alignment horizontal="center" vertical="center" wrapText="1"/>
    </xf>
    <xf numFmtId="43" fontId="4" fillId="0" borderId="11" xfId="49" applyFont="1" applyFill="1" applyBorder="1" applyAlignment="1">
      <alignment horizontal="center" vertical="center" wrapText="1"/>
    </xf>
    <xf numFmtId="43" fontId="4" fillId="0" borderId="11" xfId="49" applyFont="1" applyBorder="1" applyAlignment="1">
      <alignment horizontal="center" vertical="center" wrapText="1"/>
    </xf>
    <xf numFmtId="167" fontId="4" fillId="0" borderId="14" xfId="55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2" fontId="5" fillId="0" borderId="26" xfId="49" applyNumberFormat="1" applyFont="1" applyFill="1" applyBorder="1" applyAlignment="1">
      <alignment horizontal="center" vertical="center" wrapText="1"/>
    </xf>
    <xf numFmtId="167" fontId="5" fillId="0" borderId="26" xfId="55" applyNumberFormat="1" applyFont="1" applyFill="1" applyBorder="1" applyAlignment="1">
      <alignment horizontal="center" vertical="center" wrapText="1"/>
    </xf>
    <xf numFmtId="185" fontId="5" fillId="0" borderId="26" xfId="0" applyNumberFormat="1" applyFont="1" applyFill="1" applyBorder="1" applyAlignment="1">
      <alignment horizontal="center" vertical="center" wrapText="1"/>
    </xf>
    <xf numFmtId="167" fontId="5" fillId="0" borderId="0" xfId="55" applyNumberFormat="1" applyFont="1" applyAlignment="1">
      <alignment horizontal="center" vertical="center" wrapText="1"/>
    </xf>
    <xf numFmtId="10" fontId="5" fillId="36" borderId="26" xfId="55" applyNumberFormat="1" applyFont="1" applyFill="1" applyBorder="1" applyAlignment="1">
      <alignment horizontal="center" vertical="center" wrapText="1"/>
    </xf>
    <xf numFmtId="10" fontId="5" fillId="0" borderId="12" xfId="55" applyNumberFormat="1" applyFont="1" applyBorder="1" applyAlignment="1">
      <alignment horizontal="center" vertical="center" wrapText="1"/>
    </xf>
    <xf numFmtId="164" fontId="5" fillId="0" borderId="0" xfId="49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4" fillId="0" borderId="26" xfId="49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3" fontId="45" fillId="0" borderId="0" xfId="49" applyFont="1" applyFill="1" applyBorder="1" applyAlignment="1">
      <alignment horizontal="center" vertical="center" wrapText="1"/>
    </xf>
    <xf numFmtId="43" fontId="4" fillId="0" borderId="0" xfId="49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3" fontId="5" fillId="0" borderId="14" xfId="49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9" fontId="5" fillId="0" borderId="0" xfId="55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8" fontId="5" fillId="0" borderId="0" xfId="49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43" fontId="4" fillId="0" borderId="0" xfId="49" applyFont="1" applyAlignment="1">
      <alignment horizontal="center" vertical="center" wrapText="1"/>
    </xf>
    <xf numFmtId="43" fontId="5" fillId="36" borderId="0" xfId="0" applyNumberFormat="1" applyFont="1" applyFill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left" vertical="center"/>
    </xf>
    <xf numFmtId="10" fontId="5" fillId="0" borderId="0" xfId="55" applyNumberFormat="1" applyFont="1" applyAlignment="1">
      <alignment horizontal="center" vertical="center"/>
    </xf>
    <xf numFmtId="10" fontId="24" fillId="0" borderId="0" xfId="55" applyNumberFormat="1" applyFont="1" applyFill="1" applyBorder="1" applyAlignment="1">
      <alignment horizontal="center" vertical="center"/>
    </xf>
    <xf numFmtId="164" fontId="5" fillId="0" borderId="0" xfId="49" applyNumberFormat="1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85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distributed"/>
    </xf>
    <xf numFmtId="9" fontId="5" fillId="37" borderId="14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98" fontId="5" fillId="0" borderId="14" xfId="49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0" fontId="5" fillId="35" borderId="14" xfId="55" applyNumberFormat="1" applyFont="1" applyFill="1" applyBorder="1" applyAlignment="1">
      <alignment horizontal="center"/>
    </xf>
    <xf numFmtId="43" fontId="5" fillId="0" borderId="0" xfId="49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169" fontId="5" fillId="0" borderId="0" xfId="49" applyNumberFormat="1" applyFont="1" applyBorder="1" applyAlignment="1">
      <alignment horizontal="center"/>
    </xf>
    <xf numFmtId="10" fontId="4" fillId="0" borderId="0" xfId="55" applyNumberFormat="1" applyFont="1" applyFill="1" applyBorder="1" applyAlignment="1">
      <alignment/>
    </xf>
    <xf numFmtId="0" fontId="6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0" fontId="4" fillId="0" borderId="14" xfId="55" applyNumberFormat="1" applyFont="1" applyBorder="1" applyAlignment="1">
      <alignment horizontal="center"/>
    </xf>
    <xf numFmtId="43" fontId="4" fillId="0" borderId="14" xfId="49" applyFont="1" applyBorder="1" applyAlignment="1">
      <alignment horizontal="center"/>
    </xf>
    <xf numFmtId="43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0" fontId="4" fillId="38" borderId="14" xfId="55" applyNumberFormat="1" applyFont="1" applyFill="1" applyBorder="1" applyAlignment="1">
      <alignment/>
    </xf>
    <xf numFmtId="10" fontId="5" fillId="39" borderId="14" xfId="55" applyNumberFormat="1" applyFont="1" applyFill="1" applyBorder="1" applyAlignment="1">
      <alignment horizontal="center"/>
    </xf>
    <xf numFmtId="10" fontId="5" fillId="40" borderId="14" xfId="55" applyNumberFormat="1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1" fontId="5" fillId="39" borderId="14" xfId="0" applyNumberFormat="1" applyFont="1" applyFill="1" applyBorder="1" applyAlignment="1">
      <alignment horizontal="center"/>
    </xf>
    <xf numFmtId="1" fontId="5" fillId="40" borderId="14" xfId="0" applyNumberFormat="1" applyFont="1" applyFill="1" applyBorder="1" applyAlignment="1">
      <alignment horizontal="center"/>
    </xf>
    <xf numFmtId="10" fontId="44" fillId="0" borderId="0" xfId="55" applyNumberFormat="1" applyFont="1" applyFill="1" applyBorder="1" applyAlignment="1">
      <alignment horizontal="right"/>
    </xf>
    <xf numFmtId="0" fontId="100" fillId="0" borderId="0" xfId="0" applyFont="1" applyBorder="1" applyAlignment="1">
      <alignment horizontal="right" vertical="center"/>
    </xf>
    <xf numFmtId="0" fontId="100" fillId="0" borderId="0" xfId="0" applyFont="1" applyBorder="1" applyAlignment="1">
      <alignment horizontal="right"/>
    </xf>
    <xf numFmtId="49" fontId="101" fillId="0" borderId="0" xfId="49" applyNumberFormat="1" applyFont="1" applyBorder="1" applyAlignment="1">
      <alignment horizontal="right"/>
    </xf>
    <xf numFmtId="1" fontId="101" fillId="0" borderId="0" xfId="0" applyNumberFormat="1" applyFont="1" applyFill="1" applyBorder="1" applyAlignment="1">
      <alignment horizontal="center"/>
    </xf>
    <xf numFmtId="0" fontId="100" fillId="41" borderId="0" xfId="0" applyFont="1" applyFill="1" applyBorder="1" applyAlignment="1">
      <alignment horizontal="center" vertical="center" wrapText="1"/>
    </xf>
    <xf numFmtId="0" fontId="100" fillId="41" borderId="0" xfId="0" applyFont="1" applyFill="1" applyBorder="1" applyAlignment="1">
      <alignment/>
    </xf>
    <xf numFmtId="0" fontId="100" fillId="41" borderId="0" xfId="0" applyFont="1" applyFill="1" applyBorder="1" applyAlignment="1">
      <alignment horizontal="right"/>
    </xf>
    <xf numFmtId="1" fontId="100" fillId="41" borderId="0" xfId="0" applyNumberFormat="1" applyFont="1" applyFill="1" applyBorder="1" applyAlignment="1">
      <alignment horizontal="center" vertical="distributed"/>
    </xf>
    <xf numFmtId="0" fontId="100" fillId="42" borderId="0" xfId="0" applyFont="1" applyFill="1" applyBorder="1" applyAlignment="1">
      <alignment horizontal="center" vertical="center" wrapText="1"/>
    </xf>
    <xf numFmtId="0" fontId="100" fillId="42" borderId="0" xfId="0" applyFont="1" applyFill="1" applyBorder="1" applyAlignment="1">
      <alignment/>
    </xf>
    <xf numFmtId="0" fontId="100" fillId="42" borderId="0" xfId="0" applyFont="1" applyFill="1" applyBorder="1" applyAlignment="1">
      <alignment horizontal="right"/>
    </xf>
    <xf numFmtId="1" fontId="100" fillId="42" borderId="0" xfId="0" applyNumberFormat="1" applyFont="1" applyFill="1" applyBorder="1" applyAlignment="1">
      <alignment horizontal="center" vertical="distributed"/>
    </xf>
    <xf numFmtId="164" fontId="100" fillId="43" borderId="0" xfId="0" applyNumberFormat="1" applyFont="1" applyFill="1" applyBorder="1" applyAlignment="1">
      <alignment horizontal="center" vertical="center" wrapText="1"/>
    </xf>
    <xf numFmtId="43" fontId="102" fillId="43" borderId="0" xfId="49" applyFont="1" applyFill="1" applyBorder="1" applyAlignment="1">
      <alignment/>
    </xf>
    <xf numFmtId="43" fontId="100" fillId="43" borderId="0" xfId="49" applyFont="1" applyFill="1" applyBorder="1" applyAlignment="1">
      <alignment horizontal="right"/>
    </xf>
    <xf numFmtId="1" fontId="100" fillId="43" borderId="0" xfId="0" applyNumberFormat="1" applyFont="1" applyFill="1" applyBorder="1" applyAlignment="1">
      <alignment horizontal="center" vertical="distributed"/>
    </xf>
    <xf numFmtId="49" fontId="100" fillId="0" borderId="0" xfId="0" applyNumberFormat="1" applyFont="1" applyFill="1" applyBorder="1" applyAlignment="1">
      <alignment horizontal="center" vertical="center" wrapText="1"/>
    </xf>
    <xf numFmtId="49" fontId="100" fillId="0" borderId="0" xfId="0" applyNumberFormat="1" applyFont="1" applyFill="1" applyBorder="1" applyAlignment="1">
      <alignment/>
    </xf>
    <xf numFmtId="1" fontId="100" fillId="0" borderId="0" xfId="0" applyNumberFormat="1" applyFont="1" applyBorder="1" applyAlignment="1">
      <alignment horizontal="center"/>
    </xf>
    <xf numFmtId="0" fontId="100" fillId="0" borderId="0" xfId="0" applyFont="1" applyFill="1" applyBorder="1" applyAlignment="1">
      <alignment horizontal="right" vertical="center"/>
    </xf>
    <xf numFmtId="49" fontId="100" fillId="0" borderId="0" xfId="49" applyNumberFormat="1" applyFont="1" applyBorder="1" applyAlignment="1">
      <alignment horizontal="right"/>
    </xf>
    <xf numFmtId="1" fontId="100" fillId="0" borderId="0" xfId="0" applyNumberFormat="1" applyFont="1" applyFill="1" applyBorder="1" applyAlignment="1">
      <alignment horizontal="center"/>
    </xf>
    <xf numFmtId="0" fontId="100" fillId="40" borderId="0" xfId="0" applyFont="1" applyFill="1" applyBorder="1" applyAlignment="1">
      <alignment horizontal="center" vertical="center" wrapText="1"/>
    </xf>
    <xf numFmtId="0" fontId="100" fillId="40" borderId="0" xfId="0" applyFont="1" applyFill="1" applyBorder="1" applyAlignment="1">
      <alignment/>
    </xf>
    <xf numFmtId="0" fontId="100" fillId="40" borderId="0" xfId="0" applyFont="1" applyFill="1" applyBorder="1" applyAlignment="1">
      <alignment horizontal="right"/>
    </xf>
    <xf numFmtId="1" fontId="100" fillId="40" borderId="0" xfId="0" applyNumberFormat="1" applyFont="1" applyFill="1" applyBorder="1" applyAlignment="1">
      <alignment horizontal="center" vertical="distributed"/>
    </xf>
    <xf numFmtId="0" fontId="14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10" fontId="5" fillId="0" borderId="2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0" fontId="5" fillId="0" borderId="14" xfId="55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0" fontId="5" fillId="0" borderId="14" xfId="55" applyNumberFormat="1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30" xfId="0" applyFont="1" applyFill="1" applyBorder="1" applyAlignment="1">
      <alignment horizontal="right"/>
    </xf>
    <xf numFmtId="10" fontId="5" fillId="0" borderId="14" xfId="55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28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49" fontId="5" fillId="0" borderId="14" xfId="4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" fontId="5" fillId="0" borderId="29" xfId="0" applyNumberFormat="1" applyFont="1" applyFill="1" applyBorder="1" applyAlignment="1">
      <alignment horizontal="center"/>
    </xf>
    <xf numFmtId="43" fontId="45" fillId="0" borderId="13" xfId="49" applyFont="1" applyFill="1" applyBorder="1" applyAlignment="1">
      <alignment/>
    </xf>
    <xf numFmtId="0" fontId="5" fillId="0" borderId="24" xfId="0" applyFont="1" applyFill="1" applyBorder="1" applyAlignment="1">
      <alignment/>
    </xf>
    <xf numFmtId="2" fontId="5" fillId="0" borderId="24" xfId="0" applyNumberFormat="1" applyFont="1" applyFill="1" applyBorder="1" applyAlignment="1">
      <alignment horizontal="center"/>
    </xf>
    <xf numFmtId="10" fontId="5" fillId="0" borderId="24" xfId="55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5" fillId="44" borderId="0" xfId="0" applyFont="1" applyFill="1" applyBorder="1" applyAlignment="1">
      <alignment horizontal="center" vertical="center"/>
    </xf>
    <xf numFmtId="0" fontId="5" fillId="44" borderId="0" xfId="0" applyFont="1" applyFill="1" applyAlignment="1">
      <alignment/>
    </xf>
    <xf numFmtId="10" fontId="5" fillId="0" borderId="0" xfId="0" applyNumberFormat="1" applyFont="1" applyAlignment="1">
      <alignment horizontal="center" vertical="center" wrapText="1"/>
    </xf>
    <xf numFmtId="2" fontId="5" fillId="0" borderId="0" xfId="49" applyNumberFormat="1" applyFont="1" applyAlignment="1">
      <alignment horizontal="center" vertical="center" wrapText="1"/>
    </xf>
    <xf numFmtId="0" fontId="5" fillId="44" borderId="0" xfId="0" applyFont="1" applyFill="1" applyAlignment="1">
      <alignment/>
    </xf>
    <xf numFmtId="0" fontId="103" fillId="0" borderId="0" xfId="0" applyFont="1" applyAlignment="1">
      <alignment horizontal="left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44" borderId="14" xfId="0" applyFont="1" applyFill="1" applyBorder="1" applyAlignment="1">
      <alignment horizontal="center" vertical="center"/>
    </xf>
    <xf numFmtId="167" fontId="104" fillId="37" borderId="14" xfId="55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67" fontId="105" fillId="37" borderId="14" xfId="55" applyNumberFormat="1" applyFont="1" applyFill="1" applyBorder="1" applyAlignment="1">
      <alignment horizontal="center" vertical="center"/>
    </xf>
    <xf numFmtId="0" fontId="45" fillId="44" borderId="0" xfId="0" applyFont="1" applyFill="1" applyAlignment="1">
      <alignment/>
    </xf>
    <xf numFmtId="0" fontId="5" fillId="0" borderId="0" xfId="0" applyFont="1" applyBorder="1" applyAlignment="1">
      <alignment horizontal="left" vertical="center" wrapText="1"/>
    </xf>
    <xf numFmtId="1" fontId="64" fillId="0" borderId="14" xfId="0" applyNumberFormat="1" applyFont="1" applyFill="1" applyBorder="1" applyAlignment="1">
      <alignment horizontal="center" vertical="center"/>
    </xf>
    <xf numFmtId="1" fontId="106" fillId="0" borderId="14" xfId="0" applyNumberFormat="1" applyFont="1" applyFill="1" applyBorder="1" applyAlignment="1">
      <alignment horizontal="center" vertical="center"/>
    </xf>
    <xf numFmtId="1" fontId="107" fillId="0" borderId="14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44" borderId="3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vertical="center"/>
    </xf>
    <xf numFmtId="0" fontId="4" fillId="44" borderId="0" xfId="0" applyFont="1" applyFill="1" applyBorder="1" applyAlignment="1">
      <alignment horizontal="center" vertical="center" wrapText="1"/>
    </xf>
    <xf numFmtId="0" fontId="108" fillId="44" borderId="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5" fillId="44" borderId="0" xfId="0" applyFont="1" applyFill="1" applyBorder="1" applyAlignment="1">
      <alignment horizontal="center" vertical="center" wrapText="1"/>
    </xf>
    <xf numFmtId="49" fontId="5" fillId="44" borderId="0" xfId="0" applyNumberFormat="1" applyFont="1" applyFill="1" applyBorder="1" applyAlignment="1">
      <alignment horizontal="center" vertical="center" wrapText="1"/>
    </xf>
    <xf numFmtId="0" fontId="11" fillId="44" borderId="16" xfId="0" applyFont="1" applyFill="1" applyBorder="1" applyAlignment="1">
      <alignment vertical="center"/>
    </xf>
    <xf numFmtId="0" fontId="11" fillId="44" borderId="20" xfId="0" applyFont="1" applyFill="1" applyBorder="1" applyAlignment="1">
      <alignment vertical="center"/>
    </xf>
    <xf numFmtId="0" fontId="11" fillId="44" borderId="19" xfId="0" applyFont="1" applyFill="1" applyBorder="1" applyAlignment="1">
      <alignment vertical="center"/>
    </xf>
    <xf numFmtId="0" fontId="5" fillId="44" borderId="0" xfId="0" applyFont="1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5" fillId="44" borderId="12" xfId="0" applyFont="1" applyFill="1" applyBorder="1" applyAlignment="1">
      <alignment horizontal="left" vertical="center" wrapText="1"/>
    </xf>
    <xf numFmtId="9" fontId="5" fillId="0" borderId="14" xfId="0" applyNumberFormat="1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67" fontId="5" fillId="44" borderId="0" xfId="55" applyNumberFormat="1" applyFont="1" applyFill="1" applyAlignment="1">
      <alignment horizontal="center" vertical="center"/>
    </xf>
    <xf numFmtId="0" fontId="109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4" fillId="0" borderId="39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center" wrapText="1"/>
    </xf>
    <xf numFmtId="0" fontId="109" fillId="0" borderId="0" xfId="0" applyFont="1" applyAlignment="1">
      <alignment/>
    </xf>
    <xf numFmtId="0" fontId="103" fillId="0" borderId="0" xfId="0" applyFont="1" applyAlignment="1">
      <alignment/>
    </xf>
    <xf numFmtId="164" fontId="5" fillId="0" borderId="0" xfId="49" applyNumberFormat="1" applyFont="1" applyAlignment="1">
      <alignment horizontal="center" vertical="center"/>
    </xf>
    <xf numFmtId="172" fontId="106" fillId="0" borderId="14" xfId="0" applyNumberFormat="1" applyFont="1" applyFill="1" applyBorder="1" applyAlignment="1">
      <alignment horizontal="center" vertical="center"/>
    </xf>
    <xf numFmtId="172" fontId="107" fillId="0" borderId="14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172" fontId="110" fillId="0" borderId="14" xfId="0" applyNumberFormat="1" applyFont="1" applyFill="1" applyBorder="1" applyAlignment="1">
      <alignment horizontal="center" vertical="center"/>
    </xf>
    <xf numFmtId="172" fontId="111" fillId="0" borderId="14" xfId="0" applyNumberFormat="1" applyFont="1" applyFill="1" applyBorder="1" applyAlignment="1">
      <alignment horizontal="center" vertical="center"/>
    </xf>
    <xf numFmtId="0" fontId="5" fillId="44" borderId="0" xfId="0" applyFont="1" applyFill="1" applyBorder="1" applyAlignment="1">
      <alignment horizontal="left" vertical="center" wrapText="1"/>
    </xf>
    <xf numFmtId="0" fontId="5" fillId="44" borderId="0" xfId="0" applyFont="1" applyFill="1" applyAlignment="1">
      <alignment horizontal="center"/>
    </xf>
    <xf numFmtId="0" fontId="16" fillId="0" borderId="0" xfId="0" applyFont="1" applyBorder="1" applyAlignment="1">
      <alignment horizontal="left" vertical="distributed"/>
    </xf>
    <xf numFmtId="0" fontId="14" fillId="0" borderId="41" xfId="0" applyFont="1" applyFill="1" applyBorder="1" applyAlignment="1">
      <alignment horizontal="righ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left"/>
    </xf>
    <xf numFmtId="0" fontId="14" fillId="0" borderId="43" xfId="0" applyFont="1" applyBorder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27" xfId="0" applyFont="1" applyBorder="1" applyAlignment="1">
      <alignment horizontal="right" vertical="center"/>
    </xf>
    <xf numFmtId="167" fontId="14" fillId="33" borderId="14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2" fontId="14" fillId="33" borderId="1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167" fontId="14" fillId="36" borderId="44" xfId="55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horizontal="right" vertical="center"/>
    </xf>
    <xf numFmtId="43" fontId="14" fillId="33" borderId="14" xfId="49" applyFont="1" applyFill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horizontal="right"/>
    </xf>
    <xf numFmtId="167" fontId="14" fillId="36" borderId="47" xfId="55" applyNumberFormat="1" applyFont="1" applyFill="1" applyBorder="1" applyAlignment="1">
      <alignment horizontal="right" vertical="center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176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71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50" fillId="0" borderId="0" xfId="0" applyFont="1" applyAlignment="1">
      <alignment/>
    </xf>
    <xf numFmtId="0" fontId="20" fillId="0" borderId="50" xfId="0" applyFont="1" applyFill="1" applyBorder="1" applyAlignment="1">
      <alignment vertical="center"/>
    </xf>
    <xf numFmtId="10" fontId="14" fillId="44" borderId="13" xfId="55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vertical="center"/>
    </xf>
    <xf numFmtId="170" fontId="14" fillId="0" borderId="51" xfId="0" applyNumberFormat="1" applyFont="1" applyBorder="1" applyAlignment="1">
      <alignment horizontal="right" vertical="center"/>
    </xf>
    <xf numFmtId="43" fontId="50" fillId="0" borderId="0" xfId="49" applyFont="1" applyAlignment="1">
      <alignment/>
    </xf>
    <xf numFmtId="167" fontId="14" fillId="0" borderId="0" xfId="55" applyNumberFormat="1" applyFont="1" applyAlignment="1">
      <alignment/>
    </xf>
    <xf numFmtId="0" fontId="20" fillId="0" borderId="30" xfId="0" applyFont="1" applyFill="1" applyBorder="1" applyAlignment="1">
      <alignment vertical="center"/>
    </xf>
    <xf numFmtId="10" fontId="14" fillId="44" borderId="14" xfId="55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vertical="center"/>
    </xf>
    <xf numFmtId="170" fontId="14" fillId="0" borderId="44" xfId="0" applyNumberFormat="1" applyFont="1" applyBorder="1" applyAlignment="1">
      <alignment horizontal="right" vertical="center"/>
    </xf>
    <xf numFmtId="0" fontId="14" fillId="0" borderId="30" xfId="0" applyFont="1" applyFill="1" applyBorder="1" applyAlignment="1">
      <alignment vertical="center"/>
    </xf>
    <xf numFmtId="170" fontId="14" fillId="0" borderId="14" xfId="0" applyNumberFormat="1" applyFont="1" applyBorder="1" applyAlignment="1">
      <alignment horizontal="right" vertical="center"/>
    </xf>
    <xf numFmtId="43" fontId="50" fillId="0" borderId="0" xfId="0" applyNumberFormat="1" applyFont="1" applyAlignment="1">
      <alignment/>
    </xf>
    <xf numFmtId="0" fontId="14" fillId="0" borderId="30" xfId="0" applyFont="1" applyBorder="1" applyAlignment="1">
      <alignment vertical="center"/>
    </xf>
    <xf numFmtId="9" fontId="14" fillId="33" borderId="14" xfId="55" applyFont="1" applyFill="1" applyBorder="1" applyAlignment="1">
      <alignment horizontal="right" vertical="center"/>
    </xf>
    <xf numFmtId="49" fontId="14" fillId="0" borderId="30" xfId="0" applyNumberFormat="1" applyFont="1" applyFill="1" applyBorder="1" applyAlignment="1">
      <alignment vertical="center"/>
    </xf>
    <xf numFmtId="0" fontId="73" fillId="0" borderId="18" xfId="0" applyFont="1" applyBorder="1" applyAlignment="1">
      <alignment/>
    </xf>
    <xf numFmtId="0" fontId="50" fillId="0" borderId="28" xfId="0" applyFont="1" applyBorder="1" applyAlignment="1">
      <alignment/>
    </xf>
    <xf numFmtId="195" fontId="50" fillId="0" borderId="28" xfId="0" applyNumberFormat="1" applyFont="1" applyBorder="1" applyAlignment="1">
      <alignment/>
    </xf>
    <xf numFmtId="0" fontId="50" fillId="0" borderId="29" xfId="0" applyFont="1" applyBorder="1" applyAlignment="1">
      <alignment/>
    </xf>
    <xf numFmtId="10" fontId="14" fillId="37" borderId="14" xfId="55" applyNumberFormat="1" applyFont="1" applyFill="1" applyBorder="1" applyAlignment="1">
      <alignment horizontal="right" vertical="center"/>
    </xf>
    <xf numFmtId="2" fontId="14" fillId="0" borderId="30" xfId="0" applyNumberFormat="1" applyFont="1" applyFill="1" applyBorder="1" applyAlignment="1">
      <alignment vertical="center"/>
    </xf>
    <xf numFmtId="196" fontId="74" fillId="0" borderId="13" xfId="0" applyNumberFormat="1" applyFont="1" applyBorder="1" applyAlignment="1">
      <alignment/>
    </xf>
    <xf numFmtId="0" fontId="74" fillId="0" borderId="14" xfId="0" applyFont="1" applyBorder="1" applyAlignment="1">
      <alignment/>
    </xf>
    <xf numFmtId="43" fontId="50" fillId="0" borderId="28" xfId="0" applyNumberFormat="1" applyFont="1" applyBorder="1" applyAlignment="1">
      <alignment/>
    </xf>
    <xf numFmtId="206" fontId="14" fillId="0" borderId="14" xfId="0" applyNumberFormat="1" applyFont="1" applyBorder="1" applyAlignment="1">
      <alignment horizontal="right" vertical="center"/>
    </xf>
    <xf numFmtId="196" fontId="74" fillId="0" borderId="14" xfId="0" applyNumberFormat="1" applyFont="1" applyBorder="1" applyAlignment="1">
      <alignment/>
    </xf>
    <xf numFmtId="0" fontId="74" fillId="0" borderId="11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17" xfId="0" applyFont="1" applyBorder="1" applyAlignment="1">
      <alignment/>
    </xf>
    <xf numFmtId="206" fontId="14" fillId="0" borderId="14" xfId="0" applyNumberFormat="1" applyFont="1" applyBorder="1" applyAlignment="1">
      <alignment vertical="center"/>
    </xf>
    <xf numFmtId="196" fontId="73" fillId="0" borderId="18" xfId="0" applyNumberFormat="1" applyFont="1" applyBorder="1" applyAlignment="1">
      <alignment/>
    </xf>
    <xf numFmtId="0" fontId="14" fillId="0" borderId="30" xfId="0" applyFont="1" applyBorder="1" applyAlignment="1">
      <alignment horizontal="right" vertical="center"/>
    </xf>
    <xf numFmtId="176" fontId="20" fillId="36" borderId="14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4" fillId="0" borderId="31" xfId="0" applyFont="1" applyBorder="1" applyAlignment="1">
      <alignment horizontal="right" vertical="center"/>
    </xf>
    <xf numFmtId="176" fontId="20" fillId="36" borderId="47" xfId="0" applyNumberFormat="1" applyFont="1" applyFill="1" applyBorder="1" applyAlignment="1">
      <alignment horizontal="right" vertical="center"/>
    </xf>
    <xf numFmtId="0" fontId="20" fillId="0" borderId="48" xfId="0" applyFont="1" applyBorder="1" applyAlignment="1">
      <alignment vertical="center"/>
    </xf>
    <xf numFmtId="10" fontId="14" fillId="0" borderId="0" xfId="55" applyNumberFormat="1" applyFont="1" applyAlignment="1">
      <alignment vertical="center"/>
    </xf>
    <xf numFmtId="10" fontId="14" fillId="0" borderId="0" xfId="0" applyNumberFormat="1" applyFont="1" applyAlignment="1">
      <alignment/>
    </xf>
    <xf numFmtId="0" fontId="75" fillId="0" borderId="0" xfId="0" applyFont="1" applyAlignment="1">
      <alignment/>
    </xf>
    <xf numFmtId="176" fontId="14" fillId="0" borderId="0" xfId="0" applyNumberFormat="1" applyFont="1" applyAlignment="1">
      <alignment/>
    </xf>
    <xf numFmtId="0" fontId="14" fillId="0" borderId="0" xfId="0" applyFont="1" applyAlignment="1">
      <alignment horizontal="right" vertical="center"/>
    </xf>
    <xf numFmtId="167" fontId="14" fillId="33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2" fillId="0" borderId="0" xfId="0" applyFont="1" applyAlignment="1">
      <alignment horizontal="right"/>
    </xf>
    <xf numFmtId="0" fontId="112" fillId="0" borderId="0" xfId="0" applyFont="1" applyAlignment="1">
      <alignment/>
    </xf>
    <xf numFmtId="43" fontId="22" fillId="0" borderId="0" xfId="49" applyFont="1" applyFill="1" applyBorder="1" applyAlignment="1">
      <alignment horizontal="center" vertical="distributed"/>
    </xf>
    <xf numFmtId="0" fontId="22" fillId="0" borderId="0" xfId="0" applyFont="1" applyFill="1" applyBorder="1" applyAlignment="1">
      <alignment horizontal="center" vertical="distributed"/>
    </xf>
    <xf numFmtId="0" fontId="23" fillId="0" borderId="0" xfId="0" applyFont="1" applyFill="1" applyBorder="1" applyAlignment="1">
      <alignment horizontal="center" vertical="distributed"/>
    </xf>
    <xf numFmtId="10" fontId="0" fillId="0" borderId="0" xfId="55" applyNumberFormat="1" applyFont="1" applyAlignment="1">
      <alignment/>
    </xf>
    <xf numFmtId="43" fontId="22" fillId="0" borderId="0" xfId="49" applyFont="1" applyFill="1" applyBorder="1" applyAlignment="1">
      <alignment/>
    </xf>
    <xf numFmtId="43" fontId="22" fillId="0" borderId="0" xfId="0" applyNumberFormat="1" applyFont="1" applyFill="1" applyBorder="1" applyAlignment="1">
      <alignment/>
    </xf>
    <xf numFmtId="171" fontId="22" fillId="0" borderId="0" xfId="0" applyNumberFormat="1" applyFont="1" applyFill="1" applyBorder="1" applyAlignment="1">
      <alignment/>
    </xf>
    <xf numFmtId="10" fontId="23" fillId="0" borderId="0" xfId="55" applyNumberFormat="1" applyFont="1" applyFill="1" applyBorder="1" applyAlignment="1">
      <alignment/>
    </xf>
    <xf numFmtId="43" fontId="0" fillId="0" borderId="0" xfId="49" applyFont="1" applyAlignment="1">
      <alignment/>
    </xf>
    <xf numFmtId="172" fontId="64" fillId="0" borderId="14" xfId="0" applyNumberFormat="1" applyFont="1" applyFill="1" applyBorder="1" applyAlignment="1">
      <alignment horizontal="center" vertical="center"/>
    </xf>
    <xf numFmtId="0" fontId="5" fillId="44" borderId="0" xfId="0" applyFont="1" applyFill="1" applyBorder="1" applyAlignment="1">
      <alignment vertical="center" wrapText="1"/>
    </xf>
    <xf numFmtId="167" fontId="113" fillId="37" borderId="14" xfId="55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 wrapText="1"/>
    </xf>
    <xf numFmtId="1" fontId="5" fillId="0" borderId="0" xfId="0" applyNumberFormat="1" applyFont="1" applyAlignment="1">
      <alignment horizontal="center"/>
    </xf>
    <xf numFmtId="10" fontId="5" fillId="0" borderId="0" xfId="55" applyNumberFormat="1" applyFont="1" applyFill="1" applyAlignment="1">
      <alignment horizontal="left" vertical="center"/>
    </xf>
    <xf numFmtId="2" fontId="106" fillId="0" borderId="14" xfId="0" applyNumberFormat="1" applyFont="1" applyFill="1" applyBorder="1" applyAlignment="1">
      <alignment horizontal="center" vertical="center"/>
    </xf>
    <xf numFmtId="2" fontId="107" fillId="0" borderId="14" xfId="0" applyNumberFormat="1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>
      <alignment horizontal="center" vertical="center"/>
    </xf>
    <xf numFmtId="167" fontId="45" fillId="0" borderId="14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0" fontId="5" fillId="0" borderId="0" xfId="55" applyNumberFormat="1" applyFont="1" applyFill="1" applyAlignment="1">
      <alignment horizontal="center"/>
    </xf>
    <xf numFmtId="0" fontId="6" fillId="0" borderId="14" xfId="0" applyFont="1" applyFill="1" applyBorder="1" applyAlignment="1">
      <alignment horizontal="right" vertical="center" wrapText="1"/>
    </xf>
    <xf numFmtId="167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44" borderId="0" xfId="0" applyFont="1" applyFill="1" applyAlignment="1">
      <alignment horizontal="right"/>
    </xf>
    <xf numFmtId="167" fontId="6" fillId="44" borderId="0" xfId="55" applyNumberFormat="1" applyFont="1" applyFill="1" applyAlignment="1">
      <alignment horizontal="right" vertical="center"/>
    </xf>
    <xf numFmtId="1" fontId="78" fillId="0" borderId="14" xfId="0" applyNumberFormat="1" applyFont="1" applyFill="1" applyBorder="1" applyAlignment="1">
      <alignment horizontal="right" vertical="center"/>
    </xf>
    <xf numFmtId="1" fontId="114" fillId="0" borderId="14" xfId="0" applyNumberFormat="1" applyFont="1" applyFill="1" applyBorder="1" applyAlignment="1">
      <alignment horizontal="right" vertical="center"/>
    </xf>
    <xf numFmtId="1" fontId="115" fillId="0" borderId="14" xfId="0" applyNumberFormat="1" applyFont="1" applyFill="1" applyBorder="1" applyAlignment="1">
      <alignment horizontal="right" vertical="center"/>
    </xf>
    <xf numFmtId="0" fontId="116" fillId="37" borderId="14" xfId="0" applyFont="1" applyFill="1" applyBorder="1" applyAlignment="1">
      <alignment horizontal="right" vertical="center"/>
    </xf>
    <xf numFmtId="0" fontId="5" fillId="44" borderId="18" xfId="0" applyFont="1" applyFill="1" applyBorder="1" applyAlignment="1">
      <alignment horizontal="left" vertical="center" wrapText="1"/>
    </xf>
    <xf numFmtId="0" fontId="5" fillId="44" borderId="28" xfId="0" applyFont="1" applyFill="1" applyBorder="1" applyAlignment="1">
      <alignment horizontal="left" vertical="center" wrapText="1"/>
    </xf>
    <xf numFmtId="0" fontId="5" fillId="44" borderId="29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distributed"/>
    </xf>
    <xf numFmtId="0" fontId="11" fillId="0" borderId="20" xfId="0" applyFont="1" applyBorder="1" applyAlignment="1">
      <alignment horizontal="center" vertical="distributed"/>
    </xf>
    <xf numFmtId="0" fontId="11" fillId="0" borderId="19" xfId="0" applyFont="1" applyBorder="1" applyAlignment="1">
      <alignment horizontal="center" vertical="distributed"/>
    </xf>
    <xf numFmtId="0" fontId="11" fillId="0" borderId="16" xfId="0" applyFont="1" applyBorder="1" applyAlignment="1">
      <alignment horizontal="left" vertical="distributed"/>
    </xf>
    <xf numFmtId="0" fontId="11" fillId="0" borderId="20" xfId="0" applyFont="1" applyBorder="1" applyAlignment="1">
      <alignment horizontal="left" vertical="distributed"/>
    </xf>
    <xf numFmtId="0" fontId="11" fillId="0" borderId="19" xfId="0" applyFont="1" applyBorder="1" applyAlignment="1">
      <alignment horizontal="left" vertical="distributed"/>
    </xf>
    <xf numFmtId="0" fontId="24" fillId="0" borderId="13" xfId="0" applyFont="1" applyBorder="1" applyAlignment="1">
      <alignment horizontal="left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5" fillId="44" borderId="18" xfId="0" applyFont="1" applyFill="1" applyBorder="1" applyAlignment="1">
      <alignment horizontal="left" vertical="center" wrapText="1"/>
    </xf>
    <xf numFmtId="0" fontId="5" fillId="44" borderId="28" xfId="0" applyFont="1" applyFill="1" applyBorder="1" applyAlignment="1">
      <alignment horizontal="left" vertical="center" wrapText="1"/>
    </xf>
    <xf numFmtId="0" fontId="5" fillId="44" borderId="29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distributed"/>
    </xf>
    <xf numFmtId="0" fontId="5" fillId="0" borderId="29" xfId="0" applyFont="1" applyBorder="1" applyAlignment="1">
      <alignment horizontal="center" vertical="distributed"/>
    </xf>
    <xf numFmtId="0" fontId="11" fillId="0" borderId="1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2" fillId="0" borderId="36" xfId="0" applyFont="1" applyBorder="1" applyAlignment="1">
      <alignment horizontal="left" vertical="distributed"/>
    </xf>
    <xf numFmtId="0" fontId="82" fillId="0" borderId="37" xfId="0" applyFont="1" applyBorder="1" applyAlignment="1">
      <alignment horizontal="left" vertical="distributed"/>
    </xf>
    <xf numFmtId="0" fontId="82" fillId="0" borderId="38" xfId="0" applyFont="1" applyBorder="1" applyAlignment="1">
      <alignment horizontal="left" vertical="distributed"/>
    </xf>
    <xf numFmtId="0" fontId="20" fillId="0" borderId="16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3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4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5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6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7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8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9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0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1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2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3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4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5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6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7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8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9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0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1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2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3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4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5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6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7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8" name="Line 48"/>
        <xdr:cNvSpPr>
          <a:spLocks/>
        </xdr:cNvSpPr>
      </xdr:nvSpPr>
      <xdr:spPr>
        <a:xfrm>
          <a:off x="354330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4" customWidth="1"/>
    <col min="2" max="2" width="30.7109375" style="4" customWidth="1"/>
    <col min="3" max="3" width="18.7109375" style="4" customWidth="1"/>
    <col min="4" max="4" width="17.421875" style="4" customWidth="1"/>
    <col min="5" max="5" width="20.7109375" style="4" customWidth="1"/>
    <col min="6" max="6" width="23.8515625" style="4" customWidth="1"/>
    <col min="7" max="7" width="18.8515625" style="4" customWidth="1"/>
    <col min="8" max="8" width="3.00390625" style="4" customWidth="1"/>
    <col min="9" max="9" width="15.421875" style="4" hidden="1" customWidth="1"/>
    <col min="10" max="10" width="16.57421875" style="16" hidden="1" customWidth="1"/>
    <col min="11" max="11" width="2.7109375" style="16" hidden="1" customWidth="1"/>
    <col min="12" max="12" width="15.421875" style="4" customWidth="1"/>
    <col min="13" max="13" width="17.57421875" style="4" customWidth="1"/>
    <col min="14" max="14" width="13.8515625" style="4" bestFit="1" customWidth="1"/>
    <col min="15" max="15" width="13.28125" style="4" customWidth="1"/>
    <col min="16" max="17" width="11.421875" style="16" customWidth="1"/>
    <col min="18" max="16384" width="11.421875" style="4" customWidth="1"/>
  </cols>
  <sheetData>
    <row r="1" ht="9" customHeight="1" thickBot="1"/>
    <row r="2" spans="1:18" s="11" customFormat="1" ht="20.25" customHeight="1" thickBot="1">
      <c r="A2" s="549" t="s">
        <v>79</v>
      </c>
      <c r="B2" s="550"/>
      <c r="C2" s="550"/>
      <c r="D2" s="550"/>
      <c r="E2" s="550"/>
      <c r="F2" s="550"/>
      <c r="G2" s="551"/>
      <c r="H2" s="34"/>
      <c r="K2" s="8"/>
      <c r="L2" s="8"/>
      <c r="M2" s="8"/>
      <c r="N2" s="8"/>
      <c r="O2" s="8"/>
      <c r="P2" s="8"/>
      <c r="Q2" s="8"/>
      <c r="R2" s="8"/>
    </row>
    <row r="3" spans="1:12" s="16" customFormat="1" ht="31.5" customHeight="1">
      <c r="A3" s="552" t="s">
        <v>83</v>
      </c>
      <c r="B3" s="552"/>
      <c r="C3" s="552"/>
      <c r="D3" s="552"/>
      <c r="E3" s="552"/>
      <c r="F3" s="552"/>
      <c r="G3" s="552"/>
      <c r="H3" s="42"/>
      <c r="I3" s="42"/>
      <c r="L3" s="85"/>
    </row>
    <row r="4" spans="1:12" s="16" customFormat="1" ht="16.5" customHeight="1" thickBot="1">
      <c r="A4" s="92"/>
      <c r="B4" s="4"/>
      <c r="C4" s="4"/>
      <c r="D4" s="4"/>
      <c r="E4" s="4"/>
      <c r="F4" s="4"/>
      <c r="G4" s="4"/>
      <c r="H4" s="42"/>
      <c r="I4" s="42"/>
      <c r="J4" s="110"/>
      <c r="K4" s="254"/>
      <c r="L4" s="524"/>
    </row>
    <row r="5" spans="1:24" ht="19.5" customHeight="1" thickBot="1">
      <c r="A5" s="111"/>
      <c r="B5" s="126" t="s">
        <v>76</v>
      </c>
      <c r="C5" s="121">
        <v>0.04142887338829</v>
      </c>
      <c r="D5" s="122" t="s">
        <v>80</v>
      </c>
      <c r="E5" s="123" t="s">
        <v>78</v>
      </c>
      <c r="F5" s="124">
        <f>1-C5</f>
        <v>0.95857112661171</v>
      </c>
      <c r="G5" s="113"/>
      <c r="H5" s="248"/>
      <c r="I5" s="198"/>
      <c r="J5" s="110"/>
      <c r="K5" s="8"/>
      <c r="L5" s="524"/>
      <c r="M5" s="16"/>
      <c r="N5" s="16"/>
      <c r="O5" s="47"/>
      <c r="P5" s="47"/>
      <c r="Q5" s="47"/>
      <c r="R5" s="16"/>
      <c r="S5" s="16"/>
      <c r="T5" s="16"/>
      <c r="U5" s="16"/>
      <c r="V5" s="16"/>
      <c r="W5" s="16"/>
      <c r="X5" s="16"/>
    </row>
    <row r="6" spans="1:26" ht="13.5" thickBot="1">
      <c r="A6" s="246"/>
      <c r="B6" s="368"/>
      <c r="C6" s="113"/>
      <c r="G6" s="113"/>
      <c r="H6" s="199"/>
      <c r="I6" s="197"/>
      <c r="J6" s="111"/>
      <c r="L6" s="31"/>
      <c r="M6" s="16"/>
      <c r="N6" s="16"/>
      <c r="U6" s="49"/>
      <c r="V6" s="49"/>
      <c r="W6" s="49"/>
      <c r="X6" s="49"/>
      <c r="Y6" s="49"/>
      <c r="Z6" s="49"/>
    </row>
    <row r="7" spans="1:34" ht="21" customHeight="1" thickBot="1">
      <c r="A7" s="246"/>
      <c r="B7" s="423"/>
      <c r="C7" s="247"/>
      <c r="D7" s="546" t="s">
        <v>53</v>
      </c>
      <c r="E7" s="547"/>
      <c r="F7" s="548"/>
      <c r="G7" s="113"/>
      <c r="H7" s="196"/>
      <c r="I7" s="197"/>
      <c r="J7" s="110"/>
      <c r="K7" s="111"/>
      <c r="N7" s="55"/>
      <c r="O7" s="47"/>
      <c r="P7" s="47"/>
      <c r="Q7" s="47"/>
      <c r="R7" s="11"/>
      <c r="S7" s="11"/>
      <c r="T7" s="93"/>
      <c r="U7" s="5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9.5" customHeight="1" thickBot="1">
      <c r="A8" s="246"/>
      <c r="B8" s="423"/>
      <c r="C8" s="247"/>
      <c r="D8" s="87" t="s">
        <v>77</v>
      </c>
      <c r="E8" s="88" t="s">
        <v>84</v>
      </c>
      <c r="F8" s="87" t="s">
        <v>85</v>
      </c>
      <c r="G8" s="178"/>
      <c r="H8" s="180"/>
      <c r="I8" s="179"/>
      <c r="K8" s="11"/>
      <c r="L8" s="8"/>
      <c r="M8" s="46"/>
      <c r="N8" s="45"/>
      <c r="O8" s="47"/>
      <c r="P8" s="47"/>
      <c r="Q8" s="47"/>
      <c r="R8" s="11"/>
      <c r="S8" s="94"/>
      <c r="T8" s="11"/>
      <c r="U8" s="8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9.5" customHeight="1" thickBot="1">
      <c r="A9" s="183"/>
      <c r="B9" s="423"/>
      <c r="C9" s="113"/>
      <c r="D9" s="104">
        <v>0.85</v>
      </c>
      <c r="E9" s="105">
        <v>0.73</v>
      </c>
      <c r="F9" s="105">
        <v>0.98</v>
      </c>
      <c r="G9" s="186"/>
      <c r="H9" s="181"/>
      <c r="I9" s="182"/>
      <c r="J9" s="111"/>
      <c r="K9" s="11"/>
      <c r="L9" s="11"/>
      <c r="M9" s="11"/>
      <c r="N9" s="11"/>
      <c r="O9" s="11"/>
      <c r="P9" s="11"/>
      <c r="Q9" s="11"/>
      <c r="R9" s="11"/>
      <c r="S9" s="95"/>
      <c r="T9" s="5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6.5" customHeight="1" hidden="1">
      <c r="A10" s="246"/>
      <c r="B10" s="97"/>
      <c r="C10" s="335" t="s">
        <v>81</v>
      </c>
      <c r="D10" s="336">
        <f>F5^D9</f>
        <v>0.9646742628091155</v>
      </c>
      <c r="E10" s="336">
        <f>F5^E9</f>
        <v>0.9695847377602471</v>
      </c>
      <c r="F10" s="336">
        <f>F5^F9</f>
        <v>0.9593826418229187</v>
      </c>
      <c r="H10" s="50"/>
      <c r="I10" s="11"/>
      <c r="K10" s="11"/>
      <c r="L10" s="8"/>
      <c r="M10" s="46"/>
      <c r="N10" s="45"/>
      <c r="O10" s="47"/>
      <c r="P10" s="47"/>
      <c r="Q10" s="11"/>
      <c r="R10" s="11"/>
      <c r="S10" s="96"/>
      <c r="T10" s="11"/>
      <c r="U10" s="8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2.75" customHeight="1" hidden="1">
      <c r="A11" s="246"/>
      <c r="B11" s="97"/>
      <c r="C11" s="98" t="s">
        <v>54</v>
      </c>
      <c r="D11" s="12">
        <f>1-D10</f>
        <v>0.0353257371908845</v>
      </c>
      <c r="E11" s="12">
        <f>1-E10</f>
        <v>0.030415262239752883</v>
      </c>
      <c r="F11" s="12">
        <f>1-F10</f>
        <v>0.04061735817708134</v>
      </c>
      <c r="H11" s="50"/>
      <c r="I11" s="11"/>
      <c r="J11" s="34"/>
      <c r="K11" s="11"/>
      <c r="L11" s="11"/>
      <c r="M11" s="11"/>
      <c r="N11" s="11"/>
      <c r="O11" s="11"/>
      <c r="P11" s="11"/>
      <c r="Q11" s="47"/>
      <c r="R11" s="11"/>
      <c r="S11" s="94"/>
      <c r="T11" s="44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2.75" customHeight="1" hidden="1">
      <c r="A12" s="246"/>
      <c r="B12" s="106"/>
      <c r="C12" s="48"/>
      <c r="D12" s="106"/>
      <c r="E12" s="106"/>
      <c r="F12" s="106"/>
      <c r="H12" s="91"/>
      <c r="I12" s="11"/>
      <c r="J12" s="99"/>
      <c r="K12" s="44"/>
      <c r="L12" s="89"/>
      <c r="M12" s="11"/>
      <c r="N12" s="11"/>
      <c r="O12" s="11"/>
      <c r="P12" s="11"/>
      <c r="Q12" s="11"/>
      <c r="R12" s="11"/>
      <c r="S12" s="100"/>
      <c r="T12" s="101"/>
      <c r="U12" s="89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5" customHeight="1" hidden="1">
      <c r="A13" s="246"/>
      <c r="B13" s="337"/>
      <c r="C13" s="338" t="s">
        <v>82</v>
      </c>
      <c r="D13" s="267" t="s">
        <v>22</v>
      </c>
      <c r="E13" s="339">
        <f>D10-F5</f>
        <v>0.006103136197405545</v>
      </c>
      <c r="F13" s="339">
        <f>F10-F5</f>
        <v>0.0008115152112087021</v>
      </c>
      <c r="G13" s="339">
        <f>E10-F5</f>
        <v>0.011013611148537161</v>
      </c>
      <c r="H13" s="50"/>
      <c r="I13" s="11"/>
      <c r="J13" s="100"/>
      <c r="K13" s="101"/>
      <c r="L13" s="11"/>
      <c r="M13" s="10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24" ht="13.5" customHeight="1" hidden="1">
      <c r="A14" s="246"/>
      <c r="B14" s="337"/>
      <c r="C14" s="340" t="s">
        <v>45</v>
      </c>
      <c r="D14" s="267" t="s">
        <v>23</v>
      </c>
      <c r="E14" s="341">
        <f>1/E13</f>
        <v>163.8501858151391</v>
      </c>
      <c r="F14" s="341">
        <f>1/G13</f>
        <v>90.79674109729405</v>
      </c>
      <c r="G14" s="341">
        <f>1/F13</f>
        <v>1232.2627921053524</v>
      </c>
      <c r="J14" s="4"/>
      <c r="K14" s="4"/>
      <c r="P14" s="4"/>
      <c r="Q14" s="4"/>
      <c r="R14" s="16"/>
      <c r="S14" s="16"/>
      <c r="T14" s="16"/>
      <c r="U14" s="16"/>
      <c r="V14" s="16"/>
      <c r="W14" s="16"/>
      <c r="X14" s="16"/>
    </row>
    <row r="15" spans="1:17" ht="12.75" customHeight="1" hidden="1">
      <c r="A15" s="246"/>
      <c r="B15" s="342"/>
      <c r="C15" s="342"/>
      <c r="D15" s="342"/>
      <c r="E15" s="342"/>
      <c r="F15" s="342"/>
      <c r="G15" s="16"/>
      <c r="J15" s="4"/>
      <c r="K15" s="4"/>
      <c r="P15" s="4"/>
      <c r="Q15" s="4"/>
    </row>
    <row r="16" spans="1:17" ht="15.75" customHeight="1" hidden="1">
      <c r="A16" s="246"/>
      <c r="B16" s="343"/>
      <c r="C16" s="344" t="s">
        <v>63</v>
      </c>
      <c r="D16" s="345" t="s">
        <v>64</v>
      </c>
      <c r="E16" s="103">
        <f>E14</f>
        <v>163.8501858151391</v>
      </c>
      <c r="F16" s="103">
        <f>F14</f>
        <v>90.79674109729405</v>
      </c>
      <c r="G16" s="103">
        <f>G14</f>
        <v>1232.2627921053524</v>
      </c>
      <c r="J16" s="4"/>
      <c r="K16" s="4"/>
      <c r="P16" s="4"/>
      <c r="Q16" s="4"/>
    </row>
    <row r="17" spans="1:9" s="11" customFormat="1" ht="12.75" customHeight="1" hidden="1">
      <c r="A17" s="246"/>
      <c r="B17" s="346"/>
      <c r="C17" s="346"/>
      <c r="D17" s="347" t="s">
        <v>41</v>
      </c>
      <c r="E17" s="341">
        <f>(1-C5)*E14</f>
        <v>157.0620572123559</v>
      </c>
      <c r="F17" s="341">
        <f>(1-C5)*F14</f>
        <v>87.0351344063049</v>
      </c>
      <c r="G17" s="341">
        <f>(1-C5)*G14</f>
        <v>1181.211532910119</v>
      </c>
      <c r="I17" s="57"/>
    </row>
    <row r="18" spans="1:7" s="11" customFormat="1" ht="12.75" customHeight="1" hidden="1">
      <c r="A18" s="246"/>
      <c r="B18" s="348"/>
      <c r="C18" s="348"/>
      <c r="D18" s="344" t="s">
        <v>60</v>
      </c>
      <c r="E18" s="341">
        <f>E14*E13</f>
        <v>1</v>
      </c>
      <c r="F18" s="341">
        <f>F14*G13</f>
        <v>1</v>
      </c>
      <c r="G18" s="341">
        <f>G14*F13</f>
        <v>1</v>
      </c>
    </row>
    <row r="19" spans="1:7" s="11" customFormat="1" ht="12.75" customHeight="1" hidden="1">
      <c r="A19" s="246"/>
      <c r="B19" s="348"/>
      <c r="C19" s="348"/>
      <c r="D19" s="344" t="s">
        <v>42</v>
      </c>
      <c r="E19" s="341">
        <f>(C5-E13)*E14</f>
        <v>5.788128602783188</v>
      </c>
      <c r="F19" s="341">
        <f>(C5-G13)*F14</f>
        <v>2.7616066909891424</v>
      </c>
      <c r="G19" s="341">
        <f>(C5-F13)*G14</f>
        <v>50.05125919523337</v>
      </c>
    </row>
    <row r="20" spans="1:12" s="11" customFormat="1" ht="12.75" customHeight="1" hidden="1">
      <c r="A20" s="246"/>
      <c r="B20" s="107"/>
      <c r="C20" s="107"/>
      <c r="D20" s="107"/>
      <c r="E20" s="349"/>
      <c r="F20" s="349"/>
      <c r="G20" s="349"/>
      <c r="J20" s="265"/>
      <c r="K20" s="62"/>
      <c r="L20" s="64"/>
    </row>
    <row r="21" spans="1:12" s="11" customFormat="1" ht="15.75" customHeight="1" hidden="1">
      <c r="A21" s="246"/>
      <c r="B21" s="343"/>
      <c r="C21" s="344" t="s">
        <v>65</v>
      </c>
      <c r="D21" s="345" t="s">
        <v>66</v>
      </c>
      <c r="E21" s="103">
        <f>E14</f>
        <v>163.8501858151391</v>
      </c>
      <c r="F21" s="103">
        <f>F14</f>
        <v>90.79674109729405</v>
      </c>
      <c r="G21" s="103">
        <f>G14</f>
        <v>1232.2627921053524</v>
      </c>
      <c r="I21" s="265"/>
      <c r="J21" s="265"/>
      <c r="K21" s="63"/>
      <c r="L21" s="64"/>
    </row>
    <row r="22" spans="1:12" s="11" customFormat="1" ht="12.75" customHeight="1" hidden="1">
      <c r="A22" s="246"/>
      <c r="B22" s="350"/>
      <c r="C22" s="350"/>
      <c r="D22" s="166" t="s">
        <v>41</v>
      </c>
      <c r="E22" s="341">
        <f>ABS((1-(C5-E13))*E14)</f>
        <v>158.0620572123559</v>
      </c>
      <c r="F22" s="341">
        <f>ABS((1-(C5-G13))*F14)</f>
        <v>88.0351344063049</v>
      </c>
      <c r="G22" s="341">
        <f>ABS((1-(C5-F13))*G14)</f>
        <v>1182.211532910119</v>
      </c>
      <c r="I22" s="265"/>
      <c r="J22" s="265"/>
      <c r="K22" s="62"/>
      <c r="L22" s="64"/>
    </row>
    <row r="23" spans="1:17" ht="12.75" customHeight="1" hidden="1">
      <c r="A23" s="246"/>
      <c r="B23" s="86"/>
      <c r="C23" s="86"/>
      <c r="D23" s="33" t="s">
        <v>61</v>
      </c>
      <c r="E23" s="351">
        <f>E14*E13</f>
        <v>1</v>
      </c>
      <c r="F23" s="341">
        <f>F14*G13</f>
        <v>1</v>
      </c>
      <c r="G23" s="341">
        <f>G14*F13</f>
        <v>1</v>
      </c>
      <c r="J23" s="4"/>
      <c r="K23" s="4"/>
      <c r="P23" s="4"/>
      <c r="Q23" s="4"/>
    </row>
    <row r="24" spans="1:17" ht="12.75" customHeight="1" hidden="1">
      <c r="A24" s="246"/>
      <c r="B24" s="346"/>
      <c r="C24" s="352"/>
      <c r="D24" s="347" t="s">
        <v>62</v>
      </c>
      <c r="E24" s="341">
        <f>ABS(C5*E14)</f>
        <v>6.788128602783188</v>
      </c>
      <c r="F24" s="341">
        <f>ABS(C5*F14)</f>
        <v>3.7616066909891424</v>
      </c>
      <c r="G24" s="341">
        <f>ABS(C5*G14)</f>
        <v>51.05125919523337</v>
      </c>
      <c r="I24" s="17"/>
      <c r="J24" s="17"/>
      <c r="K24" s="17"/>
      <c r="P24" s="4"/>
      <c r="Q24" s="4"/>
    </row>
    <row r="25" spans="1:11" s="11" customFormat="1" ht="12.75" customHeight="1" hidden="1">
      <c r="A25" s="246"/>
      <c r="B25" s="86"/>
      <c r="C25" s="108"/>
      <c r="D25" s="69"/>
      <c r="E25" s="70"/>
      <c r="F25" s="70"/>
      <c r="G25" s="70"/>
      <c r="I25" s="17"/>
      <c r="J25" s="17"/>
      <c r="K25" s="90"/>
    </row>
    <row r="26" spans="1:17" ht="12.75" customHeight="1" hidden="1">
      <c r="A26" s="246"/>
      <c r="B26" s="331" t="s">
        <v>48</v>
      </c>
      <c r="C26" s="353"/>
      <c r="D26" s="353"/>
      <c r="E26" s="354">
        <f>ROUND(D9,2)</f>
        <v>0.85</v>
      </c>
      <c r="F26" s="355">
        <f>ROUND(E13,4)</f>
        <v>0.0061</v>
      </c>
      <c r="G26" s="356">
        <f>ROUND(E14,0)</f>
        <v>164</v>
      </c>
      <c r="I26" s="17"/>
      <c r="J26" s="17"/>
      <c r="K26" s="4"/>
      <c r="P26" s="4"/>
      <c r="Q26" s="4"/>
    </row>
    <row r="27" spans="1:17" ht="12.75" customHeight="1" hidden="1">
      <c r="A27" s="246"/>
      <c r="B27" s="332" t="s">
        <v>50</v>
      </c>
      <c r="C27" s="357">
        <f>ROUND(D11,4)</f>
        <v>0.0353</v>
      </c>
      <c r="D27" s="357">
        <f>ROUND(C5,4)</f>
        <v>0.0414</v>
      </c>
      <c r="E27" s="358">
        <f>ROUND(E9,2)</f>
        <v>0.73</v>
      </c>
      <c r="F27" s="35">
        <f>ROUND(F13,4)</f>
        <v>0.0008</v>
      </c>
      <c r="G27" s="359">
        <f>ROUND(F14,0)</f>
        <v>91</v>
      </c>
      <c r="I27" s="17"/>
      <c r="J27" s="17"/>
      <c r="P27" s="4"/>
      <c r="Q27" s="4"/>
    </row>
    <row r="28" spans="1:17" ht="12.75" customHeight="1" hidden="1">
      <c r="A28" s="246"/>
      <c r="B28" s="332" t="s">
        <v>49</v>
      </c>
      <c r="C28" s="86"/>
      <c r="D28" s="86"/>
      <c r="E28" s="358">
        <f>ROUND(F9,2)</f>
        <v>0.98</v>
      </c>
      <c r="F28" s="35">
        <f>ROUND(G13,4)</f>
        <v>0.011</v>
      </c>
      <c r="G28" s="359">
        <f>ROUND(G14,0)</f>
        <v>1232</v>
      </c>
      <c r="I28" s="17"/>
      <c r="J28" s="17"/>
      <c r="P28" s="4"/>
      <c r="Q28" s="4"/>
    </row>
    <row r="29" spans="1:17" ht="12.75" customHeight="1" hidden="1">
      <c r="A29" s="246"/>
      <c r="B29" s="332" t="s">
        <v>51</v>
      </c>
      <c r="C29" s="267" t="s">
        <v>74</v>
      </c>
      <c r="D29" s="267" t="s">
        <v>75</v>
      </c>
      <c r="E29" s="267" t="s">
        <v>53</v>
      </c>
      <c r="F29" s="267" t="s">
        <v>52</v>
      </c>
      <c r="G29" s="267" t="s">
        <v>47</v>
      </c>
      <c r="I29" s="17"/>
      <c r="J29" s="17"/>
      <c r="K29" s="4"/>
      <c r="P29" s="4"/>
      <c r="Q29" s="4"/>
    </row>
    <row r="30" spans="1:17" ht="12.75" customHeight="1" hidden="1">
      <c r="A30" s="246"/>
      <c r="B30" s="333" t="s">
        <v>18</v>
      </c>
      <c r="C30" s="267" t="str">
        <f>CONCATENATE(C27*100,B29)</f>
        <v>3,53%</v>
      </c>
      <c r="D30" s="267" t="str">
        <f>CONCATENATE(D27*100,B29)</f>
        <v>4,14%</v>
      </c>
      <c r="E30" s="267" t="str">
        <f>CONCATENATE(E26," ",B26,E27,B27,E28,B28)</f>
        <v>0,85 (0,73-0,98)</v>
      </c>
      <c r="F30" s="267" t="str">
        <f>CONCATENATE(F26*100,B29," ",B26,F27*100,B29," ",B30," ",F28*100,B29,B28)</f>
        <v>0,61% (0,08% a 1,1%)</v>
      </c>
      <c r="G30" s="267" t="str">
        <f>CONCATENATE(G26," ",B26,G27," ",B30," ",G28,B28)</f>
        <v>164 (91 a 1232)</v>
      </c>
      <c r="I30" s="17"/>
      <c r="J30" s="17"/>
      <c r="K30" s="4"/>
      <c r="P30" s="4"/>
      <c r="Q30" s="4"/>
    </row>
    <row r="31" spans="1:10" s="16" customFormat="1" ht="12.75" customHeight="1" hidden="1">
      <c r="A31" s="246"/>
      <c r="B31" s="86"/>
      <c r="C31" s="8"/>
      <c r="D31" s="86"/>
      <c r="E31" s="86"/>
      <c r="F31" s="86"/>
      <c r="G31" s="11"/>
      <c r="I31" s="17"/>
      <c r="J31" s="17"/>
    </row>
    <row r="32" spans="1:17" ht="12.75">
      <c r="A32" s="246"/>
      <c r="B32" s="106"/>
      <c r="C32" s="106"/>
      <c r="D32" s="109"/>
      <c r="E32" s="106"/>
      <c r="F32" s="106"/>
      <c r="I32" s="17"/>
      <c r="J32" s="17"/>
      <c r="K32" s="4"/>
      <c r="P32" s="4"/>
      <c r="Q32" s="4"/>
    </row>
    <row r="33" spans="1:13" ht="18.75" customHeight="1">
      <c r="A33" s="246"/>
      <c r="C33" s="125" t="s">
        <v>74</v>
      </c>
      <c r="D33" s="125" t="s">
        <v>75</v>
      </c>
      <c r="E33" s="125" t="s">
        <v>53</v>
      </c>
      <c r="F33" s="125" t="s">
        <v>46</v>
      </c>
      <c r="G33" s="125" t="s">
        <v>47</v>
      </c>
      <c r="I33" s="329" t="s">
        <v>137</v>
      </c>
      <c r="J33" s="329" t="s">
        <v>136</v>
      </c>
      <c r="L33" s="31"/>
      <c r="M33" s="112"/>
    </row>
    <row r="34" spans="1:13" ht="18.75" customHeight="1">
      <c r="A34" s="246"/>
      <c r="C34" s="83" t="str">
        <f>C30</f>
        <v>3,53%</v>
      </c>
      <c r="D34" s="83" t="str">
        <f>D30</f>
        <v>4,14%</v>
      </c>
      <c r="E34" s="83" t="str">
        <f>E30</f>
        <v>0,85 (0,73-0,98)</v>
      </c>
      <c r="F34" s="83" t="str">
        <f>F30</f>
        <v>0,61% (0,08% a 1,1%)</v>
      </c>
      <c r="G34" s="83" t="str">
        <f>G30</f>
        <v>164 (91 a 1232)</v>
      </c>
      <c r="I34" s="334">
        <f>IF((F27*F28&lt;0),(C27+D27)/2,C27)</f>
        <v>0.0353</v>
      </c>
      <c r="J34" s="334">
        <f>IF((F27*F28&lt;0),(C27+D27)/2,D27)</f>
        <v>0.0414</v>
      </c>
      <c r="L34" s="31"/>
      <c r="M34" s="112"/>
    </row>
    <row r="35" spans="1:13" ht="12.75">
      <c r="A35" s="111"/>
      <c r="B35" s="249"/>
      <c r="C35" s="523"/>
      <c r="D35" s="523"/>
      <c r="E35" s="523"/>
      <c r="F35" s="74"/>
      <c r="G35" s="113"/>
      <c r="H35" s="74"/>
      <c r="L35" s="31"/>
      <c r="M35" s="112"/>
    </row>
    <row r="36" spans="1:17" s="381" customFormat="1" ht="14.25" customHeight="1">
      <c r="A36" s="111"/>
      <c r="B36" s="416" t="s">
        <v>327</v>
      </c>
      <c r="C36" s="417"/>
      <c r="D36" s="417"/>
      <c r="E36" s="417"/>
      <c r="F36" s="417"/>
      <c r="G36" s="417"/>
      <c r="H36" s="113"/>
      <c r="J36" s="254"/>
      <c r="K36" s="254"/>
      <c r="P36" s="254"/>
      <c r="Q36" s="254"/>
    </row>
    <row r="37" spans="1:17" s="381" customFormat="1" ht="14.25" customHeight="1">
      <c r="A37" s="111"/>
      <c r="B37" s="418" t="s">
        <v>154</v>
      </c>
      <c r="C37" s="417"/>
      <c r="D37" s="417"/>
      <c r="E37" s="417"/>
      <c r="F37" s="417"/>
      <c r="G37" s="417"/>
      <c r="H37" s="113"/>
      <c r="J37" s="254"/>
      <c r="K37" s="254"/>
      <c r="P37" s="254"/>
      <c r="Q37" s="254"/>
    </row>
    <row r="38" spans="1:13" ht="10.5" customHeight="1" thickBot="1">
      <c r="A38" s="111"/>
      <c r="B38" s="365"/>
      <c r="C38" s="253"/>
      <c r="D38" s="253"/>
      <c r="E38" s="253"/>
      <c r="F38" s="253"/>
      <c r="G38" s="253"/>
      <c r="H38" s="430"/>
      <c r="M38" s="361"/>
    </row>
    <row r="39" spans="1:13" ht="36.75" customHeight="1" thickBot="1">
      <c r="A39" s="111"/>
      <c r="B39" s="557" t="s">
        <v>287</v>
      </c>
      <c r="C39" s="558"/>
      <c r="D39" s="558"/>
      <c r="E39" s="558"/>
      <c r="F39" s="558"/>
      <c r="G39" s="559"/>
      <c r="H39" s="430"/>
      <c r="I39" s="16"/>
      <c r="J39" s="4"/>
      <c r="K39" s="361"/>
      <c r="L39" s="553" t="s">
        <v>146</v>
      </c>
      <c r="M39" s="554"/>
    </row>
    <row r="40" spans="1:13" ht="32.25" customHeight="1" thickBot="1">
      <c r="A40" s="111"/>
      <c r="B40" s="555" t="s">
        <v>328</v>
      </c>
      <c r="C40" s="426" t="s">
        <v>149</v>
      </c>
      <c r="D40" s="420" t="s">
        <v>150</v>
      </c>
      <c r="E40" s="560" t="s">
        <v>140</v>
      </c>
      <c r="F40" s="561"/>
      <c r="G40" s="562"/>
      <c r="H40" s="430"/>
      <c r="I40" s="16"/>
      <c r="J40" s="4"/>
      <c r="K40" s="361"/>
      <c r="L40" s="544" t="s">
        <v>157</v>
      </c>
      <c r="M40" s="545"/>
    </row>
    <row r="41" spans="1:17" ht="26.25" thickBot="1">
      <c r="A41" s="106"/>
      <c r="B41" s="556"/>
      <c r="C41" s="409" t="s">
        <v>152</v>
      </c>
      <c r="D41" s="410" t="s">
        <v>153</v>
      </c>
      <c r="E41" s="382" t="s">
        <v>53</v>
      </c>
      <c r="F41" s="383" t="s">
        <v>155</v>
      </c>
      <c r="G41" s="384" t="s">
        <v>156</v>
      </c>
      <c r="H41" s="430"/>
      <c r="I41" s="329" t="s">
        <v>137</v>
      </c>
      <c r="J41" s="329" t="s">
        <v>136</v>
      </c>
      <c r="K41" s="361"/>
      <c r="L41" s="366" t="s">
        <v>158</v>
      </c>
      <c r="M41" s="367" t="s">
        <v>138</v>
      </c>
      <c r="P41" s="4"/>
      <c r="Q41" s="4"/>
    </row>
    <row r="42" spans="1:17" ht="23.25" customHeight="1">
      <c r="A42" s="106"/>
      <c r="B42" s="389" t="s">
        <v>142</v>
      </c>
      <c r="C42" s="174"/>
      <c r="D42" s="174"/>
      <c r="E42" s="174"/>
      <c r="F42" s="174"/>
      <c r="G42" s="360"/>
      <c r="H42" s="430"/>
      <c r="I42" s="361"/>
      <c r="J42" s="361"/>
      <c r="K42" s="361"/>
      <c r="P42" s="4"/>
      <c r="Q42" s="4"/>
    </row>
    <row r="43" spans="1:17" ht="27" customHeight="1">
      <c r="A43" s="106"/>
      <c r="B43" s="385" t="s">
        <v>173</v>
      </c>
      <c r="C43" s="527">
        <v>0.0353</v>
      </c>
      <c r="D43" s="527">
        <v>0.0414</v>
      </c>
      <c r="E43" s="370" t="s">
        <v>159</v>
      </c>
      <c r="F43" s="370" t="s">
        <v>324</v>
      </c>
      <c r="G43" s="372" t="s">
        <v>325</v>
      </c>
      <c r="H43" s="361"/>
      <c r="I43" s="415">
        <v>0.0356</v>
      </c>
      <c r="J43" s="415">
        <v>0.0417</v>
      </c>
      <c r="K43" s="361"/>
      <c r="L43" s="424">
        <v>3.5</v>
      </c>
      <c r="M43" s="425">
        <v>4.1</v>
      </c>
      <c r="P43" s="4"/>
      <c r="Q43" s="4"/>
    </row>
    <row r="44" spans="1:17" ht="18.75" customHeight="1" hidden="1">
      <c r="A44" s="106"/>
      <c r="B44" s="532" t="s">
        <v>316</v>
      </c>
      <c r="C44" s="533">
        <v>0.027</v>
      </c>
      <c r="D44" s="533">
        <v>0.028</v>
      </c>
      <c r="E44" s="534" t="s">
        <v>318</v>
      </c>
      <c r="F44" s="534" t="s">
        <v>319</v>
      </c>
      <c r="G44" s="534" t="s">
        <v>320</v>
      </c>
      <c r="H44" s="535"/>
      <c r="I44" s="536">
        <v>0.0274</v>
      </c>
      <c r="J44" s="536">
        <v>0.0274</v>
      </c>
      <c r="K44" s="361"/>
      <c r="L44" s="537">
        <f>I44*100</f>
        <v>2.74</v>
      </c>
      <c r="M44" s="537">
        <f>J44*100</f>
        <v>2.74</v>
      </c>
      <c r="P44" s="4"/>
      <c r="Q44" s="4"/>
    </row>
    <row r="45" spans="1:17" ht="18.75" customHeight="1" hidden="1">
      <c r="A45" s="106"/>
      <c r="B45" s="532" t="s">
        <v>317</v>
      </c>
      <c r="C45" s="533">
        <v>0.06</v>
      </c>
      <c r="D45" s="533">
        <v>0.077</v>
      </c>
      <c r="E45" s="534" t="s">
        <v>321</v>
      </c>
      <c r="F45" s="534" t="s">
        <v>322</v>
      </c>
      <c r="G45" s="540" t="s">
        <v>323</v>
      </c>
      <c r="H45" s="535"/>
      <c r="I45" s="536">
        <v>0.0598</v>
      </c>
      <c r="J45" s="536">
        <v>0.077</v>
      </c>
      <c r="K45" s="361"/>
      <c r="L45" s="538">
        <f>I45*100</f>
        <v>5.9799999999999995</v>
      </c>
      <c r="M45" s="539">
        <f>J45*100</f>
        <v>7.7</v>
      </c>
      <c r="P45" s="4"/>
      <c r="Q45" s="4"/>
    </row>
    <row r="46" spans="1:17" ht="27" customHeight="1">
      <c r="A46" s="106"/>
      <c r="B46" s="385" t="s">
        <v>172</v>
      </c>
      <c r="C46" s="527">
        <v>0.0252</v>
      </c>
      <c r="D46" s="527">
        <v>0.0286</v>
      </c>
      <c r="E46" s="370" t="s">
        <v>160</v>
      </c>
      <c r="F46" s="370" t="s">
        <v>161</v>
      </c>
      <c r="G46" s="371" t="s">
        <v>162</v>
      </c>
      <c r="H46" s="361"/>
      <c r="I46" s="415">
        <v>0.0269</v>
      </c>
      <c r="J46" s="415">
        <v>0.0269</v>
      </c>
      <c r="K46" s="361"/>
      <c r="L46" s="377">
        <f aca="true" t="shared" si="0" ref="L46:M49">I46*100</f>
        <v>2.69</v>
      </c>
      <c r="M46" s="377">
        <f t="shared" si="0"/>
        <v>2.69</v>
      </c>
      <c r="P46" s="4"/>
      <c r="Q46" s="4"/>
    </row>
    <row r="47" spans="1:17" ht="27" customHeight="1">
      <c r="A47" s="106"/>
      <c r="B47" s="385" t="s">
        <v>303</v>
      </c>
      <c r="C47" s="527">
        <v>0.0216</v>
      </c>
      <c r="D47" s="527">
        <v>0.0235</v>
      </c>
      <c r="E47" s="370" t="s">
        <v>296</v>
      </c>
      <c r="F47" s="370" t="s">
        <v>297</v>
      </c>
      <c r="G47" s="371" t="s">
        <v>298</v>
      </c>
      <c r="H47" s="361"/>
      <c r="I47" s="415">
        <v>0.02255</v>
      </c>
      <c r="J47" s="415">
        <v>0.02255</v>
      </c>
      <c r="K47" s="361"/>
      <c r="L47" s="377">
        <f>I47*100</f>
        <v>2.255</v>
      </c>
      <c r="M47" s="377">
        <f>J47*100</f>
        <v>2.255</v>
      </c>
      <c r="P47" s="4"/>
      <c r="Q47" s="4"/>
    </row>
    <row r="48" spans="1:17" ht="27" customHeight="1">
      <c r="A48" s="106"/>
      <c r="B48" s="385" t="s">
        <v>139</v>
      </c>
      <c r="C48" s="527">
        <v>0.066</v>
      </c>
      <c r="D48" s="527">
        <v>0.0763</v>
      </c>
      <c r="E48" s="370" t="s">
        <v>167</v>
      </c>
      <c r="F48" s="370" t="s">
        <v>290</v>
      </c>
      <c r="G48" s="372" t="s">
        <v>291</v>
      </c>
      <c r="H48" s="361"/>
      <c r="I48" s="415">
        <v>0.066</v>
      </c>
      <c r="J48" s="415">
        <v>0.0763</v>
      </c>
      <c r="K48" s="361"/>
      <c r="L48" s="378">
        <f t="shared" si="0"/>
        <v>6.6000000000000005</v>
      </c>
      <c r="M48" s="379">
        <f t="shared" si="0"/>
        <v>7.630000000000001</v>
      </c>
      <c r="P48" s="4"/>
      <c r="Q48" s="4"/>
    </row>
    <row r="49" spans="1:17" ht="27" customHeight="1">
      <c r="A49" s="106"/>
      <c r="B49" s="385" t="s">
        <v>304</v>
      </c>
      <c r="C49" s="527">
        <v>0.0138</v>
      </c>
      <c r="D49" s="527">
        <v>0.0161</v>
      </c>
      <c r="E49" s="370" t="s">
        <v>167</v>
      </c>
      <c r="F49" s="370" t="s">
        <v>308</v>
      </c>
      <c r="G49" s="372" t="s">
        <v>309</v>
      </c>
      <c r="H49" s="361"/>
      <c r="I49" s="415">
        <v>0.0138</v>
      </c>
      <c r="J49" s="415">
        <v>0.0161</v>
      </c>
      <c r="K49" s="361"/>
      <c r="L49" s="424">
        <f t="shared" si="0"/>
        <v>1.38</v>
      </c>
      <c r="M49" s="425">
        <f t="shared" si="0"/>
        <v>1.6099999999999999</v>
      </c>
      <c r="P49" s="4"/>
      <c r="Q49" s="4"/>
    </row>
    <row r="50" spans="1:17" ht="27" customHeight="1">
      <c r="A50" s="106"/>
      <c r="B50" s="385" t="s">
        <v>168</v>
      </c>
      <c r="C50" s="527">
        <v>0.0055</v>
      </c>
      <c r="D50" s="527">
        <v>0.0063</v>
      </c>
      <c r="E50" s="370" t="s">
        <v>167</v>
      </c>
      <c r="F50" s="370" t="s">
        <v>310</v>
      </c>
      <c r="G50" s="372" t="s">
        <v>311</v>
      </c>
      <c r="H50" s="361"/>
      <c r="I50" s="415">
        <v>0.0055</v>
      </c>
      <c r="J50" s="415">
        <v>0.0063</v>
      </c>
      <c r="K50" s="361"/>
      <c r="L50" s="525">
        <f aca="true" t="shared" si="1" ref="L50:M52">I50*100</f>
        <v>0.5499999999999999</v>
      </c>
      <c r="M50" s="526">
        <f t="shared" si="1"/>
        <v>0.63</v>
      </c>
      <c r="P50" s="4"/>
      <c r="Q50" s="4"/>
    </row>
    <row r="51" spans="1:17" ht="27" customHeight="1">
      <c r="A51" s="106"/>
      <c r="B51" s="385" t="s">
        <v>292</v>
      </c>
      <c r="C51" s="527">
        <v>0.0185</v>
      </c>
      <c r="D51" s="527">
        <v>0.0189</v>
      </c>
      <c r="E51" s="370" t="s">
        <v>293</v>
      </c>
      <c r="F51" s="370" t="s">
        <v>294</v>
      </c>
      <c r="G51" s="371" t="s">
        <v>295</v>
      </c>
      <c r="H51" s="361"/>
      <c r="I51" s="415">
        <v>0.0187</v>
      </c>
      <c r="J51" s="415">
        <v>0.0187</v>
      </c>
      <c r="K51" s="361"/>
      <c r="L51" s="377">
        <f t="shared" si="1"/>
        <v>1.87</v>
      </c>
      <c r="M51" s="377">
        <f t="shared" si="1"/>
        <v>1.87</v>
      </c>
      <c r="P51" s="4"/>
      <c r="Q51" s="4"/>
    </row>
    <row r="52" spans="1:17" ht="27" customHeight="1">
      <c r="A52" s="106"/>
      <c r="B52" s="385" t="s">
        <v>289</v>
      </c>
      <c r="C52" s="527">
        <v>0.0841</v>
      </c>
      <c r="D52" s="527">
        <v>0.095</v>
      </c>
      <c r="E52" s="370" t="s">
        <v>164</v>
      </c>
      <c r="F52" s="370" t="s">
        <v>165</v>
      </c>
      <c r="G52" s="372" t="s">
        <v>166</v>
      </c>
      <c r="H52" s="361"/>
      <c r="I52" s="415">
        <v>0.0841</v>
      </c>
      <c r="J52" s="415">
        <v>0.0949</v>
      </c>
      <c r="K52" s="361"/>
      <c r="L52" s="378">
        <f t="shared" si="1"/>
        <v>8.41</v>
      </c>
      <c r="M52" s="379">
        <f t="shared" si="1"/>
        <v>9.49</v>
      </c>
      <c r="P52" s="4"/>
      <c r="Q52" s="4"/>
    </row>
    <row r="53" spans="1:26" ht="5.25" customHeight="1">
      <c r="A53" s="106"/>
      <c r="B53" s="386"/>
      <c r="C53" s="376"/>
      <c r="D53" s="376"/>
      <c r="E53" s="376"/>
      <c r="F53" s="376"/>
      <c r="G53" s="376"/>
      <c r="H53" s="376"/>
      <c r="I53" s="429"/>
      <c r="J53" s="429"/>
      <c r="K53" s="361"/>
      <c r="L53" s="380"/>
      <c r="M53" s="380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</row>
    <row r="54" spans="1:17" ht="27" customHeight="1">
      <c r="A54" s="381"/>
      <c r="B54" s="387" t="s">
        <v>147</v>
      </c>
      <c r="C54" s="528">
        <v>0.1032</v>
      </c>
      <c r="D54" s="528">
        <v>0.119</v>
      </c>
      <c r="E54" s="373" t="s">
        <v>169</v>
      </c>
      <c r="F54" s="373" t="s">
        <v>170</v>
      </c>
      <c r="G54" s="374" t="s">
        <v>171</v>
      </c>
      <c r="H54" s="375"/>
      <c r="I54" s="415">
        <v>0.1032</v>
      </c>
      <c r="J54" s="415">
        <v>0.119</v>
      </c>
      <c r="K54" s="361"/>
      <c r="L54" s="427">
        <f>I54*100</f>
        <v>10.32</v>
      </c>
      <c r="M54" s="428">
        <f>J54*100</f>
        <v>11.899999999999999</v>
      </c>
      <c r="P54" s="4"/>
      <c r="Q54" s="4"/>
    </row>
    <row r="55" spans="1:17" ht="45.75" customHeight="1">
      <c r="A55" s="381"/>
      <c r="B55" s="522" t="s">
        <v>312</v>
      </c>
      <c r="C55" s="528">
        <v>0.0953</v>
      </c>
      <c r="D55" s="528">
        <v>0.1112</v>
      </c>
      <c r="E55" s="373" t="s">
        <v>305</v>
      </c>
      <c r="F55" s="373" t="s">
        <v>306</v>
      </c>
      <c r="G55" s="374" t="s">
        <v>307</v>
      </c>
      <c r="H55" s="375"/>
      <c r="I55" s="415">
        <v>0.0953</v>
      </c>
      <c r="J55" s="415">
        <v>0.1112</v>
      </c>
      <c r="K55" s="361"/>
      <c r="L55" s="427">
        <f>I55*100</f>
        <v>9.53</v>
      </c>
      <c r="M55" s="428">
        <f>J55*100</f>
        <v>11.12</v>
      </c>
      <c r="P55" s="4"/>
      <c r="Q55" s="4"/>
    </row>
    <row r="56" spans="1:13" ht="7.5" customHeight="1">
      <c r="A56" s="106"/>
      <c r="B56" s="364"/>
      <c r="C56" s="364"/>
      <c r="D56" s="364"/>
      <c r="E56" s="364"/>
      <c r="F56" s="364"/>
      <c r="G56" s="364"/>
      <c r="H56" s="375"/>
      <c r="I56" s="415"/>
      <c r="J56" s="361"/>
      <c r="K56" s="361"/>
      <c r="L56" s="361"/>
      <c r="M56" s="361"/>
    </row>
    <row r="57" spans="2:13" ht="54.75" customHeight="1">
      <c r="B57" s="541" t="s">
        <v>299</v>
      </c>
      <c r="C57" s="542"/>
      <c r="D57" s="542"/>
      <c r="E57" s="542"/>
      <c r="F57" s="542"/>
      <c r="G57" s="543"/>
      <c r="H57" s="375"/>
      <c r="I57" s="520"/>
      <c r="J57" s="407"/>
      <c r="K57" s="361"/>
      <c r="L57" s="361"/>
      <c r="M57" s="361"/>
    </row>
    <row r="58" ht="12.75">
      <c r="H58" s="375"/>
    </row>
    <row r="59" ht="12.75">
      <c r="H59" s="375"/>
    </row>
  </sheetData>
  <sheetProtection/>
  <mergeCells count="9">
    <mergeCell ref="B57:G57"/>
    <mergeCell ref="L40:M40"/>
    <mergeCell ref="D7:F7"/>
    <mergeCell ref="A2:G2"/>
    <mergeCell ref="A3:G3"/>
    <mergeCell ref="L39:M39"/>
    <mergeCell ref="B40:B41"/>
    <mergeCell ref="B39:G39"/>
    <mergeCell ref="E40:G40"/>
  </mergeCells>
  <printOptions/>
  <pageMargins left="0.47" right="0.75" top="0.53" bottom="1" header="0" footer="0"/>
  <pageSetup horizontalDpi="600" verticalDpi="600" orientation="landscape" paperSize="9" r:id="rId2"/>
  <ignoredErrors>
    <ignoredError sqref="C53:D5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140625" style="4" customWidth="1"/>
    <col min="2" max="2" width="20.7109375" style="4" customWidth="1"/>
    <col min="3" max="3" width="20.57421875" style="4" customWidth="1"/>
    <col min="4" max="4" width="17.140625" style="4" customWidth="1"/>
    <col min="5" max="5" width="21.421875" style="4" customWidth="1"/>
    <col min="6" max="6" width="17.140625" style="4" customWidth="1"/>
    <col min="7" max="7" width="14.140625" style="4" bestFit="1" customWidth="1"/>
    <col min="8" max="8" width="4.57421875" style="4" customWidth="1"/>
    <col min="9" max="9" width="14.421875" style="4" hidden="1" customWidth="1"/>
    <col min="10" max="10" width="5.140625" style="4" hidden="1" customWidth="1"/>
    <col min="11" max="11" width="14.421875" style="4" hidden="1" customWidth="1"/>
    <col min="12" max="12" width="13.421875" style="4" hidden="1" customWidth="1"/>
    <col min="13" max="13" width="4.28125" style="4" hidden="1" customWidth="1"/>
    <col min="14" max="14" width="14.28125" style="16" bestFit="1" customWidth="1"/>
    <col min="15" max="15" width="14.28125" style="16" customWidth="1"/>
    <col min="16" max="16" width="14.00390625" style="4" bestFit="1" customWidth="1"/>
    <col min="17" max="17" width="11.57421875" style="4" bestFit="1" customWidth="1"/>
    <col min="18" max="18" width="13.8515625" style="4" bestFit="1" customWidth="1"/>
    <col min="19" max="19" width="11.421875" style="4" customWidth="1"/>
    <col min="20" max="21" width="11.421875" style="16" customWidth="1"/>
    <col min="22" max="16384" width="11.421875" style="4" customWidth="1"/>
  </cols>
  <sheetData>
    <row r="1" spans="1:28" s="11" customFormat="1" ht="8.25" customHeight="1" thickBot="1">
      <c r="A1" s="1"/>
      <c r="B1" s="2"/>
      <c r="C1" s="1"/>
      <c r="D1" s="3"/>
      <c r="E1" s="4"/>
      <c r="F1" s="4"/>
      <c r="G1" s="5"/>
      <c r="H1" s="5"/>
      <c r="I1" s="5"/>
      <c r="J1" s="5"/>
      <c r="K1" s="6"/>
      <c r="L1" s="7"/>
      <c r="M1" s="7"/>
      <c r="N1" s="8"/>
      <c r="O1" s="8"/>
      <c r="P1" s="9"/>
      <c r="Q1" s="8"/>
      <c r="R1" s="8"/>
      <c r="S1" s="8"/>
      <c r="T1" s="10"/>
      <c r="U1" s="10"/>
      <c r="V1" s="10"/>
      <c r="W1" s="10"/>
      <c r="X1" s="10"/>
      <c r="Y1" s="10"/>
      <c r="Z1" s="10"/>
      <c r="AA1" s="10"/>
      <c r="AB1" s="10"/>
    </row>
    <row r="2" spans="1:29" ht="24.75" customHeight="1" thickBot="1">
      <c r="A2" s="568" t="s">
        <v>90</v>
      </c>
      <c r="B2" s="569"/>
      <c r="C2" s="569"/>
      <c r="D2" s="569"/>
      <c r="E2" s="570"/>
      <c r="F2" s="258"/>
      <c r="G2" s="250" t="s">
        <v>114</v>
      </c>
      <c r="H2" s="259">
        <v>0.95</v>
      </c>
      <c r="I2" s="258"/>
      <c r="J2" s="12"/>
      <c r="K2" s="6"/>
      <c r="L2" s="13"/>
      <c r="M2" s="13"/>
      <c r="N2" s="14"/>
      <c r="O2" s="14"/>
      <c r="P2" s="15"/>
      <c r="Q2" s="14"/>
      <c r="R2" s="14"/>
      <c r="S2" s="14"/>
      <c r="T2" s="14"/>
      <c r="U2" s="14"/>
      <c r="V2" s="14"/>
      <c r="W2" s="16"/>
      <c r="X2" s="16"/>
      <c r="Y2" s="16"/>
      <c r="Z2" s="16"/>
      <c r="AA2" s="16"/>
      <c r="AB2" s="16"/>
      <c r="AC2" s="16"/>
    </row>
    <row r="3" spans="1:29" ht="24.75" customHeight="1">
      <c r="A3" s="571" t="s">
        <v>115</v>
      </c>
      <c r="B3" s="572"/>
      <c r="C3" s="572"/>
      <c r="D3" s="572"/>
      <c r="E3" s="573"/>
      <c r="F3" s="260"/>
      <c r="G3" s="260"/>
      <c r="H3" s="260"/>
      <c r="I3" s="260"/>
      <c r="J3" s="12"/>
      <c r="K3" s="6"/>
      <c r="L3" s="13"/>
      <c r="M3" s="13"/>
      <c r="N3" s="14"/>
      <c r="O3" s="14"/>
      <c r="P3" s="15"/>
      <c r="Q3" s="14"/>
      <c r="R3" s="14"/>
      <c r="S3" s="14"/>
      <c r="T3" s="14"/>
      <c r="U3" s="14"/>
      <c r="V3" s="14"/>
      <c r="W3" s="16"/>
      <c r="X3" s="16"/>
      <c r="Y3" s="16"/>
      <c r="Z3" s="16"/>
      <c r="AA3" s="16"/>
      <c r="AB3" s="16"/>
      <c r="AC3" s="16"/>
    </row>
    <row r="4" spans="1:29" ht="12.75" customHeight="1">
      <c r="A4" s="392"/>
      <c r="B4" s="114"/>
      <c r="C4" s="7"/>
      <c r="D4" s="7"/>
      <c r="E4" s="17"/>
      <c r="F4" s="18"/>
      <c r="I4" s="260"/>
      <c r="J4" s="19"/>
      <c r="K4" s="20"/>
      <c r="N4" s="14"/>
      <c r="O4" s="14"/>
      <c r="P4" s="21"/>
      <c r="Q4" s="14"/>
      <c r="R4" s="14"/>
      <c r="S4" s="18"/>
      <c r="U4" s="22"/>
      <c r="V4" s="22"/>
      <c r="W4" s="16"/>
      <c r="X4" s="22"/>
      <c r="Y4" s="23"/>
      <c r="Z4" s="16"/>
      <c r="AA4" s="16"/>
      <c r="AB4" s="16"/>
      <c r="AC4" s="16"/>
    </row>
    <row r="5" spans="1:29" ht="12.75">
      <c r="A5" s="392"/>
      <c r="B5" s="116"/>
      <c r="C5" s="119" t="s">
        <v>19</v>
      </c>
      <c r="D5" s="119" t="s">
        <v>20</v>
      </c>
      <c r="E5" s="117"/>
      <c r="H5" s="200"/>
      <c r="I5" s="260"/>
      <c r="J5" s="200"/>
      <c r="K5" s="178"/>
      <c r="L5" s="178"/>
      <c r="M5" s="178"/>
      <c r="N5" s="14" t="s">
        <v>315</v>
      </c>
      <c r="O5" s="14"/>
      <c r="P5" s="14"/>
      <c r="Q5" s="14"/>
      <c r="R5" s="14"/>
      <c r="S5" s="18"/>
      <c r="U5" s="22"/>
      <c r="V5" s="22"/>
      <c r="W5" s="16"/>
      <c r="X5" s="22"/>
      <c r="Y5" s="23"/>
      <c r="Z5" s="16"/>
      <c r="AA5" s="16"/>
      <c r="AB5" s="16"/>
      <c r="AC5" s="16"/>
    </row>
    <row r="6" spans="1:29" ht="12.75">
      <c r="A6" s="393"/>
      <c r="B6" s="118"/>
      <c r="C6" s="127" t="s">
        <v>3</v>
      </c>
      <c r="D6" s="127" t="s">
        <v>2</v>
      </c>
      <c r="E6" s="128" t="s">
        <v>21</v>
      </c>
      <c r="F6" s="4" t="s">
        <v>313</v>
      </c>
      <c r="G6" s="530" t="s">
        <v>314</v>
      </c>
      <c r="H6" s="200"/>
      <c r="I6" s="260"/>
      <c r="J6" s="200"/>
      <c r="K6" s="362"/>
      <c r="L6" s="362"/>
      <c r="M6" s="178"/>
      <c r="N6" s="14"/>
      <c r="O6" s="14"/>
      <c r="P6" s="14"/>
      <c r="Q6" s="14"/>
      <c r="R6" s="14"/>
      <c r="S6" s="18"/>
      <c r="U6" s="22"/>
      <c r="V6" s="22"/>
      <c r="W6" s="16"/>
      <c r="X6" s="22"/>
      <c r="Y6" s="16"/>
      <c r="Z6" s="16"/>
      <c r="AA6" s="16"/>
      <c r="AB6" s="16"/>
      <c r="AC6" s="16"/>
    </row>
    <row r="7" spans="1:29" ht="12.75" customHeight="1">
      <c r="A7" s="111"/>
      <c r="B7" s="120" t="s">
        <v>91</v>
      </c>
      <c r="C7" s="132">
        <v>1343</v>
      </c>
      <c r="D7" s="133">
        <f>E7-C7</f>
        <v>8119</v>
      </c>
      <c r="E7" s="134">
        <v>9462</v>
      </c>
      <c r="F7" s="200">
        <v>6957</v>
      </c>
      <c r="G7" s="4">
        <v>2505</v>
      </c>
      <c r="H7" s="529"/>
      <c r="I7" s="260"/>
      <c r="J7" s="200"/>
      <c r="K7" s="363"/>
      <c r="L7" s="363"/>
      <c r="M7" s="178"/>
      <c r="N7" s="14">
        <v>162</v>
      </c>
      <c r="O7" s="531">
        <f>N7/F7</f>
        <v>0.02328589909443726</v>
      </c>
      <c r="P7" s="14"/>
      <c r="Q7" s="14"/>
      <c r="R7" s="14"/>
      <c r="S7" s="18"/>
      <c r="U7" s="22"/>
      <c r="V7" s="22"/>
      <c r="W7" s="16"/>
      <c r="X7" s="22"/>
      <c r="Y7" s="16"/>
      <c r="Z7" s="16"/>
      <c r="AA7" s="16"/>
      <c r="AB7" s="16"/>
      <c r="AC7" s="16"/>
    </row>
    <row r="8" spans="1:29" ht="12.75" customHeight="1">
      <c r="A8" s="111"/>
      <c r="B8" s="120" t="s">
        <v>92</v>
      </c>
      <c r="C8" s="132">
        <v>1496</v>
      </c>
      <c r="D8" s="133">
        <f>E8-C8</f>
        <v>7966</v>
      </c>
      <c r="E8" s="134">
        <v>9462</v>
      </c>
      <c r="F8" s="200">
        <v>6883</v>
      </c>
      <c r="G8" s="4">
        <v>2579</v>
      </c>
      <c r="H8" s="529"/>
      <c r="I8" s="260"/>
      <c r="J8" s="200"/>
      <c r="K8" s="178"/>
      <c r="L8" s="179"/>
      <c r="M8" s="178"/>
      <c r="N8" s="14">
        <v>168</v>
      </c>
      <c r="O8" s="531">
        <f>N8/F8</f>
        <v>0.0244079616446317</v>
      </c>
      <c r="P8" s="14"/>
      <c r="Q8" s="14"/>
      <c r="R8" s="14"/>
      <c r="S8" s="18"/>
      <c r="U8" s="22"/>
      <c r="V8" s="22"/>
      <c r="W8" s="16"/>
      <c r="X8" s="22"/>
      <c r="Y8" s="16"/>
      <c r="Z8" s="16"/>
      <c r="AA8" s="16"/>
      <c r="AB8" s="16"/>
      <c r="AC8" s="16"/>
    </row>
    <row r="9" spans="2:29" ht="12.75">
      <c r="B9" s="115" t="s">
        <v>21</v>
      </c>
      <c r="C9" s="129">
        <f>SUM(C7:C8)</f>
        <v>2839</v>
      </c>
      <c r="D9" s="130">
        <f>SUM(D7:D8)</f>
        <v>16085</v>
      </c>
      <c r="E9" s="131">
        <f>SUM(E7:E8)</f>
        <v>18924</v>
      </c>
      <c r="F9" s="200"/>
      <c r="H9" s="529"/>
      <c r="I9" s="260"/>
      <c r="J9" s="200"/>
      <c r="K9" s="178"/>
      <c r="L9" s="179"/>
      <c r="M9" s="178"/>
      <c r="O9" s="27"/>
      <c r="P9" s="28"/>
      <c r="Q9" s="28"/>
      <c r="R9" s="28"/>
      <c r="S9" s="22"/>
      <c r="U9" s="22"/>
      <c r="V9" s="22"/>
      <c r="W9" s="16"/>
      <c r="X9" s="22"/>
      <c r="Y9" s="16"/>
      <c r="Z9" s="16"/>
      <c r="AA9" s="16"/>
      <c r="AB9" s="16"/>
      <c r="AC9" s="16"/>
    </row>
    <row r="10" spans="1:29" ht="12.75" customHeight="1" hidden="1">
      <c r="A10" s="185" t="s">
        <v>116</v>
      </c>
      <c r="B10" s="29"/>
      <c r="C10" s="30"/>
      <c r="D10" s="26"/>
      <c r="E10" s="26"/>
      <c r="F10" s="178"/>
      <c r="G10" s="178"/>
      <c r="H10" s="200"/>
      <c r="I10" s="200"/>
      <c r="J10" s="200"/>
      <c r="K10" s="178"/>
      <c r="L10" s="179"/>
      <c r="M10" s="178"/>
      <c r="O10" s="27"/>
      <c r="P10" s="28"/>
      <c r="Q10" s="28"/>
      <c r="R10" s="28"/>
      <c r="S10" s="22"/>
      <c r="U10" s="22"/>
      <c r="V10" s="22"/>
      <c r="W10" s="16"/>
      <c r="X10" s="22"/>
      <c r="Y10" s="16"/>
      <c r="Z10" s="16"/>
      <c r="AA10" s="16"/>
      <c r="AB10" s="16"/>
      <c r="AC10" s="16"/>
    </row>
    <row r="11" spans="1:22" s="11" customFormat="1" ht="14.25" customHeight="1" hidden="1">
      <c r="A11" s="111" t="s">
        <v>93</v>
      </c>
      <c r="B11" s="32"/>
      <c r="C11" s="33"/>
      <c r="D11" s="8"/>
      <c r="E11" s="25"/>
      <c r="F11" s="201"/>
      <c r="G11" s="179"/>
      <c r="H11" s="201"/>
      <c r="I11" s="179"/>
      <c r="J11" s="182"/>
      <c r="K11" s="182"/>
      <c r="L11" s="201"/>
      <c r="M11" s="182"/>
      <c r="O11" s="8"/>
      <c r="P11" s="35"/>
      <c r="Q11" s="35"/>
      <c r="R11" s="35"/>
      <c r="S11" s="8"/>
      <c r="T11" s="8"/>
      <c r="U11" s="8"/>
      <c r="V11" s="8"/>
    </row>
    <row r="12" spans="1:22" s="11" customFormat="1" ht="12.75" customHeight="1" hidden="1">
      <c r="A12" s="138" t="s">
        <v>24</v>
      </c>
      <c r="B12" s="32"/>
      <c r="C12" s="33"/>
      <c r="D12" s="8"/>
      <c r="E12" s="25"/>
      <c r="F12" s="201"/>
      <c r="G12" s="179"/>
      <c r="H12" s="201"/>
      <c r="I12" s="179"/>
      <c r="J12" s="202"/>
      <c r="K12" s="182"/>
      <c r="L12" s="182"/>
      <c r="M12" s="182"/>
      <c r="O12" s="8"/>
      <c r="P12" s="9"/>
      <c r="Q12" s="9"/>
      <c r="R12" s="9"/>
      <c r="S12" s="8"/>
      <c r="T12" s="8"/>
      <c r="U12" s="8"/>
      <c r="V12" s="8"/>
    </row>
    <row r="13" spans="1:22" s="11" customFormat="1" ht="45" customHeight="1" hidden="1">
      <c r="A13" s="135">
        <f>LN((C7/E7)/(C8/E8))</f>
        <v>-0.107888962011185</v>
      </c>
      <c r="B13" s="138" t="s">
        <v>94</v>
      </c>
      <c r="C13" s="138" t="s">
        <v>110</v>
      </c>
      <c r="D13" s="138" t="s">
        <v>95</v>
      </c>
      <c r="E13" s="138" t="s">
        <v>96</v>
      </c>
      <c r="F13" s="138" t="s">
        <v>4</v>
      </c>
      <c r="G13" s="138" t="s">
        <v>111</v>
      </c>
      <c r="H13" s="138" t="s">
        <v>112</v>
      </c>
      <c r="I13" s="179"/>
      <c r="J13" s="203" t="s">
        <v>44</v>
      </c>
      <c r="K13" s="204" t="s">
        <v>0</v>
      </c>
      <c r="L13" s="204" t="s">
        <v>1</v>
      </c>
      <c r="M13" s="182"/>
      <c r="O13" s="8"/>
      <c r="P13" s="8"/>
      <c r="Q13" s="8"/>
      <c r="R13" s="8"/>
      <c r="S13" s="8"/>
      <c r="T13" s="8"/>
      <c r="U13" s="8"/>
      <c r="V13" s="8"/>
    </row>
    <row r="14" spans="1:22" s="11" customFormat="1" ht="12.75" customHeight="1" hidden="1">
      <c r="A14" s="186"/>
      <c r="B14" s="135">
        <f>SQRT((D7/(C7*E7)+(D8/(C8*E8))))</f>
        <v>0.03466524243364075</v>
      </c>
      <c r="C14" s="261">
        <f>-NORMSINV((1-H2)/2)</f>
        <v>1.9599639845400536</v>
      </c>
      <c r="D14" s="136">
        <f>A13-(C14*B14)</f>
        <v>-0.17583158869647048</v>
      </c>
      <c r="E14" s="137">
        <f>A13+(C14*B14)</f>
        <v>-0.03994633532589954</v>
      </c>
      <c r="F14" s="206">
        <f>(C7/E7)/(C8/E8)</f>
        <v>0.8977272727272727</v>
      </c>
      <c r="G14" s="206">
        <f>EXP(D14)</f>
        <v>0.8387592279780743</v>
      </c>
      <c r="H14" s="206">
        <f>EXP(E14)</f>
        <v>0.9608410009879667</v>
      </c>
      <c r="I14" s="179"/>
      <c r="J14" s="205">
        <f>1-F14</f>
        <v>0.10227272727272729</v>
      </c>
      <c r="K14" s="206">
        <f>1-G14</f>
        <v>0.16124077202192566</v>
      </c>
      <c r="L14" s="206">
        <f>1-H14</f>
        <v>0.039158999012033346</v>
      </c>
      <c r="M14" s="207"/>
      <c r="O14" s="8"/>
      <c r="P14" s="8"/>
      <c r="Q14" s="8"/>
      <c r="R14" s="8"/>
      <c r="S14" s="8"/>
      <c r="T14" s="8"/>
      <c r="U14" s="8"/>
      <c r="V14" s="8"/>
    </row>
    <row r="15" spans="1:22" s="11" customFormat="1" ht="12.75" customHeight="1" hidden="1">
      <c r="A15" s="110"/>
      <c r="B15" s="32"/>
      <c r="C15" s="32"/>
      <c r="D15" s="32"/>
      <c r="E15" s="36"/>
      <c r="F15" s="234"/>
      <c r="G15" s="179"/>
      <c r="H15" s="201"/>
      <c r="I15" s="179"/>
      <c r="J15" s="201"/>
      <c r="K15" s="201"/>
      <c r="L15" s="201"/>
      <c r="M15" s="182"/>
      <c r="O15" s="8"/>
      <c r="P15" s="8"/>
      <c r="Q15" s="8"/>
      <c r="R15" s="8"/>
      <c r="S15" s="8"/>
      <c r="T15" s="8"/>
      <c r="U15" s="8"/>
      <c r="V15" s="8"/>
    </row>
    <row r="16" spans="1:13" s="16" customFormat="1" ht="12.75" customHeight="1" hidden="1">
      <c r="A16" s="44" t="s">
        <v>123</v>
      </c>
      <c r="B16" s="37"/>
      <c r="C16" s="38"/>
      <c r="D16" s="39"/>
      <c r="E16" s="40"/>
      <c r="F16" s="235"/>
      <c r="G16" s="236"/>
      <c r="H16" s="208"/>
      <c r="I16" s="208"/>
      <c r="J16" s="209"/>
      <c r="K16" s="209"/>
      <c r="L16" s="210"/>
      <c r="M16" s="210"/>
    </row>
    <row r="17" spans="1:28" ht="15.75" customHeight="1" hidden="1">
      <c r="A17" s="51" t="s">
        <v>124</v>
      </c>
      <c r="B17" s="8"/>
      <c r="C17" s="264"/>
      <c r="D17" s="264"/>
      <c r="E17" s="7"/>
      <c r="F17" s="7"/>
      <c r="G17" s="268"/>
      <c r="H17" s="45"/>
      <c r="I17" s="269"/>
      <c r="J17" s="269"/>
      <c r="K17" s="11"/>
      <c r="L17" s="182"/>
      <c r="M17" s="179"/>
      <c r="N17" s="45"/>
      <c r="O17" s="8"/>
      <c r="P17" s="8"/>
      <c r="Q17" s="46"/>
      <c r="R17" s="45"/>
      <c r="S17" s="47"/>
      <c r="T17" s="47"/>
      <c r="U17" s="47"/>
      <c r="V17" s="16"/>
      <c r="W17" s="16"/>
      <c r="X17" s="16"/>
      <c r="Y17" s="16"/>
      <c r="Z17" s="16"/>
      <c r="AA17" s="16"/>
      <c r="AB17" s="16"/>
    </row>
    <row r="18" spans="1:27" ht="12.75" customHeight="1" hidden="1">
      <c r="A18" s="270" t="s">
        <v>125</v>
      </c>
      <c r="B18" s="8"/>
      <c r="C18" s="45"/>
      <c r="D18" s="45"/>
      <c r="E18" s="8"/>
      <c r="F18" s="8"/>
      <c r="G18" s="46"/>
      <c r="H18" s="45"/>
      <c r="I18" s="47"/>
      <c r="J18" s="47"/>
      <c r="K18" s="47"/>
      <c r="L18" s="182"/>
      <c r="M18" s="179"/>
      <c r="N18" s="8"/>
      <c r="O18" s="8"/>
      <c r="P18" s="46"/>
      <c r="Q18" s="45"/>
      <c r="R18" s="47"/>
      <c r="S18" s="47"/>
      <c r="T18" s="47"/>
      <c r="V18" s="16" t="s">
        <v>26</v>
      </c>
      <c r="W18" s="16"/>
      <c r="X18" s="16"/>
      <c r="Y18" s="16"/>
      <c r="Z18" s="16"/>
      <c r="AA18" s="16"/>
    </row>
    <row r="19" spans="1:29" ht="25.5" customHeight="1" hidden="1">
      <c r="A19" s="138" t="s">
        <v>127</v>
      </c>
      <c r="B19" s="4" t="s">
        <v>8</v>
      </c>
      <c r="C19" s="11"/>
      <c r="D19" s="4" t="s">
        <v>126</v>
      </c>
      <c r="F19" s="4" t="s">
        <v>6</v>
      </c>
      <c r="H19" s="4" t="s">
        <v>7</v>
      </c>
      <c r="I19" s="47"/>
      <c r="J19" s="47"/>
      <c r="K19" s="47"/>
      <c r="L19" s="182"/>
      <c r="M19" s="209"/>
      <c r="O19" s="4"/>
      <c r="S19" s="16"/>
      <c r="U19" s="4"/>
      <c r="V19" s="4" t="s">
        <v>27</v>
      </c>
      <c r="X19" s="16"/>
      <c r="Y19" s="16"/>
      <c r="Z19" s="16"/>
      <c r="AA19" s="16"/>
      <c r="AB19" s="16"/>
      <c r="AC19" s="16"/>
    </row>
    <row r="20" spans="1:29" ht="38.25" customHeight="1" hidden="1">
      <c r="A20" s="271">
        <f>C7</f>
        <v>1343</v>
      </c>
      <c r="B20" s="138" t="s">
        <v>25</v>
      </c>
      <c r="C20" s="223" t="s">
        <v>9</v>
      </c>
      <c r="D20" s="223" t="s">
        <v>8</v>
      </c>
      <c r="E20" s="223" t="s">
        <v>128</v>
      </c>
      <c r="F20" s="223" t="s">
        <v>6</v>
      </c>
      <c r="G20" s="223" t="s">
        <v>7</v>
      </c>
      <c r="H20" s="237" t="s">
        <v>129</v>
      </c>
      <c r="I20" s="223" t="s">
        <v>130</v>
      </c>
      <c r="J20" s="223" t="s">
        <v>0</v>
      </c>
      <c r="K20" s="223" t="s">
        <v>1</v>
      </c>
      <c r="L20" s="238"/>
      <c r="M20" s="211"/>
      <c r="N20" s="157" t="s">
        <v>12</v>
      </c>
      <c r="O20" s="158" t="s">
        <v>87</v>
      </c>
      <c r="P20" s="143"/>
      <c r="Q20" s="144"/>
      <c r="R20" s="169"/>
      <c r="S20" s="169"/>
      <c r="T20" s="170"/>
      <c r="V20" s="156"/>
      <c r="W20" s="157" t="s">
        <v>86</v>
      </c>
      <c r="X20" s="158" t="s">
        <v>117</v>
      </c>
      <c r="Y20" s="139"/>
      <c r="Z20" s="139"/>
      <c r="AA20" s="139" t="s">
        <v>106</v>
      </c>
      <c r="AB20" s="139"/>
      <c r="AC20" s="140"/>
    </row>
    <row r="21" spans="1:29" ht="12.75" customHeight="1" hidden="1">
      <c r="A21" s="271">
        <f>C8</f>
        <v>1496</v>
      </c>
      <c r="B21" s="272">
        <f>E7</f>
        <v>9462</v>
      </c>
      <c r="C21" s="273">
        <f>A20/B21</f>
        <v>0.14193616571549356</v>
      </c>
      <c r="D21" s="274">
        <f>2*A20+H21^2</f>
        <v>2689.8414588206942</v>
      </c>
      <c r="E21" s="274">
        <f>H21*SQRT((H21^2)+(4*A20*(1-C21)))</f>
        <v>133.1241297125339</v>
      </c>
      <c r="F21" s="275">
        <f>2*(B21+H21^2)</f>
        <v>18931.68291764139</v>
      </c>
      <c r="G21" s="276" t="s">
        <v>10</v>
      </c>
      <c r="H21" s="261">
        <f>-NORMSINV((1-H2)/2)</f>
        <v>1.9599639845400536</v>
      </c>
      <c r="I21" s="277">
        <f>C21</f>
        <v>0.14193616571549356</v>
      </c>
      <c r="J21" s="277">
        <f>(D21-E21)/F21</f>
        <v>0.135049659358371</v>
      </c>
      <c r="K21" s="277">
        <f>(D21+E21)/F21</f>
        <v>0.14911329335136195</v>
      </c>
      <c r="L21" s="238"/>
      <c r="M21" s="212">
        <f>E9/2</f>
        <v>9462</v>
      </c>
      <c r="N21" s="24" t="s">
        <v>13</v>
      </c>
      <c r="O21" s="8"/>
      <c r="P21" s="46"/>
      <c r="Q21" s="45"/>
      <c r="R21" s="47"/>
      <c r="S21" s="47"/>
      <c r="T21" s="146"/>
      <c r="V21" s="165">
        <f>ABS(C21-C22)</f>
        <v>0.016169942929613185</v>
      </c>
      <c r="W21" s="24" t="s">
        <v>109</v>
      </c>
      <c r="X21" s="8"/>
      <c r="Y21" s="24"/>
      <c r="Z21" s="24"/>
      <c r="AA21" s="24" t="s">
        <v>104</v>
      </c>
      <c r="AB21" s="24"/>
      <c r="AC21" s="152"/>
    </row>
    <row r="22" spans="1:29" ht="14.25" customHeight="1" hidden="1">
      <c r="A22" s="271">
        <f>C9</f>
        <v>2839</v>
      </c>
      <c r="B22" s="272">
        <f>E8</f>
        <v>9462</v>
      </c>
      <c r="C22" s="273">
        <f>A21/B22</f>
        <v>0.15810610864510674</v>
      </c>
      <c r="D22" s="274">
        <f>2*A21+H22^2</f>
        <v>2995.8414588206942</v>
      </c>
      <c r="E22" s="274">
        <f>H22*SQRT((H22^2)+(4*A21*(1-C22)))</f>
        <v>139.1675805805112</v>
      </c>
      <c r="F22" s="275">
        <f>2*(B22+H22^2)</f>
        <v>18931.68291764139</v>
      </c>
      <c r="G22" s="276" t="s">
        <v>10</v>
      </c>
      <c r="H22" s="261">
        <f>-NORMSINV((1-H2)/2)</f>
        <v>1.9599639845400536</v>
      </c>
      <c r="I22" s="277">
        <f>C22</f>
        <v>0.15810610864510674</v>
      </c>
      <c r="J22" s="277">
        <f>(D22-E22)/F22</f>
        <v>0.1508938159733389</v>
      </c>
      <c r="K22" s="277">
        <f>(D22+E22)/F22</f>
        <v>0.16559589831709381</v>
      </c>
      <c r="L22" s="238"/>
      <c r="M22" s="213">
        <f>I26</f>
        <v>0.016169942929613185</v>
      </c>
      <c r="N22" s="24" t="s">
        <v>14</v>
      </c>
      <c r="O22" s="24"/>
      <c r="P22" s="24"/>
      <c r="Q22" s="24"/>
      <c r="R22" s="24"/>
      <c r="S22" s="24"/>
      <c r="T22" s="141"/>
      <c r="V22" s="159">
        <f>SQRT((C23*(1-C23)/B21)+(C23*(1-C23)/B22))</f>
        <v>0.0051916309817810775</v>
      </c>
      <c r="W22" s="51" t="s">
        <v>102</v>
      </c>
      <c r="X22" s="24"/>
      <c r="Y22" s="24"/>
      <c r="Z22" s="24"/>
      <c r="AA22" s="24"/>
      <c r="AB22" s="24"/>
      <c r="AC22" s="152"/>
    </row>
    <row r="23" spans="1:29" ht="12.75" customHeight="1" hidden="1">
      <c r="A23" s="111"/>
      <c r="B23" s="272">
        <f>E9</f>
        <v>18924</v>
      </c>
      <c r="C23" s="273">
        <f>A22/B23</f>
        <v>0.15002113718030013</v>
      </c>
      <c r="D23" s="274">
        <f>2*A22+H23^2</f>
        <v>5681.841458820694</v>
      </c>
      <c r="E23" s="274">
        <f>H23*SQRT((H23^2)+(4*A22*(1-C23)))</f>
        <v>192.5977677401014</v>
      </c>
      <c r="F23" s="275">
        <f>2*(B23+H23^2)</f>
        <v>37855.68291764139</v>
      </c>
      <c r="G23" s="276" t="s">
        <v>10</v>
      </c>
      <c r="H23" s="261">
        <f>-NORMSINV((1-H2)/2)</f>
        <v>1.9599639845400536</v>
      </c>
      <c r="I23" s="277">
        <f>C23</f>
        <v>0.15002113718030013</v>
      </c>
      <c r="J23" s="277">
        <f>(D23-E23)/F23</f>
        <v>0.1450044819696678</v>
      </c>
      <c r="K23" s="277">
        <f>(D23+E23)/F23</f>
        <v>0.1551798507859756</v>
      </c>
      <c r="L23" s="238"/>
      <c r="M23" s="214">
        <f>(A20+A21)/(B21+B22)</f>
        <v>0.15002113718030013</v>
      </c>
      <c r="N23" s="24" t="s">
        <v>5</v>
      </c>
      <c r="O23" s="8"/>
      <c r="P23" s="46"/>
      <c r="Q23" s="45"/>
      <c r="R23" s="47"/>
      <c r="S23" s="47"/>
      <c r="T23" s="152"/>
      <c r="V23" s="160">
        <f>V21/V22</f>
        <v>3.1146171571820402</v>
      </c>
      <c r="W23" s="24" t="s">
        <v>43</v>
      </c>
      <c r="X23" s="8"/>
      <c r="Y23" s="24"/>
      <c r="Z23" s="24"/>
      <c r="AA23" s="24"/>
      <c r="AB23" s="24"/>
      <c r="AC23" s="152"/>
    </row>
    <row r="24" spans="1:29" ht="15" customHeight="1" hidden="1">
      <c r="A24" s="111"/>
      <c r="B24" s="262" t="s">
        <v>11</v>
      </c>
      <c r="E24" s="41"/>
      <c r="F24" s="208"/>
      <c r="G24" s="208"/>
      <c r="H24" s="208"/>
      <c r="I24" s="208"/>
      <c r="J24" s="209"/>
      <c r="K24" s="178"/>
      <c r="L24" s="238"/>
      <c r="M24" s="215">
        <f>SQRT(M21*M22^2/(2*M23*(1-M23)))-H21</f>
        <v>1.154653172641987</v>
      </c>
      <c r="N24" s="24" t="s">
        <v>118</v>
      </c>
      <c r="O24" s="24"/>
      <c r="P24" s="24"/>
      <c r="Q24" s="24"/>
      <c r="R24" s="24"/>
      <c r="S24" s="11"/>
      <c r="T24" s="146"/>
      <c r="V24" s="161">
        <f>NORMSDIST(-V23)</f>
        <v>0.000920918980173009</v>
      </c>
      <c r="W24" s="44" t="s">
        <v>103</v>
      </c>
      <c r="X24" s="24"/>
      <c r="Y24" s="11"/>
      <c r="Z24" s="11"/>
      <c r="AA24" s="11"/>
      <c r="AB24" s="11"/>
      <c r="AC24" s="141"/>
    </row>
    <row r="25" spans="2:29" ht="13.5" customHeight="1" hidden="1">
      <c r="B25" s="262" t="s">
        <v>119</v>
      </c>
      <c r="C25" s="31"/>
      <c r="D25" s="43"/>
      <c r="E25" s="41"/>
      <c r="F25" s="208"/>
      <c r="G25" s="178"/>
      <c r="H25" s="178"/>
      <c r="I25" s="216"/>
      <c r="J25" s="216"/>
      <c r="K25" s="216"/>
      <c r="L25" s="238"/>
      <c r="M25" s="217">
        <f>NORMSDIST(M24)</f>
        <v>0.8758837586096109</v>
      </c>
      <c r="N25" s="44" t="s">
        <v>15</v>
      </c>
      <c r="O25" s="52"/>
      <c r="P25" s="24"/>
      <c r="Q25" s="24"/>
      <c r="R25" s="24"/>
      <c r="S25" s="24"/>
      <c r="T25" s="152"/>
      <c r="V25" s="162">
        <f>1-V24</f>
        <v>0.999079081019827</v>
      </c>
      <c r="W25" s="53" t="s">
        <v>105</v>
      </c>
      <c r="X25" s="52"/>
      <c r="Y25" s="11"/>
      <c r="Z25" s="11"/>
      <c r="AA25" s="11"/>
      <c r="AB25" s="11"/>
      <c r="AC25" s="141"/>
    </row>
    <row r="26" spans="5:29" ht="15" customHeight="1" hidden="1">
      <c r="E26" s="54"/>
      <c r="F26" s="178"/>
      <c r="G26" s="178"/>
      <c r="H26" s="250" t="s">
        <v>22</v>
      </c>
      <c r="I26" s="263">
        <f>C22-C21</f>
        <v>0.016169942929613185</v>
      </c>
      <c r="J26" s="278">
        <f>I26+SQRT((C22-J22)^2+(K21-C21)^2)</f>
        <v>0.02634482998966363</v>
      </c>
      <c r="K26" s="279">
        <f>I26-SQRT((C21-J21)^2+(K22-C22)^2)</f>
        <v>0.005995419887362319</v>
      </c>
      <c r="L26" s="200"/>
      <c r="M26" s="218">
        <f>1-M25</f>
        <v>0.12411624139038913</v>
      </c>
      <c r="N26" s="171" t="s">
        <v>107</v>
      </c>
      <c r="O26" s="147"/>
      <c r="P26" s="148"/>
      <c r="Q26" s="147"/>
      <c r="R26" s="147"/>
      <c r="S26" s="147"/>
      <c r="T26" s="151"/>
      <c r="V26" s="163"/>
      <c r="W26" s="142"/>
      <c r="X26" s="147"/>
      <c r="Y26" s="142"/>
      <c r="Z26" s="142"/>
      <c r="AA26" s="142"/>
      <c r="AB26" s="142"/>
      <c r="AC26" s="164"/>
    </row>
    <row r="27" spans="5:28" ht="13.5" customHeight="1" hidden="1">
      <c r="E27" s="56"/>
      <c r="F27" s="178"/>
      <c r="G27" s="178"/>
      <c r="H27" s="250" t="s">
        <v>23</v>
      </c>
      <c r="I27" s="280">
        <f>1/I26</f>
        <v>61.84313725490198</v>
      </c>
      <c r="J27" s="281">
        <f>1/J26</f>
        <v>37.958111720301446</v>
      </c>
      <c r="K27" s="282">
        <f>1/K26</f>
        <v>166.7939892096447</v>
      </c>
      <c r="L27" s="200"/>
      <c r="M27" s="178"/>
      <c r="N27" s="4"/>
      <c r="O27" s="4"/>
      <c r="T27" s="4"/>
      <c r="U27" s="4"/>
      <c r="V27" s="16"/>
      <c r="W27" s="16"/>
      <c r="X27" s="16"/>
      <c r="Y27" s="16"/>
      <c r="Z27" s="16"/>
      <c r="AA27" s="16"/>
      <c r="AB27" s="16"/>
    </row>
    <row r="28" spans="6:21" ht="14.25" customHeight="1" hidden="1">
      <c r="F28" s="178"/>
      <c r="G28" s="178"/>
      <c r="J28" s="220"/>
      <c r="K28" s="220"/>
      <c r="L28" s="221"/>
      <c r="M28" s="211"/>
      <c r="N28" s="166"/>
      <c r="O28" s="166" t="s">
        <v>102</v>
      </c>
      <c r="P28" s="167">
        <f>SQRT((C23*(1-C23)/B21)+(C23*(1-C23)/B22))</f>
        <v>0.0051916309817810775</v>
      </c>
      <c r="Q28" s="168"/>
      <c r="R28" s="168"/>
      <c r="S28" s="168"/>
      <c r="T28" s="140"/>
      <c r="U28" s="4"/>
    </row>
    <row r="29" spans="1:21" ht="31.5" customHeight="1" hidden="1">
      <c r="A29" s="11"/>
      <c r="E29" s="283"/>
      <c r="F29" s="284"/>
      <c r="G29" s="285" t="s">
        <v>63</v>
      </c>
      <c r="H29" s="286" t="s">
        <v>55</v>
      </c>
      <c r="I29" s="287">
        <f>I27</f>
        <v>61.84313725490198</v>
      </c>
      <c r="J29" s="287">
        <f>J27</f>
        <v>37.958111720301446</v>
      </c>
      <c r="K29" s="287">
        <f>K27</f>
        <v>166.7939892096447</v>
      </c>
      <c r="L29" s="178"/>
      <c r="M29" s="224" t="s">
        <v>100</v>
      </c>
      <c r="N29" s="154"/>
      <c r="O29" s="24" t="s">
        <v>98</v>
      </c>
      <c r="P29" s="24"/>
      <c r="Q29" s="46"/>
      <c r="R29" s="153" t="s">
        <v>101</v>
      </c>
      <c r="S29" s="24"/>
      <c r="T29" s="152"/>
      <c r="U29" s="4"/>
    </row>
    <row r="30" spans="5:20" s="11" customFormat="1" ht="14.25" customHeight="1" hidden="1">
      <c r="E30" s="58"/>
      <c r="F30" s="288"/>
      <c r="G30" s="289"/>
      <c r="H30" s="290" t="s">
        <v>67</v>
      </c>
      <c r="I30" s="291">
        <f>(1-C22)*I27</f>
        <v>52.0653594771242</v>
      </c>
      <c r="J30" s="291">
        <f>(1-C22)*J27</f>
        <v>31.956702384688366</v>
      </c>
      <c r="K30" s="291">
        <f>(1-C22)*K27</f>
        <v>140.42284063031386</v>
      </c>
      <c r="L30" s="178"/>
      <c r="M30" s="225"/>
      <c r="N30" s="145" t="s">
        <v>120</v>
      </c>
      <c r="P30" s="155" t="s">
        <v>97</v>
      </c>
      <c r="Q30" s="145" t="s">
        <v>121</v>
      </c>
      <c r="R30" s="24"/>
      <c r="S30" s="24"/>
      <c r="T30" s="141"/>
    </row>
    <row r="31" spans="1:20" s="11" customFormat="1" ht="14.25" customHeight="1" hidden="1">
      <c r="A31" s="188"/>
      <c r="E31" s="59"/>
      <c r="F31" s="292"/>
      <c r="G31" s="293"/>
      <c r="H31" s="294" t="s">
        <v>70</v>
      </c>
      <c r="I31" s="295">
        <f>I27*I26</f>
        <v>1</v>
      </c>
      <c r="J31" s="295">
        <f>J27*J26</f>
        <v>1</v>
      </c>
      <c r="K31" s="295">
        <f>K27*K26</f>
        <v>0.9999999999999999</v>
      </c>
      <c r="L31" s="182"/>
      <c r="M31" s="215">
        <f>ABS((I26/P28))-H21</f>
        <v>1.1546531726419866</v>
      </c>
      <c r="N31" s="145" t="s">
        <v>122</v>
      </c>
      <c r="O31" s="24"/>
      <c r="P31" s="24"/>
      <c r="Q31" s="45"/>
      <c r="R31" s="47"/>
      <c r="S31" s="47"/>
      <c r="T31" s="146"/>
    </row>
    <row r="32" spans="1:20" s="11" customFormat="1" ht="12.75" customHeight="1" hidden="1">
      <c r="A32" s="188"/>
      <c r="B32" s="60"/>
      <c r="D32" s="34"/>
      <c r="F32" s="296"/>
      <c r="G32" s="297"/>
      <c r="H32" s="298" t="s">
        <v>71</v>
      </c>
      <c r="I32" s="299">
        <f>(C22-I26)*I27</f>
        <v>8.77777777777778</v>
      </c>
      <c r="J32" s="299">
        <f>(C22-J26)*J27</f>
        <v>5.00140933561308</v>
      </c>
      <c r="K32" s="299">
        <f>(C22-K26)*K27</f>
        <v>25.371148579330846</v>
      </c>
      <c r="L32" s="182"/>
      <c r="M32" s="217">
        <f>NORMSDIST(M31)</f>
        <v>0.8758837586096108</v>
      </c>
      <c r="N32" s="51" t="s">
        <v>99</v>
      </c>
      <c r="O32" s="52"/>
      <c r="P32" s="24"/>
      <c r="Q32" s="24"/>
      <c r="R32" s="24"/>
      <c r="S32" s="24"/>
      <c r="T32" s="141"/>
    </row>
    <row r="33" spans="1:20" s="11" customFormat="1" ht="12.75" customHeight="1" hidden="1">
      <c r="A33" s="186"/>
      <c r="F33" s="300"/>
      <c r="G33" s="301"/>
      <c r="H33" s="301"/>
      <c r="I33" s="302"/>
      <c r="J33" s="302"/>
      <c r="K33" s="302"/>
      <c r="L33" s="182"/>
      <c r="M33" s="218">
        <f>1-M32</f>
        <v>0.12411624139038924</v>
      </c>
      <c r="N33" s="147" t="s">
        <v>108</v>
      </c>
      <c r="O33" s="147"/>
      <c r="P33" s="148"/>
      <c r="Q33" s="149"/>
      <c r="R33" s="150"/>
      <c r="S33" s="150"/>
      <c r="T33" s="151"/>
    </row>
    <row r="34" spans="1:21" s="11" customFormat="1" ht="31.5" customHeight="1" hidden="1">
      <c r="A34" s="186"/>
      <c r="E34" s="33"/>
      <c r="F34" s="303"/>
      <c r="G34" s="285" t="s">
        <v>65</v>
      </c>
      <c r="H34" s="304" t="s">
        <v>131</v>
      </c>
      <c r="I34" s="305">
        <f>ABS(I27)</f>
        <v>61.84313725490198</v>
      </c>
      <c r="J34" s="305">
        <f>ABS(K27)</f>
        <v>166.7939892096447</v>
      </c>
      <c r="K34" s="305">
        <f>ABS(J27)</f>
        <v>37.958111720301446</v>
      </c>
      <c r="L34" s="182"/>
      <c r="M34" s="200"/>
      <c r="N34" s="24"/>
      <c r="O34" s="24"/>
      <c r="P34" s="24"/>
      <c r="Q34" s="24"/>
      <c r="R34" s="24"/>
      <c r="S34" s="24"/>
      <c r="T34" s="24"/>
      <c r="U34" s="24"/>
    </row>
    <row r="35" spans="1:21" s="11" customFormat="1" ht="13.5" customHeight="1" hidden="1">
      <c r="A35" s="186"/>
      <c r="F35" s="288"/>
      <c r="G35" s="289"/>
      <c r="H35" s="290" t="s">
        <v>67</v>
      </c>
      <c r="I35" s="291">
        <f>ABS((1-(C22-I26))*I27)</f>
        <v>53.0653594771242</v>
      </c>
      <c r="J35" s="291">
        <f>ABS((1-(C22-K26))*K27)</f>
        <v>141.42284063031386</v>
      </c>
      <c r="K35" s="291">
        <f>ABS((1-(C22-J26))*J27)</f>
        <v>32.95670238468836</v>
      </c>
      <c r="L35" s="182"/>
      <c r="M35" s="200"/>
      <c r="N35" s="24"/>
      <c r="O35" s="24"/>
      <c r="P35" s="24"/>
      <c r="Q35" s="24"/>
      <c r="R35" s="24"/>
      <c r="S35" s="24"/>
      <c r="T35" s="24"/>
      <c r="U35" s="24"/>
    </row>
    <row r="36" spans="1:21" s="11" customFormat="1" ht="12.75" customHeight="1" hidden="1">
      <c r="A36" s="310" t="s">
        <v>113</v>
      </c>
      <c r="E36" s="65"/>
      <c r="F36" s="306"/>
      <c r="G36" s="307"/>
      <c r="H36" s="308" t="s">
        <v>68</v>
      </c>
      <c r="I36" s="309">
        <f>I27*I26</f>
        <v>1</v>
      </c>
      <c r="J36" s="309">
        <f>K27*K26</f>
        <v>0.9999999999999999</v>
      </c>
      <c r="K36" s="309">
        <f>J27*J26</f>
        <v>1</v>
      </c>
      <c r="L36" s="182"/>
      <c r="M36" s="200"/>
      <c r="N36" s="24"/>
      <c r="O36" s="24"/>
      <c r="P36" s="24"/>
      <c r="Q36" s="24"/>
      <c r="R36" s="24"/>
      <c r="S36" s="24"/>
      <c r="T36" s="24"/>
      <c r="U36" s="24"/>
    </row>
    <row r="37" spans="1:21" ht="15.75" customHeight="1" hidden="1">
      <c r="A37" s="111"/>
      <c r="B37" s="66"/>
      <c r="C37" s="66"/>
      <c r="D37" s="66"/>
      <c r="E37" s="61"/>
      <c r="F37" s="296"/>
      <c r="G37" s="297"/>
      <c r="H37" s="298" t="s">
        <v>69</v>
      </c>
      <c r="I37" s="299">
        <f>ABS(C22*I27)</f>
        <v>9.77777777777778</v>
      </c>
      <c r="J37" s="299">
        <f>ABS(C22*K27)</f>
        <v>26.371148579330846</v>
      </c>
      <c r="K37" s="299">
        <f>ABS(C22*J27)</f>
        <v>6.00140933561308</v>
      </c>
      <c r="L37" s="178"/>
      <c r="M37" s="200"/>
      <c r="N37" s="24"/>
      <c r="O37" s="24"/>
      <c r="P37" s="24"/>
      <c r="Q37" s="24"/>
      <c r="R37" s="24"/>
      <c r="S37" s="24"/>
      <c r="T37" s="24"/>
      <c r="U37" s="24"/>
    </row>
    <row r="38" spans="1:17" s="16" customFormat="1" ht="12.75" customHeight="1" hidden="1">
      <c r="A38" s="189" t="s">
        <v>31</v>
      </c>
      <c r="B38" s="67" t="s">
        <v>19</v>
      </c>
      <c r="C38" s="68" t="s">
        <v>20</v>
      </c>
      <c r="D38" s="24"/>
      <c r="E38" s="61"/>
      <c r="F38" s="226"/>
      <c r="G38" s="227"/>
      <c r="H38" s="228"/>
      <c r="I38" s="229"/>
      <c r="J38" s="229"/>
      <c r="K38" s="229"/>
      <c r="L38" s="209"/>
      <c r="M38" s="182"/>
      <c r="N38" s="11"/>
      <c r="O38" s="11"/>
      <c r="P38" s="11"/>
      <c r="Q38" s="11"/>
    </row>
    <row r="39" spans="1:21" ht="12.75" customHeight="1" hidden="1">
      <c r="A39" s="190" t="s">
        <v>16</v>
      </c>
      <c r="B39" s="72" t="s">
        <v>3</v>
      </c>
      <c r="C39" s="73" t="s">
        <v>2</v>
      </c>
      <c r="D39" s="74" t="s">
        <v>21</v>
      </c>
      <c r="F39" s="178"/>
      <c r="G39" s="178"/>
      <c r="H39" s="178"/>
      <c r="I39" s="178"/>
      <c r="J39" s="178"/>
      <c r="K39" s="178"/>
      <c r="L39" s="178"/>
      <c r="M39" s="182"/>
      <c r="N39" s="11"/>
      <c r="O39" s="11"/>
      <c r="P39" s="11"/>
      <c r="Q39" s="11"/>
      <c r="T39" s="4"/>
      <c r="U39" s="4"/>
    </row>
    <row r="40" spans="1:21" ht="12.75" customHeight="1" hidden="1">
      <c r="A40" s="191" t="s">
        <v>17</v>
      </c>
      <c r="B40" s="75">
        <f>E7*C9/E9</f>
        <v>1419.5</v>
      </c>
      <c r="C40" s="75">
        <f>E7*D9/E9</f>
        <v>8042.5</v>
      </c>
      <c r="D40" s="75">
        <f>E7</f>
        <v>9462</v>
      </c>
      <c r="F40" s="239"/>
      <c r="G40" s="257" t="s">
        <v>29</v>
      </c>
      <c r="H40" s="230">
        <f>CHIINV(0.05,J41)</f>
        <v>3.8414588206941236</v>
      </c>
      <c r="I40" s="178"/>
      <c r="J40" s="178"/>
      <c r="K40" s="178"/>
      <c r="L40" s="178"/>
      <c r="M40" s="182"/>
      <c r="N40" s="62"/>
      <c r="O40" s="62"/>
      <c r="P40" s="62"/>
      <c r="Q40" s="11"/>
      <c r="T40" s="4"/>
      <c r="U40" s="4"/>
    </row>
    <row r="41" spans="1:21" ht="12.75" customHeight="1" hidden="1">
      <c r="A41" s="187" t="s">
        <v>28</v>
      </c>
      <c r="B41" s="75">
        <f>E8*C9/E9</f>
        <v>1419.5</v>
      </c>
      <c r="C41" s="75">
        <f>E8*D9/E9</f>
        <v>8042.5</v>
      </c>
      <c r="D41" s="75">
        <f>E8</f>
        <v>9462</v>
      </c>
      <c r="E41" s="16"/>
      <c r="F41" s="240"/>
      <c r="G41" s="240"/>
      <c r="H41" s="222"/>
      <c r="I41" s="256" t="s">
        <v>30</v>
      </c>
      <c r="J41" s="241">
        <f>(COUNT(B40:C40)-1)*(COUNT(B40:B41)-1)</f>
        <v>1</v>
      </c>
      <c r="K41" s="178"/>
      <c r="L41" s="178"/>
      <c r="M41" s="178"/>
      <c r="N41" s="62"/>
      <c r="O41" s="62"/>
      <c r="P41" s="62"/>
      <c r="Q41" s="11"/>
      <c r="T41" s="4"/>
      <c r="U41" s="4"/>
    </row>
    <row r="42" spans="1:21" ht="12.75" customHeight="1" hidden="1">
      <c r="A42" s="187"/>
      <c r="B42" s="75">
        <f>SUM(B40:B41)</f>
        <v>2839</v>
      </c>
      <c r="C42" s="75">
        <f>SUM(C40:C41)</f>
        <v>16085</v>
      </c>
      <c r="D42" s="76">
        <f>SUM(D40:D41)</f>
        <v>18924</v>
      </c>
      <c r="E42" s="16"/>
      <c r="F42" s="209"/>
      <c r="G42" s="255" t="s">
        <v>32</v>
      </c>
      <c r="H42" s="193" t="s">
        <v>33</v>
      </c>
      <c r="I42" s="178"/>
      <c r="J42" s="178"/>
      <c r="K42" s="178"/>
      <c r="L42" s="178"/>
      <c r="M42" s="178"/>
      <c r="N42" s="62"/>
      <c r="O42" s="63"/>
      <c r="P42" s="62"/>
      <c r="Q42" s="11"/>
      <c r="T42" s="4"/>
      <c r="U42" s="4"/>
    </row>
    <row r="43" spans="1:21" ht="12.75" customHeight="1" hidden="1">
      <c r="A43" s="192"/>
      <c r="B43" s="77"/>
      <c r="C43" s="77"/>
      <c r="D43" s="78"/>
      <c r="E43" s="16"/>
      <c r="F43" s="209"/>
      <c r="G43" s="255" t="s">
        <v>34</v>
      </c>
      <c r="H43" s="193" t="s">
        <v>35</v>
      </c>
      <c r="I43" s="178"/>
      <c r="J43" s="178"/>
      <c r="K43" s="178"/>
      <c r="L43" s="178"/>
      <c r="M43" s="178"/>
      <c r="N43" s="64"/>
      <c r="O43" s="64"/>
      <c r="P43" s="64"/>
      <c r="Q43" s="11"/>
      <c r="T43" s="4"/>
      <c r="U43" s="4"/>
    </row>
    <row r="44" spans="1:21" ht="26.25" customHeight="1" hidden="1">
      <c r="A44" s="192"/>
      <c r="B44" s="566" t="s">
        <v>132</v>
      </c>
      <c r="C44" s="567"/>
      <c r="F44" s="178"/>
      <c r="G44" s="219"/>
      <c r="H44" s="178"/>
      <c r="I44" s="178"/>
      <c r="J44" s="178"/>
      <c r="K44" s="178"/>
      <c r="L44" s="178"/>
      <c r="M44" s="178"/>
      <c r="N44" s="4"/>
      <c r="O44" s="4"/>
      <c r="T44" s="4"/>
      <c r="U44" s="4"/>
    </row>
    <row r="45" spans="1:21" ht="12.75" customHeight="1" hidden="1">
      <c r="A45" s="192"/>
      <c r="B45" s="79">
        <f>(C7-B40)^2/B40</f>
        <v>4.122754491017964</v>
      </c>
      <c r="C45" s="79">
        <f>(D7-C40)^2/C40</f>
        <v>0.7276655268884054</v>
      </c>
      <c r="E45" s="71"/>
      <c r="F45" s="242"/>
      <c r="G45" s="178"/>
      <c r="H45" s="178"/>
      <c r="I45" s="182"/>
      <c r="J45" s="182"/>
      <c r="K45" s="231"/>
      <c r="L45" s="178"/>
      <c r="M45" s="178"/>
      <c r="N45" s="4"/>
      <c r="O45" s="4"/>
      <c r="T45" s="4"/>
      <c r="U45" s="4"/>
    </row>
    <row r="46" spans="1:21" ht="12.75" customHeight="1" hidden="1">
      <c r="A46" s="193" t="s">
        <v>38</v>
      </c>
      <c r="B46" s="79">
        <f>(C8-B41)^2/B41</f>
        <v>4.122754491017964</v>
      </c>
      <c r="C46" s="79">
        <f>(D8-C41)^2/C41</f>
        <v>0.7276655268884054</v>
      </c>
      <c r="D46" s="20"/>
      <c r="E46" s="80" t="s">
        <v>36</v>
      </c>
      <c r="F46" s="243">
        <f>B48-H40</f>
        <v>5.859381215118615</v>
      </c>
      <c r="G46" s="178"/>
      <c r="H46" s="178"/>
      <c r="I46" s="182"/>
      <c r="J46" s="182"/>
      <c r="K46" s="178"/>
      <c r="L46" s="178"/>
      <c r="M46" s="178"/>
      <c r="N46" s="4"/>
      <c r="O46" s="4"/>
      <c r="T46" s="4"/>
      <c r="U46" s="4"/>
    </row>
    <row r="47" spans="1:21" ht="12.75" customHeight="1" hidden="1">
      <c r="A47" s="194" t="s">
        <v>37</v>
      </c>
      <c r="C47" s="81"/>
      <c r="F47" s="113" t="s">
        <v>39</v>
      </c>
      <c r="G47" s="178"/>
      <c r="H47" s="178"/>
      <c r="I47" s="182"/>
      <c r="J47" s="182"/>
      <c r="K47" s="178"/>
      <c r="L47" s="178"/>
      <c r="M47" s="178"/>
      <c r="N47" s="4"/>
      <c r="O47" s="4"/>
      <c r="T47" s="4"/>
      <c r="U47" s="4"/>
    </row>
    <row r="48" spans="1:21" ht="13.5" customHeight="1" hidden="1">
      <c r="A48" s="195" t="s">
        <v>88</v>
      </c>
      <c r="B48" s="172">
        <f>SUM(B45:C46)</f>
        <v>9.700840035812739</v>
      </c>
      <c r="C48" s="24"/>
      <c r="F48" s="113" t="s">
        <v>40</v>
      </c>
      <c r="G48" s="178"/>
      <c r="H48" s="244"/>
      <c r="I48" s="182"/>
      <c r="J48" s="182"/>
      <c r="K48" s="232"/>
      <c r="L48" s="178"/>
      <c r="M48" s="178"/>
      <c r="N48" s="4"/>
      <c r="O48" s="4"/>
      <c r="T48" s="4"/>
      <c r="U48" s="4"/>
    </row>
    <row r="49" spans="1:21" ht="12.75" customHeight="1" hidden="1">
      <c r="A49" s="186"/>
      <c r="B49" s="173">
        <f>CHIDIST(B48,1)</f>
        <v>0.0018418379603460141</v>
      </c>
      <c r="D49" s="24"/>
      <c r="E49" s="24"/>
      <c r="F49" s="200"/>
      <c r="G49" s="245"/>
      <c r="H49" s="200"/>
      <c r="I49" s="182"/>
      <c r="J49" s="182"/>
      <c r="K49" s="200"/>
      <c r="L49" s="178"/>
      <c r="M49" s="178"/>
      <c r="N49" s="4"/>
      <c r="O49" s="4"/>
      <c r="T49" s="4"/>
      <c r="U49" s="4"/>
    </row>
    <row r="50" spans="1:13" s="11" customFormat="1" ht="12.75" customHeight="1" hidden="1">
      <c r="A50" s="111"/>
      <c r="D50" s="82"/>
      <c r="E50" s="82"/>
      <c r="F50" s="182"/>
      <c r="G50" s="182"/>
      <c r="H50" s="233"/>
      <c r="I50" s="182"/>
      <c r="J50" s="182"/>
      <c r="K50" s="182"/>
      <c r="L50" s="182"/>
      <c r="M50" s="182"/>
    </row>
    <row r="51" spans="1:21" ht="13.5" customHeight="1" hidden="1">
      <c r="A51" s="311" t="s">
        <v>133</v>
      </c>
      <c r="B51" s="139"/>
      <c r="C51" s="139"/>
      <c r="D51" s="139"/>
      <c r="E51" s="139"/>
      <c r="F51" s="314"/>
      <c r="G51" s="398"/>
      <c r="H51" s="178"/>
      <c r="I51" s="312" t="s">
        <v>134</v>
      </c>
      <c r="J51" s="313"/>
      <c r="K51" s="314"/>
      <c r="L51" s="314"/>
      <c r="M51" s="314"/>
      <c r="N51" s="140"/>
      <c r="O51" s="4"/>
      <c r="T51" s="4"/>
      <c r="U51" s="4"/>
    </row>
    <row r="52" spans="1:21" ht="12.75" customHeight="1" hidden="1">
      <c r="A52" s="315">
        <f>H2*100</f>
        <v>95</v>
      </c>
      <c r="B52" s="11"/>
      <c r="C52" s="11"/>
      <c r="D52" s="11"/>
      <c r="E52" s="11"/>
      <c r="F52" s="11"/>
      <c r="G52" s="318"/>
      <c r="H52" s="178"/>
      <c r="I52" s="316"/>
      <c r="J52" s="182"/>
      <c r="K52" s="200"/>
      <c r="L52" s="200"/>
      <c r="M52" s="200"/>
      <c r="N52" s="152"/>
      <c r="O52" s="4"/>
      <c r="T52" s="4"/>
      <c r="U52" s="4"/>
    </row>
    <row r="53" spans="1:21" ht="12.75" customHeight="1" hidden="1">
      <c r="A53" s="317" t="s">
        <v>48</v>
      </c>
      <c r="B53" s="61"/>
      <c r="C53" s="61"/>
      <c r="D53" s="11"/>
      <c r="E53" s="11"/>
      <c r="F53" s="11"/>
      <c r="G53" s="141"/>
      <c r="H53" s="178"/>
      <c r="I53" s="319" t="s">
        <v>48</v>
      </c>
      <c r="J53" s="11"/>
      <c r="K53" s="11"/>
      <c r="L53" s="11"/>
      <c r="M53" s="200"/>
      <c r="N53" s="152"/>
      <c r="O53" s="4"/>
      <c r="T53" s="4"/>
      <c r="U53" s="4"/>
    </row>
    <row r="54" spans="1:21" ht="12.75" customHeight="1" hidden="1">
      <c r="A54" s="317" t="s">
        <v>50</v>
      </c>
      <c r="B54" s="265"/>
      <c r="C54" s="265"/>
      <c r="D54" s="358">
        <f>ROUND(F14,2)</f>
        <v>0.9</v>
      </c>
      <c r="E54" s="9">
        <f>ROUND(I26,4)</f>
        <v>0.0162</v>
      </c>
      <c r="F54" s="266">
        <f>ROUND(I27,0)</f>
        <v>62</v>
      </c>
      <c r="G54" s="318"/>
      <c r="H54" s="178"/>
      <c r="I54" s="319" t="s">
        <v>50</v>
      </c>
      <c r="J54" s="320" t="str">
        <f>ROUND(I21,4)*100&amp;I56</f>
        <v>14,19%</v>
      </c>
      <c r="K54" s="320" t="str">
        <f>ROUND(J21,4)*100&amp;I56</f>
        <v>13,5%</v>
      </c>
      <c r="L54" s="320" t="str">
        <f>ROUND(K21,4)*100&amp;I56</f>
        <v>14,91%</v>
      </c>
      <c r="M54" s="86" t="str">
        <f>CONCATENATE(J54," ",I53,K54," ",I57," ",L54,I55)</f>
        <v>14,19% (13,5% a 14,91%)</v>
      </c>
      <c r="N54" s="152"/>
      <c r="O54" s="4"/>
      <c r="T54" s="4"/>
      <c r="U54" s="4"/>
    </row>
    <row r="55" spans="1:21" ht="12.75" customHeight="1" hidden="1">
      <c r="A55" s="317" t="s">
        <v>49</v>
      </c>
      <c r="B55" s="24"/>
      <c r="C55" s="24"/>
      <c r="D55" s="358">
        <f>ROUND(G14,2)</f>
        <v>0.84</v>
      </c>
      <c r="E55" s="9">
        <f>ROUND(K26,4)</f>
        <v>0.006</v>
      </c>
      <c r="F55" s="266">
        <f>ROUND(K27,0)</f>
        <v>167</v>
      </c>
      <c r="G55" s="318"/>
      <c r="H55" s="178"/>
      <c r="I55" s="319" t="s">
        <v>49</v>
      </c>
      <c r="J55" s="84" t="str">
        <f>ROUND(I22,4)*100&amp;I56</f>
        <v>15,81%</v>
      </c>
      <c r="K55" s="84" t="str">
        <f>ROUND(J22,4)*100&amp;I56</f>
        <v>15,09%</v>
      </c>
      <c r="L55" s="84" t="str">
        <f>ROUND(K22,4)*100&amp;I56</f>
        <v>16,56%</v>
      </c>
      <c r="M55" s="86" t="str">
        <f>CONCATENATE(J55," ",I53,K55," ",I57," ",L55,I55)</f>
        <v>15,81% (15,09% a 16,56%)</v>
      </c>
      <c r="N55" s="141"/>
      <c r="O55" s="4"/>
      <c r="T55" s="4"/>
      <c r="U55" s="4"/>
    </row>
    <row r="56" spans="1:14" s="16" customFormat="1" ht="12.75" customHeight="1" hidden="1">
      <c r="A56" s="317" t="s">
        <v>51</v>
      </c>
      <c r="B56" s="401">
        <f>ROUND(C7,0)</f>
        <v>1343</v>
      </c>
      <c r="C56" s="401">
        <f>ROUND(C8,0)</f>
        <v>1496</v>
      </c>
      <c r="D56" s="358">
        <f>ROUND(H14,2)</f>
        <v>0.96</v>
      </c>
      <c r="E56" s="9">
        <f>ROUND(J26,4)</f>
        <v>0.0263</v>
      </c>
      <c r="F56" s="266">
        <f>ROUND(J27,0)</f>
        <v>38</v>
      </c>
      <c r="G56" s="321">
        <f>ROUND(M32,4)</f>
        <v>0.8759</v>
      </c>
      <c r="H56" s="209"/>
      <c r="I56" s="319" t="s">
        <v>51</v>
      </c>
      <c r="J56" s="84" t="str">
        <f>ROUND(I23,4)*100&amp;I56</f>
        <v>15%</v>
      </c>
      <c r="K56" s="84" t="str">
        <f>ROUND(J23,4)*100&amp;I56</f>
        <v>14,5%</v>
      </c>
      <c r="L56" s="84" t="str">
        <f>ROUND(K23,4)*100&amp;I56</f>
        <v>15,52%</v>
      </c>
      <c r="M56" s="86" t="str">
        <f>CONCATENATE(J56," ",I53,K56," ",I57," ",L56,I55)</f>
        <v>15% (14,5% a 15,52%)</v>
      </c>
      <c r="N56" s="141"/>
    </row>
    <row r="57" spans="1:14" ht="12.75" customHeight="1" hidden="1">
      <c r="A57" s="322" t="s">
        <v>18</v>
      </c>
      <c r="B57" s="397" t="s">
        <v>72</v>
      </c>
      <c r="C57" s="397" t="s">
        <v>73</v>
      </c>
      <c r="D57" s="397" t="s">
        <v>4</v>
      </c>
      <c r="E57" s="397" t="s">
        <v>57</v>
      </c>
      <c r="F57" s="226" t="s">
        <v>55</v>
      </c>
      <c r="G57" s="318" t="s">
        <v>58</v>
      </c>
      <c r="H57" s="178"/>
      <c r="I57" s="323" t="s">
        <v>18</v>
      </c>
      <c r="J57" s="24"/>
      <c r="K57" s="24"/>
      <c r="L57" s="24"/>
      <c r="M57" s="200"/>
      <c r="N57" s="152"/>
    </row>
    <row r="58" spans="1:21" ht="12.75" customHeight="1" hidden="1">
      <c r="A58" s="324" t="s">
        <v>56</v>
      </c>
      <c r="B58" s="399" t="str">
        <f>CONCATENATE(B56,A58,B21," ",A53,J54,A55)</f>
        <v>1343/9462 (14,19%)</v>
      </c>
      <c r="C58" s="400" t="str">
        <f>CONCATENATE(C56,A58,B22," ",A53,J55,A55)</f>
        <v>1496/9462 (15,81%)</v>
      </c>
      <c r="D58" s="399" t="str">
        <f>CONCATENATE(D54," ",A53,D55,A54,D56,A55)</f>
        <v>0,9 (0,84-0,96)</v>
      </c>
      <c r="E58" s="399" t="str">
        <f>CONCATENATE(E54*100,A56," ",A53,E55*100,A56," ",A57," ",E56*100,A56,A55)</f>
        <v>1,62% (0,6% a 2,63%)</v>
      </c>
      <c r="F58" s="325" t="str">
        <f>CONCATENATE(F54," ",A53,F56," ",A57," ",F55,A55)</f>
        <v>62 (38 a 167)</v>
      </c>
      <c r="G58" s="326" t="str">
        <f>CONCATENATE(G56*100,A56)</f>
        <v>87,59%</v>
      </c>
      <c r="H58" s="178"/>
      <c r="I58" s="327" t="s">
        <v>56</v>
      </c>
      <c r="J58" s="142"/>
      <c r="K58" s="142"/>
      <c r="L58" s="142"/>
      <c r="M58" s="328"/>
      <c r="N58" s="151"/>
      <c r="O58" s="4"/>
      <c r="T58" s="4"/>
      <c r="U58" s="4"/>
    </row>
    <row r="59" spans="1:21" ht="13.5" customHeight="1" hidden="1">
      <c r="A59" s="193"/>
      <c r="B59" s="11"/>
      <c r="C59" s="11"/>
      <c r="D59" s="11"/>
      <c r="E59" s="11"/>
      <c r="F59" s="182"/>
      <c r="G59" s="182"/>
      <c r="H59" s="178"/>
      <c r="O59" s="4"/>
      <c r="T59" s="4"/>
      <c r="U59" s="4"/>
    </row>
    <row r="60" spans="6:21" ht="12.75">
      <c r="F60" s="178"/>
      <c r="G60" s="178"/>
      <c r="H60" s="178"/>
      <c r="I60" s="178"/>
      <c r="J60" s="178"/>
      <c r="K60" s="182"/>
      <c r="L60" s="178"/>
      <c r="M60" s="178"/>
      <c r="N60" s="4"/>
      <c r="O60" s="4"/>
      <c r="T60" s="4"/>
      <c r="U60" s="4"/>
    </row>
    <row r="61" spans="2:21" ht="27" customHeight="1">
      <c r="B61" s="175" t="s">
        <v>72</v>
      </c>
      <c r="C61" s="175" t="s">
        <v>73</v>
      </c>
      <c r="D61" s="176" t="str">
        <f>CONCATENATE(D57," ",A53,G2," ",A52,A56,A55)</f>
        <v>RR (IC 95%)</v>
      </c>
      <c r="E61" s="176" t="str">
        <f>CONCATENATE(E57," ",A53,G2," ",A52,A56,A55)</f>
        <v>RAR (IC 95%)</v>
      </c>
      <c r="F61" s="176" t="str">
        <f>CONCATENATE(F57," ",A53,G2," ",A52,A56,A55)</f>
        <v>NNT (IC 95%)</v>
      </c>
      <c r="G61" s="176" t="s">
        <v>59</v>
      </c>
      <c r="H61" s="177"/>
      <c r="I61" s="176" t="s">
        <v>89</v>
      </c>
      <c r="K61" s="329" t="s">
        <v>135</v>
      </c>
      <c r="L61" s="329" t="s">
        <v>136</v>
      </c>
      <c r="N61" s="4"/>
      <c r="O61" s="4"/>
      <c r="T61" s="4"/>
      <c r="U61" s="4"/>
    </row>
    <row r="62" spans="1:21" ht="21" customHeight="1">
      <c r="A62" s="111"/>
      <c r="B62" s="250" t="str">
        <f aca="true" t="shared" si="0" ref="B62:G62">B58</f>
        <v>1343/9462 (14,19%)</v>
      </c>
      <c r="C62" s="250" t="str">
        <f t="shared" si="0"/>
        <v>1496/9462 (15,81%)</v>
      </c>
      <c r="D62" s="250" t="str">
        <f t="shared" si="0"/>
        <v>0,9 (0,84-0,96)</v>
      </c>
      <c r="E62" s="250" t="str">
        <f t="shared" si="0"/>
        <v>1,62% (0,6% a 2,63%)</v>
      </c>
      <c r="F62" s="250" t="str">
        <f t="shared" si="0"/>
        <v>62 (38 a 167)</v>
      </c>
      <c r="G62" s="250" t="str">
        <f t="shared" si="0"/>
        <v>87,59%</v>
      </c>
      <c r="H62" s="251"/>
      <c r="I62" s="252">
        <f>B49</f>
        <v>0.0018418379603460141</v>
      </c>
      <c r="K62" s="330">
        <f>IF((J26*K26&lt;0),I23,I21)</f>
        <v>0.14193616571549356</v>
      </c>
      <c r="L62" s="330">
        <f>IF((J26*K26&lt;0),I23,I22)</f>
        <v>0.15810610864510674</v>
      </c>
      <c r="N62" s="4"/>
      <c r="O62" s="4"/>
      <c r="T62" s="4"/>
      <c r="U62" s="4"/>
    </row>
    <row r="63" spans="1:14" ht="12.75">
      <c r="A63" s="111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84"/>
    </row>
    <row r="64" ht="12.75">
      <c r="A64" s="421" t="s">
        <v>327</v>
      </c>
    </row>
    <row r="65" ht="12.75">
      <c r="A65" s="422" t="s">
        <v>154</v>
      </c>
    </row>
    <row r="66" ht="13.5" thickBot="1"/>
    <row r="67" spans="1:15" ht="34.5" customHeight="1" thickBot="1">
      <c r="A67" s="404" t="s">
        <v>288</v>
      </c>
      <c r="B67" s="405"/>
      <c r="C67" s="405"/>
      <c r="D67" s="405"/>
      <c r="E67" s="405"/>
      <c r="F67" s="405"/>
      <c r="G67" s="406"/>
      <c r="H67" s="361"/>
      <c r="I67" s="361"/>
      <c r="J67" s="361"/>
      <c r="K67" s="361"/>
      <c r="L67" s="361"/>
      <c r="M67" s="361"/>
      <c r="N67" s="553" t="s">
        <v>146</v>
      </c>
      <c r="O67" s="554"/>
    </row>
    <row r="68" spans="1:15" ht="33" customHeight="1" thickBot="1">
      <c r="A68" s="555" t="s">
        <v>328</v>
      </c>
      <c r="B68" s="419" t="s">
        <v>253</v>
      </c>
      <c r="C68" s="420" t="s">
        <v>254</v>
      </c>
      <c r="D68" s="574" t="s">
        <v>151</v>
      </c>
      <c r="E68" s="575"/>
      <c r="F68" s="575"/>
      <c r="G68" s="576"/>
      <c r="H68" s="361"/>
      <c r="I68" s="361"/>
      <c r="J68" s="361"/>
      <c r="K68" s="361"/>
      <c r="L68" s="361"/>
      <c r="M68" s="361"/>
      <c r="N68" s="544" t="s">
        <v>144</v>
      </c>
      <c r="O68" s="545"/>
    </row>
    <row r="69" spans="1:15" ht="27.75" customHeight="1" thickBot="1">
      <c r="A69" s="556"/>
      <c r="B69" s="409" t="s">
        <v>141</v>
      </c>
      <c r="C69" s="410" t="s">
        <v>141</v>
      </c>
      <c r="D69" s="394" t="s">
        <v>148</v>
      </c>
      <c r="E69" s="395" t="s">
        <v>155</v>
      </c>
      <c r="F69" s="395" t="s">
        <v>156</v>
      </c>
      <c r="G69" s="396" t="s">
        <v>59</v>
      </c>
      <c r="H69" s="361"/>
      <c r="I69" s="408" t="s">
        <v>145</v>
      </c>
      <c r="K69" s="329" t="s">
        <v>135</v>
      </c>
      <c r="L69" s="329" t="s">
        <v>136</v>
      </c>
      <c r="M69" s="361"/>
      <c r="N69" s="366" t="s">
        <v>158</v>
      </c>
      <c r="O69" s="367" t="s">
        <v>138</v>
      </c>
    </row>
    <row r="70" spans="1:16" ht="4.5" customHeight="1">
      <c r="A70" s="402"/>
      <c r="B70" s="403"/>
      <c r="C70" s="403"/>
      <c r="D70" s="388"/>
      <c r="E70" s="388"/>
      <c r="F70" s="388"/>
      <c r="G70" s="388"/>
      <c r="H70" s="407"/>
      <c r="I70" s="361"/>
      <c r="J70" s="361"/>
      <c r="K70" s="361"/>
      <c r="L70" s="361"/>
      <c r="M70" s="361"/>
      <c r="N70" s="361"/>
      <c r="O70" s="361"/>
      <c r="P70" s="361"/>
    </row>
    <row r="71" spans="1:15" ht="27.75" customHeight="1">
      <c r="A71" s="390" t="s">
        <v>211</v>
      </c>
      <c r="B71" s="369" t="s">
        <v>214</v>
      </c>
      <c r="C71" s="369" t="s">
        <v>215</v>
      </c>
      <c r="D71" s="370" t="s">
        <v>216</v>
      </c>
      <c r="E71" s="370" t="s">
        <v>217</v>
      </c>
      <c r="F71" s="372" t="s">
        <v>218</v>
      </c>
      <c r="G71" s="371" t="s">
        <v>219</v>
      </c>
      <c r="H71" s="361"/>
      <c r="I71" s="252">
        <v>0.03474322187982151</v>
      </c>
      <c r="J71" s="361"/>
      <c r="K71" s="330">
        <v>0.7581208337742038</v>
      </c>
      <c r="L71" s="330">
        <v>0.7711532352006778</v>
      </c>
      <c r="M71" s="361"/>
      <c r="N71" s="378">
        <f aca="true" t="shared" si="1" ref="N71:O73">K71*100</f>
        <v>75.81208337742038</v>
      </c>
      <c r="O71" s="379">
        <f t="shared" si="1"/>
        <v>77.11532352006778</v>
      </c>
    </row>
    <row r="72" spans="1:15" ht="27.75" customHeight="1">
      <c r="A72" s="391" t="s">
        <v>326</v>
      </c>
      <c r="B72" s="369" t="s">
        <v>220</v>
      </c>
      <c r="C72" s="369" t="s">
        <v>221</v>
      </c>
      <c r="D72" s="370" t="s">
        <v>222</v>
      </c>
      <c r="E72" s="370" t="s">
        <v>223</v>
      </c>
      <c r="F72" s="372" t="s">
        <v>224</v>
      </c>
      <c r="G72" s="250" t="s">
        <v>225</v>
      </c>
      <c r="H72" s="361"/>
      <c r="I72" s="252">
        <v>0.012454710756717424</v>
      </c>
      <c r="J72" s="361"/>
      <c r="K72" s="330">
        <v>0.2333086445878743</v>
      </c>
      <c r="L72" s="330">
        <v>0.24886159059620883</v>
      </c>
      <c r="M72" s="361"/>
      <c r="N72" s="378">
        <f t="shared" si="1"/>
        <v>23.330864458787428</v>
      </c>
      <c r="O72" s="379">
        <f t="shared" si="1"/>
        <v>24.886159059620883</v>
      </c>
    </row>
    <row r="73" spans="1:15" ht="27.75" customHeight="1">
      <c r="A73" s="391" t="s">
        <v>232</v>
      </c>
      <c r="B73" s="369" t="s">
        <v>233</v>
      </c>
      <c r="C73" s="369" t="s">
        <v>234</v>
      </c>
      <c r="D73" s="370" t="s">
        <v>235</v>
      </c>
      <c r="E73" s="370" t="s">
        <v>236</v>
      </c>
      <c r="F73" s="371" t="s">
        <v>237</v>
      </c>
      <c r="G73" s="250" t="s">
        <v>238</v>
      </c>
      <c r="H73" s="361"/>
      <c r="I73" s="252">
        <v>0.038164484900570006</v>
      </c>
      <c r="J73" s="361"/>
      <c r="K73" s="330">
        <v>0.01915141254893662</v>
      </c>
      <c r="L73" s="330">
        <v>0.023509477920152493</v>
      </c>
      <c r="M73" s="361"/>
      <c r="N73" s="377">
        <f t="shared" si="1"/>
        <v>1.9151412548936622</v>
      </c>
      <c r="O73" s="377">
        <f t="shared" si="1"/>
        <v>2.3509477920152495</v>
      </c>
    </row>
    <row r="74" spans="1:15" ht="27.75" customHeight="1">
      <c r="A74" s="391" t="s">
        <v>212</v>
      </c>
      <c r="B74" s="369" t="s">
        <v>226</v>
      </c>
      <c r="C74" s="369" t="s">
        <v>227</v>
      </c>
      <c r="D74" s="370" t="s">
        <v>228</v>
      </c>
      <c r="E74" s="370" t="s">
        <v>229</v>
      </c>
      <c r="F74" s="371" t="s">
        <v>230</v>
      </c>
      <c r="G74" s="250" t="s">
        <v>231</v>
      </c>
      <c r="H74" s="361"/>
      <c r="I74" s="252">
        <v>0.4605817016602921</v>
      </c>
      <c r="J74" s="361"/>
      <c r="K74" s="330">
        <v>0.035302212342542605</v>
      </c>
      <c r="L74" s="330">
        <v>0.035302212342542605</v>
      </c>
      <c r="M74" s="361"/>
      <c r="N74" s="377">
        <f aca="true" t="shared" si="2" ref="N74:N81">K74*100</f>
        <v>3.5302212342542605</v>
      </c>
      <c r="O74" s="377">
        <f aca="true" t="shared" si="3" ref="O74:O81">L74*100</f>
        <v>3.5302212342542605</v>
      </c>
    </row>
    <row r="75" spans="1:15" ht="27.75" customHeight="1">
      <c r="A75" s="391" t="s">
        <v>239</v>
      </c>
      <c r="B75" s="369" t="s">
        <v>246</v>
      </c>
      <c r="C75" s="369" t="s">
        <v>247</v>
      </c>
      <c r="D75" s="370" t="s">
        <v>248</v>
      </c>
      <c r="E75" s="414" t="s">
        <v>249</v>
      </c>
      <c r="F75" s="371" t="s">
        <v>250</v>
      </c>
      <c r="G75" s="412" t="s">
        <v>251</v>
      </c>
      <c r="H75" s="361"/>
      <c r="I75" s="252">
        <v>0.31674135842224116</v>
      </c>
      <c r="J75" s="361"/>
      <c r="K75" s="330">
        <v>0.09837283602050673</v>
      </c>
      <c r="L75" s="330">
        <v>0.09837283602050673</v>
      </c>
      <c r="M75" s="361"/>
      <c r="N75" s="377">
        <f t="shared" si="2"/>
        <v>9.837283602050672</v>
      </c>
      <c r="O75" s="377">
        <f t="shared" si="3"/>
        <v>9.837283602050672</v>
      </c>
    </row>
    <row r="76" spans="1:15" ht="27.75" customHeight="1">
      <c r="A76" s="391" t="s">
        <v>302</v>
      </c>
      <c r="B76" s="369" t="s">
        <v>240</v>
      </c>
      <c r="C76" s="369" t="s">
        <v>241</v>
      </c>
      <c r="D76" s="370" t="s">
        <v>242</v>
      </c>
      <c r="E76" s="370" t="s">
        <v>243</v>
      </c>
      <c r="F76" s="372" t="s">
        <v>244</v>
      </c>
      <c r="G76" s="250" t="s">
        <v>245</v>
      </c>
      <c r="H76" s="361"/>
      <c r="I76" s="252">
        <v>0.02718391014270472</v>
      </c>
      <c r="J76" s="361"/>
      <c r="K76" s="330">
        <v>0.18824404761904762</v>
      </c>
      <c r="L76" s="330">
        <v>0.21223152530032763</v>
      </c>
      <c r="M76" s="361"/>
      <c r="N76" s="378">
        <f>K76*100</f>
        <v>18.824404761904763</v>
      </c>
      <c r="O76" s="379">
        <f>L76*100</f>
        <v>21.223152530032763</v>
      </c>
    </row>
    <row r="77" spans="1:15" ht="27.75" customHeight="1">
      <c r="A77" s="391" t="s">
        <v>252</v>
      </c>
      <c r="B77" s="369" t="s">
        <v>255</v>
      </c>
      <c r="C77" s="369" t="s">
        <v>256</v>
      </c>
      <c r="D77" s="370" t="s">
        <v>257</v>
      </c>
      <c r="E77" s="370" t="s">
        <v>258</v>
      </c>
      <c r="F77" s="371" t="s">
        <v>259</v>
      </c>
      <c r="G77" s="250" t="s">
        <v>260</v>
      </c>
      <c r="H77" s="361"/>
      <c r="I77" s="252">
        <v>0.16060319914720894</v>
      </c>
      <c r="J77" s="361"/>
      <c r="K77" s="330">
        <v>0.0013231713771567693</v>
      </c>
      <c r="L77" s="330">
        <v>0.0013231713771567693</v>
      </c>
      <c r="M77" s="361"/>
      <c r="N77" s="519">
        <f t="shared" si="2"/>
        <v>0.13231713771567694</v>
      </c>
      <c r="O77" s="519">
        <f t="shared" si="3"/>
        <v>0.13231713771567694</v>
      </c>
    </row>
    <row r="78" spans="1:15" ht="27.75" customHeight="1">
      <c r="A78" s="391" t="s">
        <v>274</v>
      </c>
      <c r="B78" s="369" t="s">
        <v>261</v>
      </c>
      <c r="C78" s="369" t="s">
        <v>262</v>
      </c>
      <c r="D78" s="370" t="s">
        <v>263</v>
      </c>
      <c r="E78" s="370" t="s">
        <v>264</v>
      </c>
      <c r="F78" s="371" t="s">
        <v>265</v>
      </c>
      <c r="G78" s="250" t="s">
        <v>266</v>
      </c>
      <c r="H78" s="361"/>
      <c r="I78" s="252">
        <v>0.16698784286019863</v>
      </c>
      <c r="J78" s="361"/>
      <c r="K78" s="330">
        <v>0.01640732507674394</v>
      </c>
      <c r="L78" s="330">
        <v>0.01640732507674394</v>
      </c>
      <c r="M78" s="361"/>
      <c r="N78" s="377">
        <f t="shared" si="2"/>
        <v>1.6407325076743942</v>
      </c>
      <c r="O78" s="377">
        <f t="shared" si="3"/>
        <v>1.6407325076743942</v>
      </c>
    </row>
    <row r="79" spans="1:15" ht="27.75" customHeight="1">
      <c r="A79" s="391" t="s">
        <v>273</v>
      </c>
      <c r="B79" s="369" t="s">
        <v>267</v>
      </c>
      <c r="C79" s="369" t="s">
        <v>268</v>
      </c>
      <c r="D79" s="370" t="s">
        <v>269</v>
      </c>
      <c r="E79" s="370" t="s">
        <v>270</v>
      </c>
      <c r="F79" s="371" t="s">
        <v>271</v>
      </c>
      <c r="G79" s="250" t="s">
        <v>272</v>
      </c>
      <c r="H79" s="361"/>
      <c r="I79" s="252">
        <v>0.27066582817094825</v>
      </c>
      <c r="J79" s="361"/>
      <c r="K79" s="330">
        <v>0.05472636815920398</v>
      </c>
      <c r="L79" s="330">
        <v>0.05472636815920398</v>
      </c>
      <c r="M79" s="361"/>
      <c r="N79" s="377">
        <f t="shared" si="2"/>
        <v>5.472636815920398</v>
      </c>
      <c r="O79" s="377">
        <f t="shared" si="3"/>
        <v>5.472636815920398</v>
      </c>
    </row>
    <row r="80" spans="1:15" ht="27.75" customHeight="1">
      <c r="A80" s="391" t="s">
        <v>281</v>
      </c>
      <c r="B80" s="369" t="s">
        <v>282</v>
      </c>
      <c r="C80" s="369" t="s">
        <v>283</v>
      </c>
      <c r="D80" s="370" t="s">
        <v>284</v>
      </c>
      <c r="E80" s="370" t="s">
        <v>285</v>
      </c>
      <c r="F80" s="371" t="s">
        <v>286</v>
      </c>
      <c r="G80" s="250" t="s">
        <v>163</v>
      </c>
      <c r="H80" s="361"/>
      <c r="I80" s="252">
        <v>0.3728235118056509</v>
      </c>
      <c r="J80" s="361"/>
      <c r="K80" s="330">
        <v>0.013443421191912776</v>
      </c>
      <c r="L80" s="330">
        <v>0.013443421191912776</v>
      </c>
      <c r="M80" s="361"/>
      <c r="N80" s="377">
        <f t="shared" si="2"/>
        <v>1.3443421191912777</v>
      </c>
      <c r="O80" s="377">
        <f t="shared" si="3"/>
        <v>1.3443421191912777</v>
      </c>
    </row>
    <row r="81" spans="1:15" ht="24.75" customHeight="1">
      <c r="A81" s="391" t="s">
        <v>213</v>
      </c>
      <c r="B81" s="369" t="s">
        <v>275</v>
      </c>
      <c r="C81" s="369" t="s">
        <v>276</v>
      </c>
      <c r="D81" s="370" t="s">
        <v>277</v>
      </c>
      <c r="E81" s="370" t="s">
        <v>278</v>
      </c>
      <c r="F81" s="521" t="s">
        <v>279</v>
      </c>
      <c r="G81" s="413" t="s">
        <v>280</v>
      </c>
      <c r="H81" s="361"/>
      <c r="I81" s="252">
        <v>1.981174488033654E-11</v>
      </c>
      <c r="J81" s="361"/>
      <c r="K81" s="330">
        <v>0.03809120727965295</v>
      </c>
      <c r="L81" s="330">
        <v>0.021497405485544848</v>
      </c>
      <c r="M81" s="361"/>
      <c r="N81" s="379">
        <f t="shared" si="2"/>
        <v>3.8091207279652948</v>
      </c>
      <c r="O81" s="378">
        <f t="shared" si="3"/>
        <v>2.149740548554485</v>
      </c>
    </row>
    <row r="82" spans="1:15" ht="7.5" customHeight="1">
      <c r="A82" s="411"/>
      <c r="B82" s="361"/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</row>
    <row r="83" spans="1:15" ht="39.75" customHeight="1">
      <c r="A83" s="563" t="s">
        <v>143</v>
      </c>
      <c r="B83" s="564"/>
      <c r="C83" s="564"/>
      <c r="D83" s="564"/>
      <c r="E83" s="564"/>
      <c r="F83" s="564"/>
      <c r="G83" s="565"/>
      <c r="H83" s="361"/>
      <c r="I83" s="361"/>
      <c r="J83" s="361"/>
      <c r="K83" s="361"/>
      <c r="L83" s="361"/>
      <c r="M83" s="361"/>
      <c r="N83" s="361"/>
      <c r="O83" s="361"/>
    </row>
  </sheetData>
  <sheetProtection/>
  <mergeCells count="8">
    <mergeCell ref="A83:G83"/>
    <mergeCell ref="N67:O67"/>
    <mergeCell ref="N68:O68"/>
    <mergeCell ref="B44:C44"/>
    <mergeCell ref="A2:E2"/>
    <mergeCell ref="A3:E3"/>
    <mergeCell ref="A68:A69"/>
    <mergeCell ref="D68:G68"/>
  </mergeCells>
  <printOptions/>
  <pageMargins left="0.7" right="0.7" top="0.75" bottom="0.75" header="0.3" footer="0.3"/>
  <pageSetup horizontalDpi="300" verticalDpi="300" orientation="portrait" paperSize="9" r:id="rId1"/>
  <ignoredErrors>
    <ignoredError sqref="G71:G76 G77:G8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V33"/>
  <sheetViews>
    <sheetView zoomScalePageLayoutView="0" workbookViewId="0" topLeftCell="A1">
      <selection activeCell="M15" sqref="M15"/>
    </sheetView>
  </sheetViews>
  <sheetFormatPr defaultColWidth="25.28125" defaultRowHeight="12.75"/>
  <cols>
    <col min="1" max="1" width="1.7109375" style="0" customWidth="1"/>
    <col min="2" max="2" width="27.00390625" style="0" customWidth="1"/>
    <col min="3" max="3" width="17.28125" style="0" customWidth="1"/>
    <col min="4" max="4" width="10.7109375" style="0" customWidth="1"/>
    <col min="5" max="5" width="10.28125" style="0" customWidth="1"/>
    <col min="6" max="6" width="5.28125" style="0" customWidth="1"/>
    <col min="7" max="7" width="10.7109375" style="0" customWidth="1"/>
    <col min="8" max="9" width="11.421875" style="0" customWidth="1"/>
    <col min="10" max="10" width="23.421875" style="0" customWidth="1"/>
    <col min="11" max="11" width="0.9921875" style="0" customWidth="1"/>
    <col min="12" max="12" width="5.140625" style="0" customWidth="1"/>
    <col min="13" max="255" width="11.421875" style="0" customWidth="1"/>
  </cols>
  <sheetData>
    <row r="1" ht="7.5" customHeight="1" thickBot="1"/>
    <row r="2" spans="2:9" ht="19.5" thickBot="1">
      <c r="B2" s="577" t="s">
        <v>174</v>
      </c>
      <c r="C2" s="578"/>
      <c r="D2" s="578"/>
      <c r="E2" s="578"/>
      <c r="F2" s="578"/>
      <c r="G2" s="578"/>
      <c r="H2" s="578"/>
      <c r="I2" s="579"/>
    </row>
    <row r="3" spans="2:9" ht="26.25" customHeight="1">
      <c r="B3" s="552" t="s">
        <v>175</v>
      </c>
      <c r="C3" s="552"/>
      <c r="D3" s="552"/>
      <c r="E3" s="552"/>
      <c r="F3" s="552"/>
      <c r="G3" s="552"/>
      <c r="H3" s="552"/>
      <c r="I3" s="552"/>
    </row>
    <row r="4" spans="2:9" ht="5.25" customHeight="1" thickBot="1">
      <c r="B4" s="431"/>
      <c r="C4" s="431"/>
      <c r="D4" s="431"/>
      <c r="E4" s="431"/>
      <c r="F4" s="431"/>
      <c r="G4" s="431"/>
      <c r="H4" s="431"/>
      <c r="I4" s="431"/>
    </row>
    <row r="5" spans="2:19" s="436" customFormat="1" ht="18.75">
      <c r="B5" s="432" t="s">
        <v>176</v>
      </c>
      <c r="C5" s="433" t="s">
        <v>177</v>
      </c>
      <c r="D5" s="434" t="s">
        <v>178</v>
      </c>
      <c r="E5" s="433"/>
      <c r="F5" s="433"/>
      <c r="G5" s="433"/>
      <c r="H5" s="433"/>
      <c r="I5" s="435"/>
      <c r="Q5" s="437"/>
      <c r="R5" s="438"/>
      <c r="S5" s="438"/>
    </row>
    <row r="6" spans="2:19" s="436" customFormat="1" ht="18">
      <c r="B6" s="439" t="s">
        <v>179</v>
      </c>
      <c r="C6" s="440">
        <v>0.0285</v>
      </c>
      <c r="D6" s="441" t="s">
        <v>180</v>
      </c>
      <c r="E6" s="442">
        <v>3</v>
      </c>
      <c r="F6" s="443" t="s">
        <v>181</v>
      </c>
      <c r="G6" s="444"/>
      <c r="H6" s="445" t="s">
        <v>182</v>
      </c>
      <c r="I6" s="446">
        <f>E6*C6</f>
        <v>0.0855</v>
      </c>
      <c r="Q6" s="437"/>
      <c r="R6" s="438"/>
      <c r="S6" s="438"/>
    </row>
    <row r="7" spans="2:19" s="436" customFormat="1" ht="15">
      <c r="B7" s="447" t="s">
        <v>183</v>
      </c>
      <c r="C7" s="448">
        <v>0.851</v>
      </c>
      <c r="D7" s="443"/>
      <c r="E7" s="443"/>
      <c r="F7" s="443"/>
      <c r="G7" s="443"/>
      <c r="H7" s="443"/>
      <c r="I7" s="449"/>
      <c r="R7" s="438"/>
      <c r="S7" s="438"/>
    </row>
    <row r="8" spans="2:9" s="436" customFormat="1" ht="19.5" thickBot="1">
      <c r="B8" s="450" t="s">
        <v>184</v>
      </c>
      <c r="C8" s="451">
        <f>1-((1-I6)^C7)</f>
        <v>0.07323988014835037</v>
      </c>
      <c r="D8" s="452"/>
      <c r="E8" s="452"/>
      <c r="F8" s="452"/>
      <c r="G8" s="452"/>
      <c r="H8" s="452"/>
      <c r="I8" s="453"/>
    </row>
    <row r="9" s="436" customFormat="1" ht="10.5" customHeight="1" thickBot="1"/>
    <row r="10" spans="2:9" s="438" customFormat="1" ht="15.75" hidden="1" thickBot="1">
      <c r="B10" s="454"/>
      <c r="C10" s="455"/>
      <c r="D10" s="456"/>
      <c r="E10" s="457"/>
      <c r="G10" s="436"/>
      <c r="H10" s="436"/>
      <c r="I10" s="436"/>
    </row>
    <row r="11" spans="2:20" s="436" customFormat="1" ht="15.75" hidden="1" thickBot="1">
      <c r="B11" s="458" t="s">
        <v>185</v>
      </c>
      <c r="M11" s="438"/>
      <c r="N11" s="438"/>
      <c r="S11" s="438"/>
      <c r="T11" s="438"/>
    </row>
    <row r="12" spans="2:20" s="436" customFormat="1" ht="19.5" hidden="1" thickBot="1">
      <c r="B12" s="436" t="s">
        <v>186</v>
      </c>
      <c r="D12" s="459" t="s">
        <v>187</v>
      </c>
      <c r="M12" s="438"/>
      <c r="N12" s="438"/>
      <c r="S12" s="438"/>
      <c r="T12" s="438"/>
    </row>
    <row r="13" spans="2:20" s="436" customFormat="1" ht="18" hidden="1" thickBot="1">
      <c r="B13" s="460" t="s">
        <v>188</v>
      </c>
      <c r="D13" s="459"/>
      <c r="G13" s="459" t="s">
        <v>189</v>
      </c>
      <c r="M13" s="438"/>
      <c r="N13" s="438"/>
      <c r="S13" s="438"/>
      <c r="T13" s="438"/>
    </row>
    <row r="14" spans="2:20" s="436" customFormat="1" ht="33" customHeight="1" thickBot="1">
      <c r="B14" s="580" t="s">
        <v>190</v>
      </c>
      <c r="C14" s="581"/>
      <c r="D14" s="581"/>
      <c r="E14" s="582"/>
      <c r="G14" s="461"/>
      <c r="H14" s="462"/>
      <c r="I14" s="462"/>
      <c r="J14" s="462"/>
      <c r="K14" s="4"/>
      <c r="M14" s="438"/>
      <c r="N14" s="438"/>
      <c r="S14" s="438"/>
      <c r="T14" s="438"/>
    </row>
    <row r="15" spans="2:22" s="436" customFormat="1" ht="15.75">
      <c r="B15" s="463" t="s">
        <v>75</v>
      </c>
      <c r="C15" s="464">
        <f>I6</f>
        <v>0.0855</v>
      </c>
      <c r="D15" s="465" t="s">
        <v>191</v>
      </c>
      <c r="E15" s="466">
        <f>1-C15</f>
        <v>0.9145</v>
      </c>
      <c r="F15" s="460"/>
      <c r="G15" s="461"/>
      <c r="H15" s="467"/>
      <c r="I15" s="462"/>
      <c r="J15" s="462"/>
      <c r="K15" s="4"/>
      <c r="M15" s="438"/>
      <c r="N15" s="438"/>
      <c r="V15" s="468" t="e">
        <f>Q5/S5</f>
        <v>#DIV/0!</v>
      </c>
    </row>
    <row r="16" spans="2:22" s="436" customFormat="1" ht="15.75">
      <c r="B16" s="469" t="s">
        <v>192</v>
      </c>
      <c r="C16" s="470">
        <f>C8</f>
        <v>0.07323988014835037</v>
      </c>
      <c r="D16" s="471" t="s">
        <v>193</v>
      </c>
      <c r="E16" s="472">
        <f>1-C16</f>
        <v>0.9267601198516496</v>
      </c>
      <c r="F16" s="460"/>
      <c r="G16" s="461"/>
      <c r="H16" s="467"/>
      <c r="I16" s="462"/>
      <c r="J16" s="462"/>
      <c r="K16" s="4"/>
      <c r="M16" s="438"/>
      <c r="N16" s="438"/>
      <c r="V16" s="468" t="e">
        <f>Q6/S6</f>
        <v>#DIV/0!</v>
      </c>
    </row>
    <row r="17" spans="2:14" s="436" customFormat="1" ht="15.75">
      <c r="B17" s="473" t="s">
        <v>194</v>
      </c>
      <c r="C17" s="474">
        <f>(C15+C16)/2</f>
        <v>0.0793699400741752</v>
      </c>
      <c r="D17" s="471" t="s">
        <v>195</v>
      </c>
      <c r="E17" s="472">
        <f>1-C17</f>
        <v>0.9206300599258248</v>
      </c>
      <c r="F17" s="460"/>
      <c r="G17" s="462"/>
      <c r="H17" s="462"/>
      <c r="I17" s="475"/>
      <c r="J17" s="462"/>
      <c r="K17" s="4"/>
      <c r="M17" s="438"/>
      <c r="N17" s="438"/>
    </row>
    <row r="18" spans="2:20" s="436" customFormat="1" ht="15.75">
      <c r="B18" s="476" t="s">
        <v>301</v>
      </c>
      <c r="C18" s="477">
        <v>0.05</v>
      </c>
      <c r="D18" s="478" t="s">
        <v>196</v>
      </c>
      <c r="E18" s="472">
        <f>-NORMSINV((C18*100/2)/100)</f>
        <v>1.9599639845400538</v>
      </c>
      <c r="F18" s="460"/>
      <c r="G18" s="479" t="s">
        <v>197</v>
      </c>
      <c r="H18" s="480"/>
      <c r="I18" s="481"/>
      <c r="J18" s="482"/>
      <c r="K18" s="4"/>
      <c r="M18" s="438"/>
      <c r="N18" s="438"/>
      <c r="S18" s="438"/>
      <c r="T18" s="438"/>
    </row>
    <row r="19" spans="2:20" s="436" customFormat="1" ht="15.75">
      <c r="B19" s="476" t="s">
        <v>300</v>
      </c>
      <c r="C19" s="483">
        <v>0.1</v>
      </c>
      <c r="D19" s="484" t="s">
        <v>198</v>
      </c>
      <c r="E19" s="472">
        <f>-NORMSINV(C19)</f>
        <v>1.2815515655446006</v>
      </c>
      <c r="F19" s="460"/>
      <c r="G19" s="485">
        <f>E27*C15</f>
        <v>873.4680000000001</v>
      </c>
      <c r="H19" s="486" t="s">
        <v>199</v>
      </c>
      <c r="I19" s="487"/>
      <c r="J19" s="482"/>
      <c r="K19" s="4"/>
      <c r="M19" s="438"/>
      <c r="N19" s="438"/>
      <c r="S19" s="438"/>
      <c r="T19" s="438"/>
    </row>
    <row r="20" spans="2:20" s="436" customFormat="1" ht="15.75">
      <c r="B20" s="476" t="s">
        <v>200</v>
      </c>
      <c r="C20" s="488">
        <f>2*C17*E17*(E18+E19)^2</f>
        <v>1.535562217857701</v>
      </c>
      <c r="D20" s="441"/>
      <c r="E20" s="449"/>
      <c r="F20" s="460"/>
      <c r="G20" s="489">
        <f>E27*C16</f>
        <v>748.2186155955474</v>
      </c>
      <c r="H20" s="490" t="s">
        <v>201</v>
      </c>
      <c r="I20" s="491"/>
      <c r="J20" s="492"/>
      <c r="K20" s="4"/>
      <c r="M20" s="438"/>
      <c r="N20" s="438"/>
      <c r="S20" s="438"/>
      <c r="T20" s="438"/>
    </row>
    <row r="21" spans="2:20" s="436" customFormat="1" ht="15.75">
      <c r="B21" s="476" t="s">
        <v>202</v>
      </c>
      <c r="C21" s="493">
        <f>(C15-C16)^2</f>
        <v>0.00015031053877681357</v>
      </c>
      <c r="D21" s="443"/>
      <c r="E21" s="449"/>
      <c r="F21" s="460"/>
      <c r="G21" s="494">
        <f>SUM(G19:G20)</f>
        <v>1621.6866155955474</v>
      </c>
      <c r="H21" s="479" t="s">
        <v>203</v>
      </c>
      <c r="I21" s="480"/>
      <c r="J21" s="482"/>
      <c r="K21" s="4"/>
      <c r="M21" s="438"/>
      <c r="N21" s="438"/>
      <c r="S21" s="438"/>
      <c r="T21" s="438"/>
    </row>
    <row r="22" spans="2:20" s="436" customFormat="1" ht="15">
      <c r="B22" s="495" t="s">
        <v>204</v>
      </c>
      <c r="C22" s="496">
        <f>ROUNDUP(C20/C21,0)</f>
        <v>10216</v>
      </c>
      <c r="D22" s="497"/>
      <c r="E22" s="449"/>
      <c r="F22" s="460"/>
      <c r="K22" s="4"/>
      <c r="M22" s="438"/>
      <c r="N22" s="438"/>
      <c r="S22" s="438"/>
      <c r="T22" s="438"/>
    </row>
    <row r="23" spans="2:20" s="436" customFormat="1" ht="15.75" thickBot="1">
      <c r="B23" s="498" t="s">
        <v>205</v>
      </c>
      <c r="C23" s="499">
        <f>C22*2</f>
        <v>20432</v>
      </c>
      <c r="D23" s="500"/>
      <c r="E23" s="453"/>
      <c r="F23" s="460"/>
      <c r="G23" s="460"/>
      <c r="H23" s="460"/>
      <c r="I23" s="501"/>
      <c r="J23" s="460"/>
      <c r="M23" s="438"/>
      <c r="N23" s="438"/>
      <c r="S23" s="438"/>
      <c r="T23" s="438"/>
    </row>
    <row r="24" s="436" customFormat="1" ht="6.75" customHeight="1">
      <c r="H24" s="502"/>
    </row>
    <row r="25" spans="2:4" s="436" customFormat="1" ht="15">
      <c r="B25" s="503" t="s">
        <v>206</v>
      </c>
      <c r="C25" s="504"/>
      <c r="D25" s="503" t="s">
        <v>207</v>
      </c>
    </row>
    <row r="26" s="436" customFormat="1" ht="15"/>
    <row r="27" spans="2:8" s="436" customFormat="1" ht="15">
      <c r="B27" s="505" t="s">
        <v>208</v>
      </c>
      <c r="C27" s="506">
        <v>0</v>
      </c>
      <c r="D27" s="460" t="s">
        <v>209</v>
      </c>
      <c r="E27" s="496">
        <f>C22*1/(1-C27)</f>
        <v>10216</v>
      </c>
      <c r="F27" s="436" t="s">
        <v>210</v>
      </c>
      <c r="G27" s="504"/>
      <c r="H27" s="504"/>
    </row>
    <row r="28" s="507" customFormat="1" ht="6.75" customHeight="1">
      <c r="I28" s="4"/>
    </row>
    <row r="29" spans="4:9" s="507" customFormat="1" ht="15">
      <c r="D29" s="508"/>
      <c r="E29" s="509"/>
      <c r="I29" s="4"/>
    </row>
    <row r="30" spans="4:16" s="507" customFormat="1" ht="15">
      <c r="D30" s="508"/>
      <c r="E30" s="509"/>
      <c r="I30" s="4"/>
      <c r="J30" s="11"/>
      <c r="K30" s="11"/>
      <c r="L30" s="11"/>
      <c r="M30" s="11"/>
      <c r="N30" s="11"/>
      <c r="O30" s="11"/>
      <c r="P30" s="11"/>
    </row>
    <row r="31" spans="10:16" ht="12.75">
      <c r="J31" s="510"/>
      <c r="K31" s="511"/>
      <c r="L31" s="511"/>
      <c r="M31" s="510"/>
      <c r="N31" s="511"/>
      <c r="O31" s="511"/>
      <c r="P31" s="512"/>
    </row>
    <row r="32" spans="5:16" ht="12.75">
      <c r="E32" s="513"/>
      <c r="J32" s="514"/>
      <c r="K32" s="515"/>
      <c r="L32" s="515"/>
      <c r="M32" s="515"/>
      <c r="N32" s="516"/>
      <c r="O32" s="515"/>
      <c r="P32" s="517"/>
    </row>
    <row r="33" spans="7:9" ht="12.75">
      <c r="G33" s="518"/>
      <c r="H33" s="518"/>
      <c r="I33" s="518"/>
    </row>
  </sheetData>
  <sheetProtection/>
  <mergeCells count="3">
    <mergeCell ref="B2:I2"/>
    <mergeCell ref="B3:I3"/>
    <mergeCell ref="B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2014-05-23T10:57:58Z</cp:lastPrinted>
  <dcterms:created xsi:type="dcterms:W3CDTF">2009-05-28T14:19:22Z</dcterms:created>
  <dcterms:modified xsi:type="dcterms:W3CDTF">2020-11-20T12:56:37Z</dcterms:modified>
  <cp:category/>
  <cp:version/>
  <cp:contentType/>
  <cp:contentStatus/>
</cp:coreProperties>
</file>