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galoa\Desktop\202230326-KN-048, CabCu\"/>
    </mc:Choice>
  </mc:AlternateContent>
  <xr:revisionPtr revIDLastSave="0" documentId="13_ncr:1_{6AE3D3C0-231B-4F08-8DD0-74B45F8B17C8}" xr6:coauthVersionLast="36" xr6:coauthVersionMax="36" xr10:uidLastSave="{00000000-0000-0000-0000-000000000000}"/>
  <bookViews>
    <workbookView xWindow="-110" yWindow="-110" windowWidth="19420" windowHeight="10420" tabRatio="687" xr2:uid="{00000000-000D-0000-FFFF-FFFF00000000}"/>
  </bookViews>
  <sheets>
    <sheet name="3.1 SG, B vs A, CC" sheetId="43" r:id="rId1"/>
    <sheet name="3.2 SG, B vs A,+1" sheetId="39" r:id="rId2"/>
    <sheet name="3.3 SG, B vs A,+20" sheetId="38" r:id="rId3"/>
  </sheets>
  <calcPr calcId="191029"/>
</workbook>
</file>

<file path=xl/calcChain.xml><?xml version="1.0" encoding="utf-8"?>
<calcChain xmlns="http://schemas.openxmlformats.org/spreadsheetml/2006/main">
  <c r="B58" i="38" l="1"/>
  <c r="M58" i="38"/>
  <c r="P58" i="38"/>
  <c r="B58" i="39"/>
  <c r="M58" i="39"/>
  <c r="P58" i="39"/>
  <c r="B57" i="39"/>
  <c r="M57" i="39"/>
  <c r="P57" i="39"/>
  <c r="B58" i="43"/>
  <c r="M58" i="43"/>
  <c r="P58" i="43"/>
  <c r="B57" i="43"/>
  <c r="M57" i="43"/>
  <c r="P57" i="43"/>
  <c r="B56" i="43"/>
  <c r="M56" i="43"/>
  <c r="P56" i="43"/>
  <c r="B55" i="43"/>
  <c r="M55" i="43"/>
  <c r="P55" i="43"/>
  <c r="B54" i="43"/>
  <c r="M54" i="43"/>
  <c r="P54" i="43"/>
  <c r="B53" i="43"/>
  <c r="M53" i="43"/>
  <c r="P53" i="43"/>
  <c r="G92" i="38" l="1"/>
  <c r="E92" i="38"/>
  <c r="C92" i="38"/>
  <c r="G91" i="38"/>
  <c r="E91" i="38"/>
  <c r="C91" i="38"/>
  <c r="G90" i="38"/>
  <c r="E90" i="38"/>
  <c r="F90" i="38" s="1"/>
  <c r="I90" i="38" s="1"/>
  <c r="J90" i="38" s="1"/>
  <c r="C90" i="38"/>
  <c r="G89" i="38"/>
  <c r="E89" i="38"/>
  <c r="F89" i="38" s="1"/>
  <c r="I89" i="38" s="1"/>
  <c r="J89" i="38" s="1"/>
  <c r="C89" i="38"/>
  <c r="G88" i="38"/>
  <c r="E88" i="38"/>
  <c r="F88" i="38" s="1"/>
  <c r="I88" i="38" s="1"/>
  <c r="J88" i="38" s="1"/>
  <c r="C88" i="38"/>
  <c r="G87" i="38"/>
  <c r="E87" i="38"/>
  <c r="C87" i="38"/>
  <c r="G86" i="38"/>
  <c r="E86" i="38"/>
  <c r="C86" i="38"/>
  <c r="G85" i="38"/>
  <c r="E85" i="38"/>
  <c r="C85" i="38"/>
  <c r="G84" i="38"/>
  <c r="E84" i="38"/>
  <c r="F84" i="38" s="1"/>
  <c r="C84" i="38"/>
  <c r="E83" i="38"/>
  <c r="I83" i="38" s="1"/>
  <c r="J83" i="38" s="1"/>
  <c r="K83" i="38" s="1"/>
  <c r="G24" i="38"/>
  <c r="E24" i="38"/>
  <c r="C24" i="38"/>
  <c r="G23" i="38"/>
  <c r="E23" i="38"/>
  <c r="C23" i="38"/>
  <c r="G22" i="38"/>
  <c r="E22" i="38"/>
  <c r="C22" i="38"/>
  <c r="G21" i="38"/>
  <c r="E21" i="38"/>
  <c r="C21" i="38"/>
  <c r="G20" i="38"/>
  <c r="E20" i="38"/>
  <c r="F20" i="38" s="1"/>
  <c r="I20" i="38" s="1"/>
  <c r="J20" i="38" s="1"/>
  <c r="C20" i="38"/>
  <c r="G19" i="38"/>
  <c r="E19" i="38"/>
  <c r="F19" i="38" s="1"/>
  <c r="I19" i="38" s="1"/>
  <c r="J19" i="38" s="1"/>
  <c r="C19" i="38"/>
  <c r="G18" i="38"/>
  <c r="E18" i="38"/>
  <c r="F18" i="38" s="1"/>
  <c r="I18" i="38" s="1"/>
  <c r="J18" i="38" s="1"/>
  <c r="C18" i="38"/>
  <c r="G17" i="38"/>
  <c r="E17" i="38"/>
  <c r="C17" i="38"/>
  <c r="G16" i="38"/>
  <c r="E16" i="38"/>
  <c r="C16" i="38"/>
  <c r="E15" i="38"/>
  <c r="I15" i="38" s="1"/>
  <c r="J15" i="38" s="1"/>
  <c r="K15" i="38" s="1"/>
  <c r="G110" i="38"/>
  <c r="E110" i="38"/>
  <c r="F110" i="38" s="1"/>
  <c r="I110" i="38" s="1"/>
  <c r="J110" i="38" s="1"/>
  <c r="C110" i="38"/>
  <c r="G109" i="38"/>
  <c r="E109" i="38"/>
  <c r="F109" i="38" s="1"/>
  <c r="I109" i="38" s="1"/>
  <c r="J109" i="38" s="1"/>
  <c r="C109" i="38"/>
  <c r="G108" i="38"/>
  <c r="E108" i="38"/>
  <c r="C108" i="38"/>
  <c r="G107" i="38"/>
  <c r="E107" i="38"/>
  <c r="C107" i="38"/>
  <c r="G106" i="38"/>
  <c r="E106" i="38"/>
  <c r="C106" i="38"/>
  <c r="G105" i="38"/>
  <c r="E105" i="38"/>
  <c r="F105" i="38" s="1"/>
  <c r="I105" i="38" s="1"/>
  <c r="J105" i="38" s="1"/>
  <c r="C105" i="38"/>
  <c r="G104" i="38"/>
  <c r="E104" i="38"/>
  <c r="F104" i="38" s="1"/>
  <c r="I104" i="38" s="1"/>
  <c r="J104" i="38" s="1"/>
  <c r="C104" i="38"/>
  <c r="G103" i="38"/>
  <c r="E103" i="38"/>
  <c r="F103" i="38" s="1"/>
  <c r="I103" i="38" s="1"/>
  <c r="J103" i="38" s="1"/>
  <c r="C103" i="38"/>
  <c r="G102" i="38"/>
  <c r="E102" i="38"/>
  <c r="C102" i="38"/>
  <c r="E101" i="38"/>
  <c r="I101" i="38" s="1"/>
  <c r="J101" i="38" s="1"/>
  <c r="K101" i="38" s="1"/>
  <c r="G40" i="38"/>
  <c r="E40" i="38"/>
  <c r="D58" i="38" s="1"/>
  <c r="C40" i="38"/>
  <c r="G39" i="38"/>
  <c r="E39" i="38"/>
  <c r="F39" i="38" s="1"/>
  <c r="I39" i="38" s="1"/>
  <c r="J39" i="38" s="1"/>
  <c r="C39" i="38"/>
  <c r="G38" i="38"/>
  <c r="E38" i="38"/>
  <c r="C38" i="38"/>
  <c r="G37" i="38"/>
  <c r="E37" i="38"/>
  <c r="F37" i="38" s="1"/>
  <c r="I37" i="38" s="1"/>
  <c r="J37" i="38" s="1"/>
  <c r="C37" i="38"/>
  <c r="G36" i="38"/>
  <c r="E36" i="38"/>
  <c r="C36" i="38"/>
  <c r="G35" i="38"/>
  <c r="E35" i="38"/>
  <c r="C35" i="38"/>
  <c r="G34" i="38"/>
  <c r="E34" i="38"/>
  <c r="F34" i="38" s="1"/>
  <c r="I34" i="38" s="1"/>
  <c r="J34" i="38" s="1"/>
  <c r="C34" i="38"/>
  <c r="G33" i="38"/>
  <c r="E33" i="38"/>
  <c r="F33" i="38" s="1"/>
  <c r="I33" i="38" s="1"/>
  <c r="J33" i="38" s="1"/>
  <c r="C33" i="38"/>
  <c r="G32" i="38"/>
  <c r="E32" i="38"/>
  <c r="C32" i="38"/>
  <c r="E31" i="38"/>
  <c r="I31" i="38" s="1"/>
  <c r="J31" i="38" s="1"/>
  <c r="K31" i="38" s="1"/>
  <c r="G24" i="39"/>
  <c r="E24" i="39"/>
  <c r="C58" i="39" s="1"/>
  <c r="C24" i="39"/>
  <c r="G23" i="39"/>
  <c r="E23" i="39"/>
  <c r="C57" i="39" s="1"/>
  <c r="C23" i="39"/>
  <c r="G22" i="39"/>
  <c r="E22" i="39"/>
  <c r="F22" i="39" s="1"/>
  <c r="I22" i="39" s="1"/>
  <c r="J22" i="39" s="1"/>
  <c r="C22" i="39"/>
  <c r="G21" i="39"/>
  <c r="E21" i="39"/>
  <c r="F21" i="39" s="1"/>
  <c r="I21" i="39" s="1"/>
  <c r="J21" i="39" s="1"/>
  <c r="C21" i="39"/>
  <c r="G20" i="39"/>
  <c r="E20" i="39"/>
  <c r="F20" i="39" s="1"/>
  <c r="I20" i="39" s="1"/>
  <c r="J20" i="39" s="1"/>
  <c r="C20" i="39"/>
  <c r="G19" i="39"/>
  <c r="E19" i="39"/>
  <c r="C19" i="39"/>
  <c r="G18" i="39"/>
  <c r="E18" i="39"/>
  <c r="C18" i="39"/>
  <c r="G17" i="39"/>
  <c r="E17" i="39"/>
  <c r="C17" i="39"/>
  <c r="G16" i="39"/>
  <c r="E16" i="39"/>
  <c r="F16" i="39" s="1"/>
  <c r="C16" i="39"/>
  <c r="E15" i="39"/>
  <c r="I15" i="39" s="1"/>
  <c r="J15" i="39" s="1"/>
  <c r="K15" i="39" s="1"/>
  <c r="G92" i="39"/>
  <c r="E92" i="39"/>
  <c r="F92" i="39" s="1"/>
  <c r="I92" i="39" s="1"/>
  <c r="J92" i="39" s="1"/>
  <c r="C92" i="39"/>
  <c r="G91" i="39"/>
  <c r="E91" i="39"/>
  <c r="C91" i="39"/>
  <c r="G90" i="39"/>
  <c r="E90" i="39"/>
  <c r="C90" i="39"/>
  <c r="G89" i="39"/>
  <c r="E89" i="39"/>
  <c r="C89" i="39"/>
  <c r="G88" i="39"/>
  <c r="E88" i="39"/>
  <c r="F88" i="39" s="1"/>
  <c r="I88" i="39" s="1"/>
  <c r="J88" i="39" s="1"/>
  <c r="C88" i="39"/>
  <c r="G87" i="39"/>
  <c r="E87" i="39"/>
  <c r="C87" i="39"/>
  <c r="G86" i="39"/>
  <c r="E86" i="39"/>
  <c r="C86" i="39"/>
  <c r="G85" i="39"/>
  <c r="E85" i="39"/>
  <c r="C85" i="39"/>
  <c r="G84" i="39"/>
  <c r="E84" i="39"/>
  <c r="F84" i="39" s="1"/>
  <c r="C84" i="39"/>
  <c r="E83" i="39"/>
  <c r="I83" i="39" s="1"/>
  <c r="J83" i="39" s="1"/>
  <c r="K83" i="39" s="1"/>
  <c r="G110" i="39"/>
  <c r="E110" i="39"/>
  <c r="F110" i="39" s="1"/>
  <c r="I110" i="39" s="1"/>
  <c r="J110" i="39" s="1"/>
  <c r="C110" i="39"/>
  <c r="G109" i="39"/>
  <c r="E109" i="39"/>
  <c r="F109" i="39" s="1"/>
  <c r="I109" i="39" s="1"/>
  <c r="J109" i="39" s="1"/>
  <c r="C109" i="39"/>
  <c r="G108" i="39"/>
  <c r="E108" i="39"/>
  <c r="C108" i="39"/>
  <c r="G107" i="39"/>
  <c r="E107" i="39"/>
  <c r="C107" i="39"/>
  <c r="G106" i="39"/>
  <c r="E106" i="39"/>
  <c r="C106" i="39"/>
  <c r="G105" i="39"/>
  <c r="E105" i="39"/>
  <c r="C105" i="39"/>
  <c r="G104" i="39"/>
  <c r="E104" i="39"/>
  <c r="F104" i="39" s="1"/>
  <c r="I104" i="39" s="1"/>
  <c r="J104" i="39" s="1"/>
  <c r="C104" i="39"/>
  <c r="G103" i="39"/>
  <c r="E103" i="39"/>
  <c r="F103" i="39" s="1"/>
  <c r="I103" i="39" s="1"/>
  <c r="J103" i="39" s="1"/>
  <c r="C103" i="39"/>
  <c r="G102" i="39"/>
  <c r="E102" i="39"/>
  <c r="C102" i="39"/>
  <c r="E101" i="39"/>
  <c r="I101" i="39" s="1"/>
  <c r="J101" i="39" s="1"/>
  <c r="K101" i="39" s="1"/>
  <c r="G40" i="39"/>
  <c r="E40" i="39"/>
  <c r="D58" i="39" s="1"/>
  <c r="C40" i="39"/>
  <c r="G39" i="39"/>
  <c r="E39" i="39"/>
  <c r="D57" i="39" s="1"/>
  <c r="C39" i="39"/>
  <c r="G38" i="39"/>
  <c r="E38" i="39"/>
  <c r="F38" i="39" s="1"/>
  <c r="I38" i="39" s="1"/>
  <c r="J38" i="39" s="1"/>
  <c r="C38" i="39"/>
  <c r="G37" i="39"/>
  <c r="E37" i="39"/>
  <c r="F37" i="39" s="1"/>
  <c r="I37" i="39" s="1"/>
  <c r="J37" i="39" s="1"/>
  <c r="C37" i="39"/>
  <c r="G36" i="39"/>
  <c r="E36" i="39"/>
  <c r="C36" i="39"/>
  <c r="G35" i="39"/>
  <c r="E35" i="39"/>
  <c r="C35" i="39"/>
  <c r="G34" i="39"/>
  <c r="E34" i="39"/>
  <c r="C34" i="39"/>
  <c r="G33" i="39"/>
  <c r="E33" i="39"/>
  <c r="C33" i="39"/>
  <c r="G32" i="39"/>
  <c r="E32" i="39"/>
  <c r="C32" i="39"/>
  <c r="E31" i="39"/>
  <c r="I31" i="39" s="1"/>
  <c r="J31" i="39" s="1"/>
  <c r="K31" i="39" s="1"/>
  <c r="G111" i="43"/>
  <c r="E111" i="43"/>
  <c r="C111" i="43"/>
  <c r="G110" i="43"/>
  <c r="E110" i="43"/>
  <c r="C110" i="43"/>
  <c r="G109" i="43"/>
  <c r="E109" i="43"/>
  <c r="F109" i="43" s="1"/>
  <c r="I109" i="43" s="1"/>
  <c r="J109" i="43" s="1"/>
  <c r="C109" i="43"/>
  <c r="G108" i="43"/>
  <c r="E108" i="43"/>
  <c r="F108" i="43" s="1"/>
  <c r="I108" i="43" s="1"/>
  <c r="J108" i="43" s="1"/>
  <c r="C108" i="43"/>
  <c r="G107" i="43"/>
  <c r="E107" i="43"/>
  <c r="F107" i="43" s="1"/>
  <c r="I107" i="43" s="1"/>
  <c r="J107" i="43" s="1"/>
  <c r="C107" i="43"/>
  <c r="G106" i="43"/>
  <c r="E106" i="43"/>
  <c r="C106" i="43"/>
  <c r="G105" i="43"/>
  <c r="E105" i="43"/>
  <c r="C105" i="43"/>
  <c r="G104" i="43"/>
  <c r="E104" i="43"/>
  <c r="C104" i="43"/>
  <c r="G103" i="43"/>
  <c r="E103" i="43"/>
  <c r="F103" i="43" s="1"/>
  <c r="C103" i="43"/>
  <c r="E102" i="43"/>
  <c r="I102" i="43" s="1"/>
  <c r="J102" i="43" s="1"/>
  <c r="K102" i="43" s="1"/>
  <c r="G92" i="43"/>
  <c r="E92" i="43"/>
  <c r="C92" i="43"/>
  <c r="G91" i="43"/>
  <c r="E91" i="43"/>
  <c r="C91" i="43"/>
  <c r="G90" i="43"/>
  <c r="E90" i="43"/>
  <c r="C90" i="43"/>
  <c r="G89" i="43"/>
  <c r="E89" i="43"/>
  <c r="C89" i="43"/>
  <c r="G88" i="43"/>
  <c r="E88" i="43"/>
  <c r="F88" i="43" s="1"/>
  <c r="I88" i="43" s="1"/>
  <c r="J88" i="43" s="1"/>
  <c r="C88" i="43"/>
  <c r="G87" i="43"/>
  <c r="E87" i="43"/>
  <c r="F87" i="43" s="1"/>
  <c r="I87" i="43" s="1"/>
  <c r="J87" i="43" s="1"/>
  <c r="C87" i="43"/>
  <c r="G86" i="43"/>
  <c r="E86" i="43"/>
  <c r="F86" i="43" s="1"/>
  <c r="I86" i="43" s="1"/>
  <c r="J86" i="43" s="1"/>
  <c r="C86" i="43"/>
  <c r="G85" i="43"/>
  <c r="E85" i="43"/>
  <c r="C85" i="43"/>
  <c r="G84" i="43"/>
  <c r="E84" i="43"/>
  <c r="C84" i="43"/>
  <c r="E83" i="43"/>
  <c r="I83" i="43" s="1"/>
  <c r="J83" i="43" s="1"/>
  <c r="K83" i="43" s="1"/>
  <c r="G24" i="43"/>
  <c r="E24" i="43"/>
  <c r="C58" i="43" s="1"/>
  <c r="C24" i="43"/>
  <c r="G23" i="43"/>
  <c r="E23" i="43"/>
  <c r="C57" i="43" s="1"/>
  <c r="E57" i="43" s="1"/>
  <c r="C23" i="43"/>
  <c r="G22" i="43"/>
  <c r="E22" i="43"/>
  <c r="C56" i="43" s="1"/>
  <c r="E56" i="43" s="1"/>
  <c r="C22" i="43"/>
  <c r="G21" i="43"/>
  <c r="E21" i="43"/>
  <c r="C55" i="43" s="1"/>
  <c r="C21" i="43"/>
  <c r="G20" i="43"/>
  <c r="E20" i="43"/>
  <c r="C54" i="43" s="1"/>
  <c r="C20" i="43"/>
  <c r="G19" i="43"/>
  <c r="E19" i="43"/>
  <c r="C53" i="43" s="1"/>
  <c r="C19" i="43"/>
  <c r="G18" i="43"/>
  <c r="E18" i="43"/>
  <c r="F18" i="43" s="1"/>
  <c r="I18" i="43" s="1"/>
  <c r="J18" i="43" s="1"/>
  <c r="C18" i="43"/>
  <c r="G17" i="43"/>
  <c r="E17" i="43"/>
  <c r="C17" i="43"/>
  <c r="G16" i="43"/>
  <c r="E16" i="43"/>
  <c r="C16" i="43"/>
  <c r="E15" i="43"/>
  <c r="I15" i="43" s="1"/>
  <c r="J15" i="43" s="1"/>
  <c r="K15" i="43" s="1"/>
  <c r="O49" i="43" s="1"/>
  <c r="G40" i="43"/>
  <c r="E40" i="43"/>
  <c r="C40" i="43"/>
  <c r="G39" i="43"/>
  <c r="E39" i="43"/>
  <c r="D57" i="43" s="1"/>
  <c r="C39" i="43"/>
  <c r="G38" i="43"/>
  <c r="E38" i="43"/>
  <c r="D56" i="43" s="1"/>
  <c r="C38" i="43"/>
  <c r="G37" i="43"/>
  <c r="E37" i="43"/>
  <c r="D55" i="43" s="1"/>
  <c r="C37" i="43"/>
  <c r="G36" i="43"/>
  <c r="E36" i="43"/>
  <c r="D54" i="43" s="1"/>
  <c r="C36" i="43"/>
  <c r="G35" i="43"/>
  <c r="E35" i="43"/>
  <c r="D53" i="43" s="1"/>
  <c r="C35" i="43"/>
  <c r="G34" i="43"/>
  <c r="E34" i="43"/>
  <c r="C34" i="43"/>
  <c r="G33" i="43"/>
  <c r="E33" i="43"/>
  <c r="C33" i="43"/>
  <c r="G32" i="43"/>
  <c r="E32" i="43"/>
  <c r="C32" i="43"/>
  <c r="E31" i="43"/>
  <c r="I31" i="43" s="1"/>
  <c r="J31" i="43" s="1"/>
  <c r="K31" i="43" s="1"/>
  <c r="N49" i="43" s="1"/>
  <c r="F24" i="38" l="1"/>
  <c r="C58" i="38"/>
  <c r="E58" i="38" s="1"/>
  <c r="F22" i="38"/>
  <c r="I22" i="38" s="1"/>
  <c r="J22" i="38" s="1"/>
  <c r="F86" i="38"/>
  <c r="I86" i="38" s="1"/>
  <c r="J86" i="38" s="1"/>
  <c r="F21" i="38"/>
  <c r="I21" i="38" s="1"/>
  <c r="J21" i="38" s="1"/>
  <c r="F85" i="38"/>
  <c r="I85" i="38" s="1"/>
  <c r="J85" i="38" s="1"/>
  <c r="F92" i="38"/>
  <c r="I92" i="38" s="1"/>
  <c r="J92" i="38" s="1"/>
  <c r="F107" i="39"/>
  <c r="I107" i="39" s="1"/>
  <c r="J107" i="39" s="1"/>
  <c r="F85" i="39"/>
  <c r="E58" i="39"/>
  <c r="E57" i="39"/>
  <c r="F18" i="39"/>
  <c r="I18" i="39" s="1"/>
  <c r="J18" i="39" s="1"/>
  <c r="F89" i="39"/>
  <c r="I89" i="39" s="1"/>
  <c r="J89" i="39" s="1"/>
  <c r="F17" i="39"/>
  <c r="I17" i="39" s="1"/>
  <c r="J17" i="39" s="1"/>
  <c r="F35" i="39"/>
  <c r="I35" i="39" s="1"/>
  <c r="J35" i="39" s="1"/>
  <c r="F23" i="39"/>
  <c r="F40" i="43"/>
  <c r="D58" i="43"/>
  <c r="E58" i="43" s="1"/>
  <c r="E54" i="43"/>
  <c r="E55" i="43"/>
  <c r="F110" i="43"/>
  <c r="I110" i="43" s="1"/>
  <c r="J110" i="43" s="1"/>
  <c r="E53" i="43"/>
  <c r="F111" i="43"/>
  <c r="I111" i="43" s="1"/>
  <c r="J111" i="43" s="1"/>
  <c r="F21" i="43"/>
  <c r="F105" i="43"/>
  <c r="I105" i="43" s="1"/>
  <c r="J105" i="43" s="1"/>
  <c r="F20" i="43"/>
  <c r="F16" i="43"/>
  <c r="I16" i="43" s="1"/>
  <c r="J16" i="43" s="1"/>
  <c r="K16" i="43" s="1"/>
  <c r="O50" i="43" s="1"/>
  <c r="F89" i="43"/>
  <c r="I89" i="43" s="1"/>
  <c r="J89" i="43" s="1"/>
  <c r="F104" i="43"/>
  <c r="I104" i="43" s="1"/>
  <c r="J104" i="43" s="1"/>
  <c r="F39" i="43"/>
  <c r="F84" i="43"/>
  <c r="B84" i="43" s="1"/>
  <c r="F35" i="43"/>
  <c r="F90" i="43"/>
  <c r="I90" i="43" s="1"/>
  <c r="J90" i="43" s="1"/>
  <c r="F85" i="43"/>
  <c r="I85" i="43" s="1"/>
  <c r="J85" i="43" s="1"/>
  <c r="I103" i="43"/>
  <c r="J103" i="43" s="1"/>
  <c r="K103" i="43" s="1"/>
  <c r="B103" i="43"/>
  <c r="F22" i="43"/>
  <c r="F91" i="43"/>
  <c r="I91" i="43" s="1"/>
  <c r="J91" i="43" s="1"/>
  <c r="F92" i="43"/>
  <c r="I92" i="43" s="1"/>
  <c r="J92" i="43" s="1"/>
  <c r="F106" i="43"/>
  <c r="I106" i="43" s="1"/>
  <c r="J106" i="43" s="1"/>
  <c r="F33" i="43"/>
  <c r="I33" i="43" s="1"/>
  <c r="J33" i="43" s="1"/>
  <c r="F102" i="38"/>
  <c r="B102" i="38" s="1"/>
  <c r="B103" i="38" s="1"/>
  <c r="B104" i="38" s="1"/>
  <c r="B105" i="38" s="1"/>
  <c r="F91" i="38"/>
  <c r="I91" i="38" s="1"/>
  <c r="J91" i="38" s="1"/>
  <c r="F108" i="38"/>
  <c r="I108" i="38" s="1"/>
  <c r="J108" i="38" s="1"/>
  <c r="F35" i="38"/>
  <c r="I35" i="38" s="1"/>
  <c r="J35" i="38" s="1"/>
  <c r="F40" i="38"/>
  <c r="F36" i="38"/>
  <c r="I36" i="38" s="1"/>
  <c r="J36" i="38" s="1"/>
  <c r="F107" i="38"/>
  <c r="I107" i="38" s="1"/>
  <c r="J107" i="38" s="1"/>
  <c r="F16" i="38"/>
  <c r="B16" i="38" s="1"/>
  <c r="F17" i="38"/>
  <c r="I17" i="38" s="1"/>
  <c r="J17" i="38" s="1"/>
  <c r="F32" i="38"/>
  <c r="I32" i="38" s="1"/>
  <c r="J32" i="38" s="1"/>
  <c r="K32" i="38" s="1"/>
  <c r="K33" i="38" s="1"/>
  <c r="K34" i="38" s="1"/>
  <c r="F106" i="38"/>
  <c r="I106" i="38" s="1"/>
  <c r="J106" i="38" s="1"/>
  <c r="F38" i="38"/>
  <c r="I38" i="38" s="1"/>
  <c r="J38" i="38" s="1"/>
  <c r="F23" i="38"/>
  <c r="I23" i="38" s="1"/>
  <c r="J23" i="38" s="1"/>
  <c r="F87" i="38"/>
  <c r="I87" i="38" s="1"/>
  <c r="J87" i="38" s="1"/>
  <c r="I84" i="38"/>
  <c r="J84" i="38" s="1"/>
  <c r="K84" i="38" s="1"/>
  <c r="K85" i="38" s="1"/>
  <c r="K86" i="38" s="1"/>
  <c r="K87" i="38" s="1"/>
  <c r="K88" i="38" s="1"/>
  <c r="K89" i="38" s="1"/>
  <c r="K90" i="38" s="1"/>
  <c r="B84" i="38"/>
  <c r="B85" i="38" s="1"/>
  <c r="B86" i="38" s="1"/>
  <c r="B87" i="38" s="1"/>
  <c r="B88" i="38" s="1"/>
  <c r="B89" i="38" s="1"/>
  <c r="B90" i="38" s="1"/>
  <c r="F36" i="39"/>
  <c r="I36" i="39" s="1"/>
  <c r="J36" i="39" s="1"/>
  <c r="F102" i="39"/>
  <c r="B102" i="39" s="1"/>
  <c r="B103" i="39" s="1"/>
  <c r="B104" i="39" s="1"/>
  <c r="F39" i="39"/>
  <c r="F90" i="39"/>
  <c r="I90" i="39" s="1"/>
  <c r="J90" i="39" s="1"/>
  <c r="F32" i="39"/>
  <c r="F24" i="39"/>
  <c r="F108" i="39"/>
  <c r="I108" i="39" s="1"/>
  <c r="J108" i="39" s="1"/>
  <c r="F86" i="39"/>
  <c r="I86" i="39" s="1"/>
  <c r="J86" i="39" s="1"/>
  <c r="F19" i="39"/>
  <c r="I19" i="39" s="1"/>
  <c r="J19" i="39" s="1"/>
  <c r="I16" i="39"/>
  <c r="J16" i="39" s="1"/>
  <c r="K16" i="39" s="1"/>
  <c r="K17" i="39" s="1"/>
  <c r="K18" i="39" s="1"/>
  <c r="B16" i="39"/>
  <c r="B17" i="39" s="1"/>
  <c r="B18" i="39" s="1"/>
  <c r="B19" i="39" s="1"/>
  <c r="B20" i="39" s="1"/>
  <c r="B21" i="39" s="1"/>
  <c r="B22" i="39" s="1"/>
  <c r="B23" i="39" s="1"/>
  <c r="B24" i="39" s="1"/>
  <c r="F33" i="39"/>
  <c r="I33" i="39" s="1"/>
  <c r="J33" i="39" s="1"/>
  <c r="K33" i="39" s="1"/>
  <c r="F87" i="39"/>
  <c r="I87" i="39" s="1"/>
  <c r="J87" i="39" s="1"/>
  <c r="F34" i="39"/>
  <c r="I34" i="39" s="1"/>
  <c r="J34" i="39" s="1"/>
  <c r="I84" i="39"/>
  <c r="J84" i="39" s="1"/>
  <c r="K84" i="39" s="1"/>
  <c r="B84" i="39"/>
  <c r="B85" i="39" s="1"/>
  <c r="F40" i="39"/>
  <c r="F105" i="39"/>
  <c r="I105" i="39" s="1"/>
  <c r="J105" i="39" s="1"/>
  <c r="F91" i="39"/>
  <c r="I91" i="39" s="1"/>
  <c r="J91" i="39" s="1"/>
  <c r="F106" i="39"/>
  <c r="I106" i="39" s="1"/>
  <c r="J106" i="39" s="1"/>
  <c r="I85" i="39"/>
  <c r="J85" i="39" s="1"/>
  <c r="I32" i="39"/>
  <c r="J32" i="39" s="1"/>
  <c r="K32" i="39" s="1"/>
  <c r="B32" i="39"/>
  <c r="F17" i="43"/>
  <c r="I17" i="43" s="1"/>
  <c r="J17" i="43" s="1"/>
  <c r="F36" i="43"/>
  <c r="F37" i="43"/>
  <c r="F32" i="43"/>
  <c r="I32" i="43" s="1"/>
  <c r="J32" i="43" s="1"/>
  <c r="K32" i="43" s="1"/>
  <c r="F23" i="43"/>
  <c r="F38" i="43"/>
  <c r="F34" i="43"/>
  <c r="I34" i="43" s="1"/>
  <c r="J34" i="43" s="1"/>
  <c r="F24" i="43"/>
  <c r="F19" i="43"/>
  <c r="AI107" i="38"/>
  <c r="AH107" i="38"/>
  <c r="AI103" i="38"/>
  <c r="AH103" i="38"/>
  <c r="AI89" i="38"/>
  <c r="AH89" i="38"/>
  <c r="AI85" i="38"/>
  <c r="AH85" i="38"/>
  <c r="AI107" i="39"/>
  <c r="AH107" i="39"/>
  <c r="AI103" i="39"/>
  <c r="AH103" i="39"/>
  <c r="AI89" i="39"/>
  <c r="AH89" i="39"/>
  <c r="AI85" i="39"/>
  <c r="AH85" i="39"/>
  <c r="I102" i="38" l="1"/>
  <c r="J102" i="38" s="1"/>
  <c r="K102" i="38" s="1"/>
  <c r="K103" i="38" s="1"/>
  <c r="K104" i="38" s="1"/>
  <c r="K105" i="38" s="1"/>
  <c r="K106" i="38" s="1"/>
  <c r="K107" i="38" s="1"/>
  <c r="K108" i="38" s="1"/>
  <c r="K109" i="38" s="1"/>
  <c r="K110" i="38" s="1"/>
  <c r="K91" i="38"/>
  <c r="K92" i="38" s="1"/>
  <c r="I40" i="38"/>
  <c r="J40" i="38" s="1"/>
  <c r="G58" i="38"/>
  <c r="B91" i="38"/>
  <c r="B92" i="38" s="1"/>
  <c r="K35" i="38"/>
  <c r="K36" i="38" s="1"/>
  <c r="K37" i="38" s="1"/>
  <c r="AJ85" i="38"/>
  <c r="I24" i="38"/>
  <c r="J24" i="38" s="1"/>
  <c r="F58" i="38"/>
  <c r="H58" i="38" s="1"/>
  <c r="I24" i="39"/>
  <c r="J24" i="39" s="1"/>
  <c r="F58" i="39"/>
  <c r="I40" i="39"/>
  <c r="J40" i="39" s="1"/>
  <c r="G58" i="39"/>
  <c r="B86" i="39"/>
  <c r="B87" i="39" s="1"/>
  <c r="B88" i="39" s="1"/>
  <c r="B89" i="39" s="1"/>
  <c r="B90" i="39" s="1"/>
  <c r="B91" i="39" s="1"/>
  <c r="B92" i="39" s="1"/>
  <c r="I23" i="39"/>
  <c r="J23" i="39" s="1"/>
  <c r="F57" i="39"/>
  <c r="I39" i="39"/>
  <c r="J39" i="39" s="1"/>
  <c r="G57" i="39"/>
  <c r="K19" i="39"/>
  <c r="K20" i="39" s="1"/>
  <c r="K21" i="39" s="1"/>
  <c r="K22" i="39" s="1"/>
  <c r="K23" i="39" s="1"/>
  <c r="I102" i="39"/>
  <c r="J102" i="39" s="1"/>
  <c r="K102" i="39" s="1"/>
  <c r="K103" i="39" s="1"/>
  <c r="K104" i="39" s="1"/>
  <c r="K105" i="39" s="1"/>
  <c r="K106" i="39" s="1"/>
  <c r="K107" i="39" s="1"/>
  <c r="K108" i="39" s="1"/>
  <c r="K109" i="39" s="1"/>
  <c r="K110" i="39" s="1"/>
  <c r="AJ85" i="39"/>
  <c r="B16" i="43"/>
  <c r="I24" i="43"/>
  <c r="J24" i="43" s="1"/>
  <c r="F58" i="43"/>
  <c r="I40" i="43"/>
  <c r="J40" i="43" s="1"/>
  <c r="G58" i="43"/>
  <c r="I39" i="43"/>
  <c r="J39" i="43" s="1"/>
  <c r="G57" i="43"/>
  <c r="I23" i="43"/>
  <c r="J23" i="43" s="1"/>
  <c r="F57" i="43"/>
  <c r="H57" i="43" s="1"/>
  <c r="I38" i="43"/>
  <c r="J38" i="43" s="1"/>
  <c r="G56" i="43"/>
  <c r="I22" i="43"/>
  <c r="J22" i="43" s="1"/>
  <c r="F56" i="43"/>
  <c r="H56" i="43" s="1"/>
  <c r="I21" i="43"/>
  <c r="J21" i="43" s="1"/>
  <c r="F55" i="43"/>
  <c r="I37" i="43"/>
  <c r="J37" i="43" s="1"/>
  <c r="G55" i="43"/>
  <c r="B104" i="43"/>
  <c r="B105" i="43" s="1"/>
  <c r="B106" i="43" s="1"/>
  <c r="B107" i="43" s="1"/>
  <c r="B108" i="43" s="1"/>
  <c r="B109" i="43" s="1"/>
  <c r="B110" i="43" s="1"/>
  <c r="B111" i="43" s="1"/>
  <c r="I20" i="43"/>
  <c r="J20" i="43" s="1"/>
  <c r="F54" i="43"/>
  <c r="I36" i="43"/>
  <c r="J36" i="43" s="1"/>
  <c r="G54" i="43"/>
  <c r="I19" i="43"/>
  <c r="J19" i="43" s="1"/>
  <c r="F53" i="43"/>
  <c r="I35" i="43"/>
  <c r="J35" i="43" s="1"/>
  <c r="G53" i="43"/>
  <c r="I84" i="43"/>
  <c r="J84" i="43" s="1"/>
  <c r="K84" i="43" s="1"/>
  <c r="K85" i="43" s="1"/>
  <c r="K86" i="43" s="1"/>
  <c r="K87" i="43" s="1"/>
  <c r="K88" i="43" s="1"/>
  <c r="K89" i="43" s="1"/>
  <c r="K90" i="43" s="1"/>
  <c r="K91" i="43" s="1"/>
  <c r="K92" i="43" s="1"/>
  <c r="B85" i="43"/>
  <c r="B86" i="43" s="1"/>
  <c r="B87" i="43" s="1"/>
  <c r="B88" i="43" s="1"/>
  <c r="B89" i="43" s="1"/>
  <c r="B90" i="43" s="1"/>
  <c r="B91" i="43" s="1"/>
  <c r="B92" i="43" s="1"/>
  <c r="K33" i="43"/>
  <c r="N51" i="43" s="1"/>
  <c r="N50" i="43"/>
  <c r="K104" i="43"/>
  <c r="K105" i="43" s="1"/>
  <c r="K106" i="43" s="1"/>
  <c r="K107" i="43" s="1"/>
  <c r="K108" i="43" s="1"/>
  <c r="K109" i="43" s="1"/>
  <c r="K110" i="43" s="1"/>
  <c r="K111" i="43" s="1"/>
  <c r="B17" i="38"/>
  <c r="B18" i="38" s="1"/>
  <c r="B19" i="38" s="1"/>
  <c r="B20" i="38" s="1"/>
  <c r="B21" i="38" s="1"/>
  <c r="B22" i="38" s="1"/>
  <c r="B23" i="38" s="1"/>
  <c r="B24" i="38" s="1"/>
  <c r="K38" i="38"/>
  <c r="K39" i="38" s="1"/>
  <c r="K40" i="38" s="1"/>
  <c r="I16" i="38"/>
  <c r="J16" i="38" s="1"/>
  <c r="K16" i="38" s="1"/>
  <c r="K17" i="38" s="1"/>
  <c r="K18" i="38" s="1"/>
  <c r="K19" i="38" s="1"/>
  <c r="K20" i="38" s="1"/>
  <c r="K21" i="38" s="1"/>
  <c r="K22" i="38" s="1"/>
  <c r="K23" i="38" s="1"/>
  <c r="K24" i="38" s="1"/>
  <c r="B32" i="38"/>
  <c r="B33" i="38" s="1"/>
  <c r="B34" i="38" s="1"/>
  <c r="B35" i="38" s="1"/>
  <c r="B36" i="38" s="1"/>
  <c r="B37" i="38" s="1"/>
  <c r="B38" i="38" s="1"/>
  <c r="B39" i="38" s="1"/>
  <c r="B40" i="38" s="1"/>
  <c r="B106" i="38"/>
  <c r="B107" i="38" s="1"/>
  <c r="B108" i="38" s="1"/>
  <c r="B109" i="38" s="1"/>
  <c r="B110" i="38" s="1"/>
  <c r="AJ89" i="38"/>
  <c r="K34" i="39"/>
  <c r="K35" i="39" s="1"/>
  <c r="K36" i="39" s="1"/>
  <c r="K37" i="39" s="1"/>
  <c r="K38" i="39" s="1"/>
  <c r="B33" i="39"/>
  <c r="B34" i="39" s="1"/>
  <c r="B35" i="39" s="1"/>
  <c r="B36" i="39" s="1"/>
  <c r="B37" i="39" s="1"/>
  <c r="B38" i="39" s="1"/>
  <c r="B39" i="39" s="1"/>
  <c r="B40" i="39" s="1"/>
  <c r="B105" i="39"/>
  <c r="B106" i="39" s="1"/>
  <c r="B107" i="39" s="1"/>
  <c r="B108" i="39" s="1"/>
  <c r="B109" i="39" s="1"/>
  <c r="B110" i="39" s="1"/>
  <c r="K85" i="39"/>
  <c r="K86" i="39" s="1"/>
  <c r="K87" i="39" s="1"/>
  <c r="K88" i="39" s="1"/>
  <c r="K89" i="39" s="1"/>
  <c r="K90" i="39" s="1"/>
  <c r="K91" i="39" s="1"/>
  <c r="K92" i="39" s="1"/>
  <c r="AJ89" i="39"/>
  <c r="B17" i="43"/>
  <c r="B18" i="43" s="1"/>
  <c r="B19" i="43" s="1"/>
  <c r="B20" i="43" s="1"/>
  <c r="B21" i="43" s="1"/>
  <c r="B22" i="43" s="1"/>
  <c r="B23" i="43" s="1"/>
  <c r="B24" i="43" s="1"/>
  <c r="K17" i="43"/>
  <c r="B32" i="43"/>
  <c r="B33" i="43" s="1"/>
  <c r="B34" i="43" s="1"/>
  <c r="B35" i="43" s="1"/>
  <c r="B36" i="43" s="1"/>
  <c r="B37" i="43" s="1"/>
  <c r="B38" i="43" s="1"/>
  <c r="B39" i="43" s="1"/>
  <c r="B40" i="43" s="1"/>
  <c r="AJ103" i="38"/>
  <c r="AJ107" i="38"/>
  <c r="AJ103" i="39"/>
  <c r="AJ107" i="39"/>
  <c r="AI108" i="43"/>
  <c r="AH108" i="43"/>
  <c r="AI104" i="43"/>
  <c r="AH104" i="43"/>
  <c r="AI89" i="43"/>
  <c r="AH89" i="43"/>
  <c r="AI85" i="43"/>
  <c r="AH85" i="43"/>
  <c r="I58" i="38" l="1"/>
  <c r="K58" i="38" s="1"/>
  <c r="J58" i="38"/>
  <c r="K42" i="38"/>
  <c r="N58" i="38"/>
  <c r="K26" i="38"/>
  <c r="O58" i="38"/>
  <c r="K39" i="39"/>
  <c r="N57" i="39" s="1"/>
  <c r="H58" i="39"/>
  <c r="K24" i="39"/>
  <c r="O57" i="39"/>
  <c r="Q57" i="39" s="1"/>
  <c r="K40" i="39"/>
  <c r="H57" i="39"/>
  <c r="H58" i="43"/>
  <c r="I57" i="43"/>
  <c r="J57" i="43"/>
  <c r="J56" i="43"/>
  <c r="I56" i="43"/>
  <c r="H55" i="43"/>
  <c r="H54" i="43"/>
  <c r="H53" i="43"/>
  <c r="K34" i="43"/>
  <c r="K35" i="43" s="1"/>
  <c r="N53" i="43" s="1"/>
  <c r="K18" i="43"/>
  <c r="O51" i="43"/>
  <c r="AJ85" i="43"/>
  <c r="AJ89" i="43"/>
  <c r="AJ108" i="43"/>
  <c r="AJ104" i="43"/>
  <c r="S58" i="38" l="1"/>
  <c r="R58" i="38"/>
  <c r="Q58" i="38"/>
  <c r="K26" i="39"/>
  <c r="O58" i="39"/>
  <c r="I58" i="39"/>
  <c r="K58" i="39" s="1"/>
  <c r="J58" i="39"/>
  <c r="K42" i="39"/>
  <c r="N58" i="39"/>
  <c r="Q58" i="39" s="1"/>
  <c r="V57" i="39"/>
  <c r="J57" i="39"/>
  <c r="I57" i="39"/>
  <c r="S57" i="39"/>
  <c r="R57" i="39"/>
  <c r="I58" i="43"/>
  <c r="J58" i="43"/>
  <c r="K56" i="43"/>
  <c r="K57" i="43"/>
  <c r="I55" i="43"/>
  <c r="J55" i="43"/>
  <c r="I54" i="43"/>
  <c r="J54" i="43"/>
  <c r="J53" i="43"/>
  <c r="I53" i="43"/>
  <c r="K53" i="43" s="1"/>
  <c r="N52" i="43"/>
  <c r="K19" i="43"/>
  <c r="O53" i="43" s="1"/>
  <c r="Q53" i="43" s="1"/>
  <c r="O52" i="43"/>
  <c r="K36" i="43"/>
  <c r="N54" i="43" s="1"/>
  <c r="V58" i="38" l="1"/>
  <c r="V58" i="39"/>
  <c r="K57" i="39"/>
  <c r="S58" i="39"/>
  <c r="R58" i="39"/>
  <c r="K58" i="43"/>
  <c r="K54" i="43"/>
  <c r="K55" i="43"/>
  <c r="S53" i="43"/>
  <c r="R53" i="43"/>
  <c r="V53" i="43"/>
  <c r="K37" i="43"/>
  <c r="N55" i="43" s="1"/>
  <c r="K20" i="43"/>
  <c r="O54" i="43" s="1"/>
  <c r="B51" i="38"/>
  <c r="B52" i="38"/>
  <c r="B53" i="38"/>
  <c r="B54" i="38"/>
  <c r="B55" i="38"/>
  <c r="B56" i="38"/>
  <c r="B57" i="38"/>
  <c r="B50" i="38"/>
  <c r="B51" i="39"/>
  <c r="B52" i="39"/>
  <c r="B53" i="39"/>
  <c r="B54" i="39"/>
  <c r="B55" i="39"/>
  <c r="B56" i="39"/>
  <c r="B50" i="39"/>
  <c r="B51" i="43"/>
  <c r="B52" i="43"/>
  <c r="B50" i="43"/>
  <c r="R54" i="43" l="1"/>
  <c r="S54" i="43"/>
  <c r="Q54" i="43"/>
  <c r="K21" i="43"/>
  <c r="O55" i="43" s="1"/>
  <c r="K38" i="43"/>
  <c r="N56" i="43" s="1"/>
  <c r="G111" i="38"/>
  <c r="G112" i="38" s="1"/>
  <c r="S55" i="43" l="1"/>
  <c r="R55" i="43"/>
  <c r="Q55" i="43"/>
  <c r="V54" i="43"/>
  <c r="K22" i="43"/>
  <c r="O56" i="43" s="1"/>
  <c r="K39" i="43"/>
  <c r="N57" i="43" s="1"/>
  <c r="F111" i="38"/>
  <c r="S56" i="43" l="1"/>
  <c r="R56" i="43"/>
  <c r="Q56" i="43"/>
  <c r="V55" i="43"/>
  <c r="K23" i="43"/>
  <c r="O57" i="43" s="1"/>
  <c r="K40" i="43"/>
  <c r="H111" i="38"/>
  <c r="H112" i="38" s="1"/>
  <c r="F112" i="38"/>
  <c r="K42" i="43" l="1"/>
  <c r="N58" i="43"/>
  <c r="S57" i="43"/>
  <c r="R57" i="43"/>
  <c r="Q57" i="43"/>
  <c r="V56" i="43"/>
  <c r="K24" i="43"/>
  <c r="K26" i="43" l="1"/>
  <c r="O58" i="43"/>
  <c r="Q58" i="43"/>
  <c r="V57" i="43"/>
  <c r="F42" i="38"/>
  <c r="U40" i="43"/>
  <c r="Q40" i="43"/>
  <c r="P40" i="43"/>
  <c r="U39" i="43"/>
  <c r="Q39" i="43"/>
  <c r="P39" i="43"/>
  <c r="U38" i="43"/>
  <c r="Q38" i="43"/>
  <c r="P38" i="43"/>
  <c r="U37" i="43"/>
  <c r="Q37" i="43"/>
  <c r="P37" i="43"/>
  <c r="U36" i="43"/>
  <c r="Q36" i="43"/>
  <c r="P36" i="43"/>
  <c r="U35" i="43"/>
  <c r="Q35" i="43"/>
  <c r="P35" i="43"/>
  <c r="U34" i="43"/>
  <c r="Q34" i="43"/>
  <c r="P34" i="43"/>
  <c r="U33" i="43"/>
  <c r="Q33" i="43"/>
  <c r="P33" i="43"/>
  <c r="U32" i="43"/>
  <c r="Q32" i="43"/>
  <c r="P32" i="43"/>
  <c r="U31" i="43"/>
  <c r="V31" i="43" s="1"/>
  <c r="Q31" i="43"/>
  <c r="P31" i="43"/>
  <c r="U24" i="43"/>
  <c r="U23" i="43"/>
  <c r="U22" i="43"/>
  <c r="U21" i="43"/>
  <c r="U20" i="43"/>
  <c r="U19" i="43"/>
  <c r="U18" i="43"/>
  <c r="U17" i="43"/>
  <c r="U16" i="43"/>
  <c r="U15" i="43"/>
  <c r="V15" i="43" s="1"/>
  <c r="X15" i="43" s="1"/>
  <c r="U40" i="39"/>
  <c r="Q40" i="39"/>
  <c r="P40" i="39"/>
  <c r="U39" i="39"/>
  <c r="Q39" i="39"/>
  <c r="P39" i="39"/>
  <c r="U38" i="39"/>
  <c r="Q38" i="39"/>
  <c r="P38" i="39"/>
  <c r="U37" i="39"/>
  <c r="Q37" i="39"/>
  <c r="P37" i="39"/>
  <c r="U36" i="39"/>
  <c r="Q36" i="39"/>
  <c r="P36" i="39"/>
  <c r="U35" i="39"/>
  <c r="Q35" i="39"/>
  <c r="P35" i="39"/>
  <c r="U34" i="39"/>
  <c r="Q34" i="39"/>
  <c r="P34" i="39"/>
  <c r="U33" i="39"/>
  <c r="Q33" i="39"/>
  <c r="P33" i="39"/>
  <c r="U32" i="39"/>
  <c r="Q32" i="39"/>
  <c r="P32" i="39"/>
  <c r="U31" i="39"/>
  <c r="V31" i="39" s="1"/>
  <c r="Q31" i="39"/>
  <c r="P31" i="39"/>
  <c r="U24" i="39"/>
  <c r="U23" i="39"/>
  <c r="U22" i="39"/>
  <c r="U21" i="39"/>
  <c r="U20" i="39"/>
  <c r="U19" i="39"/>
  <c r="U18" i="39"/>
  <c r="U17" i="39"/>
  <c r="U16" i="39"/>
  <c r="U15" i="39"/>
  <c r="V15" i="39" s="1"/>
  <c r="X15" i="39" s="1"/>
  <c r="U40" i="38"/>
  <c r="Q40" i="38"/>
  <c r="P40" i="38"/>
  <c r="U39" i="38"/>
  <c r="Q39" i="38"/>
  <c r="P39" i="38"/>
  <c r="U38" i="38"/>
  <c r="Q38" i="38"/>
  <c r="P38" i="38"/>
  <c r="U37" i="38"/>
  <c r="Q37" i="38"/>
  <c r="P37" i="38"/>
  <c r="U36" i="38"/>
  <c r="Q36" i="38"/>
  <c r="P36" i="38"/>
  <c r="U35" i="38"/>
  <c r="Q35" i="38"/>
  <c r="P35" i="38"/>
  <c r="U34" i="38"/>
  <c r="Q34" i="38"/>
  <c r="P34" i="38"/>
  <c r="U33" i="38"/>
  <c r="Q33" i="38"/>
  <c r="P33" i="38"/>
  <c r="U32" i="38"/>
  <c r="Q32" i="38"/>
  <c r="P32" i="38"/>
  <c r="U31" i="38"/>
  <c r="V31" i="38" s="1"/>
  <c r="Q31" i="38"/>
  <c r="P31" i="38"/>
  <c r="U24" i="38"/>
  <c r="U23" i="38"/>
  <c r="U22" i="38"/>
  <c r="U21" i="38"/>
  <c r="U20" i="38"/>
  <c r="U19" i="38"/>
  <c r="U18" i="38"/>
  <c r="U17" i="38"/>
  <c r="U16" i="38"/>
  <c r="U15" i="38"/>
  <c r="V15" i="38" s="1"/>
  <c r="V58" i="43" l="1"/>
  <c r="S58" i="43"/>
  <c r="R58" i="43"/>
  <c r="R34" i="39"/>
  <c r="R38" i="39"/>
  <c r="R39" i="39"/>
  <c r="R31" i="43"/>
  <c r="S31" i="43" s="1"/>
  <c r="R37" i="43"/>
  <c r="R31" i="38"/>
  <c r="S31" i="38" s="1"/>
  <c r="R33" i="43"/>
  <c r="R33" i="39"/>
  <c r="R38" i="43"/>
  <c r="R34" i="43"/>
  <c r="R39" i="43"/>
  <c r="R40" i="43"/>
  <c r="R35" i="43"/>
  <c r="R32" i="43"/>
  <c r="R36" i="43"/>
  <c r="R35" i="39"/>
  <c r="R31" i="39"/>
  <c r="S31" i="39" s="1"/>
  <c r="R37" i="39"/>
  <c r="R32" i="39"/>
  <c r="R36" i="39"/>
  <c r="R40" i="39"/>
  <c r="R39" i="38"/>
  <c r="R38" i="38"/>
  <c r="R36" i="38"/>
  <c r="R33" i="38"/>
  <c r="R40" i="38"/>
  <c r="R34" i="38"/>
  <c r="R35" i="38"/>
  <c r="R32" i="38"/>
  <c r="R37" i="38"/>
  <c r="X31" i="43"/>
  <c r="W31" i="43"/>
  <c r="W15" i="43"/>
  <c r="X31" i="39"/>
  <c r="W31" i="39"/>
  <c r="W15" i="39"/>
  <c r="W31" i="38"/>
  <c r="X31" i="38"/>
  <c r="X15" i="38"/>
  <c r="W15" i="38"/>
  <c r="S32" i="39" l="1"/>
  <c r="S33" i="39" s="1"/>
  <c r="S34" i="39" s="1"/>
  <c r="S35" i="39" s="1"/>
  <c r="S36" i="39" s="1"/>
  <c r="S32" i="38"/>
  <c r="S33" i="38" s="1"/>
  <c r="S34" i="38" s="1"/>
  <c r="S32" i="43"/>
  <c r="S33" i="43" s="1"/>
  <c r="S34" i="43" s="1"/>
  <c r="S35" i="43" s="1"/>
  <c r="S36" i="43" s="1"/>
  <c r="S37" i="43" s="1"/>
  <c r="S38" i="43" s="1"/>
  <c r="S39" i="43" s="1"/>
  <c r="S40" i="43" s="1"/>
  <c r="X111" i="43"/>
  <c r="P111" i="43"/>
  <c r="Y111" i="43" s="1"/>
  <c r="O111" i="43"/>
  <c r="X110" i="43"/>
  <c r="P110" i="43"/>
  <c r="Y110" i="43" s="1"/>
  <c r="O110" i="43"/>
  <c r="X109" i="43"/>
  <c r="P109" i="43"/>
  <c r="Y109" i="43" s="1"/>
  <c r="O109" i="43"/>
  <c r="X108" i="43"/>
  <c r="P108" i="43"/>
  <c r="O108" i="43"/>
  <c r="X107" i="43"/>
  <c r="P107" i="43"/>
  <c r="O107" i="43"/>
  <c r="X106" i="43"/>
  <c r="P106" i="43"/>
  <c r="O106" i="43"/>
  <c r="X105" i="43"/>
  <c r="P105" i="43"/>
  <c r="O105" i="43"/>
  <c r="X104" i="43"/>
  <c r="P104" i="43"/>
  <c r="O104" i="43"/>
  <c r="X103" i="43"/>
  <c r="P103" i="43"/>
  <c r="O103" i="43"/>
  <c r="X102" i="43"/>
  <c r="P102" i="43"/>
  <c r="X92" i="43"/>
  <c r="T92" i="43"/>
  <c r="P92" i="43"/>
  <c r="Y92" i="43" s="1"/>
  <c r="O92" i="43"/>
  <c r="X91" i="43"/>
  <c r="T91" i="43"/>
  <c r="P91" i="43"/>
  <c r="Y91" i="43" s="1"/>
  <c r="O91" i="43"/>
  <c r="X90" i="43"/>
  <c r="T90" i="43"/>
  <c r="P90" i="43"/>
  <c r="O90" i="43"/>
  <c r="X89" i="43"/>
  <c r="T89" i="43"/>
  <c r="P89" i="43"/>
  <c r="O89" i="43"/>
  <c r="X88" i="43"/>
  <c r="T88" i="43"/>
  <c r="P88" i="43"/>
  <c r="O88" i="43"/>
  <c r="X87" i="43"/>
  <c r="T87" i="43"/>
  <c r="P87" i="43"/>
  <c r="O87" i="43"/>
  <c r="X86" i="43"/>
  <c r="T86" i="43"/>
  <c r="P86" i="43"/>
  <c r="O86" i="43"/>
  <c r="X85" i="43"/>
  <c r="T85" i="43"/>
  <c r="P85" i="43"/>
  <c r="O85" i="43"/>
  <c r="X84" i="43"/>
  <c r="T84" i="43"/>
  <c r="P84" i="43"/>
  <c r="O84" i="43"/>
  <c r="X83" i="43"/>
  <c r="P83" i="43"/>
  <c r="P52" i="43"/>
  <c r="M52" i="43"/>
  <c r="D52" i="43"/>
  <c r="P51" i="43"/>
  <c r="M51" i="43"/>
  <c r="D51" i="43"/>
  <c r="P50" i="43"/>
  <c r="M50" i="43"/>
  <c r="D50" i="43"/>
  <c r="P49" i="43"/>
  <c r="M49" i="43"/>
  <c r="G52" i="43"/>
  <c r="G51" i="43"/>
  <c r="O31" i="43"/>
  <c r="C50" i="43"/>
  <c r="AK83" i="43" l="1"/>
  <c r="AK85" i="43" s="1"/>
  <c r="AK87" i="43"/>
  <c r="AK89" i="43" s="1"/>
  <c r="AN83" i="43"/>
  <c r="AN87" i="43"/>
  <c r="AK106" i="43"/>
  <c r="AK108" i="43" s="1"/>
  <c r="AK102" i="43"/>
  <c r="AK104" i="43" s="1"/>
  <c r="AN102" i="43"/>
  <c r="AN106" i="43"/>
  <c r="R111" i="43"/>
  <c r="Y84" i="43"/>
  <c r="R85" i="43"/>
  <c r="Y106" i="43"/>
  <c r="R107" i="43"/>
  <c r="Y102" i="43"/>
  <c r="R103" i="43"/>
  <c r="R92" i="43"/>
  <c r="Y103" i="43"/>
  <c r="R104" i="43"/>
  <c r="Y107" i="43"/>
  <c r="R108" i="43"/>
  <c r="Y104" i="43"/>
  <c r="AH106" i="43" s="1"/>
  <c r="AH107" i="43" s="1"/>
  <c r="AJ107" i="43" s="1"/>
  <c r="R105" i="43"/>
  <c r="Y108" i="43"/>
  <c r="R109" i="43"/>
  <c r="Y89" i="43"/>
  <c r="R90" i="43"/>
  <c r="Y86" i="43"/>
  <c r="AI87" i="43" s="1"/>
  <c r="R87" i="43"/>
  <c r="Y85" i="43"/>
  <c r="AH87" i="43" s="1"/>
  <c r="R86" i="43"/>
  <c r="R110" i="43"/>
  <c r="Y88" i="43"/>
  <c r="R89" i="43"/>
  <c r="Y105" i="43"/>
  <c r="AI106" i="43" s="1"/>
  <c r="R106" i="43"/>
  <c r="Y90" i="43"/>
  <c r="R91" i="43"/>
  <c r="Y83" i="43"/>
  <c r="R84" i="43"/>
  <c r="Y87" i="43"/>
  <c r="R88" i="43"/>
  <c r="E50" i="43"/>
  <c r="Q20" i="43"/>
  <c r="P20" i="43"/>
  <c r="Q23" i="43"/>
  <c r="P23" i="43"/>
  <c r="O15" i="43"/>
  <c r="Q15" i="43"/>
  <c r="P15" i="43"/>
  <c r="Q22" i="43"/>
  <c r="P22" i="43"/>
  <c r="Q18" i="43"/>
  <c r="P18" i="43"/>
  <c r="Z83" i="43"/>
  <c r="P21" i="43"/>
  <c r="Q21" i="43"/>
  <c r="Q17" i="43"/>
  <c r="P17" i="43"/>
  <c r="Q16" i="43"/>
  <c r="P16" i="43"/>
  <c r="Q19" i="43"/>
  <c r="P19" i="43"/>
  <c r="P24" i="43"/>
  <c r="Q24" i="43"/>
  <c r="S37" i="39"/>
  <c r="S35" i="38"/>
  <c r="C51" i="43"/>
  <c r="E51" i="43" s="1"/>
  <c r="F52" i="43"/>
  <c r="H52" i="43" s="1"/>
  <c r="G26" i="43"/>
  <c r="G27" i="43" s="1"/>
  <c r="N31" i="43"/>
  <c r="G42" i="43"/>
  <c r="G43" i="43" s="1"/>
  <c r="M31" i="43"/>
  <c r="C52" i="43"/>
  <c r="E52" i="43" s="1"/>
  <c r="Z102" i="43"/>
  <c r="F113" i="43"/>
  <c r="G94" i="43"/>
  <c r="G95" i="43" s="1"/>
  <c r="M103" i="43"/>
  <c r="N103" i="43" s="1"/>
  <c r="G113" i="43"/>
  <c r="G114" i="43" s="1"/>
  <c r="AH88" i="43" l="1"/>
  <c r="AJ88" i="43" s="1"/>
  <c r="AJ87" i="43"/>
  <c r="AJ106" i="43"/>
  <c r="AK107" i="43" s="1"/>
  <c r="AK109" i="43" s="1"/>
  <c r="AJ109" i="43" s="1"/>
  <c r="AN108" i="43" s="1"/>
  <c r="R17" i="43"/>
  <c r="F114" i="43"/>
  <c r="H113" i="43"/>
  <c r="H114" i="43" s="1"/>
  <c r="R18" i="43"/>
  <c r="R16" i="43"/>
  <c r="J52" i="43"/>
  <c r="R23" i="43"/>
  <c r="M15" i="43"/>
  <c r="R22" i="43"/>
  <c r="R20" i="43"/>
  <c r="R24" i="43"/>
  <c r="R19" i="43"/>
  <c r="N15" i="43"/>
  <c r="Q49" i="43"/>
  <c r="M84" i="43"/>
  <c r="N84" i="43" s="1"/>
  <c r="U84" i="43" s="1"/>
  <c r="R21" i="43"/>
  <c r="R15" i="43"/>
  <c r="S15" i="43" s="1"/>
  <c r="S38" i="39"/>
  <c r="S36" i="38"/>
  <c r="F94" i="43"/>
  <c r="F51" i="43"/>
  <c r="H51" i="43" s="1"/>
  <c r="J51" i="43" s="1"/>
  <c r="S103" i="43"/>
  <c r="S104" i="43" s="1"/>
  <c r="S105" i="43" s="1"/>
  <c r="S106" i="43" s="1"/>
  <c r="S107" i="43" s="1"/>
  <c r="S108" i="43" s="1"/>
  <c r="S109" i="43" s="1"/>
  <c r="S110" i="43" s="1"/>
  <c r="S111" i="43" s="1"/>
  <c r="F50" i="43"/>
  <c r="F26" i="43"/>
  <c r="O16" i="43"/>
  <c r="Z103" i="43"/>
  <c r="F42" i="43"/>
  <c r="G50" i="43"/>
  <c r="G59" i="43" s="1"/>
  <c r="S84" i="43"/>
  <c r="I52" i="43"/>
  <c r="X110" i="39"/>
  <c r="P110" i="39"/>
  <c r="Y110" i="39" s="1"/>
  <c r="O110" i="39"/>
  <c r="X109" i="39"/>
  <c r="P109" i="39"/>
  <c r="Y109" i="39" s="1"/>
  <c r="O109" i="39"/>
  <c r="X108" i="39"/>
  <c r="P108" i="39"/>
  <c r="Y108" i="39" s="1"/>
  <c r="O108" i="39"/>
  <c r="X107" i="39"/>
  <c r="P107" i="39"/>
  <c r="O107" i="39"/>
  <c r="X106" i="39"/>
  <c r="P106" i="39"/>
  <c r="O106" i="39"/>
  <c r="X105" i="39"/>
  <c r="P105" i="39"/>
  <c r="O105" i="39"/>
  <c r="X104" i="39"/>
  <c r="P104" i="39"/>
  <c r="O104" i="39"/>
  <c r="X103" i="39"/>
  <c r="P103" i="39"/>
  <c r="O103" i="39"/>
  <c r="X102" i="39"/>
  <c r="P102" i="39"/>
  <c r="O102" i="39"/>
  <c r="X101" i="39"/>
  <c r="P101" i="39"/>
  <c r="Z101" i="39"/>
  <c r="X92" i="39"/>
  <c r="T92" i="39"/>
  <c r="P92" i="39"/>
  <c r="Y92" i="39" s="1"/>
  <c r="O92" i="39"/>
  <c r="X91" i="39"/>
  <c r="T91" i="39"/>
  <c r="P91" i="39"/>
  <c r="Y91" i="39" s="1"/>
  <c r="O91" i="39"/>
  <c r="X90" i="39"/>
  <c r="T90" i="39"/>
  <c r="P90" i="39"/>
  <c r="Y90" i="39" s="1"/>
  <c r="O90" i="39"/>
  <c r="X89" i="39"/>
  <c r="T89" i="39"/>
  <c r="P89" i="39"/>
  <c r="O89" i="39"/>
  <c r="X88" i="39"/>
  <c r="T88" i="39"/>
  <c r="P88" i="39"/>
  <c r="O88" i="39"/>
  <c r="X87" i="39"/>
  <c r="T87" i="39"/>
  <c r="P87" i="39"/>
  <c r="O87" i="39"/>
  <c r="X86" i="39"/>
  <c r="T86" i="39"/>
  <c r="P86" i="39"/>
  <c r="O86" i="39"/>
  <c r="X85" i="39"/>
  <c r="T85" i="39"/>
  <c r="P85" i="39"/>
  <c r="O85" i="39"/>
  <c r="X84" i="39"/>
  <c r="T84" i="39"/>
  <c r="P84" i="39"/>
  <c r="O84" i="39"/>
  <c r="X83" i="39"/>
  <c r="P83" i="39"/>
  <c r="Z83" i="39"/>
  <c r="P56" i="39"/>
  <c r="M56" i="39"/>
  <c r="D56" i="39"/>
  <c r="P55" i="39"/>
  <c r="M55" i="39"/>
  <c r="D55" i="39"/>
  <c r="P54" i="39"/>
  <c r="M54" i="39"/>
  <c r="D54" i="39"/>
  <c r="P53" i="39"/>
  <c r="M53" i="39"/>
  <c r="D53" i="39"/>
  <c r="P52" i="39"/>
  <c r="M52" i="39"/>
  <c r="D52" i="39"/>
  <c r="P51" i="39"/>
  <c r="M51" i="39"/>
  <c r="D51" i="39"/>
  <c r="P50" i="39"/>
  <c r="M50" i="39"/>
  <c r="D50" i="39"/>
  <c r="P49" i="39"/>
  <c r="M49" i="39"/>
  <c r="G52" i="39"/>
  <c r="O31" i="39"/>
  <c r="C54" i="39"/>
  <c r="X110" i="38"/>
  <c r="P110" i="38"/>
  <c r="Y110" i="38" s="1"/>
  <c r="O110" i="38"/>
  <c r="X109" i="38"/>
  <c r="P109" i="38"/>
  <c r="Y109" i="38" s="1"/>
  <c r="O109" i="38"/>
  <c r="X108" i="38"/>
  <c r="P108" i="38"/>
  <c r="Y108" i="38" s="1"/>
  <c r="O108" i="38"/>
  <c r="X107" i="38"/>
  <c r="P107" i="38"/>
  <c r="O107" i="38"/>
  <c r="X106" i="38"/>
  <c r="P106" i="38"/>
  <c r="O106" i="38"/>
  <c r="X105" i="38"/>
  <c r="P105" i="38"/>
  <c r="O105" i="38"/>
  <c r="X104" i="38"/>
  <c r="P104" i="38"/>
  <c r="O104" i="38"/>
  <c r="X103" i="38"/>
  <c r="P103" i="38"/>
  <c r="O103" i="38"/>
  <c r="X102" i="38"/>
  <c r="P102" i="38"/>
  <c r="O102" i="38"/>
  <c r="X101" i="38"/>
  <c r="P101" i="38"/>
  <c r="X92" i="38"/>
  <c r="T92" i="38"/>
  <c r="P92" i="38"/>
  <c r="O92" i="38"/>
  <c r="X91" i="38"/>
  <c r="T91" i="38"/>
  <c r="P91" i="38"/>
  <c r="Y91" i="38" s="1"/>
  <c r="O91" i="38"/>
  <c r="X90" i="38"/>
  <c r="T90" i="38"/>
  <c r="P90" i="38"/>
  <c r="Y90" i="38" s="1"/>
  <c r="O90" i="38"/>
  <c r="X89" i="38"/>
  <c r="T89" i="38"/>
  <c r="P89" i="38"/>
  <c r="O89" i="38"/>
  <c r="X88" i="38"/>
  <c r="T88" i="38"/>
  <c r="P88" i="38"/>
  <c r="O88" i="38"/>
  <c r="X87" i="38"/>
  <c r="T87" i="38"/>
  <c r="P87" i="38"/>
  <c r="O87" i="38"/>
  <c r="X86" i="38"/>
  <c r="T86" i="38"/>
  <c r="P86" i="38"/>
  <c r="O86" i="38"/>
  <c r="X85" i="38"/>
  <c r="T85" i="38"/>
  <c r="P85" i="38"/>
  <c r="O85" i="38"/>
  <c r="X84" i="38"/>
  <c r="T84" i="38"/>
  <c r="P84" i="38"/>
  <c r="O84" i="38"/>
  <c r="X83" i="38"/>
  <c r="P83" i="38"/>
  <c r="P57" i="38"/>
  <c r="M57" i="38"/>
  <c r="D57" i="38"/>
  <c r="P56" i="38"/>
  <c r="M56" i="38"/>
  <c r="D56" i="38"/>
  <c r="P55" i="38"/>
  <c r="M55" i="38"/>
  <c r="D55" i="38"/>
  <c r="P54" i="38"/>
  <c r="M54" i="38"/>
  <c r="D54" i="38"/>
  <c r="P53" i="38"/>
  <c r="M53" i="38"/>
  <c r="D53" i="38"/>
  <c r="P52" i="38"/>
  <c r="M52" i="38"/>
  <c r="D52" i="38"/>
  <c r="P51" i="38"/>
  <c r="M51" i="38"/>
  <c r="D51" i="38"/>
  <c r="P50" i="38"/>
  <c r="M50" i="38"/>
  <c r="D50" i="38"/>
  <c r="P49" i="38"/>
  <c r="M49" i="38"/>
  <c r="G57" i="38"/>
  <c r="G55" i="38"/>
  <c r="G52" i="38"/>
  <c r="Y92" i="38" l="1"/>
  <c r="AK83" i="38"/>
  <c r="AK85" i="38" s="1"/>
  <c r="AK87" i="38"/>
  <c r="AK89" i="38" s="1"/>
  <c r="AN83" i="38"/>
  <c r="AN87" i="38"/>
  <c r="AK105" i="38"/>
  <c r="AK107" i="38" s="1"/>
  <c r="AN101" i="38"/>
  <c r="AN105" i="38"/>
  <c r="AK101" i="38"/>
  <c r="AK103" i="38" s="1"/>
  <c r="AK105" i="39"/>
  <c r="AK107" i="39" s="1"/>
  <c r="AN83" i="39"/>
  <c r="AN87" i="39"/>
  <c r="AK83" i="39"/>
  <c r="AK85" i="39" s="1"/>
  <c r="AK87" i="39"/>
  <c r="AK89" i="39" s="1"/>
  <c r="AN101" i="39"/>
  <c r="AN105" i="39"/>
  <c r="AK101" i="39"/>
  <c r="AK103" i="39" s="1"/>
  <c r="AK88" i="43"/>
  <c r="AR103" i="43"/>
  <c r="AN109" i="43"/>
  <c r="AR104" i="43" s="1"/>
  <c r="AN107" i="43"/>
  <c r="AR102" i="43" s="1"/>
  <c r="Y106" i="39"/>
  <c r="R107" i="39"/>
  <c r="Y86" i="39"/>
  <c r="AI87" i="39" s="1"/>
  <c r="R87" i="39"/>
  <c r="R91" i="39"/>
  <c r="Y101" i="39"/>
  <c r="R102" i="39"/>
  <c r="Y89" i="39"/>
  <c r="R90" i="39"/>
  <c r="Y107" i="39"/>
  <c r="R108" i="39"/>
  <c r="Y102" i="39"/>
  <c r="R103" i="39"/>
  <c r="Y87" i="39"/>
  <c r="R88" i="39"/>
  <c r="R92" i="39"/>
  <c r="Y83" i="39"/>
  <c r="R84" i="39"/>
  <c r="S84" i="39" s="1"/>
  <c r="R109" i="39"/>
  <c r="Y103" i="39"/>
  <c r="AH105" i="39" s="1"/>
  <c r="AH106" i="39" s="1"/>
  <c r="AJ106" i="39" s="1"/>
  <c r="R104" i="39"/>
  <c r="Y85" i="39"/>
  <c r="AH87" i="39" s="1"/>
  <c r="R86" i="39"/>
  <c r="Y105" i="39"/>
  <c r="R106" i="39"/>
  <c r="Y84" i="39"/>
  <c r="R85" i="39"/>
  <c r="Y88" i="39"/>
  <c r="R89" i="39"/>
  <c r="R110" i="39"/>
  <c r="Y104" i="39"/>
  <c r="AI105" i="39" s="1"/>
  <c r="R105" i="39"/>
  <c r="Y83" i="38"/>
  <c r="R84" i="38"/>
  <c r="Y103" i="38"/>
  <c r="AH105" i="38" s="1"/>
  <c r="AH106" i="38" s="1"/>
  <c r="AJ106" i="38" s="1"/>
  <c r="R104" i="38"/>
  <c r="Y107" i="38"/>
  <c r="R108" i="38"/>
  <c r="R92" i="38"/>
  <c r="Y88" i="38"/>
  <c r="R89" i="38"/>
  <c r="Y85" i="38"/>
  <c r="AH87" i="38" s="1"/>
  <c r="AH88" i="38" s="1"/>
  <c r="AJ88" i="38" s="1"/>
  <c r="R86" i="38"/>
  <c r="Y104" i="38"/>
  <c r="AI105" i="38" s="1"/>
  <c r="R105" i="38"/>
  <c r="R109" i="38"/>
  <c r="Y89" i="38"/>
  <c r="R90" i="38"/>
  <c r="Y105" i="38"/>
  <c r="R106" i="38"/>
  <c r="R110" i="38"/>
  <c r="Y86" i="38"/>
  <c r="AI87" i="38" s="1"/>
  <c r="R87" i="38"/>
  <c r="Y101" i="38"/>
  <c r="R102" i="38"/>
  <c r="Y102" i="38"/>
  <c r="R103" i="38"/>
  <c r="Y106" i="38"/>
  <c r="R107" i="38"/>
  <c r="R91" i="38"/>
  <c r="Y87" i="38"/>
  <c r="R88" i="38"/>
  <c r="Y84" i="38"/>
  <c r="R85" i="38"/>
  <c r="F95" i="43"/>
  <c r="H94" i="43"/>
  <c r="H95" i="43" s="1"/>
  <c r="F43" i="43"/>
  <c r="H42" i="43"/>
  <c r="H43" i="43" s="1"/>
  <c r="F27" i="43"/>
  <c r="H26" i="43"/>
  <c r="H27" i="43" s="1"/>
  <c r="S16" i="43"/>
  <c r="S17" i="43" s="1"/>
  <c r="S18" i="43" s="1"/>
  <c r="S19" i="43" s="1"/>
  <c r="S20" i="43" s="1"/>
  <c r="S21" i="43" s="1"/>
  <c r="S22" i="43" s="1"/>
  <c r="S23" i="43" s="1"/>
  <c r="S24" i="43" s="1"/>
  <c r="K52" i="43"/>
  <c r="I51" i="43"/>
  <c r="K51" i="43" s="1"/>
  <c r="Z84" i="43"/>
  <c r="O33" i="43"/>
  <c r="T33" i="43" s="1"/>
  <c r="V33" i="43" s="1"/>
  <c r="O32" i="43"/>
  <c r="T32" i="43" s="1"/>
  <c r="V32" i="43" s="1"/>
  <c r="E54" i="39"/>
  <c r="Q19" i="39"/>
  <c r="P19" i="39"/>
  <c r="Q20" i="39"/>
  <c r="P20" i="39"/>
  <c r="P15" i="39"/>
  <c r="Q15" i="39"/>
  <c r="Q18" i="39"/>
  <c r="P18" i="39"/>
  <c r="Q24" i="39"/>
  <c r="P24" i="39"/>
  <c r="C55" i="39"/>
  <c r="E55" i="39" s="1"/>
  <c r="Q21" i="39"/>
  <c r="P21" i="39"/>
  <c r="Q16" i="39"/>
  <c r="P16" i="39"/>
  <c r="C51" i="39"/>
  <c r="E51" i="39" s="1"/>
  <c r="Q17" i="39"/>
  <c r="P17" i="39"/>
  <c r="Q23" i="39"/>
  <c r="P23" i="39"/>
  <c r="P22" i="39"/>
  <c r="Q22" i="39"/>
  <c r="M84" i="38"/>
  <c r="N84" i="38" s="1"/>
  <c r="C52" i="38"/>
  <c r="E52" i="38" s="1"/>
  <c r="Q18" i="38"/>
  <c r="P18" i="38"/>
  <c r="Q24" i="38"/>
  <c r="P24" i="38"/>
  <c r="P21" i="38"/>
  <c r="Q21" i="38"/>
  <c r="C50" i="38"/>
  <c r="E50" i="38" s="1"/>
  <c r="Q16" i="38"/>
  <c r="P16" i="38"/>
  <c r="O15" i="38"/>
  <c r="Q15" i="38"/>
  <c r="P15" i="38"/>
  <c r="Q22" i="38"/>
  <c r="P22" i="38"/>
  <c r="C55" i="38"/>
  <c r="E55" i="38" s="1"/>
  <c r="C53" i="38"/>
  <c r="E53" i="38" s="1"/>
  <c r="Q19" i="38"/>
  <c r="P19" i="38"/>
  <c r="Q20" i="38"/>
  <c r="P20" i="38"/>
  <c r="C51" i="38"/>
  <c r="E51" i="38" s="1"/>
  <c r="P17" i="38"/>
  <c r="Q17" i="38"/>
  <c r="N49" i="38"/>
  <c r="O31" i="38"/>
  <c r="Q23" i="38"/>
  <c r="P23" i="38"/>
  <c r="S39" i="39"/>
  <c r="S37" i="38"/>
  <c r="F51" i="39"/>
  <c r="F55" i="39"/>
  <c r="G26" i="39"/>
  <c r="G27" i="39" s="1"/>
  <c r="C50" i="39"/>
  <c r="E50" i="39" s="1"/>
  <c r="G50" i="38"/>
  <c r="G51" i="38"/>
  <c r="Z104" i="43"/>
  <c r="AH102" i="43" s="1"/>
  <c r="M104" i="43"/>
  <c r="N104" i="43" s="1"/>
  <c r="Z85" i="43"/>
  <c r="AH83" i="43" s="1"/>
  <c r="O17" i="43"/>
  <c r="M85" i="43"/>
  <c r="N85" i="43" s="1"/>
  <c r="H50" i="43"/>
  <c r="F59" i="43"/>
  <c r="V84" i="43"/>
  <c r="S85" i="43"/>
  <c r="F53" i="39"/>
  <c r="N49" i="39"/>
  <c r="N31" i="39"/>
  <c r="O32" i="39"/>
  <c r="T32" i="39" s="1"/>
  <c r="V32" i="39" s="1"/>
  <c r="G54" i="39"/>
  <c r="F42" i="39"/>
  <c r="G42" i="39"/>
  <c r="G43" i="39" s="1"/>
  <c r="G53" i="39"/>
  <c r="F54" i="39"/>
  <c r="C52" i="39"/>
  <c r="E52" i="39" s="1"/>
  <c r="C53" i="39"/>
  <c r="E53" i="39" s="1"/>
  <c r="C56" i="39"/>
  <c r="E56" i="39" s="1"/>
  <c r="G56" i="39"/>
  <c r="G55" i="39"/>
  <c r="O15" i="39"/>
  <c r="F112" i="39"/>
  <c r="M31" i="39"/>
  <c r="G50" i="39"/>
  <c r="G94" i="39"/>
  <c r="G95" i="39" s="1"/>
  <c r="G112" i="39"/>
  <c r="G113" i="39" s="1"/>
  <c r="M31" i="38"/>
  <c r="Z83" i="38"/>
  <c r="C57" i="38"/>
  <c r="E57" i="38" s="1"/>
  <c r="Z101" i="38"/>
  <c r="C56" i="38"/>
  <c r="E56" i="38" s="1"/>
  <c r="G56" i="38"/>
  <c r="G54" i="38"/>
  <c r="F43" i="38"/>
  <c r="N31" i="38"/>
  <c r="G26" i="38"/>
  <c r="G27" i="38" s="1"/>
  <c r="C54" i="38"/>
  <c r="E54" i="38" s="1"/>
  <c r="G42" i="38"/>
  <c r="G53" i="38"/>
  <c r="G94" i="38"/>
  <c r="G95" i="38" s="1"/>
  <c r="O32" i="38"/>
  <c r="T32" i="38" s="1"/>
  <c r="V32" i="38" s="1"/>
  <c r="AJ105" i="38" l="1"/>
  <c r="AK106" i="38" s="1"/>
  <c r="AK108" i="38" s="1"/>
  <c r="AJ108" i="38" s="1"/>
  <c r="AN107" i="38" s="1"/>
  <c r="AJ87" i="38"/>
  <c r="AK88" i="38" s="1"/>
  <c r="AH88" i="39"/>
  <c r="AJ88" i="39" s="1"/>
  <c r="AJ87" i="39"/>
  <c r="AJ105" i="39"/>
  <c r="AK106" i="39" s="1"/>
  <c r="AH84" i="43"/>
  <c r="AJ84" i="43" s="1"/>
  <c r="AK90" i="43"/>
  <c r="AJ90" i="43" s="1"/>
  <c r="AN89" i="43" s="1"/>
  <c r="AN88" i="43"/>
  <c r="AR83" i="43" s="1"/>
  <c r="AU83" i="43" s="1"/>
  <c r="AH103" i="43"/>
  <c r="AJ103" i="43" s="1"/>
  <c r="S85" i="39"/>
  <c r="S86" i="39" s="1"/>
  <c r="F113" i="39"/>
  <c r="H112" i="39"/>
  <c r="H113" i="39" s="1"/>
  <c r="T16" i="43"/>
  <c r="V16" i="43" s="1"/>
  <c r="X16" i="43" s="1"/>
  <c r="N16" i="43" s="1"/>
  <c r="R22" i="38"/>
  <c r="R20" i="38"/>
  <c r="G43" i="38"/>
  <c r="H42" i="38"/>
  <c r="H43" i="38" s="1"/>
  <c r="R15" i="38"/>
  <c r="S15" i="38" s="1"/>
  <c r="R24" i="38"/>
  <c r="F43" i="39"/>
  <c r="H42" i="39"/>
  <c r="H43" i="39" s="1"/>
  <c r="R21" i="39"/>
  <c r="T17" i="43"/>
  <c r="V17" i="43" s="1"/>
  <c r="W17" i="43" s="1"/>
  <c r="O34" i="43"/>
  <c r="T34" i="43" s="1"/>
  <c r="V34" i="43" s="1"/>
  <c r="W34" i="43" s="1"/>
  <c r="W33" i="43"/>
  <c r="M33" i="43" s="1"/>
  <c r="X33" i="43"/>
  <c r="N33" i="43" s="1"/>
  <c r="W32" i="43"/>
  <c r="M32" i="43" s="1"/>
  <c r="X32" i="43"/>
  <c r="N32" i="43" s="1"/>
  <c r="R15" i="39"/>
  <c r="S15" i="39" s="1"/>
  <c r="H54" i="39"/>
  <c r="J54" i="39" s="1"/>
  <c r="H55" i="39"/>
  <c r="I55" i="39" s="1"/>
  <c r="R24" i="39"/>
  <c r="R17" i="39"/>
  <c r="R18" i="39"/>
  <c r="O16" i="39"/>
  <c r="F50" i="39"/>
  <c r="H50" i="39" s="1"/>
  <c r="R16" i="39"/>
  <c r="R20" i="39"/>
  <c r="F94" i="39"/>
  <c r="R22" i="39"/>
  <c r="W32" i="39"/>
  <c r="X32" i="39"/>
  <c r="R23" i="39"/>
  <c r="R19" i="39"/>
  <c r="O49" i="38"/>
  <c r="Q49" i="38" s="1"/>
  <c r="N15" i="38"/>
  <c r="R19" i="38"/>
  <c r="M102" i="38"/>
  <c r="N102" i="38" s="1"/>
  <c r="U84" i="38" s="1"/>
  <c r="M15" i="38"/>
  <c r="R21" i="38"/>
  <c r="M85" i="38"/>
  <c r="N85" i="38" s="1"/>
  <c r="F57" i="38"/>
  <c r="H57" i="38" s="1"/>
  <c r="J57" i="38" s="1"/>
  <c r="R17" i="38"/>
  <c r="X32" i="38"/>
  <c r="W32" i="38"/>
  <c r="F55" i="38"/>
  <c r="H55" i="38" s="1"/>
  <c r="I55" i="38" s="1"/>
  <c r="G59" i="38"/>
  <c r="R18" i="38"/>
  <c r="R23" i="38"/>
  <c r="R16" i="38"/>
  <c r="S40" i="39"/>
  <c r="S38" i="38"/>
  <c r="F94" i="38"/>
  <c r="Q50" i="43"/>
  <c r="V50" i="43" s="1"/>
  <c r="F26" i="39"/>
  <c r="Z86" i="43"/>
  <c r="AI83" i="43" s="1"/>
  <c r="AJ83" i="43" s="1"/>
  <c r="M86" i="43"/>
  <c r="N86" i="43" s="1"/>
  <c r="V85" i="43"/>
  <c r="S86" i="43"/>
  <c r="Z105" i="43"/>
  <c r="AI102" i="43" s="1"/>
  <c r="AJ102" i="43" s="1"/>
  <c r="M105" i="43"/>
  <c r="N105" i="43" s="1"/>
  <c r="I50" i="43"/>
  <c r="U58" i="43" s="1"/>
  <c r="H59" i="43"/>
  <c r="J50" i="43"/>
  <c r="J59" i="43" s="1"/>
  <c r="E61" i="43" s="1"/>
  <c r="U85" i="43"/>
  <c r="O35" i="43"/>
  <c r="T35" i="43" s="1"/>
  <c r="V35" i="43" s="1"/>
  <c r="R50" i="43"/>
  <c r="S50" i="43"/>
  <c r="O18" i="43"/>
  <c r="T18" i="43" s="1"/>
  <c r="V18" i="43" s="1"/>
  <c r="Z85" i="39"/>
  <c r="AH83" i="39" s="1"/>
  <c r="M86" i="39"/>
  <c r="Z102" i="39"/>
  <c r="M103" i="39"/>
  <c r="G51" i="39"/>
  <c r="H51" i="39" s="1"/>
  <c r="O33" i="39"/>
  <c r="T33" i="39" s="1"/>
  <c r="V33" i="39" s="1"/>
  <c r="H53" i="39"/>
  <c r="S102" i="39"/>
  <c r="S103" i="39" s="1"/>
  <c r="S104" i="39" s="1"/>
  <c r="S105" i="39" s="1"/>
  <c r="S106" i="39" s="1"/>
  <c r="S107" i="39" s="1"/>
  <c r="S108" i="39" s="1"/>
  <c r="S109" i="39" s="1"/>
  <c r="S110" i="39" s="1"/>
  <c r="O49" i="39"/>
  <c r="Q49" i="39" s="1"/>
  <c r="N15" i="39"/>
  <c r="M15" i="39"/>
  <c r="Z103" i="39"/>
  <c r="AH101" i="39" s="1"/>
  <c r="M104" i="39"/>
  <c r="F56" i="39"/>
  <c r="H56" i="39" s="1"/>
  <c r="M85" i="39"/>
  <c r="Z84" i="39"/>
  <c r="M84" i="39"/>
  <c r="N84" i="39" s="1"/>
  <c r="N50" i="39"/>
  <c r="F52" i="39"/>
  <c r="H52" i="39" s="1"/>
  <c r="M102" i="39"/>
  <c r="N102" i="39" s="1"/>
  <c r="Z103" i="38"/>
  <c r="AH101" i="38" s="1"/>
  <c r="M104" i="38"/>
  <c r="S84" i="38"/>
  <c r="Z102" i="38"/>
  <c r="M103" i="38"/>
  <c r="F54" i="38"/>
  <c r="H54" i="38" s="1"/>
  <c r="F56" i="38"/>
  <c r="H56" i="38" s="1"/>
  <c r="F26" i="38"/>
  <c r="O16" i="38"/>
  <c r="F50" i="38"/>
  <c r="S102" i="38"/>
  <c r="S103" i="38" s="1"/>
  <c r="S104" i="38" s="1"/>
  <c r="S105" i="38" s="1"/>
  <c r="S106" i="38" s="1"/>
  <c r="S107" i="38" s="1"/>
  <c r="S108" i="38" s="1"/>
  <c r="S109" i="38" s="1"/>
  <c r="S110" i="38" s="1"/>
  <c r="Z84" i="38"/>
  <c r="F53" i="38"/>
  <c r="H53" i="38" s="1"/>
  <c r="F52" i="38"/>
  <c r="H52" i="38" s="1"/>
  <c r="N50" i="38"/>
  <c r="F51" i="38"/>
  <c r="H51" i="38" s="1"/>
  <c r="O33" i="38"/>
  <c r="T33" i="38" s="1"/>
  <c r="V33" i="38" s="1"/>
  <c r="W58" i="43" l="1"/>
  <c r="X58" i="43"/>
  <c r="U57" i="43"/>
  <c r="U55" i="43"/>
  <c r="W55" i="43" s="1"/>
  <c r="U56" i="43"/>
  <c r="X55" i="43"/>
  <c r="U54" i="43"/>
  <c r="U53" i="43"/>
  <c r="U52" i="43"/>
  <c r="U50" i="43"/>
  <c r="U51" i="43"/>
  <c r="AK90" i="38"/>
  <c r="AJ90" i="38" s="1"/>
  <c r="AN89" i="38" s="1"/>
  <c r="AN88" i="38"/>
  <c r="AR83" i="38" s="1"/>
  <c r="AN108" i="38"/>
  <c r="AR103" i="38" s="1"/>
  <c r="AR102" i="38"/>
  <c r="AH102" i="38"/>
  <c r="AJ102" i="38" s="1"/>
  <c r="AN106" i="38"/>
  <c r="AR101" i="38" s="1"/>
  <c r="AH84" i="39"/>
  <c r="AJ84" i="39" s="1"/>
  <c r="AK88" i="39"/>
  <c r="AK108" i="39"/>
  <c r="AJ108" i="39" s="1"/>
  <c r="AN107" i="39" s="1"/>
  <c r="AN106" i="39"/>
  <c r="AR101" i="39" s="1"/>
  <c r="AH102" i="39"/>
  <c r="AJ102" i="39" s="1"/>
  <c r="AN90" i="43"/>
  <c r="AR85" i="43" s="1"/>
  <c r="AR84" i="43"/>
  <c r="AK103" i="43"/>
  <c r="AK105" i="43" s="1"/>
  <c r="AJ105" i="43" s="1"/>
  <c r="AN104" i="43" s="1"/>
  <c r="AK84" i="43"/>
  <c r="F95" i="39"/>
  <c r="H94" i="39"/>
  <c r="H95" i="39" s="1"/>
  <c r="S16" i="38"/>
  <c r="T16" i="38" s="1"/>
  <c r="V16" i="38" s="1"/>
  <c r="AU83" i="38"/>
  <c r="W16" i="43"/>
  <c r="M16" i="43" s="1"/>
  <c r="F95" i="38"/>
  <c r="H94" i="38"/>
  <c r="H95" i="38" s="1"/>
  <c r="X17" i="43"/>
  <c r="N17" i="43" s="1"/>
  <c r="X34" i="43"/>
  <c r="N34" i="43" s="1"/>
  <c r="F27" i="38"/>
  <c r="H26" i="38"/>
  <c r="H27" i="38" s="1"/>
  <c r="F27" i="39"/>
  <c r="H26" i="39"/>
  <c r="H27" i="39" s="1"/>
  <c r="S16" i="39"/>
  <c r="S17" i="39" s="1"/>
  <c r="S18" i="39" s="1"/>
  <c r="S19" i="39" s="1"/>
  <c r="S20" i="39" s="1"/>
  <c r="S21" i="39" s="1"/>
  <c r="S22" i="39" s="1"/>
  <c r="S23" i="39" s="1"/>
  <c r="S24" i="39" s="1"/>
  <c r="Q51" i="43"/>
  <c r="V51" i="43" s="1"/>
  <c r="X18" i="43"/>
  <c r="W18" i="43"/>
  <c r="W35" i="43"/>
  <c r="X35" i="43"/>
  <c r="O50" i="39"/>
  <c r="Q50" i="39" s="1"/>
  <c r="I54" i="39"/>
  <c r="K54" i="39" s="1"/>
  <c r="J55" i="39"/>
  <c r="K55" i="39" s="1"/>
  <c r="O17" i="39"/>
  <c r="W33" i="39"/>
  <c r="X33" i="39"/>
  <c r="G59" i="39"/>
  <c r="N52" i="39"/>
  <c r="N103" i="38"/>
  <c r="U85" i="38" s="1"/>
  <c r="I57" i="38"/>
  <c r="K57" i="38" s="1"/>
  <c r="M86" i="38"/>
  <c r="N86" i="38" s="1"/>
  <c r="Z85" i="38"/>
  <c r="AH83" i="38" s="1"/>
  <c r="AH84" i="38" s="1"/>
  <c r="AJ84" i="38" s="1"/>
  <c r="J55" i="38"/>
  <c r="K55" i="38" s="1"/>
  <c r="O34" i="38"/>
  <c r="T34" i="38" s="1"/>
  <c r="V34" i="38" s="1"/>
  <c r="X34" i="38" s="1"/>
  <c r="W33" i="38"/>
  <c r="X33" i="38"/>
  <c r="S39" i="38"/>
  <c r="U86" i="43"/>
  <c r="U84" i="39"/>
  <c r="O17" i="38"/>
  <c r="Z106" i="43"/>
  <c r="M106" i="43"/>
  <c r="N106" i="43" s="1"/>
  <c r="O36" i="43"/>
  <c r="T36" i="43" s="1"/>
  <c r="V36" i="43" s="1"/>
  <c r="V86" i="43"/>
  <c r="S87" i="43"/>
  <c r="M34" i="43"/>
  <c r="O19" i="43"/>
  <c r="T19" i="43" s="1"/>
  <c r="V19" i="43" s="1"/>
  <c r="I59" i="43"/>
  <c r="K50" i="43"/>
  <c r="S51" i="43"/>
  <c r="R51" i="43"/>
  <c r="M17" i="43"/>
  <c r="Z87" i="43"/>
  <c r="M87" i="43"/>
  <c r="N87" i="43" s="1"/>
  <c r="J53" i="39"/>
  <c r="I53" i="39"/>
  <c r="N85" i="39"/>
  <c r="N86" i="39" s="1"/>
  <c r="O51" i="39"/>
  <c r="N51" i="39"/>
  <c r="F59" i="39"/>
  <c r="N32" i="39"/>
  <c r="M32" i="39"/>
  <c r="Z86" i="39"/>
  <c r="AI83" i="39" s="1"/>
  <c r="AJ83" i="39" s="1"/>
  <c r="M87" i="39"/>
  <c r="I51" i="39"/>
  <c r="J51" i="39"/>
  <c r="I52" i="39"/>
  <c r="J52" i="39"/>
  <c r="V84" i="39"/>
  <c r="N103" i="39"/>
  <c r="N104" i="39" s="1"/>
  <c r="J50" i="39"/>
  <c r="H59" i="39"/>
  <c r="I50" i="39"/>
  <c r="V86" i="39"/>
  <c r="S87" i="39"/>
  <c r="J56" i="39"/>
  <c r="I56" i="39"/>
  <c r="Z104" i="39"/>
  <c r="AI101" i="39" s="1"/>
  <c r="AJ101" i="39" s="1"/>
  <c r="V85" i="39"/>
  <c r="F59" i="38"/>
  <c r="H50" i="38"/>
  <c r="J53" i="38"/>
  <c r="I53" i="38"/>
  <c r="M32" i="38"/>
  <c r="N32" i="38"/>
  <c r="V84" i="38"/>
  <c r="S85" i="38"/>
  <c r="I54" i="38"/>
  <c r="J54" i="38"/>
  <c r="Z104" i="38"/>
  <c r="AI101" i="38" s="1"/>
  <c r="AJ101" i="38" s="1"/>
  <c r="M105" i="38"/>
  <c r="M87" i="38"/>
  <c r="I51" i="38"/>
  <c r="J51" i="38"/>
  <c r="O50" i="38"/>
  <c r="N52" i="38"/>
  <c r="O35" i="38"/>
  <c r="T35" i="38" s="1"/>
  <c r="V35" i="38" s="1"/>
  <c r="I52" i="38"/>
  <c r="J52" i="38"/>
  <c r="J56" i="38"/>
  <c r="I56" i="38"/>
  <c r="N51" i="38"/>
  <c r="U58" i="39" l="1"/>
  <c r="U57" i="39"/>
  <c r="U56" i="39"/>
  <c r="U50" i="39"/>
  <c r="U55" i="39"/>
  <c r="U51" i="39"/>
  <c r="U52" i="39"/>
  <c r="U54" i="39"/>
  <c r="U53" i="39"/>
  <c r="W57" i="43"/>
  <c r="X57" i="43"/>
  <c r="X56" i="43"/>
  <c r="W56" i="43"/>
  <c r="W54" i="43"/>
  <c r="X54" i="43"/>
  <c r="X53" i="43"/>
  <c r="W53" i="43"/>
  <c r="AN103" i="43"/>
  <c r="AQ102" i="43" s="1"/>
  <c r="AK102" i="38"/>
  <c r="AN90" i="38"/>
  <c r="AR85" i="38" s="1"/>
  <c r="AR84" i="38"/>
  <c r="S17" i="38"/>
  <c r="S18" i="38" s="1"/>
  <c r="S19" i="38" s="1"/>
  <c r="S20" i="38" s="1"/>
  <c r="S21" i="38" s="1"/>
  <c r="S22" i="38" s="1"/>
  <c r="S23" i="38" s="1"/>
  <c r="S24" i="38" s="1"/>
  <c r="AK104" i="38"/>
  <c r="AJ104" i="38" s="1"/>
  <c r="AN103" i="38" s="1"/>
  <c r="AN102" i="38"/>
  <c r="AQ101" i="38" s="1"/>
  <c r="AK90" i="39"/>
  <c r="AJ90" i="39" s="1"/>
  <c r="AN89" i="39" s="1"/>
  <c r="AN88" i="39"/>
  <c r="AR83" i="39" s="1"/>
  <c r="AU83" i="39" s="1"/>
  <c r="AK84" i="39"/>
  <c r="AK102" i="39"/>
  <c r="AN108" i="39"/>
  <c r="AR103" i="39" s="1"/>
  <c r="AR102" i="39"/>
  <c r="AK86" i="43"/>
  <c r="AJ86" i="43" s="1"/>
  <c r="AN85" i="43" s="1"/>
  <c r="AN84" i="43"/>
  <c r="AQ83" i="43" s="1"/>
  <c r="AN105" i="43"/>
  <c r="AQ104" i="43" s="1"/>
  <c r="AQ103" i="43"/>
  <c r="T16" i="39"/>
  <c r="V16" i="39" s="1"/>
  <c r="X16" i="39" s="1"/>
  <c r="N16" i="39" s="1"/>
  <c r="W51" i="43"/>
  <c r="N104" i="38"/>
  <c r="U86" i="38" s="1"/>
  <c r="T17" i="39"/>
  <c r="V17" i="39" s="1"/>
  <c r="X17" i="39" s="1"/>
  <c r="N17" i="39" s="1"/>
  <c r="R50" i="39"/>
  <c r="S50" i="39"/>
  <c r="X36" i="43"/>
  <c r="W36" i="43"/>
  <c r="W19" i="43"/>
  <c r="X19" i="43"/>
  <c r="K56" i="39"/>
  <c r="O18" i="39"/>
  <c r="T18" i="39" s="1"/>
  <c r="V18" i="39" s="1"/>
  <c r="O34" i="39"/>
  <c r="T34" i="39" s="1"/>
  <c r="V34" i="39" s="1"/>
  <c r="O52" i="39"/>
  <c r="Q52" i="39" s="1"/>
  <c r="W34" i="38"/>
  <c r="M34" i="38" s="1"/>
  <c r="Z86" i="38"/>
  <c r="AI83" i="38" s="1"/>
  <c r="AJ83" i="38" s="1"/>
  <c r="AK84" i="38" s="1"/>
  <c r="O51" i="38"/>
  <c r="Q51" i="38" s="1"/>
  <c r="V51" i="38" s="1"/>
  <c r="K51" i="38"/>
  <c r="X16" i="38"/>
  <c r="N16" i="38" s="1"/>
  <c r="W16" i="38"/>
  <c r="M16" i="38" s="1"/>
  <c r="X35" i="38"/>
  <c r="W35" i="38"/>
  <c r="K53" i="38"/>
  <c r="S40" i="38"/>
  <c r="U87" i="43"/>
  <c r="N87" i="39"/>
  <c r="N87" i="38"/>
  <c r="K53" i="39"/>
  <c r="K51" i="39"/>
  <c r="Q51" i="39"/>
  <c r="V51" i="39" s="1"/>
  <c r="J59" i="39"/>
  <c r="E61" i="39" s="1"/>
  <c r="K56" i="38"/>
  <c r="V87" i="43"/>
  <c r="S88" i="43"/>
  <c r="K59" i="43"/>
  <c r="J63" i="43"/>
  <c r="C61" i="43"/>
  <c r="G61" i="43" s="1"/>
  <c r="K61" i="43" s="1"/>
  <c r="O37" i="43"/>
  <c r="T37" i="43" s="1"/>
  <c r="V37" i="43" s="1"/>
  <c r="X50" i="43"/>
  <c r="W50" i="43"/>
  <c r="N35" i="43"/>
  <c r="M35" i="43"/>
  <c r="Z88" i="43"/>
  <c r="M89" i="43"/>
  <c r="O20" i="43"/>
  <c r="T20" i="43" s="1"/>
  <c r="V20" i="43" s="1"/>
  <c r="Z107" i="43"/>
  <c r="M88" i="43"/>
  <c r="N88" i="43" s="1"/>
  <c r="M107" i="43"/>
  <c r="N107" i="43" s="1"/>
  <c r="R52" i="43"/>
  <c r="S52" i="43"/>
  <c r="X51" i="43"/>
  <c r="M18" i="43"/>
  <c r="N18" i="43"/>
  <c r="Q52" i="43"/>
  <c r="I59" i="39"/>
  <c r="W50" i="39"/>
  <c r="K50" i="39"/>
  <c r="V50" i="39"/>
  <c r="N33" i="39"/>
  <c r="M33" i="39"/>
  <c r="U86" i="39"/>
  <c r="R51" i="39"/>
  <c r="S51" i="39"/>
  <c r="V87" i="39"/>
  <c r="S88" i="39"/>
  <c r="K52" i="39"/>
  <c r="Z105" i="39"/>
  <c r="U85" i="39"/>
  <c r="M105" i="39"/>
  <c r="N105" i="39" s="1"/>
  <c r="Z87" i="39"/>
  <c r="N34" i="38"/>
  <c r="S50" i="38"/>
  <c r="R50" i="38"/>
  <c r="V85" i="38"/>
  <c r="S86" i="38"/>
  <c r="O52" i="38"/>
  <c r="Q52" i="38" s="1"/>
  <c r="Z105" i="38"/>
  <c r="M106" i="38"/>
  <c r="K52" i="38"/>
  <c r="I50" i="38"/>
  <c r="H59" i="38"/>
  <c r="J50" i="38"/>
  <c r="J59" i="38" s="1"/>
  <c r="E61" i="38" s="1"/>
  <c r="K54" i="38"/>
  <c r="Q50" i="38"/>
  <c r="N53" i="38"/>
  <c r="O36" i="38"/>
  <c r="T36" i="38" s="1"/>
  <c r="V36" i="38" s="1"/>
  <c r="Z87" i="38"/>
  <c r="M88" i="38"/>
  <c r="N33" i="38"/>
  <c r="M33" i="38"/>
  <c r="U58" i="38" l="1"/>
  <c r="U56" i="38"/>
  <c r="U55" i="38"/>
  <c r="U53" i="38"/>
  <c r="U54" i="38"/>
  <c r="U50" i="38"/>
  <c r="X50" i="38" s="1"/>
  <c r="U52" i="38"/>
  <c r="U51" i="38"/>
  <c r="U57" i="38"/>
  <c r="T17" i="38"/>
  <c r="V17" i="38" s="1"/>
  <c r="X17" i="38" s="1"/>
  <c r="N17" i="38" s="1"/>
  <c r="W58" i="39"/>
  <c r="X58" i="39"/>
  <c r="W57" i="39"/>
  <c r="X57" i="39"/>
  <c r="AT83" i="43"/>
  <c r="AK86" i="38"/>
  <c r="AJ86" i="38" s="1"/>
  <c r="AN85" i="38" s="1"/>
  <c r="AN84" i="38"/>
  <c r="AQ83" i="38" s="1"/>
  <c r="AT83" i="38" s="1"/>
  <c r="AQ102" i="38"/>
  <c r="AN104" i="38"/>
  <c r="AQ103" i="38" s="1"/>
  <c r="AK86" i="39"/>
  <c r="AJ86" i="39" s="1"/>
  <c r="AN85" i="39" s="1"/>
  <c r="AN84" i="39"/>
  <c r="AQ83" i="39" s="1"/>
  <c r="AR84" i="39"/>
  <c r="AN90" i="39"/>
  <c r="AR85" i="39" s="1"/>
  <c r="AK104" i="39"/>
  <c r="AJ104" i="39" s="1"/>
  <c r="AN103" i="39" s="1"/>
  <c r="AN102" i="39"/>
  <c r="AQ101" i="39" s="1"/>
  <c r="AT83" i="39" s="1"/>
  <c r="AN86" i="43"/>
  <c r="AQ85" i="43" s="1"/>
  <c r="AQ84" i="43"/>
  <c r="W16" i="39"/>
  <c r="M16" i="39" s="1"/>
  <c r="N105" i="38"/>
  <c r="N106" i="38" s="1"/>
  <c r="R51" i="38"/>
  <c r="W17" i="38"/>
  <c r="M17" i="38" s="1"/>
  <c r="S51" i="38"/>
  <c r="W17" i="39"/>
  <c r="M17" i="39" s="1"/>
  <c r="R52" i="39"/>
  <c r="S52" i="39"/>
  <c r="N89" i="43"/>
  <c r="X37" i="43"/>
  <c r="W37" i="43"/>
  <c r="W20" i="43"/>
  <c r="X20" i="43"/>
  <c r="U87" i="39"/>
  <c r="X34" i="39"/>
  <c r="N34" i="39" s="1"/>
  <c r="W34" i="39"/>
  <c r="M34" i="39" s="1"/>
  <c r="O35" i="39"/>
  <c r="T35" i="39" s="1"/>
  <c r="V35" i="39" s="1"/>
  <c r="N53" i="39"/>
  <c r="K59" i="39"/>
  <c r="X51" i="39"/>
  <c r="X18" i="39"/>
  <c r="N18" i="39" s="1"/>
  <c r="W18" i="39"/>
  <c r="M18" i="39" s="1"/>
  <c r="O19" i="39"/>
  <c r="T19" i="39" s="1"/>
  <c r="V19" i="39" s="1"/>
  <c r="O53" i="39"/>
  <c r="N88" i="38"/>
  <c r="O18" i="38"/>
  <c r="T18" i="38" s="1"/>
  <c r="V18" i="38" s="1"/>
  <c r="W36" i="38"/>
  <c r="X36" i="38"/>
  <c r="X50" i="39"/>
  <c r="U88" i="43"/>
  <c r="Z108" i="43"/>
  <c r="M109" i="43"/>
  <c r="O38" i="43"/>
  <c r="T38" i="43" s="1"/>
  <c r="V38" i="43" s="1"/>
  <c r="M108" i="43"/>
  <c r="N108" i="43" s="1"/>
  <c r="O21" i="43"/>
  <c r="T21" i="43" s="1"/>
  <c r="V21" i="43" s="1"/>
  <c r="N36" i="43"/>
  <c r="M36" i="43"/>
  <c r="N19" i="43"/>
  <c r="M19" i="43"/>
  <c r="W52" i="43"/>
  <c r="X52" i="43"/>
  <c r="V52" i="43"/>
  <c r="Z89" i="43"/>
  <c r="M90" i="43"/>
  <c r="V88" i="43"/>
  <c r="S89" i="43"/>
  <c r="Z106" i="39"/>
  <c r="W51" i="39"/>
  <c r="M106" i="39"/>
  <c r="N106" i="39" s="1"/>
  <c r="V88" i="39"/>
  <c r="S89" i="39"/>
  <c r="Z88" i="39"/>
  <c r="M89" i="39"/>
  <c r="C61" i="39"/>
  <c r="G61" i="39" s="1"/>
  <c r="K61" i="39" s="1"/>
  <c r="J63" i="39"/>
  <c r="W52" i="39"/>
  <c r="X52" i="39"/>
  <c r="V52" i="39"/>
  <c r="M88" i="39"/>
  <c r="N88" i="39" s="1"/>
  <c r="V50" i="38"/>
  <c r="V86" i="38"/>
  <c r="S87" i="38"/>
  <c r="N54" i="38"/>
  <c r="O37" i="38"/>
  <c r="T37" i="38" s="1"/>
  <c r="V37" i="38" s="1"/>
  <c r="Z106" i="38"/>
  <c r="M107" i="38"/>
  <c r="Z88" i="38"/>
  <c r="V52" i="38"/>
  <c r="I59" i="38"/>
  <c r="W52" i="38"/>
  <c r="K50" i="38"/>
  <c r="M35" i="38"/>
  <c r="N35" i="38"/>
  <c r="R52" i="38"/>
  <c r="S52" i="38"/>
  <c r="W58" i="38" l="1"/>
  <c r="X58" i="38"/>
  <c r="U87" i="38"/>
  <c r="AQ84" i="38"/>
  <c r="AN86" i="38"/>
  <c r="AQ85" i="38" s="1"/>
  <c r="AQ84" i="39"/>
  <c r="AN86" i="39"/>
  <c r="AQ85" i="39" s="1"/>
  <c r="AN104" i="39"/>
  <c r="AQ103" i="39" s="1"/>
  <c r="AQ102" i="39"/>
  <c r="U89" i="43"/>
  <c r="N90" i="43"/>
  <c r="U88" i="38"/>
  <c r="N109" i="43"/>
  <c r="U90" i="43" s="1"/>
  <c r="X21" i="43"/>
  <c r="W21" i="43"/>
  <c r="X38" i="43"/>
  <c r="W38" i="43"/>
  <c r="N89" i="39"/>
  <c r="O20" i="39"/>
  <c r="T20" i="39" s="1"/>
  <c r="V20" i="39" s="1"/>
  <c r="O54" i="39"/>
  <c r="W19" i="39"/>
  <c r="M19" i="39" s="1"/>
  <c r="X19" i="39"/>
  <c r="N19" i="39" s="1"/>
  <c r="Q53" i="39"/>
  <c r="O36" i="39"/>
  <c r="T36" i="39" s="1"/>
  <c r="V36" i="39" s="1"/>
  <c r="N54" i="39"/>
  <c r="R53" i="39"/>
  <c r="S53" i="39"/>
  <c r="X35" i="39"/>
  <c r="N35" i="39" s="1"/>
  <c r="W35" i="39"/>
  <c r="M35" i="39" s="1"/>
  <c r="N107" i="38"/>
  <c r="O19" i="38"/>
  <c r="T19" i="38" s="1"/>
  <c r="V19" i="38" s="1"/>
  <c r="O53" i="38"/>
  <c r="W18" i="38"/>
  <c r="M18" i="38" s="1"/>
  <c r="X18" i="38"/>
  <c r="N18" i="38" s="1"/>
  <c r="W37" i="38"/>
  <c r="X37" i="38"/>
  <c r="W50" i="38"/>
  <c r="X52" i="38"/>
  <c r="N20" i="43"/>
  <c r="M20" i="43"/>
  <c r="O39" i="43"/>
  <c r="T39" i="43" s="1"/>
  <c r="V39" i="43" s="1"/>
  <c r="Z90" i="43"/>
  <c r="M91" i="43"/>
  <c r="N91" i="43" s="1"/>
  <c r="M37" i="43"/>
  <c r="N37" i="43"/>
  <c r="Z109" i="43"/>
  <c r="M110" i="43"/>
  <c r="O22" i="43"/>
  <c r="T22" i="43" s="1"/>
  <c r="V22" i="43" s="1"/>
  <c r="V89" i="43"/>
  <c r="S90" i="43"/>
  <c r="Z107" i="39"/>
  <c r="Z89" i="39"/>
  <c r="M90" i="39"/>
  <c r="M107" i="39"/>
  <c r="N107" i="39" s="1"/>
  <c r="U88" i="39"/>
  <c r="V89" i="39"/>
  <c r="S90" i="39"/>
  <c r="Z89" i="38"/>
  <c r="X51" i="38"/>
  <c r="W51" i="38"/>
  <c r="Z107" i="38"/>
  <c r="N55" i="38"/>
  <c r="O38" i="38"/>
  <c r="T38" i="38" s="1"/>
  <c r="V38" i="38" s="1"/>
  <c r="N36" i="38"/>
  <c r="M36" i="38"/>
  <c r="V87" i="38"/>
  <c r="S88" i="38"/>
  <c r="M89" i="38"/>
  <c r="N89" i="38" s="1"/>
  <c r="K59" i="38"/>
  <c r="J63" i="38"/>
  <c r="C61" i="38"/>
  <c r="G61" i="38" s="1"/>
  <c r="K61" i="38" s="1"/>
  <c r="U89" i="39" l="1"/>
  <c r="N90" i="39"/>
  <c r="N110" i="43"/>
  <c r="U89" i="38"/>
  <c r="X39" i="43"/>
  <c r="W39" i="43"/>
  <c r="X22" i="43"/>
  <c r="W22" i="43"/>
  <c r="U91" i="43"/>
  <c r="Q54" i="39"/>
  <c r="X54" i="39" s="1"/>
  <c r="O21" i="39"/>
  <c r="T21" i="39" s="1"/>
  <c r="V21" i="39" s="1"/>
  <c r="O55" i="39"/>
  <c r="X36" i="39"/>
  <c r="N36" i="39" s="1"/>
  <c r="W36" i="39"/>
  <c r="M36" i="39" s="1"/>
  <c r="S54" i="39"/>
  <c r="R54" i="39"/>
  <c r="V53" i="39"/>
  <c r="X53" i="39"/>
  <c r="W53" i="39"/>
  <c r="X20" i="39"/>
  <c r="N20" i="39" s="1"/>
  <c r="W20" i="39"/>
  <c r="M20" i="39" s="1"/>
  <c r="O37" i="39"/>
  <c r="T37" i="39" s="1"/>
  <c r="V37" i="39" s="1"/>
  <c r="N55" i="39"/>
  <c r="O20" i="38"/>
  <c r="T20" i="38" s="1"/>
  <c r="V20" i="38" s="1"/>
  <c r="O54" i="38"/>
  <c r="Q53" i="38"/>
  <c r="R53" i="38"/>
  <c r="S53" i="38"/>
  <c r="X19" i="38"/>
  <c r="N19" i="38" s="1"/>
  <c r="W19" i="38"/>
  <c r="M19" i="38" s="1"/>
  <c r="W38" i="38"/>
  <c r="X38" i="38"/>
  <c r="V90" i="43"/>
  <c r="S91" i="43"/>
  <c r="O40" i="43"/>
  <c r="T40" i="43" s="1"/>
  <c r="V40" i="43" s="1"/>
  <c r="O23" i="43"/>
  <c r="T23" i="43" s="1"/>
  <c r="V23" i="43" s="1"/>
  <c r="N21" i="43"/>
  <c r="M21" i="43"/>
  <c r="N38" i="43"/>
  <c r="M38" i="43"/>
  <c r="Z91" i="43"/>
  <c r="M92" i="43"/>
  <c r="N92" i="43" s="1"/>
  <c r="Z110" i="43"/>
  <c r="V90" i="39"/>
  <c r="S91" i="39"/>
  <c r="Z108" i="39"/>
  <c r="M109" i="39"/>
  <c r="M108" i="39"/>
  <c r="N108" i="39" s="1"/>
  <c r="U90" i="39" s="1"/>
  <c r="Z90" i="39"/>
  <c r="M91" i="39"/>
  <c r="N91" i="39" s="1"/>
  <c r="N37" i="38"/>
  <c r="M37" i="38"/>
  <c r="V88" i="38"/>
  <c r="S89" i="38"/>
  <c r="Z90" i="38"/>
  <c r="M91" i="38"/>
  <c r="Z108" i="38"/>
  <c r="N56" i="38"/>
  <c r="O39" i="38"/>
  <c r="T39" i="38" s="1"/>
  <c r="V39" i="38" s="1"/>
  <c r="M90" i="38"/>
  <c r="N90" i="38" s="1"/>
  <c r="M108" i="38"/>
  <c r="N108" i="38" s="1"/>
  <c r="Q55" i="39" l="1"/>
  <c r="X55" i="39" s="1"/>
  <c r="X23" i="43"/>
  <c r="W23" i="43"/>
  <c r="X40" i="43"/>
  <c r="W40" i="43"/>
  <c r="W54" i="39"/>
  <c r="V54" i="39"/>
  <c r="O22" i="39"/>
  <c r="T22" i="39" s="1"/>
  <c r="V22" i="39" s="1"/>
  <c r="O56" i="39"/>
  <c r="O38" i="39"/>
  <c r="T38" i="39" s="1"/>
  <c r="V38" i="39" s="1"/>
  <c r="N56" i="39"/>
  <c r="R55" i="39"/>
  <c r="S55" i="39"/>
  <c r="X37" i="39"/>
  <c r="N37" i="39" s="1"/>
  <c r="W37" i="39"/>
  <c r="M37" i="39" s="1"/>
  <c r="X21" i="39"/>
  <c r="N21" i="39" s="1"/>
  <c r="W21" i="39"/>
  <c r="M21" i="39" s="1"/>
  <c r="V53" i="38"/>
  <c r="X53" i="38"/>
  <c r="W53" i="38"/>
  <c r="R54" i="38"/>
  <c r="Q54" i="38"/>
  <c r="S54" i="38"/>
  <c r="O21" i="38"/>
  <c r="T21" i="38" s="1"/>
  <c r="V21" i="38" s="1"/>
  <c r="O55" i="38"/>
  <c r="X20" i="38"/>
  <c r="N20" i="38" s="1"/>
  <c r="W20" i="38"/>
  <c r="M20" i="38" s="1"/>
  <c r="N91" i="38"/>
  <c r="X39" i="38"/>
  <c r="W39" i="38"/>
  <c r="N109" i="39"/>
  <c r="U91" i="39" s="1"/>
  <c r="U90" i="38"/>
  <c r="Z111" i="43"/>
  <c r="O24" i="43"/>
  <c r="T24" i="43" s="1"/>
  <c r="V24" i="43" s="1"/>
  <c r="M111" i="43"/>
  <c r="N111" i="43" s="1"/>
  <c r="U92" i="43" s="1"/>
  <c r="M22" i="43"/>
  <c r="N22" i="43"/>
  <c r="N39" i="43"/>
  <c r="M39" i="43"/>
  <c r="V91" i="43"/>
  <c r="S92" i="43"/>
  <c r="Z92" i="43"/>
  <c r="Z91" i="39"/>
  <c r="Z109" i="39"/>
  <c r="V91" i="39"/>
  <c r="S92" i="39"/>
  <c r="M38" i="38"/>
  <c r="N38" i="38"/>
  <c r="Z91" i="38"/>
  <c r="M92" i="38"/>
  <c r="V89" i="38"/>
  <c r="S90" i="38"/>
  <c r="Z109" i="38"/>
  <c r="M110" i="38"/>
  <c r="M109" i="38"/>
  <c r="N109" i="38" s="1"/>
  <c r="N57" i="38"/>
  <c r="O40" i="38"/>
  <c r="T40" i="38" s="1"/>
  <c r="V40" i="38" s="1"/>
  <c r="W55" i="39" l="1"/>
  <c r="V55" i="39"/>
  <c r="X24" i="43"/>
  <c r="W24" i="43"/>
  <c r="Q56" i="39"/>
  <c r="O39" i="39"/>
  <c r="T39" i="39" s="1"/>
  <c r="V39" i="39" s="1"/>
  <c r="O23" i="39"/>
  <c r="T23" i="39" s="1"/>
  <c r="V23" i="39" s="1"/>
  <c r="W38" i="39"/>
  <c r="M38" i="39" s="1"/>
  <c r="X38" i="39"/>
  <c r="N38" i="39" s="1"/>
  <c r="S56" i="39"/>
  <c r="R56" i="39"/>
  <c r="W22" i="39"/>
  <c r="M22" i="39" s="1"/>
  <c r="X22" i="39"/>
  <c r="N22" i="39" s="1"/>
  <c r="N92" i="38"/>
  <c r="O22" i="38"/>
  <c r="T22" i="38" s="1"/>
  <c r="V22" i="38" s="1"/>
  <c r="O56" i="38"/>
  <c r="S55" i="38"/>
  <c r="R55" i="38"/>
  <c r="Q55" i="38"/>
  <c r="W21" i="38"/>
  <c r="M21" i="38" s="1"/>
  <c r="X21" i="38"/>
  <c r="N21" i="38" s="1"/>
  <c r="W54" i="38"/>
  <c r="X54" i="38"/>
  <c r="V54" i="38"/>
  <c r="U91" i="38"/>
  <c r="W40" i="38"/>
  <c r="X40" i="38"/>
  <c r="N110" i="38"/>
  <c r="V92" i="43"/>
  <c r="N23" i="43"/>
  <c r="M23" i="43"/>
  <c r="N40" i="43"/>
  <c r="M40" i="43"/>
  <c r="Z110" i="39"/>
  <c r="Z92" i="39"/>
  <c r="M92" i="39"/>
  <c r="N92" i="39" s="1"/>
  <c r="M110" i="39"/>
  <c r="N110" i="39" s="1"/>
  <c r="V92" i="39"/>
  <c r="M39" i="38"/>
  <c r="N39" i="38"/>
  <c r="V90" i="38"/>
  <c r="S91" i="38"/>
  <c r="Z92" i="38"/>
  <c r="Z110" i="38"/>
  <c r="U92" i="38" l="1"/>
  <c r="W56" i="39"/>
  <c r="V56" i="39"/>
  <c r="X56" i="39"/>
  <c r="O24" i="39"/>
  <c r="T24" i="39" s="1"/>
  <c r="V24" i="39" s="1"/>
  <c r="W23" i="39"/>
  <c r="M23" i="39" s="1"/>
  <c r="X23" i="39"/>
  <c r="N23" i="39" s="1"/>
  <c r="O40" i="39"/>
  <c r="T40" i="39" s="1"/>
  <c r="V40" i="39" s="1"/>
  <c r="W39" i="39"/>
  <c r="M39" i="39" s="1"/>
  <c r="X39" i="39"/>
  <c r="N39" i="39" s="1"/>
  <c r="W55" i="38"/>
  <c r="X55" i="38"/>
  <c r="V55" i="38"/>
  <c r="O23" i="38"/>
  <c r="T23" i="38" s="1"/>
  <c r="V23" i="38" s="1"/>
  <c r="O57" i="38"/>
  <c r="Q56" i="38"/>
  <c r="S56" i="38"/>
  <c r="R56" i="38"/>
  <c r="W22" i="38"/>
  <c r="M22" i="38" s="1"/>
  <c r="X22" i="38"/>
  <c r="N22" i="38" s="1"/>
  <c r="N24" i="43"/>
  <c r="M24" i="43"/>
  <c r="U92" i="39"/>
  <c r="N40" i="38"/>
  <c r="M40" i="38"/>
  <c r="V91" i="38"/>
  <c r="S92" i="38"/>
  <c r="X40" i="39" l="1"/>
  <c r="N40" i="39" s="1"/>
  <c r="W40" i="39"/>
  <c r="M40" i="39" s="1"/>
  <c r="X24" i="39"/>
  <c r="N24" i="39" s="1"/>
  <c r="W24" i="39"/>
  <c r="M24" i="39" s="1"/>
  <c r="Q57" i="38"/>
  <c r="R57" i="38"/>
  <c r="S57" i="38"/>
  <c r="O24" i="38"/>
  <c r="T24" i="38" s="1"/>
  <c r="V24" i="38" s="1"/>
  <c r="W23" i="38"/>
  <c r="M23" i="38" s="1"/>
  <c r="X23" i="38"/>
  <c r="N23" i="38" s="1"/>
  <c r="V56" i="38"/>
  <c r="W56" i="38"/>
  <c r="X56" i="38"/>
  <c r="V92" i="38"/>
  <c r="W24" i="38" l="1"/>
  <c r="M24" i="38" s="1"/>
  <c r="X24" i="38"/>
  <c r="N24" i="38" s="1"/>
  <c r="X57" i="38"/>
  <c r="V57" i="38"/>
  <c r="W57" i="38"/>
</calcChain>
</file>

<file path=xl/sharedStrings.xml><?xml version="1.0" encoding="utf-8"?>
<sst xmlns="http://schemas.openxmlformats.org/spreadsheetml/2006/main" count="753" uniqueCount="119">
  <si>
    <t>Suma:</t>
  </si>
  <si>
    <t>A</t>
  </si>
  <si>
    <t>B</t>
  </si>
  <si>
    <t>Total</t>
  </si>
  <si>
    <t>χ² cal=</t>
  </si>
  <si>
    <t>OR=</t>
  </si>
  <si>
    <t>Test de log-rank (test de Mantel-Haenszel) para comparar la probabilidad de supervivencia entre grupos. </t>
  </si>
  <si>
    <t>g. l. = 1</t>
  </si>
  <si>
    <r>
      <t>Corresponde a</t>
    </r>
    <r>
      <rPr>
        <b/>
        <i/>
        <sz val="10"/>
        <rFont val="Calibri"/>
        <family val="2"/>
      </rPr>
      <t xml:space="preserve"> p</t>
    </r>
    <r>
      <rPr>
        <sz val="10"/>
        <rFont val="Calibri"/>
        <family val="2"/>
      </rPr>
      <t>=</t>
    </r>
  </si>
  <si>
    <t>tiempo final del intervalo (meses)</t>
  </si>
  <si>
    <t>NNT</t>
  </si>
  <si>
    <t>mediana t</t>
  </si>
  <si>
    <t>nº pac mediana</t>
  </si>
  <si>
    <t>Percentil mediana</t>
  </si>
  <si>
    <t>% S sup e inf</t>
  </si>
  <si>
    <t>nº pac sup e inf</t>
  </si>
  <si>
    <t>RAR</t>
  </si>
  <si>
    <t>MATERIAL</t>
  </si>
  <si>
    <t>FORMAL</t>
  </si>
  <si>
    <t>EE LnHR = Raíz (1/Ev espA + 1/Ev espB)</t>
  </si>
  <si>
    <t>ANÁLISIS DE LA FUNCIÓN DE SUPERVIVENCIA LIBRE DE EVENTO DE KAPLAN Y MEIER, Y DE LOS SUPERVIVIENTES LIBRES DE EVENTO</t>
  </si>
  <si>
    <t>tiempo al inicio del intervalo (meses)</t>
  </si>
  <si>
    <r>
      <rPr>
        <b/>
        <sz val="9"/>
        <rFont val="Calibri"/>
        <family val="2"/>
        <scheme val="minor"/>
      </rPr>
      <t>Cens</t>
    </r>
    <r>
      <rPr>
        <b/>
        <vertAlign val="subscript"/>
        <sz val="9"/>
        <rFont val="Calibri"/>
        <family val="2"/>
        <scheme val="minor"/>
      </rPr>
      <t>t</t>
    </r>
    <r>
      <rPr>
        <b/>
        <sz val="9"/>
        <rFont val="Calibri"/>
        <family val="2"/>
        <scheme val="minor"/>
      </rPr>
      <t xml:space="preserve"> </t>
    </r>
    <r>
      <rPr>
        <sz val="9"/>
        <rFont val="Calibri"/>
        <family val="2"/>
        <scheme val="minor"/>
      </rPr>
      <t>Acum al final interva</t>
    </r>
  </si>
  <si>
    <r>
      <rPr>
        <b/>
        <sz val="9"/>
        <rFont val="Calibri"/>
        <family val="2"/>
        <scheme val="minor"/>
      </rPr>
      <t>Ev</t>
    </r>
    <r>
      <rPr>
        <b/>
        <vertAlign val="subscript"/>
        <sz val="9"/>
        <rFont val="Calibri"/>
        <family val="2"/>
        <scheme val="minor"/>
      </rPr>
      <t>t</t>
    </r>
    <r>
      <rPr>
        <b/>
        <sz val="9"/>
        <rFont val="Calibri"/>
        <family val="2"/>
        <scheme val="minor"/>
      </rPr>
      <t xml:space="preserve"> </t>
    </r>
    <r>
      <rPr>
        <sz val="9"/>
        <rFont val="Calibri"/>
        <family val="2"/>
        <scheme val="minor"/>
      </rPr>
      <t>Acum final interva</t>
    </r>
  </si>
  <si>
    <r>
      <rPr>
        <b/>
        <sz val="10"/>
        <rFont val="Calibri"/>
        <family val="2"/>
        <scheme val="minor"/>
      </rPr>
      <t>t</t>
    </r>
    <r>
      <rPr>
        <b/>
        <vertAlign val="subscript"/>
        <sz val="10"/>
        <rFont val="Calibri"/>
        <family val="2"/>
        <scheme val="minor"/>
      </rPr>
      <t>i</t>
    </r>
    <r>
      <rPr>
        <b/>
        <sz val="10"/>
        <rFont val="Calibri"/>
        <family val="2"/>
        <scheme val="minor"/>
      </rPr>
      <t>:</t>
    </r>
    <r>
      <rPr>
        <sz val="10"/>
        <rFont val="Calibri"/>
        <family val="2"/>
        <scheme val="minor"/>
      </rPr>
      <t xml:space="preserve"> tiempo al final del intervalo (meses)</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</si>
  <si>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nº Eventos (al final de cada intervalo)</t>
    </r>
  </si>
  <si>
    <r>
      <rPr>
        <b/>
        <sz val="9"/>
        <rFont val="Calibri"/>
        <family val="2"/>
        <scheme val="minor"/>
      </rPr>
      <t>Cens</t>
    </r>
    <r>
      <rPr>
        <b/>
        <vertAlign val="subscript"/>
        <sz val="9"/>
        <rFont val="Calibri"/>
        <family val="2"/>
        <scheme val="minor"/>
      </rPr>
      <t>i</t>
    </r>
    <r>
      <rPr>
        <b/>
        <sz val="9"/>
        <rFont val="Calibri"/>
        <family val="2"/>
        <scheme val="minor"/>
      </rPr>
      <t xml:space="preserve"> </t>
    </r>
    <r>
      <rPr>
        <sz val="9"/>
        <rFont val="Calibri"/>
        <family val="2"/>
        <scheme val="minor"/>
      </rPr>
      <t>= nº Censurados (al final de cada intervalo)</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</si>
  <si>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eventos de cada intervalo / nº pacientes en riesgo</t>
    </r>
  </si>
  <si>
    <t>t interva sup</t>
  </si>
  <si>
    <t>mediana t (meses)</t>
  </si>
  <si>
    <r>
      <rPr>
        <b/>
        <sz val="10"/>
        <rFont val="Calibri"/>
        <family val="2"/>
        <scheme val="minor"/>
      </rPr>
      <t>n</t>
    </r>
    <r>
      <rPr>
        <b/>
        <vertAlign val="subscript"/>
        <sz val="10"/>
        <rFont val="Calibri"/>
        <family val="2"/>
        <scheme val="minor"/>
      </rPr>
      <t>i</t>
    </r>
    <r>
      <rPr>
        <b/>
        <sz val="10"/>
        <rFont val="Calibri"/>
        <family val="2"/>
        <scheme val="minor"/>
      </rPr>
      <t xml:space="preserve"> </t>
    </r>
    <r>
      <rPr>
        <sz val="10"/>
        <rFont val="Calibri"/>
        <family val="2"/>
        <scheme val="minor"/>
      </rPr>
      <t>= pacientes en riesgo (al comienzo de cada intervalo)</t>
    </r>
  </si>
  <si>
    <t>% Eventos</t>
  </si>
  <si>
    <t>% Supervivencia libre de evento K-M condicionada a las censuras</t>
  </si>
  <si>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libre Ev en la Supervivencia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</si>
  <si>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libre de Ev en la Supervivencia K-M, condicionado al % libre de Ev en la Supervivencia K-M del intervalo acumulado anterior</t>
    </r>
  </si>
  <si>
    <t xml:space="preserve">    Eduard L Kaplan y Paul Meier introdujeron en 1958 la muy conocida “Función de supervivencia K-M condicionada a las censuras”, cuyo título nos indica que su particular concepción de las censuras condiciona la interpretación material del resultado. Esta función es un estimador (no paramétrico) de la probabilidad de que uno de los integrantes sobreviva más allá de un tiempo t. El término “supervivencia” se puede generalizar como “supervivencia libre de evento”, refiriéndose al evento de análisis, de modo que podemos aludir a la “supervivencia libre del evento muerte” (que suele decirse “Supervivencia”), y también aludir a la “supervivencia libre del evento progresión o muerte” (que suele decirse “Supervivencia Libre de Progresión”).</t>
  </si>
  <si>
    <t xml:space="preserve">     Cuando en la jerga hoy se reduce el título, omitiendo que está condicionada a las censuras, como “Función de supervivencia”, o “Curva de supervivencia K-M”, la interpretación de su resultado formal (la fórmula del “% de Supervivencia”) puede no retener sus referenciales materiales, corpóreos (el “% de Supervivientes”). Ambos coinciden cuando no hay ninguna censura, pero el resultado formal (supervivencia) y el resultado material (supervivientes) se separan más cuantas más censuras haya. </t>
  </si>
  <si>
    <r>
      <t>Abreviaturas</t>
    </r>
    <r>
      <rPr>
        <sz val="10"/>
        <color rgb="FF000000"/>
        <rFont val="Calibri"/>
        <family val="2"/>
      </rPr>
      <t xml:space="preserve">: </t>
    </r>
    <r>
      <rPr>
        <b/>
        <sz val="10"/>
        <color rgb="FF000000"/>
        <rFont val="Calibri"/>
        <family val="2"/>
      </rPr>
      <t>ABC:</t>
    </r>
    <r>
      <rPr>
        <sz val="10"/>
        <color rgb="FF000000"/>
        <rFont val="Calibri"/>
        <family val="2"/>
      </rPr>
      <t xml:space="preserve"> área bajo la curva; </t>
    </r>
    <r>
      <rPr>
        <b/>
        <sz val="10"/>
        <color rgb="FF000000"/>
        <rFont val="Calibri"/>
        <family val="2"/>
      </rPr>
      <t>HR:</t>
    </r>
    <r>
      <rPr>
        <sz val="10"/>
        <color rgb="FF000000"/>
        <rFont val="Calibri"/>
        <family val="2"/>
      </rPr>
      <t xml:space="preserve"> hazard ratio; </t>
    </r>
    <r>
      <rPr>
        <b/>
        <sz val="10"/>
        <color rgb="FF000000"/>
        <rFont val="Calibri"/>
        <family val="2"/>
      </rPr>
      <t>IC 95%:</t>
    </r>
    <r>
      <rPr>
        <sz val="10"/>
        <color rgb="FF000000"/>
        <rFont val="Calibri"/>
        <family val="2"/>
      </rPr>
      <t xml:space="preserve"> intervalo con un nivel de confianza del 95%; </t>
    </r>
    <r>
      <rPr>
        <b/>
        <sz val="10"/>
        <color rgb="FF000000"/>
        <rFont val="Calibri"/>
        <family val="2"/>
      </rPr>
      <t xml:space="preserve">NNT: </t>
    </r>
    <r>
      <rPr>
        <sz val="10"/>
        <color rgb="FF000000"/>
        <rFont val="Calibri"/>
        <family val="2"/>
      </rPr>
      <t>número necesario a tratar con la intervención para evitar 1 evento más que con el control;</t>
    </r>
    <r>
      <rPr>
        <b/>
        <sz val="10"/>
        <color rgb="FF000000"/>
        <rFont val="Calibri"/>
        <family val="2"/>
      </rPr>
      <t xml:space="preserve"> OR: </t>
    </r>
    <r>
      <rPr>
        <sz val="10"/>
        <color rgb="FF000000"/>
        <rFont val="Calibri"/>
        <family val="2"/>
      </rPr>
      <t>odds ratio;</t>
    </r>
    <r>
      <rPr>
        <b/>
        <sz val="10"/>
        <color rgb="FF000000"/>
        <rFont val="Calibri"/>
        <family val="2"/>
      </rPr>
      <t xml:space="preserve"> RAR:</t>
    </r>
    <r>
      <rPr>
        <sz val="10"/>
        <color rgb="FF000000"/>
        <rFont val="Calibri"/>
        <family val="2"/>
      </rPr>
      <t xml:space="preserve"> reducción absoluta del riesgo.</t>
    </r>
    <r>
      <rPr>
        <b/>
        <sz val="10"/>
        <color rgb="FF000000"/>
        <rFont val="Calibri"/>
        <family val="2"/>
      </rPr>
      <t xml:space="preserve"> </t>
    </r>
  </si>
  <si>
    <t>en la Supervivencia K-M, grupo control</t>
  </si>
  <si>
    <t>en los Supervivientes, grupo control</t>
  </si>
  <si>
    <t>Diferencias entre los grupos en las medianas de tiempo libres de eventos</t>
  </si>
  <si>
    <r>
      <t xml:space="preserve">Diferencia entre los grupos en las </t>
    </r>
    <r>
      <rPr>
        <b/>
        <sz val="9"/>
        <color rgb="FF008000"/>
        <rFont val="Calibri"/>
        <family val="2"/>
        <scheme val="minor"/>
      </rPr>
      <t>Medianas del t libre de Ev</t>
    </r>
    <r>
      <rPr>
        <sz val="9"/>
        <color rgb="FF008000"/>
        <rFont val="Calibri"/>
        <family val="2"/>
        <scheme val="minor"/>
      </rPr>
      <t xml:space="preserve"> en los Supervivientes (meses)</t>
    </r>
  </si>
  <si>
    <r>
      <t xml:space="preserve">Diferencia entre los grupos en las </t>
    </r>
    <r>
      <rPr>
        <b/>
        <i/>
        <sz val="9"/>
        <color theme="7" tint="-0.249977111117893"/>
        <rFont val="Calibri"/>
        <family val="2"/>
        <scheme val="minor"/>
      </rPr>
      <t>Medianas del t libre de Ev</t>
    </r>
    <r>
      <rPr>
        <i/>
        <sz val="9"/>
        <color theme="7" tint="-0.249977111117893"/>
        <rFont val="Calibri"/>
        <family val="2"/>
        <scheme val="minor"/>
      </rPr>
      <t xml:space="preserve"> en la Superviviencia K-M (meses)</t>
    </r>
  </si>
  <si>
    <t>Lím inferior IC 95%</t>
  </si>
  <si>
    <t>Lím superior IC 95%</t>
  </si>
  <si>
    <r>
      <t>LI IC 95% = S</t>
    </r>
    <r>
      <rPr>
        <vertAlign val="subscript"/>
        <sz val="9"/>
        <color theme="7" tint="-0.249977111117893"/>
        <rFont val="Calibri"/>
        <family val="2"/>
      </rPr>
      <t>t</t>
    </r>
    <r>
      <rPr>
        <vertAlign val="superscript"/>
        <sz val="9"/>
        <color theme="7" tint="-0.249977111117893"/>
        <rFont val="Calibri"/>
        <family val="2"/>
      </rPr>
      <t>EXP (+  Z α/2 * EEt)</t>
    </r>
  </si>
  <si>
    <r>
      <t>LI IC 95% = S</t>
    </r>
    <r>
      <rPr>
        <vertAlign val="subscript"/>
        <sz val="9"/>
        <color theme="7" tint="-0.249977111117893"/>
        <rFont val="Calibri"/>
        <family val="2"/>
      </rPr>
      <t>t</t>
    </r>
    <r>
      <rPr>
        <vertAlign val="superscript"/>
        <sz val="9"/>
        <color theme="7" tint="-0.249977111117893"/>
        <rFont val="Calibri"/>
        <family val="2"/>
      </rPr>
      <t>EXP ( - Z α/2 * EEt)</t>
    </r>
  </si>
  <si>
    <r>
      <t>Implicaría: 1-S</t>
    </r>
    <r>
      <rPr>
        <i/>
        <vertAlign val="subscript"/>
        <sz val="10"/>
        <rFont val="Calibri"/>
        <family val="2"/>
        <scheme val="minor"/>
      </rPr>
      <t>t</t>
    </r>
    <r>
      <rPr>
        <i/>
        <sz val="10"/>
        <rFont val="Calibri"/>
        <family val="2"/>
        <scheme val="minor"/>
      </rPr>
      <t>=</t>
    </r>
  </si>
  <si>
    <t>% libre de evento en Función de Supervivencia K-M condicionada a las censuras</t>
  </si>
  <si>
    <r>
      <t>obtenidos por fórmula: S</t>
    </r>
    <r>
      <rPr>
        <vertAlign val="subscript"/>
        <sz val="8"/>
        <rFont val="Calibri"/>
        <family val="2"/>
      </rPr>
      <t>i</t>
    </r>
    <r>
      <rPr>
        <sz val="8"/>
        <rFont val="Calibri"/>
        <family val="2"/>
      </rPr>
      <t xml:space="preserve"> = S</t>
    </r>
    <r>
      <rPr>
        <vertAlign val="subscript"/>
        <sz val="8"/>
        <rFont val="Calibri"/>
        <family val="2"/>
      </rPr>
      <t>c</t>
    </r>
    <r>
      <rPr>
        <vertAlign val="superscript"/>
        <sz val="8"/>
        <rFont val="Calibri"/>
        <family val="2"/>
      </rPr>
      <t>HR</t>
    </r>
    <r>
      <rPr>
        <sz val="8"/>
        <rFont val="Calibri"/>
        <family val="2"/>
      </rPr>
      <t xml:space="preserve"> =&gt; Log </t>
    </r>
    <r>
      <rPr>
        <vertAlign val="subscript"/>
        <sz val="8"/>
        <rFont val="Calibri"/>
        <family val="2"/>
      </rPr>
      <t>Sc</t>
    </r>
    <r>
      <rPr>
        <sz val="8"/>
        <rFont val="Calibri"/>
        <family val="2"/>
      </rPr>
      <t xml:space="preserve"> S</t>
    </r>
    <r>
      <rPr>
        <vertAlign val="subscript"/>
        <sz val="8"/>
        <rFont val="Calibri"/>
        <family val="2"/>
      </rPr>
      <t>i</t>
    </r>
    <r>
      <rPr>
        <sz val="8"/>
        <rFont val="Calibri"/>
        <family val="2"/>
      </rPr>
      <t xml:space="preserve"> = HR</t>
    </r>
  </si>
  <si>
    <t>tiempo libre de evento de los Supervivientes, por ABC</t>
  </si>
  <si>
    <r>
      <rPr>
        <b/>
        <sz val="9"/>
        <color rgb="FF008000"/>
        <rFont val="Calibri"/>
        <family val="2"/>
        <scheme val="minor"/>
      </rPr>
      <t>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t libre de Ev acumulado de los Supervivientes, por ABC acumuladas (meses)</t>
    </r>
  </si>
  <si>
    <r>
      <rPr>
        <b/>
        <sz val="9"/>
        <color rgb="FF008000"/>
        <rFont val="Calibri"/>
        <family val="2"/>
        <scheme val="minor"/>
      </rPr>
      <t>tS</t>
    </r>
    <r>
      <rPr>
        <b/>
        <vertAlign val="subscript"/>
        <sz val="9"/>
        <color rgb="FF008000"/>
        <rFont val="Calibri"/>
        <family val="2"/>
        <scheme val="minor"/>
      </rPr>
      <t>i</t>
    </r>
    <r>
      <rPr>
        <b/>
        <sz val="9"/>
        <color rgb="FF008000"/>
        <rFont val="Calibri"/>
        <family val="2"/>
        <scheme val="minor"/>
      </rPr>
      <t>:</t>
    </r>
    <r>
      <rPr>
        <sz val="9"/>
        <color rgb="FF008000"/>
        <rFont val="Calibri"/>
        <family val="2"/>
        <scheme val="minor"/>
      </rPr>
      <t xml:space="preserve"> tiempo libre Ev de los Supervivientes en cada intervalo, por ABC (meses)</t>
    </r>
  </si>
  <si>
    <r>
      <rPr>
        <b/>
        <sz val="9"/>
        <color rgb="FF008000"/>
        <rFont val="Calibri"/>
        <family val="2"/>
        <scheme val="minor"/>
      </rPr>
      <t>PtS</t>
    </r>
    <r>
      <rPr>
        <b/>
        <vertAlign val="subscript"/>
        <sz val="9"/>
        <color rgb="FF008000"/>
        <rFont val="Calibri"/>
        <family val="2"/>
        <scheme val="minor"/>
      </rPr>
      <t xml:space="preserve">t </t>
    </r>
    <r>
      <rPr>
        <sz val="9"/>
        <color rgb="FF008000"/>
        <rFont val="Calibri"/>
        <family val="2"/>
        <scheme val="minor"/>
      </rPr>
      <t>= prolongación del t libre de Ev de los Supervivientes = [diferencia tS</t>
    </r>
    <r>
      <rPr>
        <vertAlign val="subscript"/>
        <sz val="9"/>
        <color rgb="FF008000"/>
        <rFont val="Calibri"/>
        <family val="2"/>
        <scheme val="minor"/>
      </rPr>
      <t>t</t>
    </r>
    <r>
      <rPr>
        <sz val="9"/>
        <color rgb="FF008000"/>
        <rFont val="Calibri"/>
        <family val="2"/>
        <scheme val="minor"/>
      </rPr>
      <t xml:space="preserve"> acumulado intervenc y control] (meses)</t>
    </r>
  </si>
  <si>
    <t>Diferencias entre los grupos en el tiempo libre de eventos</t>
  </si>
  <si>
    <r>
      <t xml:space="preserve">Cálculo manual de la </t>
    </r>
    <r>
      <rPr>
        <b/>
        <i/>
        <sz val="11"/>
        <color theme="7" tint="-0.249977111117893"/>
        <rFont val="Calibri"/>
        <family val="2"/>
        <scheme val="minor"/>
      </rPr>
      <t>Mediana de tiempo de Supervivencia libre de evento K-M</t>
    </r>
    <r>
      <rPr>
        <b/>
        <sz val="11"/>
        <rFont val="Calibri"/>
        <family val="2"/>
        <scheme val="minor"/>
      </rPr>
      <t xml:space="preserve"> y la </t>
    </r>
    <r>
      <rPr>
        <b/>
        <sz val="11"/>
        <color rgb="FF008000"/>
        <rFont val="Calibri"/>
        <family val="2"/>
        <scheme val="minor"/>
      </rPr>
      <t>Mediana de tiempo que permanecen los Supervivientes libres de evento</t>
    </r>
    <r>
      <rPr>
        <b/>
        <sz val="11"/>
        <rFont val="Calibri"/>
        <family val="2"/>
        <scheme val="minor"/>
      </rPr>
      <t>, y del nº del paciente de entre los supervivientes en riesgo que la establecen</t>
    </r>
  </si>
  <si>
    <t>tiempo de Supervivencia libre de evento K-M, por ABC</t>
  </si>
  <si>
    <r>
      <rPr>
        <b/>
        <i/>
        <sz val="8"/>
        <color theme="7" tint="-0.249977111117893"/>
        <rFont val="Calibri"/>
        <family val="2"/>
        <scheme val="minor"/>
      </rPr>
      <t>tS</t>
    </r>
    <r>
      <rPr>
        <b/>
        <i/>
        <vertAlign val="subscript"/>
        <sz val="8"/>
        <color theme="7" tint="-0.249977111117893"/>
        <rFont val="Calibri"/>
        <family val="2"/>
        <scheme val="minor"/>
      </rPr>
      <t xml:space="preserve">t </t>
    </r>
    <r>
      <rPr>
        <i/>
        <sz val="8"/>
        <color theme="7" tint="-0.249977111117893"/>
        <rFont val="Calibri"/>
        <family val="2"/>
        <scheme val="minor"/>
      </rPr>
      <t>= tiempo de Supervivencia libre Ev K-M, por ABC acumuladas (meses)</t>
    </r>
  </si>
  <si>
    <r>
      <rPr>
        <b/>
        <i/>
        <sz val="8"/>
        <color theme="7" tint="-0.249977111117893"/>
        <rFont val="Calibri"/>
        <family val="2"/>
        <scheme val="minor"/>
      </rPr>
      <t>tS</t>
    </r>
    <r>
      <rPr>
        <b/>
        <i/>
        <vertAlign val="subscript"/>
        <sz val="8"/>
        <color theme="7" tint="-0.249977111117893"/>
        <rFont val="Calibri"/>
        <family val="2"/>
        <scheme val="minor"/>
      </rPr>
      <t xml:space="preserve">i </t>
    </r>
    <r>
      <rPr>
        <i/>
        <sz val="8"/>
        <color theme="7" tint="-0.249977111117893"/>
        <rFont val="Calibri"/>
        <family val="2"/>
        <scheme val="minor"/>
      </rPr>
      <t>= tiempo de Supervivencia libre Ev K-M, por ABC de cada intervalo (meses)</t>
    </r>
  </si>
  <si>
    <r>
      <rPr>
        <b/>
        <i/>
        <sz val="9"/>
        <color theme="7" tint="-0.249977111117893"/>
        <rFont val="Calibri"/>
        <family val="2"/>
        <scheme val="minor"/>
      </rPr>
      <t>PtS</t>
    </r>
    <r>
      <rPr>
        <b/>
        <i/>
        <vertAlign val="subscript"/>
        <sz val="9"/>
        <color theme="7" tint="-0.249977111117893"/>
        <rFont val="Calibri"/>
        <family val="2"/>
        <scheme val="minor"/>
      </rPr>
      <t>t</t>
    </r>
    <r>
      <rPr>
        <i/>
        <sz val="9"/>
        <color theme="7" tint="-0.249977111117893"/>
        <rFont val="Calibri"/>
        <family val="2"/>
        <scheme val="minor"/>
      </rPr>
      <t xml:space="preserve"> = prolongación del t de Superviviencia libre Ev K-M = [diferencia entre tS</t>
    </r>
    <r>
      <rPr>
        <i/>
        <vertAlign val="subscript"/>
        <sz val="9"/>
        <color theme="7" tint="-0.249977111117893"/>
        <rFont val="Calibri"/>
        <family val="2"/>
        <scheme val="minor"/>
      </rPr>
      <t>t</t>
    </r>
    <r>
      <rPr>
        <i/>
        <sz val="9"/>
        <color theme="7" tint="-0.249977111117893"/>
        <rFont val="Calibri"/>
        <family val="2"/>
        <scheme val="minor"/>
      </rPr>
      <t xml:space="preserve"> acumulado intervenc y control] (meses)</t>
    </r>
  </si>
  <si>
    <r>
      <rPr>
        <b/>
        <sz val="9"/>
        <color rgb="FF008000"/>
        <rFont val="Calibri"/>
        <family val="2"/>
        <scheme val="minor"/>
      </rPr>
      <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 xml:space="preserve"> % supervivientes libres Ev acumulados en el tiempo t/ nº pac inicio del estudio</t>
    </r>
  </si>
  <si>
    <r>
      <t>G</t>
    </r>
    <r>
      <rPr>
        <u/>
        <sz val="11"/>
        <rFont val="Calibri"/>
        <family val="2"/>
        <scheme val="minor"/>
      </rPr>
      <t>losario de términos que surgen de las operaciones entre los términos de primer orden</t>
    </r>
    <r>
      <rPr>
        <sz val="11"/>
        <rFont val="Calibri"/>
        <family val="2"/>
        <scheme val="minor"/>
      </rPr>
      <t>:</t>
    </r>
    <r>
      <rPr>
        <b/>
        <sz val="11"/>
        <rFont val="Calibri"/>
        <family val="2"/>
        <scheme val="minor"/>
      </rPr>
      <t xml:space="preserve"> </t>
    </r>
    <r>
      <rPr>
        <sz val="11"/>
        <rFont val="Calibri"/>
        <family val="2"/>
        <scheme val="minor"/>
      </rPr>
      <t xml:space="preserve"> </t>
    </r>
    <r>
      <rPr>
        <b/>
        <i/>
        <sz val="11"/>
        <color theme="7" tint="-0.249977111117893"/>
        <rFont val="Calibri"/>
        <family val="2"/>
        <scheme val="minor"/>
      </rPr>
      <t>%S</t>
    </r>
    <r>
      <rPr>
        <b/>
        <i/>
        <vertAlign val="subscript"/>
        <sz val="11"/>
        <color theme="7" tint="-0.249977111117893"/>
        <rFont val="Calibri"/>
        <family val="2"/>
        <scheme val="minor"/>
      </rPr>
      <t>i</t>
    </r>
    <r>
      <rPr>
        <b/>
        <i/>
        <sz val="11"/>
        <color theme="7" tint="-0.249977111117893"/>
        <rFont val="Calibri"/>
        <family val="2"/>
        <scheme val="minor"/>
      </rPr>
      <t>:</t>
    </r>
    <r>
      <rPr>
        <i/>
        <sz val="11"/>
        <color theme="7" tint="-0.249977111117893"/>
        <rFont val="Calibri"/>
        <family val="2"/>
        <scheme val="minor"/>
      </rPr>
      <t xml:space="preserve"> % deSupervivencia libre de evento K-M al final de cada intervalo; </t>
    </r>
    <r>
      <rPr>
        <b/>
        <i/>
        <sz val="11"/>
        <color theme="7" tint="-0.249977111117893"/>
        <rFont val="Calibri"/>
        <family val="2"/>
        <scheme val="minor"/>
      </rPr>
      <t>%S</t>
    </r>
    <r>
      <rPr>
        <b/>
        <i/>
        <vertAlign val="subscript"/>
        <sz val="11"/>
        <color theme="7" tint="-0.249977111117893"/>
        <rFont val="Calibri"/>
        <family val="2"/>
        <scheme val="minor"/>
      </rPr>
      <t>t</t>
    </r>
    <r>
      <rPr>
        <b/>
        <i/>
        <sz val="11"/>
        <color theme="7" tint="-0.249977111117893"/>
        <rFont val="Calibri"/>
        <family val="2"/>
        <scheme val="minor"/>
      </rPr>
      <t xml:space="preserve">: </t>
    </r>
    <r>
      <rPr>
        <i/>
        <sz val="11"/>
        <color theme="7" tint="-0.249977111117893"/>
        <rFont val="Calibri"/>
        <family val="2"/>
        <scheme val="minor"/>
      </rPr>
      <t>% de Supervivencia libre de evento K-M, condicionado al % de Supervivencia libre de evento K-M del intervalo acumulado anterior;</t>
    </r>
    <r>
      <rPr>
        <b/>
        <i/>
        <sz val="11"/>
        <color theme="7" tint="-0.249977111117893"/>
        <rFont val="Calibri"/>
        <family val="2"/>
        <scheme val="minor"/>
      </rPr>
      <t xml:space="preserve"> tS</t>
    </r>
    <r>
      <rPr>
        <b/>
        <i/>
        <vertAlign val="subscript"/>
        <sz val="11"/>
        <color theme="7" tint="-0.249977111117893"/>
        <rFont val="Calibri"/>
        <family val="2"/>
        <scheme val="minor"/>
      </rPr>
      <t>i</t>
    </r>
    <r>
      <rPr>
        <b/>
        <i/>
        <sz val="11"/>
        <color theme="7" tint="-0.249977111117893"/>
        <rFont val="Calibri"/>
        <family val="2"/>
        <scheme val="minor"/>
      </rPr>
      <t xml:space="preserve"> </t>
    </r>
    <r>
      <rPr>
        <i/>
        <sz val="11"/>
        <color theme="7" tint="-0.249977111117893"/>
        <rFont val="Calibri"/>
        <family val="2"/>
        <scheme val="minor"/>
      </rPr>
      <t xml:space="preserve">= tiempo en días, meses o años de Supervivencia libre de evento K-M al final de cada intervalo, obtenido por el Área Bajo la Curva; </t>
    </r>
    <r>
      <rPr>
        <b/>
        <i/>
        <sz val="11"/>
        <color theme="7" tint="-0.249977111117893"/>
        <rFont val="Calibri"/>
        <family val="2"/>
        <scheme val="minor"/>
      </rPr>
      <t>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tiempo en días, meses o años de Supervivencia libre de evento K-M acumulado en el tiempo t, obtenido por las Áreas Bajo la Curva acumuladas en el tiempo t;</t>
    </r>
    <r>
      <rPr>
        <b/>
        <i/>
        <sz val="11"/>
        <color theme="7" tint="-0.249977111117893"/>
        <rFont val="Calibri"/>
        <family val="2"/>
        <scheme val="minor"/>
      </rPr>
      <t xml:space="preserve"> PtS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prolongación del tiempo de Supervivencia libre de evento K-M acumulado del grupo de intervención respecto al grupo de control = [diferencia entre los tS</t>
    </r>
    <r>
      <rPr>
        <i/>
        <vertAlign val="subscript"/>
        <sz val="11"/>
        <color theme="7" tint="-0.249977111117893"/>
        <rFont val="Calibri"/>
        <family val="2"/>
        <scheme val="minor"/>
      </rPr>
      <t>t</t>
    </r>
    <r>
      <rPr>
        <i/>
        <sz val="11"/>
        <color theme="7" tint="-0.249977111117893"/>
        <rFont val="Calibri"/>
        <family val="2"/>
        <scheme val="minor"/>
      </rPr>
      <t xml:space="preserve"> de la intervención y del control]; </t>
    </r>
    <r>
      <rPr>
        <b/>
        <i/>
        <sz val="11"/>
        <color theme="7" tint="-0.249977111117893"/>
        <rFont val="Calibri"/>
        <family val="2"/>
        <scheme val="minor"/>
      </rPr>
      <t>Mediana Supervivencia K-M:</t>
    </r>
    <r>
      <rPr>
        <i/>
        <sz val="11"/>
        <color theme="7" tint="-0.249977111117893"/>
        <rFont val="Calibri"/>
        <family val="2"/>
        <scheme val="minor"/>
      </rPr>
      <t xml:space="preserve"> mediana de tiempo de Supervivencia libre de evento K-M; </t>
    </r>
    <r>
      <rPr>
        <b/>
        <sz val="11"/>
        <color rgb="FF008000"/>
        <rFont val="Calibri"/>
        <family val="2"/>
        <scheme val="minor"/>
      </rPr>
      <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nº de Supervivientes libres de evento acumulados en el tiempo t/ nº de pacientes en riesgo en el inicio del estudio]; </t>
    </r>
    <r>
      <rPr>
        <b/>
        <sz val="11"/>
        <color rgb="FF008000"/>
        <rFont val="Calibri"/>
        <family val="2"/>
        <scheme val="minor"/>
      </rPr>
      <t>tS</t>
    </r>
    <r>
      <rPr>
        <b/>
        <vertAlign val="subscript"/>
        <sz val="11"/>
        <color rgb="FF008000"/>
        <rFont val="Calibri"/>
        <family val="2"/>
        <scheme val="minor"/>
      </rPr>
      <t>i</t>
    </r>
    <r>
      <rPr>
        <b/>
        <sz val="11"/>
        <color rgb="FF008000"/>
        <rFont val="Calibri"/>
        <family val="2"/>
        <scheme val="minor"/>
      </rPr>
      <t>:</t>
    </r>
    <r>
      <rPr>
        <sz val="11"/>
        <color rgb="FF008000"/>
        <rFont val="Calibri"/>
        <family val="2"/>
        <scheme val="minor"/>
      </rPr>
      <t xml:space="preserve"> tiempo en días, meses o años que los Supervivientes permanecen libres de evento al final de cada intervalo, obtenido por el Área Bajo la Curva; </t>
    </r>
    <r>
      <rPr>
        <b/>
        <sz val="11"/>
        <color rgb="FF008000"/>
        <rFont val="Calibri"/>
        <family val="2"/>
        <scheme val="minor"/>
      </rPr>
      <t>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tiempo en días, meses o años que los Supervivientes permanecen libres de evento acumulado en el tiempo t, obtenido por las Áreas Bajo la Curva acumuladas en el tiempo t;</t>
    </r>
    <r>
      <rPr>
        <b/>
        <sz val="11"/>
        <color rgb="FF008000"/>
        <rFont val="Calibri"/>
        <family val="2"/>
        <scheme val="minor"/>
      </rPr>
      <t xml:space="preserve"> PtS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polongación del tiempo que los Supervivientes permanecen libres de evento en el grupo de intervencion respecto al grupo = [diferencia entre los tS</t>
    </r>
    <r>
      <rPr>
        <vertAlign val="subscript"/>
        <sz val="11"/>
        <color rgb="FF008000"/>
        <rFont val="Calibri"/>
        <family val="2"/>
        <scheme val="minor"/>
      </rPr>
      <t>t</t>
    </r>
    <r>
      <rPr>
        <sz val="11"/>
        <color rgb="FF008000"/>
        <rFont val="Calibri"/>
        <family val="2"/>
        <scheme val="minor"/>
      </rPr>
      <t xml:space="preserve"> de la intervención y del control]; </t>
    </r>
    <r>
      <rPr>
        <b/>
        <sz val="11"/>
        <color rgb="FF008000"/>
        <rFont val="Calibri"/>
        <family val="2"/>
        <scheme val="minor"/>
      </rPr>
      <t>Mediana de Supervivientes:</t>
    </r>
    <r>
      <rPr>
        <sz val="11"/>
        <color rgb="FF008000"/>
        <rFont val="Calibri"/>
        <family val="2"/>
        <scheme val="minor"/>
      </rPr>
      <t xml:space="preserve"> mediana de tiempo que los Supervivientes permanecen libres de evento, que la establece el percentil 50</t>
    </r>
    <r>
      <rPr>
        <sz val="11"/>
        <rFont val="Calibri"/>
        <family val="2"/>
        <scheme val="minor"/>
      </rPr>
      <t>.</t>
    </r>
  </si>
  <si>
    <r>
      <t>t</t>
    </r>
    <r>
      <rPr>
        <b/>
        <vertAlign val="subscript"/>
        <sz val="8"/>
        <rFont val="Calibri"/>
        <family val="2"/>
      </rPr>
      <t>i</t>
    </r>
    <r>
      <rPr>
        <b/>
        <sz val="8"/>
        <rFont val="Calibri"/>
        <family val="2"/>
      </rPr>
      <t xml:space="preserve">: </t>
    </r>
    <r>
      <rPr>
        <sz val="8"/>
        <rFont val="Calibri"/>
        <family val="2"/>
      </rPr>
      <t>tiempo al final del intervalo (meses)</t>
    </r>
  </si>
  <si>
    <t>Pacientes en riesgo al comienzo intervalo</t>
  </si>
  <si>
    <t>Esperados pacientes con evento al final intervalo</t>
  </si>
  <si>
    <t>Observados pacientes con evento al final intervalo</t>
  </si>
  <si>
    <t>Grupos</t>
  </si>
  <si>
    <t>Este es t libre de evento acumulado de los supervivientes (es decir que no incluye el t libre de evento acumulado que aportan los censurados hasta que salen del ensayo)</t>
  </si>
  <si>
    <t>Con Evento</t>
  </si>
  <si>
    <t>Censurados</t>
  </si>
  <si>
    <t>Supervivientes</t>
  </si>
  <si>
    <t>*</t>
  </si>
  <si>
    <r>
      <rPr>
        <b/>
        <sz val="9"/>
        <color rgb="FF008000"/>
        <rFont val="Calibri"/>
        <family val="2"/>
        <scheme val="minor"/>
      </rPr>
      <t>S</t>
    </r>
    <r>
      <rPr>
        <b/>
        <vertAlign val="subscript"/>
        <sz val="9"/>
        <color rgb="FF008000"/>
        <rFont val="Calibri"/>
        <family val="2"/>
      </rPr>
      <t>i</t>
    </r>
    <r>
      <rPr>
        <b/>
        <sz val="9"/>
        <color rgb="FF008000"/>
        <rFont val="Calibri"/>
        <family val="2"/>
      </rPr>
      <t xml:space="preserve"> </t>
    </r>
    <r>
      <rPr>
        <sz val="9"/>
        <color rgb="FF008000"/>
        <rFont val="Calibri"/>
        <family val="2"/>
      </rPr>
      <t>= nº de supervivientes libres de evento (al final de cada intervalo)</t>
    </r>
  </si>
  <si>
    <r>
      <rPr>
        <u/>
        <sz val="11"/>
        <rFont val="Calibri"/>
        <family val="2"/>
        <scheme val="minor"/>
      </rPr>
      <t>Glosario de términos de primer orden</t>
    </r>
    <r>
      <rPr>
        <sz val="11"/>
        <rFont val="Calibri"/>
        <family val="2"/>
        <scheme val="minor"/>
      </rPr>
      <t>:</t>
    </r>
    <r>
      <rPr>
        <b/>
        <sz val="11"/>
        <rFont val="Calibri"/>
        <family val="2"/>
        <scheme val="minor"/>
      </rPr>
      <t xml:space="preserve"> n</t>
    </r>
    <r>
      <rPr>
        <b/>
        <vertAlign val="subscript"/>
        <sz val="11"/>
        <rFont val="Calibri"/>
        <family val="2"/>
        <scheme val="minor"/>
      </rPr>
      <t>i</t>
    </r>
    <r>
      <rPr>
        <b/>
        <sz val="11"/>
        <rFont val="Calibri"/>
        <family val="2"/>
        <scheme val="minor"/>
      </rPr>
      <t xml:space="preserve">: </t>
    </r>
    <r>
      <rPr>
        <sz val="11"/>
        <rFont val="Calibri"/>
        <family val="2"/>
        <scheme val="minor"/>
      </rPr>
      <t>nº de pacientes en riesgo, debiendo especificarse cuando es al principio o al final del intervalo;</t>
    </r>
    <r>
      <rPr>
        <b/>
        <sz val="11"/>
        <rFont val="Calibri"/>
        <family val="2"/>
        <scheme val="minor"/>
      </rPr>
      <t xml:space="preserve">  t: </t>
    </r>
    <r>
      <rPr>
        <sz val="11"/>
        <rFont val="Calibri"/>
        <family val="2"/>
        <scheme val="minor"/>
      </rPr>
      <t>tiempo en días, meses o años, debiendo especificarse cuando es al principo o al final del intervalo</t>
    </r>
    <r>
      <rPr>
        <b/>
        <sz val="11"/>
        <rFont val="Calibri"/>
        <family val="2"/>
        <scheme val="minor"/>
      </rPr>
      <t xml:space="preserve">; Ev: </t>
    </r>
    <r>
      <rPr>
        <sz val="11"/>
        <rFont val="Calibri"/>
        <family val="2"/>
        <scheme val="minor"/>
      </rPr>
      <t xml:space="preserve">evento (puede referirse a cualquier tipo de evento, por lo que debe especificarse, como el evento "muerte" o el evento "progresión o muerte"; </t>
    </r>
    <r>
      <rPr>
        <b/>
        <sz val="11"/>
        <rFont val="Calibri"/>
        <family val="2"/>
        <scheme val="minor"/>
      </rPr>
      <t>Ev</t>
    </r>
    <r>
      <rPr>
        <b/>
        <vertAlign val="subscript"/>
        <sz val="11"/>
        <rFont val="Calibri"/>
        <family val="2"/>
        <scheme val="minor"/>
      </rPr>
      <t>i</t>
    </r>
    <r>
      <rPr>
        <sz val="11"/>
        <rFont val="Calibri"/>
        <family val="2"/>
        <scheme val="minor"/>
      </rPr>
      <t xml:space="preserve">: nº de eventos al final de cada intervalo; </t>
    </r>
    <r>
      <rPr>
        <b/>
        <sz val="11"/>
        <rFont val="Calibri"/>
        <family val="2"/>
        <scheme val="minor"/>
      </rPr>
      <t>%Ev</t>
    </r>
    <r>
      <rPr>
        <b/>
        <vertAlign val="subscript"/>
        <sz val="11"/>
        <rFont val="Calibri"/>
        <family val="2"/>
        <scheme val="minor"/>
      </rPr>
      <t>i</t>
    </r>
    <r>
      <rPr>
        <b/>
        <sz val="11"/>
        <rFont val="Calibri"/>
        <family val="2"/>
        <scheme val="minor"/>
      </rPr>
      <t>:</t>
    </r>
    <r>
      <rPr>
        <sz val="11"/>
        <rFont val="Calibri"/>
        <family val="2"/>
        <scheme val="minor"/>
      </rPr>
      <t xml:space="preserve"> nº eventos/ nº de pacientes en riesgo] al final de cada intervalo; </t>
    </r>
    <r>
      <rPr>
        <b/>
        <sz val="11"/>
        <rFont val="Calibri"/>
        <family val="2"/>
        <scheme val="minor"/>
      </rPr>
      <t>Ev</t>
    </r>
    <r>
      <rPr>
        <b/>
        <vertAlign val="subscript"/>
        <sz val="11"/>
        <rFont val="Calibri"/>
        <family val="2"/>
        <scheme val="minor"/>
      </rPr>
      <t>t</t>
    </r>
    <r>
      <rPr>
        <b/>
        <sz val="11"/>
        <rFont val="Calibri"/>
        <family val="2"/>
        <scheme val="minor"/>
      </rPr>
      <t xml:space="preserve">: </t>
    </r>
    <r>
      <rPr>
        <sz val="11"/>
        <rFont val="Calibri"/>
        <family val="2"/>
        <scheme val="minor"/>
      </rPr>
      <t xml:space="preserve">nº de eventos acumulados al final del tempo t; </t>
    </r>
    <r>
      <rPr>
        <b/>
        <sz val="11"/>
        <rFont val="Calibri"/>
        <family val="2"/>
        <scheme val="minor"/>
      </rPr>
      <t>Cens</t>
    </r>
    <r>
      <rPr>
        <b/>
        <vertAlign val="subscript"/>
        <sz val="11"/>
        <rFont val="Calibri"/>
        <family val="2"/>
        <scheme val="minor"/>
      </rPr>
      <t>i</t>
    </r>
    <r>
      <rPr>
        <b/>
        <sz val="11"/>
        <rFont val="Calibri"/>
        <family val="2"/>
        <scheme val="minor"/>
      </rPr>
      <t>:</t>
    </r>
    <r>
      <rPr>
        <sz val="11"/>
        <rFont val="Calibri"/>
        <family val="2"/>
        <scheme val="minor"/>
      </rPr>
      <t xml:space="preserve"> nº de pacientes censurados al final de cada intervalo; </t>
    </r>
    <r>
      <rPr>
        <b/>
        <sz val="11"/>
        <rFont val="Calibri"/>
        <family val="2"/>
        <scheme val="minor"/>
      </rPr>
      <t>Cens</t>
    </r>
    <r>
      <rPr>
        <b/>
        <vertAlign val="subscript"/>
        <sz val="11"/>
        <rFont val="Calibri"/>
        <family val="2"/>
        <scheme val="minor"/>
      </rPr>
      <t>t:</t>
    </r>
    <r>
      <rPr>
        <sz val="11"/>
        <rFont val="Calibri"/>
        <family val="2"/>
        <scheme val="minor"/>
      </rPr>
      <t xml:space="preserve"> nº de pacientes censurados acumulados al final del tiempo t ; </t>
    </r>
    <r>
      <rPr>
        <sz val="11"/>
        <color rgb="FF008000"/>
        <rFont val="Calibri"/>
        <family val="2"/>
        <scheme val="minor"/>
      </rPr>
      <t>S</t>
    </r>
    <r>
      <rPr>
        <b/>
        <vertAlign val="subscript"/>
        <sz val="11"/>
        <color rgb="FF008000"/>
        <rFont val="Calibri"/>
        <family val="2"/>
        <scheme val="minor"/>
      </rPr>
      <t>i</t>
    </r>
    <r>
      <rPr>
        <b/>
        <sz val="11"/>
        <color rgb="FF008000"/>
        <rFont val="Calibri"/>
        <family val="2"/>
        <scheme val="minor"/>
      </rPr>
      <t xml:space="preserve">: </t>
    </r>
    <r>
      <rPr>
        <sz val="11"/>
        <color rgb="FF008000"/>
        <rFont val="Calibri"/>
        <family val="2"/>
        <scheme val="minor"/>
      </rPr>
      <t>nº de supervivientes libres de evento al final de cada intervalo</t>
    </r>
    <r>
      <rPr>
        <sz val="11"/>
        <rFont val="Calibri"/>
        <family val="2"/>
        <scheme val="minor"/>
      </rPr>
      <t>.</t>
    </r>
  </si>
  <si>
    <r>
      <t>HR</t>
    </r>
    <r>
      <rPr>
        <b/>
        <i/>
        <vertAlign val="subscript"/>
        <sz val="10"/>
        <color theme="7" tint="-0.249977111117893"/>
        <rFont val="Calibri"/>
        <family val="2"/>
      </rPr>
      <t>i</t>
    </r>
  </si>
  <si>
    <r>
      <rPr>
        <b/>
        <i/>
        <sz val="10"/>
        <color theme="7" tint="-0.249977111117893"/>
        <rFont val="Calibri"/>
        <family val="2"/>
      </rPr>
      <t>LI IC</t>
    </r>
    <r>
      <rPr>
        <i/>
        <sz val="6"/>
        <color theme="7" tint="-0.249977111117893"/>
        <rFont val="Calibri"/>
        <family val="2"/>
      </rPr>
      <t xml:space="preserve"> = EXP[LnHR - (1,96*EE LnHR)]</t>
    </r>
  </si>
  <si>
    <r>
      <rPr>
        <b/>
        <i/>
        <sz val="10"/>
        <color theme="7" tint="-0.249977111117893"/>
        <rFont val="Calibri"/>
        <family val="2"/>
      </rPr>
      <t>LS IC</t>
    </r>
    <r>
      <rPr>
        <i/>
        <sz val="7"/>
        <color theme="7" tint="-0.249977111117893"/>
        <rFont val="Calibri"/>
        <family val="2"/>
      </rPr>
      <t xml:space="preserve"> </t>
    </r>
    <r>
      <rPr>
        <i/>
        <sz val="6"/>
        <color theme="7" tint="-0.249977111117893"/>
        <rFont val="Calibri"/>
        <family val="2"/>
      </rPr>
      <t>= EXP[LnHR + (1,96*EE LnHR)]</t>
    </r>
  </si>
  <si>
    <t>en la Supervivencia K-M, grupo intervenc</t>
  </si>
  <si>
    <t>en los Supervivientes, grupo intervenc</t>
  </si>
  <si>
    <t>% Supervivientes-LEv control</t>
  </si>
  <si>
    <t>% Supervivencia-LEv K-M control</t>
  </si>
  <si>
    <t>% Supervivientes-LEv interv</t>
  </si>
  <si>
    <t>% Supervivencia-LEv K-M interv</t>
  </si>
  <si>
    <t>% Supervivencia-LEv K-M intervención</t>
  </si>
  <si>
    <t>% Supervivientes libres de evento</t>
  </si>
  <si>
    <r>
      <t>EE</t>
    </r>
    <r>
      <rPr>
        <vertAlign val="subscript"/>
        <sz val="10"/>
        <color theme="0" tint="-0.249977111117893"/>
        <rFont val="Calibri"/>
        <family val="2"/>
      </rPr>
      <t>t</t>
    </r>
  </si>
  <si>
    <r>
      <t>[ln %S</t>
    </r>
    <r>
      <rPr>
        <vertAlign val="subscript"/>
        <sz val="10"/>
        <color theme="0" tint="-0.249977111117893"/>
        <rFont val="Calibri"/>
        <family val="2"/>
      </rPr>
      <t>t</t>
    </r>
    <r>
      <rPr>
        <sz val="10"/>
        <color theme="0" tint="-0.249977111117893"/>
        <rFont val="Calibri"/>
        <family val="2"/>
      </rPr>
      <t>]</t>
    </r>
    <r>
      <rPr>
        <vertAlign val="superscript"/>
        <sz val="10"/>
        <color theme="0" tint="-0.249977111117893"/>
        <rFont val="Calibri"/>
        <family val="2"/>
      </rPr>
      <t>2</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</si>
  <si>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</si>
  <si>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</si>
  <si>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</si>
  <si>
    <r>
      <t>Sumat acumulado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 xml:space="preserve"> / n</t>
    </r>
    <r>
      <rPr>
        <vertAlign val="subscript"/>
        <sz val="10"/>
        <color theme="0" tint="-0.249977111117893"/>
        <rFont val="Calibri"/>
        <family val="2"/>
      </rPr>
      <t>i</t>
    </r>
    <r>
      <rPr>
        <sz val="10"/>
        <color theme="0" tint="-0.249977111117893"/>
        <rFont val="Calibri"/>
        <family val="2"/>
      </rPr>
      <t xml:space="preserve"> * S</t>
    </r>
    <r>
      <rPr>
        <vertAlign val="subscript"/>
        <sz val="10"/>
        <color theme="0" tint="-0.249977111117893"/>
        <rFont val="Calibri"/>
        <family val="2"/>
      </rPr>
      <t>i</t>
    </r>
    <r>
      <rPr>
        <sz val="10"/>
        <color theme="0" tint="-0.249977111117893"/>
        <rFont val="Calibri"/>
        <family val="2"/>
      </rPr>
      <t>)</t>
    </r>
  </si>
  <si>
    <r>
      <t xml:space="preserve">Z </t>
    </r>
    <r>
      <rPr>
        <vertAlign val="subscript"/>
        <sz val="10"/>
        <color theme="0" tint="-0.249977111117893"/>
        <rFont val="Calibri"/>
        <family val="2"/>
      </rPr>
      <t>α/2</t>
    </r>
    <r>
      <rPr>
        <sz val="10"/>
        <color theme="0" tint="-0.249977111117893"/>
        <rFont val="Calibri"/>
        <family val="2"/>
      </rPr>
      <t xml:space="preserve"> (0,05)</t>
    </r>
  </si>
  <si>
    <r>
      <t xml:space="preserve">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</si>
  <si>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</si>
  <si>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EXP (- Z </t>
    </r>
    <r>
      <rPr>
        <vertAlign val="subscript"/>
        <sz val="9"/>
        <color theme="0" tint="-0.249977111117893"/>
        <rFont val="Calibri"/>
        <family val="2"/>
      </rPr>
      <t>α/2</t>
    </r>
    <r>
      <rPr>
        <sz val="9"/>
        <color theme="0" tint="-0.249977111117893"/>
        <rFont val="Calibri"/>
        <family val="2"/>
      </rPr>
      <t xml:space="preserve"> (0,05) * EE</t>
    </r>
    <r>
      <rPr>
        <vertAlign val="subscript"/>
        <sz val="9"/>
        <color theme="0" tint="-0.249977111117893"/>
        <rFont val="Calibri"/>
        <family val="2"/>
      </rPr>
      <t>t</t>
    </r>
    <r>
      <rPr>
        <sz val="9"/>
        <color theme="0" tint="-0.249977111117893"/>
        <rFont val="Calibri"/>
        <family val="2"/>
      </rPr>
      <t>)</t>
    </r>
  </si>
  <si>
    <r>
      <t xml:space="preserve">     </t>
    </r>
    <r>
      <rPr>
        <b/>
        <sz val="10"/>
        <color theme="0" tint="-0.14999847407452621"/>
        <rFont val="Calibri"/>
        <family val="2"/>
      </rPr>
      <t>Primera asunción de las censuras en la función de Kaplan-Meier:</t>
    </r>
    <r>
      <rPr>
        <sz val="10"/>
        <color theme="0" tint="-0.14999847407452621"/>
        <rFont val="Calibri"/>
        <family val="2"/>
      </rPr>
      <t xml:space="preserve"> Si un paciente de la cohorte decide retirarse del estudio, sabemos que ha sobrevivido al evento hasta ese momento. Sin embargo habremos perdido la información posterior. Entonces debe hacerse una corrección para que el abandono del protocolo no se registre como “evento”, dado que no sabemos si el paciente sigue o no en la situación inicial (sobreviviendo al evento). Debe haber censura siempre que la falta de datos posteriores a un determinado punto en el tiempo se deba a factores distintos al tratamiento.</t>
    </r>
  </si>
  <si>
    <r>
      <rPr>
        <b/>
        <sz val="10"/>
        <color theme="0" tint="-0.14999847407452621"/>
        <rFont val="Calibri"/>
        <family val="2"/>
        <scheme val="minor"/>
      </rPr>
      <t xml:space="preserve">     Segunda asunción de K-M: </t>
    </r>
    <r>
      <rPr>
        <sz val="10"/>
        <color theme="0" tint="-0.14999847407452621"/>
        <rFont val="Calibri"/>
        <family val="2"/>
        <scheme val="minor"/>
      </rPr>
      <t>Los pacientes censurados siguen teniendo la misma probabilidad de supervivencia libre de evento que los que siguen en el estudio. A esto se le denomina CENSURA NO INFORMATIVA, es decir que la censura no está relacionada con el tratamiento (como por ejemplo, los efectos adversos).</t>
    </r>
  </si>
  <si>
    <r>
      <t xml:space="preserve">     </t>
    </r>
    <r>
      <rPr>
        <b/>
        <sz val="10"/>
        <color theme="0" tint="-0.14999847407452621"/>
        <rFont val="Calibri"/>
        <family val="2"/>
      </rPr>
      <t>Tercera y última asunción de K-M:</t>
    </r>
    <r>
      <rPr>
        <sz val="10"/>
        <color theme="0" tint="-0.14999847407452621"/>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libres de evento más grandes.</t>
    </r>
  </si>
  <si>
    <t>20191123-ECA KN-48, m45, CáCabCuCE-m, Pembr+-QMT vs CTX+QMT. Burtness</t>
  </si>
  <si>
    <t>SG, Cohorte completa, del Grupo interv B [Pembrolizumab+QMT], n= 281</t>
  </si>
  <si>
    <t>SG, Cohorte completa, del Grupo interv A [Pembrolizumab], n= 301</t>
  </si>
  <si>
    <r>
      <rPr>
        <b/>
        <sz val="14"/>
        <color rgb="FF993300"/>
        <rFont val="Calibri"/>
        <family val="2"/>
        <scheme val="minor"/>
      </rPr>
      <t xml:space="preserve">Hoja fs-3.3.c [mediana t SLEv; mediana t Supervivencia libre del evento "muerte"; B vs A, Subgr CPS ≥20]: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Pembrolizumab+QMT vs CTX+QMT, Subgrupo con PD-L1 “CPS” ≥ 20, (Fig 2G, artículo original, pág 1922) y (Fig 2A, apéndice, pág 12)</t>
    </r>
  </si>
  <si>
    <r>
      <t xml:space="preserve">SG, Subgrupo CPS </t>
    </r>
    <r>
      <rPr>
        <b/>
        <sz val="10"/>
        <rFont val="Calibri"/>
        <family val="2"/>
      </rPr>
      <t>≥</t>
    </r>
    <r>
      <rPr>
        <b/>
        <sz val="10"/>
        <rFont val="Calibri"/>
        <family val="2"/>
        <scheme val="minor"/>
      </rPr>
      <t xml:space="preserve"> 20, del Grupo interv B [Pembrolizumab+QMT], n= 126</t>
    </r>
  </si>
  <si>
    <r>
      <t xml:space="preserve">SG, Subgrupo CPS </t>
    </r>
    <r>
      <rPr>
        <b/>
        <sz val="10"/>
        <rFont val="Calibri"/>
        <family val="2"/>
      </rPr>
      <t>≥</t>
    </r>
    <r>
      <rPr>
        <b/>
        <sz val="10"/>
        <rFont val="Calibri"/>
        <family val="2"/>
        <scheme val="minor"/>
      </rPr>
      <t xml:space="preserve"> 20, del Grupo interv A [Pembrolizumab], n= 133</t>
    </r>
  </si>
  <si>
    <r>
      <t xml:space="preserve">SG, Subgrupo CPS </t>
    </r>
    <r>
      <rPr>
        <b/>
        <sz val="10"/>
        <rFont val="Calibri"/>
        <family val="2"/>
      </rPr>
      <t>≥</t>
    </r>
    <r>
      <rPr>
        <b/>
        <sz val="10"/>
        <rFont val="Calibri"/>
        <family val="2"/>
        <scheme val="minor"/>
      </rPr>
      <t xml:space="preserve"> 1, del Grupo interv B [Pembrolizumab+QMT], n= 242</t>
    </r>
  </si>
  <si>
    <r>
      <t xml:space="preserve">SG, Subgrupo CPS </t>
    </r>
    <r>
      <rPr>
        <b/>
        <sz val="10"/>
        <rFont val="Calibri"/>
        <family val="2"/>
      </rPr>
      <t>≥</t>
    </r>
    <r>
      <rPr>
        <b/>
        <sz val="10"/>
        <rFont val="Calibri"/>
        <family val="2"/>
        <scheme val="minor"/>
      </rPr>
      <t xml:space="preserve"> 1, del Grupo interv A [Pembrolizumab], n= 257</t>
    </r>
  </si>
  <si>
    <t>SG, Subgrupo CPS ≥ 1, del Grupo interv B [Pembrolizumab+QMT], n= 242</t>
  </si>
  <si>
    <r>
      <rPr>
        <b/>
        <sz val="14"/>
        <color rgb="FF993300"/>
        <rFont val="Calibri"/>
        <family val="2"/>
        <scheme val="minor"/>
      </rPr>
      <t xml:space="preserve">Hoja fs-3.1.a [% SLEv, y los HR; % Supervivencia libre del evento "muerte", y los HR; B vs A, Coh Compl]: </t>
    </r>
    <r>
      <rPr>
        <b/>
        <i/>
        <sz val="14"/>
        <color theme="7" tint="-0.249977111117893"/>
        <rFont val="Calibri"/>
        <family val="2"/>
        <scheme val="minor"/>
      </rPr>
      <t>% de Supervivencia libre de evento K-M, y los HR</t>
    </r>
    <r>
      <rPr>
        <b/>
        <sz val="14"/>
        <rFont val="Calibri"/>
        <family val="2"/>
        <scheme val="minor"/>
      </rPr>
      <t>, SG, Grupo B [Pembrolizumab+QMT] vs Grupo A [Pembrolizumab], en la Cohorte completa (Fig 2C, apéndice, pág 12) y (Fig 2D, artículo original, pág 1922)</t>
    </r>
  </si>
  <si>
    <r>
      <rPr>
        <b/>
        <sz val="14"/>
        <color rgb="FF993300"/>
        <rFont val="Calibri"/>
        <family val="2"/>
        <scheme val="minor"/>
      </rPr>
      <t xml:space="preserve">Hoja fs-3.1.b [% y t SLEv; % y t medio de Supervivencia libre del evento "muerte"; B vs A, Coh Compl: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[Pembrolizumab+QMT] vs Grupo A [Pembrolizumab], en la Cohorte completa (Fig 2C, apéndice, pág 12) y (Fig 2D, artículo original, pág 1922)</t>
    </r>
  </si>
  <si>
    <r>
      <rPr>
        <b/>
        <sz val="14"/>
        <color rgb="FF993300"/>
        <rFont val="Calibri"/>
        <family val="2"/>
        <scheme val="minor"/>
      </rPr>
      <t xml:space="preserve">Hoja fs-3.1.c [mediana t SLEv; mediana t Supervivencia libre del evento "muerte"; B vs A, Coh Compl]: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B [Pembrolizumab+QMT] vs Grupo A [Pembrolizumab], en la Cohorte completa (Fig 2C, apéndice, pág 12) y (Fig 2D, artículo original, pág 1922)</t>
    </r>
  </si>
  <si>
    <r>
      <rPr>
        <b/>
        <sz val="14"/>
        <color rgb="FF993300"/>
        <rFont val="Calibri"/>
        <family val="2"/>
        <scheme val="minor"/>
      </rPr>
      <t xml:space="preserve">Hoja fs-3.2.a [% SLEv, y los HR; % Supervivencia libre del evento "muerte", y los HR; B vs A, Subgr CPS ≥1]: </t>
    </r>
    <r>
      <rPr>
        <b/>
        <i/>
        <sz val="14"/>
        <color theme="7" tint="-0.249977111117893"/>
        <rFont val="Calibri"/>
        <family val="2"/>
        <scheme val="minor"/>
      </rPr>
      <t>% de Supervivencia libre de evento K-M, y los HR</t>
    </r>
    <r>
      <rPr>
        <b/>
        <sz val="14"/>
        <rFont val="Calibri"/>
        <family val="2"/>
        <scheme val="minor"/>
      </rPr>
      <t>, SG, Grupo B [Pembrolizumab+QMT] vs Grupo A [Pembrolizumb], Subgrupo CPS ≥ 1 (Fig 2G, artículo original, pág 1922) y (Fig 2B, apéndice, pág 12)</t>
    </r>
  </si>
  <si>
    <r>
      <rPr>
        <b/>
        <sz val="14"/>
        <color rgb="FF993300"/>
        <rFont val="Calibri"/>
        <family val="2"/>
        <scheme val="minor"/>
      </rPr>
      <t xml:space="preserve">Hoja fs-3.2.b [% y t SLEv; % y t medio de Supervivencia libre del evento "muerte"; B vs A, Subgr CPS ≥1]: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[Pembrolizumab+QMT] vs Grupo A [Pembrolizumb], Subgrupo CPS ≥ 1 (Fig 2G, artículo original, pág 1922) y (Fig 2B, apéndice, pág 12)</t>
    </r>
  </si>
  <si>
    <r>
      <rPr>
        <b/>
        <sz val="14"/>
        <color rgb="FF993300"/>
        <rFont val="Calibri"/>
        <family val="2"/>
        <scheme val="minor"/>
      </rPr>
      <t xml:space="preserve">Hoja fs-3.2.c [mediana t SLEv; mediana t Supervivencia libre del evento "muerte"; B vs A, Subgr CPS ≥1]: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SG, Grupo B [Pembrolizumab+QMT] vs Grupo A [Pembrolizumb], Subgrupo CPS ≥ 1 (Fig 2G, artículo original, pág 1922) y (Fig 2B, apéndice, pág 12)</t>
    </r>
  </si>
  <si>
    <r>
      <rPr>
        <b/>
        <sz val="14"/>
        <color rgb="FF993300"/>
        <rFont val="Calibri"/>
        <family val="2"/>
        <scheme val="minor"/>
      </rPr>
      <t xml:space="preserve">Hoja fs-3.3.a [% SLEv, y los HR; % Supervivencia libre del evento "muerte", y los HR; B vs A, Subgr CPS </t>
    </r>
    <r>
      <rPr>
        <b/>
        <sz val="14"/>
        <color rgb="FF993300"/>
        <rFont val="Calibri"/>
        <family val="2"/>
      </rPr>
      <t>≥20</t>
    </r>
    <r>
      <rPr>
        <b/>
        <sz val="14"/>
        <color rgb="FF993300"/>
        <rFont val="Calibri"/>
        <family val="2"/>
        <scheme val="minor"/>
      </rPr>
      <t xml:space="preserve">]: </t>
    </r>
    <r>
      <rPr>
        <b/>
        <i/>
        <sz val="14"/>
        <color theme="7" tint="-0.249977111117893"/>
        <rFont val="Calibri"/>
        <family val="2"/>
        <scheme val="minor"/>
      </rPr>
      <t>% de Supervivencia libre de evento K-M, y los HR</t>
    </r>
    <r>
      <rPr>
        <b/>
        <sz val="14"/>
        <rFont val="Calibri"/>
        <family val="2"/>
        <scheme val="minor"/>
      </rPr>
      <t>, SG, Grupo B [Pembrolizumab+ QMT] vs Grupo A [CTX+QMT], Subgrupo CPS ≥ 20, (Fig 2G, artículo original, pág 1922) y (Fig 2A, apéndice, pág 12)</t>
    </r>
  </si>
  <si>
    <r>
      <rPr>
        <b/>
        <sz val="14"/>
        <color rgb="FF993300"/>
        <rFont val="Calibri"/>
        <family val="2"/>
        <scheme val="minor"/>
      </rPr>
      <t xml:space="preserve">Hoja fs-3.3.b [% y t SLEv; % y t medio de Supervivencia libre del evento "muerte"; B vs A, Subgr CPS ≥20]: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SG, Grupo B [Pembrolizumab+ QMT] vs Grupo A [CTX+QMT], Subgrupo CPS ≥ 20, (Fig 2G, artículo original, pág 1922) y (Fig 2A, apéndice, pág 12)</t>
    </r>
  </si>
  <si>
    <t>Burtness B, Harrington KJ, Greil R, on behalf of the KEYNOTE-048 Investigators. Pembrolizumab alone or with chemotherapy versus cetuximab with chemotherapy for recurrent or metastatic squamous cell carcinoma of the head and neck (KEYNOTE-048): a randomised, open-label, phase 3 study. Lancet. 2019 Nov 23;394(10212):1915-1928. Erratum in: Lancet. 2020 Jan 25;395(10220):272. Erratum in: Lancet. 2020 Feb 22;395(10224):564. Erratum in: Lancet. 2021 Jun 12;397(10291):2252.</t>
  </si>
  <si>
    <t>valor p</t>
  </si>
  <si>
    <t>IC del HR</t>
  </si>
  <si>
    <r>
      <rPr>
        <i/>
        <sz val="10"/>
        <color rgb="FFFF9933"/>
        <rFont val="Calibri"/>
        <family val="2"/>
        <scheme val="minor"/>
      </rPr>
      <t>p &gt; 0,05</t>
    </r>
    <r>
      <rPr>
        <sz val="10"/>
        <color rgb="FFFF9933"/>
        <rFont val="Calibri"/>
        <family val="2"/>
        <scheme val="minor"/>
      </rPr>
      <t xml:space="preserve"> desde los 5 hasta los 45 meses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</si>
</sst>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 _€_-;\-* #,##0\ _€_-;_-* &quot;-&quot;??\ _€_-;_-@_-"/>
    <numFmt numFmtId="165" formatCode="0.0%"/>
    <numFmt numFmtId="166" formatCode="_-* #,##0.000\ _€_-;\-* #,##0.000\ _€_-;_-* &quot;-&quot;??\ _€_-;_-@_-"/>
    <numFmt numFmtId="167" formatCode="_-* #,##0.0000\ _€_-;\-* #,##0.0000\ _€_-;_-* &quot;-&quot;??\ _€_-;_-@_-"/>
    <numFmt numFmtId="168" formatCode="0.000"/>
    <numFmt numFmtId="169" formatCode="0.0"/>
    <numFmt numFmtId="170" formatCode="#,##0.0"/>
  </numFmts>
  <fonts count="111" x14ac:knownFonts="1">
    <font>
      <sz val="10"/>
      <name val="Arial"/>
    </font>
    <font>
      <sz val="10"/>
      <name val="Arial"/>
      <family val="2"/>
    </font>
    <font>
      <sz val="10"/>
      <name val="Calibri"/>
      <family val="2"/>
    </font>
    <font>
      <b/>
      <sz val="10"/>
      <name val="Calibri"/>
      <family val="2"/>
    </font>
    <font>
      <b/>
      <i/>
      <sz val="10"/>
      <name val="Calibri"/>
      <family val="2"/>
    </font>
    <font>
      <b/>
      <sz val="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9"/>
      <color rgb="FF0000FF"/>
      <name val="Calibri"/>
      <family val="2"/>
      <scheme val="minor"/>
    </font>
    <font>
      <sz val="8"/>
      <name val="Calibri"/>
      <family val="2"/>
      <scheme val="minor"/>
    </font>
    <font>
      <i/>
      <sz val="10"/>
      <name val="Calibri"/>
      <family val="2"/>
      <scheme val="minor"/>
    </font>
    <font>
      <b/>
      <sz val="11"/>
      <color rgb="FF0000FF"/>
      <name val="Calibri"/>
      <family val="2"/>
      <scheme val="minor"/>
    </font>
    <font>
      <sz val="10"/>
      <color theme="1"/>
      <name val="Calibri"/>
      <family val="2"/>
      <scheme val="minor"/>
    </font>
    <font>
      <sz val="10"/>
      <color rgb="FF009900"/>
      <name val="Calibri"/>
      <family val="2"/>
    </font>
    <font>
      <i/>
      <sz val="9"/>
      <name val="Calibri"/>
      <family val="2"/>
      <scheme val="minor"/>
    </font>
    <font>
      <b/>
      <sz val="10"/>
      <color theme="1"/>
      <name val="Calibri"/>
      <family val="2"/>
      <scheme val="minor"/>
    </font>
    <font>
      <i/>
      <sz val="10"/>
      <color theme="2" tint="-9.9978637043366805E-2"/>
      <name val="Calibri"/>
      <family val="2"/>
      <scheme val="minor"/>
    </font>
    <font>
      <b/>
      <i/>
      <sz val="10"/>
      <name val="Calibri"/>
      <family val="2"/>
      <scheme val="minor"/>
    </font>
    <font>
      <sz val="10"/>
      <color rgb="FFFF0000"/>
      <name val="Calibri"/>
      <family val="2"/>
      <scheme val="minor"/>
    </font>
    <font>
      <sz val="10"/>
      <color rgb="FFFF9933"/>
      <name val="Calibri"/>
      <family val="2"/>
      <scheme val="minor"/>
    </font>
    <font>
      <sz val="10"/>
      <color rgb="FF008000"/>
      <name val="Calibri"/>
      <family val="2"/>
      <scheme val="minor"/>
    </font>
    <font>
      <i/>
      <sz val="10"/>
      <color theme="7" tint="-0.249977111117893"/>
      <name val="Calibri"/>
      <family val="2"/>
      <scheme val="minor"/>
    </font>
    <font>
      <b/>
      <sz val="11"/>
      <name val="Calibri"/>
      <family val="2"/>
      <scheme val="minor"/>
    </font>
    <font>
      <sz val="10"/>
      <color theme="2" tint="-0.249977111117893"/>
      <name val="Calibri"/>
      <family val="2"/>
      <scheme val="minor"/>
    </font>
    <font>
      <b/>
      <i/>
      <sz val="10"/>
      <color theme="7" tint="-0.249977111117893"/>
      <name val="Calibri"/>
      <family val="2"/>
      <scheme val="minor"/>
    </font>
    <font>
      <b/>
      <sz val="10"/>
      <color rgb="FF008000"/>
      <name val="Calibri"/>
      <family val="2"/>
      <scheme val="minor"/>
    </font>
    <font>
      <i/>
      <sz val="9"/>
      <color theme="7" tint="-0.249977111117893"/>
      <name val="Calibri"/>
      <family val="2"/>
      <scheme val="minor"/>
    </font>
    <font>
      <i/>
      <sz val="9"/>
      <color theme="7" tint="-0.249977111117893"/>
      <name val="Calibri"/>
      <family val="2"/>
    </font>
    <font>
      <sz val="9"/>
      <color rgb="FF008000"/>
      <name val="Calibri"/>
      <family val="2"/>
      <scheme val="minor"/>
    </font>
    <font>
      <i/>
      <sz val="8"/>
      <color theme="7" tint="-0.249977111117893"/>
      <name val="Calibri"/>
      <family val="2"/>
      <scheme val="minor"/>
    </font>
    <font>
      <vertAlign val="subscript"/>
      <sz val="9"/>
      <color theme="7" tint="-0.249977111117893"/>
      <name val="Calibri"/>
      <family val="2"/>
    </font>
    <font>
      <vertAlign val="superscript"/>
      <sz val="9"/>
      <color theme="7" tint="-0.249977111117893"/>
      <name val="Calibri"/>
      <family val="2"/>
    </font>
    <font>
      <sz val="10"/>
      <color theme="0" tint="-0.34998626667073579"/>
      <name val="Calibri"/>
      <family val="2"/>
      <scheme val="minor"/>
    </font>
    <font>
      <i/>
      <sz val="10"/>
      <name val="Calibri"/>
      <family val="2"/>
    </font>
    <font>
      <u/>
      <sz val="10"/>
      <color rgb="FF000000"/>
      <name val="Calibri"/>
      <family val="2"/>
    </font>
    <font>
      <sz val="10"/>
      <color rgb="FF000000"/>
      <name val="Calibri"/>
      <family val="2"/>
    </font>
    <font>
      <b/>
      <sz val="10"/>
      <color rgb="FF000000"/>
      <name val="Calibri"/>
      <family val="2"/>
    </font>
    <font>
      <i/>
      <sz val="8"/>
      <color theme="7" tint="-0.249977111117893"/>
      <name val="Calibri"/>
      <family val="2"/>
    </font>
    <font>
      <sz val="9"/>
      <color rgb="FF008000"/>
      <name val="Calibri"/>
      <family val="2"/>
    </font>
    <font>
      <b/>
      <sz val="14"/>
      <name val="Calibri"/>
      <family val="2"/>
      <scheme val="minor"/>
    </font>
    <font>
      <b/>
      <vertAlign val="subscript"/>
      <sz val="10"/>
      <name val="Calibri"/>
      <family val="2"/>
      <scheme val="minor"/>
    </font>
    <font>
      <b/>
      <sz val="9"/>
      <name val="Calibri"/>
      <family val="2"/>
      <scheme val="minor"/>
    </font>
    <font>
      <b/>
      <vertAlign val="subscript"/>
      <sz val="9"/>
      <name val="Calibri"/>
      <family val="2"/>
      <scheme val="minor"/>
    </font>
    <font>
      <b/>
      <sz val="9"/>
      <color rgb="FF008000"/>
      <name val="Calibri"/>
      <family val="2"/>
      <scheme val="minor"/>
    </font>
    <font>
      <b/>
      <vertAlign val="subscript"/>
      <sz val="9"/>
      <color rgb="FF008000"/>
      <name val="Calibri"/>
      <family val="2"/>
    </font>
    <font>
      <b/>
      <sz val="9"/>
      <color rgb="FF008000"/>
      <name val="Calibri"/>
      <family val="2"/>
    </font>
    <font>
      <b/>
      <i/>
      <sz val="9"/>
      <color theme="7" tint="-0.249977111117893"/>
      <name val="Calibri"/>
      <family val="2"/>
      <scheme val="minor"/>
    </font>
    <font>
      <b/>
      <i/>
      <vertAlign val="subscript"/>
      <sz val="9"/>
      <color theme="7" tint="-0.249977111117893"/>
      <name val="Calibri"/>
      <family val="2"/>
    </font>
    <font>
      <b/>
      <i/>
      <sz val="9"/>
      <color theme="7" tint="-0.249977111117893"/>
      <name val="Calibri"/>
      <family val="2"/>
    </font>
    <font>
      <b/>
      <i/>
      <sz val="8"/>
      <color theme="7" tint="-0.249977111117893"/>
      <name val="Calibri"/>
      <family val="2"/>
      <scheme val="minor"/>
    </font>
    <font>
      <b/>
      <i/>
      <vertAlign val="subscript"/>
      <sz val="8"/>
      <color theme="7" tint="-0.249977111117893"/>
      <name val="Calibri"/>
      <family val="2"/>
    </font>
    <font>
      <b/>
      <i/>
      <sz val="8"/>
      <color theme="7" tint="-0.249977111117893"/>
      <name val="Calibri"/>
      <family val="2"/>
    </font>
    <font>
      <vertAlign val="subscript"/>
      <sz val="9"/>
      <color rgb="FF008000"/>
      <name val="Calibri"/>
      <family val="2"/>
      <scheme val="minor"/>
    </font>
    <font>
      <i/>
      <vertAlign val="subscript"/>
      <sz val="9"/>
      <color theme="7" tint="-0.249977111117893"/>
      <name val="Calibri"/>
      <family val="2"/>
      <scheme val="minor"/>
    </font>
    <font>
      <b/>
      <i/>
      <vertAlign val="subscript"/>
      <sz val="8"/>
      <color theme="7" tint="-0.249977111117893"/>
      <name val="Calibri"/>
      <family val="2"/>
      <scheme val="minor"/>
    </font>
    <font>
      <b/>
      <vertAlign val="subscript"/>
      <sz val="9"/>
      <color rgb="FF008000"/>
      <name val="Calibri"/>
      <family val="2"/>
      <scheme val="minor"/>
    </font>
    <font>
      <b/>
      <i/>
      <vertAlign val="subscript"/>
      <sz val="9"/>
      <color theme="7" tint="-0.249977111117893"/>
      <name val="Calibri"/>
      <family val="2"/>
      <scheme val="minor"/>
    </font>
    <font>
      <b/>
      <sz val="14"/>
      <color rgb="FF993300"/>
      <name val="Calibri"/>
      <family val="2"/>
      <scheme val="minor"/>
    </font>
    <font>
      <b/>
      <i/>
      <sz val="14"/>
      <color theme="7" tint="-0.249977111117893"/>
      <name val="Calibri"/>
      <family val="2"/>
      <scheme val="minor"/>
    </font>
    <font>
      <b/>
      <sz val="14"/>
      <color rgb="FF008000"/>
      <name val="Calibri"/>
      <family val="2"/>
      <scheme val="minor"/>
    </font>
    <font>
      <b/>
      <i/>
      <sz val="11"/>
      <color theme="7" tint="-0.249977111117893"/>
      <name val="Calibri"/>
      <family val="2"/>
      <scheme val="minor"/>
    </font>
    <font>
      <b/>
      <sz val="11"/>
      <color rgb="FF008000"/>
      <name val="Calibri"/>
      <family val="2"/>
      <scheme val="minor"/>
    </font>
    <font>
      <i/>
      <sz val="10"/>
      <color rgb="FF996600"/>
      <name val="Calibri"/>
      <family val="2"/>
      <scheme val="minor"/>
    </font>
    <font>
      <sz val="10"/>
      <color theme="7" tint="-0.249977111117893"/>
      <name val="Calibri"/>
      <family val="2"/>
      <scheme val="minor"/>
    </font>
    <font>
      <sz val="9"/>
      <color theme="0" tint="-0.34998626667073579"/>
      <name val="Calibri"/>
      <family val="2"/>
      <scheme val="minor"/>
    </font>
    <font>
      <i/>
      <vertAlign val="subscript"/>
      <sz val="10"/>
      <name val="Calibri"/>
      <family val="2"/>
      <scheme val="minor"/>
    </font>
    <font>
      <vertAlign val="subscript"/>
      <sz val="8"/>
      <name val="Calibri"/>
      <family val="2"/>
    </font>
    <font>
      <sz val="8"/>
      <name val="Calibri"/>
      <family val="2"/>
    </font>
    <font>
      <vertAlign val="superscript"/>
      <sz val="8"/>
      <name val="Calibri"/>
      <family val="2"/>
    </font>
    <font>
      <b/>
      <sz val="12"/>
      <name val="Calibri"/>
      <family val="2"/>
      <scheme val="minor"/>
    </font>
    <font>
      <sz val="11"/>
      <name val="Calibri"/>
      <family val="2"/>
      <scheme val="minor"/>
    </font>
    <font>
      <u/>
      <sz val="11"/>
      <name val="Calibri"/>
      <family val="2"/>
      <scheme val="minor"/>
    </font>
    <font>
      <b/>
      <i/>
      <vertAlign val="subscript"/>
      <sz val="11"/>
      <color theme="7" tint="-0.249977111117893"/>
      <name val="Calibri"/>
      <family val="2"/>
      <scheme val="minor"/>
    </font>
    <font>
      <i/>
      <sz val="11"/>
      <color theme="7" tint="-0.249977111117893"/>
      <name val="Calibri"/>
      <family val="2"/>
      <scheme val="minor"/>
    </font>
    <font>
      <i/>
      <vertAlign val="subscript"/>
      <sz val="11"/>
      <color theme="7" tint="-0.249977111117893"/>
      <name val="Calibri"/>
      <family val="2"/>
      <scheme val="minor"/>
    </font>
    <font>
      <b/>
      <vertAlign val="subscript"/>
      <sz val="11"/>
      <color rgb="FF008000"/>
      <name val="Calibri"/>
      <family val="2"/>
      <scheme val="minor"/>
    </font>
    <font>
      <sz val="11"/>
      <color rgb="FF008000"/>
      <name val="Calibri"/>
      <family val="2"/>
      <scheme val="minor"/>
    </font>
    <font>
      <vertAlign val="subscript"/>
      <sz val="11"/>
      <color rgb="FF008000"/>
      <name val="Calibri"/>
      <family val="2"/>
      <scheme val="minor"/>
    </font>
    <font>
      <b/>
      <vertAlign val="subscript"/>
      <sz val="11"/>
      <name val="Calibri"/>
      <family val="2"/>
      <scheme val="minor"/>
    </font>
    <font>
      <i/>
      <sz val="10"/>
      <color theme="7" tint="-0.499984740745262"/>
      <name val="Calibri"/>
      <family val="2"/>
      <scheme val="minor"/>
    </font>
    <font>
      <b/>
      <sz val="8"/>
      <name val="Calibri"/>
      <family val="2"/>
    </font>
    <font>
      <b/>
      <vertAlign val="subscript"/>
      <sz val="8"/>
      <name val="Calibri"/>
      <family val="2"/>
    </font>
    <font>
      <sz val="9"/>
      <color rgb="FFFF0000"/>
      <name val="Calibri"/>
      <family val="2"/>
      <scheme val="minor"/>
    </font>
    <font>
      <sz val="9"/>
      <color rgb="FFFF9933"/>
      <name val="Calibri"/>
      <family val="2"/>
      <scheme val="minor"/>
    </font>
    <font>
      <sz val="10"/>
      <color theme="0" tint="-0.249977111117893"/>
      <name val="Calibri"/>
      <family val="2"/>
      <scheme val="minor"/>
    </font>
    <font>
      <b/>
      <sz val="10"/>
      <color rgb="FFFF9933"/>
      <name val="Calibri"/>
      <family val="2"/>
      <scheme val="minor"/>
    </font>
    <font>
      <b/>
      <sz val="10"/>
      <color rgb="FFFFC000"/>
      <name val="Calibri"/>
      <family val="2"/>
      <scheme val="minor"/>
    </font>
    <font>
      <b/>
      <i/>
      <vertAlign val="subscript"/>
      <sz val="10"/>
      <color theme="7" tint="-0.249977111117893"/>
      <name val="Calibri"/>
      <family val="2"/>
    </font>
    <font>
      <i/>
      <sz val="6"/>
      <color theme="7" tint="-0.249977111117893"/>
      <name val="Calibri"/>
      <family val="2"/>
    </font>
    <font>
      <b/>
      <i/>
      <sz val="10"/>
      <color theme="7" tint="-0.249977111117893"/>
      <name val="Calibri"/>
      <family val="2"/>
    </font>
    <font>
      <i/>
      <sz val="7"/>
      <color theme="7" tint="-0.249977111117893"/>
      <name val="Calibri"/>
      <family val="2"/>
    </font>
    <font>
      <vertAlign val="subscript"/>
      <sz val="10"/>
      <color theme="0" tint="-0.249977111117893"/>
      <name val="Calibri"/>
      <family val="2"/>
    </font>
    <font>
      <sz val="10"/>
      <color theme="0" tint="-0.249977111117893"/>
      <name val="Calibri"/>
      <family val="2"/>
    </font>
    <font>
      <vertAlign val="superscript"/>
      <sz val="10"/>
      <color theme="0" tint="-0.249977111117893"/>
      <name val="Calibri"/>
      <family val="2"/>
    </font>
    <font>
      <sz val="9"/>
      <color theme="0" tint="-0.249977111117893"/>
      <name val="Calibri"/>
      <family val="2"/>
      <scheme val="minor"/>
    </font>
    <font>
      <vertAlign val="subscript"/>
      <sz val="9"/>
      <color theme="0" tint="-0.249977111117893"/>
      <name val="Calibri"/>
      <family val="2"/>
    </font>
    <font>
      <sz val="9"/>
      <color theme="0" tint="-0.249977111117893"/>
      <name val="Calibri"/>
      <family val="2"/>
    </font>
    <font>
      <b/>
      <sz val="10"/>
      <color theme="0" tint="-0.249977111117893"/>
      <name val="Calibri"/>
      <family val="2"/>
      <scheme val="minor"/>
    </font>
    <font>
      <sz val="6"/>
      <color theme="0" tint="-0.249977111117893"/>
      <name val="Calibri"/>
      <family val="2"/>
      <scheme val="minor"/>
    </font>
    <font>
      <sz val="10"/>
      <color theme="0" tint="-0.14999847407452621"/>
      <name val="Calibri"/>
      <family val="2"/>
      <scheme val="minor"/>
    </font>
    <font>
      <b/>
      <sz val="10"/>
      <color theme="0" tint="-0.14999847407452621"/>
      <name val="Calibri"/>
      <family val="2"/>
    </font>
    <font>
      <sz val="10"/>
      <color theme="0" tint="-0.14999847407452621"/>
      <name val="Calibri"/>
      <family val="2"/>
    </font>
    <font>
      <b/>
      <sz val="10"/>
      <color theme="0" tint="-0.14999847407452621"/>
      <name val="Calibri"/>
      <family val="2"/>
      <scheme val="minor"/>
    </font>
    <font>
      <b/>
      <sz val="11"/>
      <color rgb="FF0000FF"/>
      <name val="Calibri"/>
      <family val="2"/>
    </font>
    <font>
      <b/>
      <sz val="14"/>
      <color rgb="FF993300"/>
      <name val="Calibri"/>
      <family val="2"/>
    </font>
    <font>
      <i/>
      <sz val="9"/>
      <color theme="7" tint="-0.499984740745262"/>
      <name val="Calibri"/>
      <family val="2"/>
      <scheme val="minor"/>
    </font>
    <font>
      <i/>
      <sz val="10"/>
      <color rgb="FFFF9933"/>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right/>
      <top style="thin">
        <color indexed="21"/>
      </top>
      <bottom style="thin">
        <color indexed="2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21"/>
      </left>
      <right style="thin">
        <color indexed="2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8">
    <xf numFmtId="0" fontId="0" fillId="0" borderId="0" xfId="0"/>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right" vertical="center"/>
    </xf>
    <xf numFmtId="43" fontId="2" fillId="3" borderId="1" xfId="1" applyFont="1" applyFill="1" applyBorder="1" applyAlignment="1">
      <alignment horizontal="center" vertical="center"/>
    </xf>
    <xf numFmtId="166" fontId="2" fillId="3" borderId="1" xfId="1" applyNumberFormat="1" applyFont="1" applyFill="1" applyBorder="1" applyAlignment="1">
      <alignment vertical="center"/>
    </xf>
    <xf numFmtId="9" fontId="14" fillId="0" borderId="0" xfId="0" applyNumberFormat="1" applyFont="1" applyFill="1" applyAlignment="1">
      <alignment horizontal="center" vertical="center"/>
    </xf>
    <xf numFmtId="164" fontId="13" fillId="0" borderId="0" xfId="0" applyNumberFormat="1" applyFont="1" applyBorder="1" applyAlignment="1">
      <alignment horizontal="center" vertical="center" wrapText="1"/>
    </xf>
    <xf numFmtId="165" fontId="6" fillId="0" borderId="0" xfId="2" applyNumberFormat="1" applyFont="1" applyAlignment="1">
      <alignment horizontal="center" vertical="center"/>
    </xf>
    <xf numFmtId="9" fontId="22" fillId="0" borderId="0" xfId="0" applyNumberFormat="1" applyFont="1" applyAlignment="1">
      <alignment horizontal="center" vertical="center"/>
    </xf>
    <xf numFmtId="9" fontId="23" fillId="0" borderId="0" xfId="0" applyNumberFormat="1" applyFont="1" applyAlignment="1">
      <alignment horizontal="center" vertical="center"/>
    </xf>
    <xf numFmtId="9" fontId="24" fillId="0" borderId="0" xfId="0" applyNumberFormat="1" applyFont="1" applyAlignment="1">
      <alignment horizontal="center" vertical="center"/>
    </xf>
    <xf numFmtId="0" fontId="6" fillId="0" borderId="0" xfId="0" applyFont="1" applyAlignment="1">
      <alignment horizontal="right" vertical="center"/>
    </xf>
    <xf numFmtId="0" fontId="11" fillId="0" borderId="1" xfId="0" applyFont="1" applyBorder="1" applyAlignment="1">
      <alignment horizontal="center" vertical="center" wrapText="1"/>
    </xf>
    <xf numFmtId="10" fontId="24" fillId="0" borderId="1" xfId="2" applyNumberFormat="1" applyFont="1" applyFill="1" applyBorder="1" applyAlignment="1">
      <alignment horizontal="center" vertical="center"/>
    </xf>
    <xf numFmtId="10" fontId="25" fillId="0" borderId="1" xfId="2" applyNumberFormat="1" applyFont="1" applyFill="1" applyBorder="1" applyAlignment="1">
      <alignment horizontal="center" vertical="center"/>
    </xf>
    <xf numFmtId="43" fontId="6" fillId="0" borderId="14" xfId="1" applyFont="1" applyFill="1" applyBorder="1" applyAlignment="1">
      <alignment vertical="center"/>
    </xf>
    <xf numFmtId="43" fontId="6" fillId="0" borderId="15" xfId="1" applyFont="1" applyFill="1" applyBorder="1" applyAlignment="1">
      <alignment vertical="center"/>
    </xf>
    <xf numFmtId="0" fontId="13" fillId="0" borderId="0" xfId="0" applyFont="1" applyAlignment="1">
      <alignment horizontal="right" vertical="center"/>
    </xf>
    <xf numFmtId="2"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2" fontId="21" fillId="0" borderId="0" xfId="1" applyNumberFormat="1" applyFont="1" applyFill="1" applyBorder="1" applyAlignment="1">
      <alignment horizontal="center" vertical="center"/>
    </xf>
    <xf numFmtId="164" fontId="13" fillId="0" borderId="0" xfId="0" applyNumberFormat="1"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32" fillId="4" borderId="1" xfId="0" applyFont="1" applyFill="1" applyBorder="1" applyAlignment="1">
      <alignment horizontal="center" vertical="center" wrapText="1"/>
    </xf>
    <xf numFmtId="165" fontId="24" fillId="0" borderId="1" xfId="2" applyNumberFormat="1" applyFont="1" applyFill="1" applyBorder="1" applyAlignment="1">
      <alignment horizontal="center" vertical="center"/>
    </xf>
    <xf numFmtId="165" fontId="25" fillId="0" borderId="1" xfId="2" applyNumberFormat="1" applyFont="1" applyFill="1" applyBorder="1" applyAlignment="1">
      <alignment horizontal="center" vertical="center"/>
    </xf>
    <xf numFmtId="0" fontId="7" fillId="0" borderId="0" xfId="0" applyFont="1" applyAlignment="1">
      <alignment vertical="center"/>
    </xf>
    <xf numFmtId="1" fontId="6" fillId="0" borderId="1" xfId="0" applyNumberFormat="1" applyFont="1" applyFill="1" applyBorder="1" applyAlignment="1">
      <alignment horizontal="center" vertical="center" wrapText="1"/>
    </xf>
    <xf numFmtId="0" fontId="6" fillId="0" borderId="12" xfId="0" applyFont="1" applyBorder="1" applyAlignment="1">
      <alignment horizontal="right" vertical="center"/>
    </xf>
    <xf numFmtId="0" fontId="11" fillId="0" borderId="0" xfId="0" applyFont="1" applyAlignment="1">
      <alignment horizontal="left" vertical="center"/>
    </xf>
    <xf numFmtId="2" fontId="14" fillId="0" borderId="22" xfId="1" applyNumberFormat="1" applyFont="1" applyFill="1" applyBorder="1" applyAlignment="1">
      <alignment horizontal="center" vertical="center"/>
    </xf>
    <xf numFmtId="0" fontId="30" fillId="0" borderId="1" xfId="0" applyFont="1" applyFill="1" applyBorder="1" applyAlignment="1">
      <alignment horizontal="center" vertical="center" wrapText="1"/>
    </xf>
    <xf numFmtId="165" fontId="14" fillId="4" borderId="0" xfId="2" applyNumberFormat="1" applyFont="1" applyFill="1" applyBorder="1" applyAlignment="1">
      <alignment horizontal="center" vertical="center"/>
    </xf>
    <xf numFmtId="10" fontId="14" fillId="0" borderId="0" xfId="1" applyNumberFormat="1" applyFont="1" applyFill="1" applyBorder="1" applyAlignment="1">
      <alignment vertical="center"/>
    </xf>
    <xf numFmtId="2" fontId="37" fillId="0" borderId="0" xfId="0" applyNumberFormat="1" applyFont="1" applyFill="1" applyAlignment="1">
      <alignment horizontal="center" vertical="center"/>
    </xf>
    <xf numFmtId="0" fontId="11"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53" fillId="3" borderId="1" xfId="0" applyFont="1" applyFill="1" applyBorder="1" applyAlignment="1">
      <alignment horizontal="center" vertical="center" wrapText="1"/>
    </xf>
    <xf numFmtId="49" fontId="32" fillId="3" borderId="1" xfId="1" applyNumberFormat="1" applyFont="1" applyFill="1" applyBorder="1" applyAlignment="1">
      <alignment horizontal="center" vertical="center" wrapText="1"/>
    </xf>
    <xf numFmtId="49" fontId="30" fillId="3" borderId="1" xfId="1" applyNumberFormat="1" applyFont="1" applyFill="1" applyBorder="1" applyAlignment="1">
      <alignment horizontal="center" vertical="center" wrapText="1"/>
    </xf>
    <xf numFmtId="169" fontId="25" fillId="0" borderId="1" xfId="0" applyNumberFormat="1" applyFont="1" applyFill="1" applyBorder="1" applyAlignment="1">
      <alignment horizontal="center" vertical="center"/>
    </xf>
    <xf numFmtId="169" fontId="24"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xf>
    <xf numFmtId="9" fontId="25" fillId="0" borderId="1" xfId="2" applyFont="1" applyFill="1" applyBorder="1" applyAlignment="1">
      <alignment horizontal="center" vertical="center"/>
    </xf>
    <xf numFmtId="9" fontId="24" fillId="0" borderId="1" xfId="2" applyFont="1" applyFill="1" applyBorder="1" applyAlignment="1">
      <alignment horizontal="center" vertical="center"/>
    </xf>
    <xf numFmtId="0" fontId="30"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right" vertical="center"/>
    </xf>
    <xf numFmtId="1" fontId="7"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67" fillId="0" borderId="1"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Alignment="1">
      <alignment horizontal="center" vertical="center"/>
    </xf>
    <xf numFmtId="1" fontId="6" fillId="0" borderId="1" xfId="1"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1"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0" fontId="6" fillId="0" borderId="1" xfId="2" applyNumberFormat="1" applyFont="1" applyBorder="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43" fontId="6" fillId="0" borderId="0" xfId="1" applyFont="1" applyAlignment="1">
      <alignment vertical="center"/>
    </xf>
    <xf numFmtId="43" fontId="6" fillId="0" borderId="0" xfId="1" applyFont="1" applyBorder="1" applyAlignment="1">
      <alignment vertical="center"/>
    </xf>
    <xf numFmtId="43" fontId="16" fillId="0" borderId="0" xfId="1" applyFont="1" applyBorder="1" applyAlignment="1">
      <alignment vertical="center"/>
    </xf>
    <xf numFmtId="1" fontId="16"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center" vertical="center"/>
    </xf>
    <xf numFmtId="1" fontId="6" fillId="0" borderId="0" xfId="1" applyNumberFormat="1" applyFont="1" applyBorder="1" applyAlignment="1">
      <alignment horizontal="center" vertical="center"/>
    </xf>
    <xf numFmtId="0" fontId="14" fillId="0" borderId="0" xfId="0" applyFont="1" applyAlignment="1">
      <alignment horizontal="right" vertical="center"/>
    </xf>
    <xf numFmtId="43" fontId="16" fillId="0" borderId="0" xfId="1" applyFont="1" applyAlignment="1">
      <alignment vertical="center"/>
    </xf>
    <xf numFmtId="0" fontId="14" fillId="0" borderId="0" xfId="0" applyFont="1" applyFill="1" applyAlignment="1">
      <alignment vertical="center"/>
    </xf>
    <xf numFmtId="0" fontId="19" fillId="0" borderId="0" xfId="0" applyFont="1" applyAlignment="1">
      <alignment vertical="center"/>
    </xf>
    <xf numFmtId="0" fontId="16" fillId="0" borderId="0" xfId="0" applyFont="1" applyAlignment="1">
      <alignment vertical="center"/>
    </xf>
    <xf numFmtId="1" fontId="6" fillId="0" borderId="0" xfId="0" applyNumberFormat="1" applyFont="1" applyBorder="1" applyAlignment="1">
      <alignment horizontal="center" vertical="center"/>
    </xf>
    <xf numFmtId="164" fontId="7" fillId="0" borderId="0" xfId="0" applyNumberFormat="1" applyFont="1" applyBorder="1" applyAlignment="1">
      <alignment vertical="center"/>
    </xf>
    <xf numFmtId="1" fontId="6" fillId="0" borderId="0" xfId="0" applyNumberFormat="1" applyFont="1" applyAlignment="1">
      <alignment vertical="center"/>
    </xf>
    <xf numFmtId="0" fontId="2" fillId="2" borderId="4"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66" fillId="0" borderId="1" xfId="2" applyNumberFormat="1" applyFont="1" applyFill="1" applyBorder="1" applyAlignment="1">
      <alignment horizontal="center" vertical="center"/>
    </xf>
    <xf numFmtId="165" fontId="14" fillId="0" borderId="1" xfId="0" applyNumberFormat="1" applyFont="1" applyBorder="1" applyAlignment="1">
      <alignment horizontal="center" vertical="center"/>
    </xf>
    <xf numFmtId="1" fontId="2" fillId="0" borderId="4" xfId="0"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xf>
    <xf numFmtId="1" fontId="2" fillId="2" borderId="6" xfId="0" applyNumberFormat="1" applyFont="1" applyFill="1" applyBorder="1" applyAlignment="1">
      <alignment horizontal="center" vertical="center" wrapText="1"/>
    </xf>
    <xf numFmtId="2" fontId="14" fillId="0" borderId="0" xfId="0" applyNumberFormat="1" applyFont="1" applyFill="1" applyAlignment="1">
      <alignment horizontal="center" vertical="center"/>
    </xf>
    <xf numFmtId="0" fontId="2"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69" fontId="3" fillId="2" borderId="4" xfId="1"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2" fillId="0" borderId="0" xfId="0" applyFont="1" applyAlignment="1">
      <alignment vertical="center"/>
    </xf>
    <xf numFmtId="2" fontId="2" fillId="0" borderId="0" xfId="0" applyNumberFormat="1" applyFont="1" applyAlignment="1">
      <alignment vertical="center"/>
    </xf>
    <xf numFmtId="0" fontId="3" fillId="0" borderId="3" xfId="0" applyFont="1" applyBorder="1" applyAlignment="1">
      <alignment horizontal="right" vertical="center"/>
    </xf>
    <xf numFmtId="166" fontId="2" fillId="0" borderId="7" xfId="0" applyNumberFormat="1" applyFont="1" applyBorder="1" applyAlignment="1">
      <alignment vertical="center"/>
    </xf>
    <xf numFmtId="0" fontId="2" fillId="0" borderId="7" xfId="0" applyFont="1" applyBorder="1" applyAlignment="1">
      <alignment vertical="center"/>
    </xf>
    <xf numFmtId="167" fontId="2" fillId="0" borderId="7" xfId="0" applyNumberFormat="1" applyFont="1" applyBorder="1" applyAlignment="1">
      <alignment vertical="center"/>
    </xf>
    <xf numFmtId="167" fontId="2" fillId="0" borderId="2" xfId="1" applyNumberFormat="1" applyFont="1" applyFill="1" applyBorder="1" applyAlignment="1">
      <alignment horizontal="center" vertical="center"/>
    </xf>
    <xf numFmtId="0" fontId="2" fillId="0" borderId="2" xfId="0" applyFont="1" applyFill="1" applyBorder="1" applyAlignment="1">
      <alignment horizontal="right" vertical="center"/>
    </xf>
    <xf numFmtId="166" fontId="2" fillId="0" borderId="0" xfId="1" applyNumberFormat="1" applyFont="1" applyAlignment="1">
      <alignment vertical="center"/>
    </xf>
    <xf numFmtId="0" fontId="2" fillId="0" borderId="0" xfId="0" applyFont="1" applyBorder="1" applyAlignment="1">
      <alignment vertical="center"/>
    </xf>
    <xf numFmtId="0" fontId="17" fillId="0" borderId="0" xfId="0" applyFont="1" applyAlignment="1">
      <alignment vertical="center"/>
    </xf>
    <xf numFmtId="43" fontId="2" fillId="0" borderId="0" xfId="0" applyNumberFormat="1" applyFont="1" applyFill="1" applyBorder="1" applyAlignment="1">
      <alignment vertical="center"/>
    </xf>
    <xf numFmtId="43" fontId="6" fillId="0" borderId="0" xfId="1" applyFont="1" applyFill="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0" fillId="0" borderId="1" xfId="0" applyFont="1" applyFill="1" applyBorder="1" applyAlignment="1">
      <alignment vertical="center"/>
    </xf>
    <xf numFmtId="0" fontId="14" fillId="0" borderId="1" xfId="0" applyFont="1" applyFill="1" applyBorder="1" applyAlignment="1">
      <alignment vertical="center"/>
    </xf>
    <xf numFmtId="165" fontId="24" fillId="0" borderId="0" xfId="2" applyNumberFormat="1" applyFont="1" applyFill="1" applyBorder="1" applyAlignment="1">
      <alignment horizontal="center" vertical="center"/>
    </xf>
    <xf numFmtId="170" fontId="25" fillId="0" borderId="1" xfId="0" applyNumberFormat="1" applyFont="1" applyFill="1" applyBorder="1" applyAlignment="1">
      <alignment horizontal="center" vertical="center"/>
    </xf>
    <xf numFmtId="1" fontId="36" fillId="0" borderId="0" xfId="0" applyNumberFormat="1" applyFont="1" applyAlignment="1">
      <alignment vertical="center"/>
    </xf>
    <xf numFmtId="170" fontId="24" fillId="0" borderId="0" xfId="0" applyNumberFormat="1" applyFont="1" applyFill="1" applyAlignment="1">
      <alignment horizontal="center" vertical="center"/>
    </xf>
    <xf numFmtId="1" fontId="27" fillId="0" borderId="0" xfId="0" applyNumberFormat="1" applyFont="1" applyFill="1" applyAlignment="1">
      <alignment vertical="center"/>
    </xf>
    <xf numFmtId="170" fontId="24" fillId="0" borderId="1" xfId="0" applyNumberFormat="1" applyFont="1" applyFill="1" applyBorder="1" applyAlignment="1">
      <alignment horizontal="center" vertical="center"/>
    </xf>
    <xf numFmtId="167" fontId="6" fillId="0" borderId="0" xfId="0" applyNumberFormat="1" applyFont="1" applyBorder="1" applyAlignment="1">
      <alignment vertical="center"/>
    </xf>
    <xf numFmtId="0" fontId="6" fillId="0" borderId="0" xfId="0" applyFont="1" applyFill="1" applyBorder="1" applyAlignment="1">
      <alignment vertical="center"/>
    </xf>
    <xf numFmtId="1" fontId="6" fillId="0" borderId="0" xfId="1" applyNumberFormat="1" applyFont="1" applyFill="1" applyBorder="1" applyAlignment="1">
      <alignment horizontal="center" vertical="center"/>
    </xf>
    <xf numFmtId="0" fontId="16" fillId="5" borderId="0" xfId="0" applyFont="1" applyFill="1" applyAlignment="1">
      <alignment vertical="center"/>
    </xf>
    <xf numFmtId="1" fontId="16" fillId="5" borderId="0" xfId="1" applyNumberFormat="1" applyFont="1" applyFill="1" applyBorder="1" applyAlignment="1">
      <alignment horizontal="center" vertical="center"/>
    </xf>
    <xf numFmtId="43" fontId="16" fillId="5" borderId="0" xfId="1" applyFont="1" applyFill="1" applyAlignment="1">
      <alignment vertical="center"/>
    </xf>
    <xf numFmtId="1" fontId="7" fillId="0" borderId="0" xfId="1" applyNumberFormat="1" applyFont="1" applyFill="1" applyBorder="1" applyAlignment="1">
      <alignment horizontal="center" vertical="center"/>
    </xf>
    <xf numFmtId="43" fontId="6"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Fill="1" applyBorder="1" applyAlignment="1">
      <alignment horizontal="right" vertical="center"/>
    </xf>
    <xf numFmtId="165" fontId="83" fillId="0" borderId="1" xfId="2"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1" fontId="32" fillId="0" borderId="0" xfId="0" applyNumberFormat="1" applyFont="1" applyAlignment="1">
      <alignment horizontal="center" vertical="center"/>
    </xf>
    <xf numFmtId="1" fontId="86" fillId="0" borderId="0" xfId="0" applyNumberFormat="1" applyFont="1" applyAlignment="1">
      <alignment horizontal="center" vertical="center"/>
    </xf>
    <xf numFmtId="1" fontId="87" fillId="0" borderId="0" xfId="0" applyNumberFormat="1" applyFont="1" applyAlignment="1">
      <alignment horizontal="center" vertical="center"/>
    </xf>
    <xf numFmtId="0" fontId="24" fillId="0" borderId="11" xfId="0" applyFont="1" applyBorder="1" applyAlignment="1">
      <alignment horizontal="right" vertical="center"/>
    </xf>
    <xf numFmtId="165" fontId="24" fillId="4" borderId="12" xfId="2" applyNumberFormat="1" applyFont="1" applyFill="1" applyBorder="1" applyAlignment="1">
      <alignment vertical="center"/>
    </xf>
    <xf numFmtId="0" fontId="24" fillId="0" borderId="12" xfId="0" applyFont="1" applyBorder="1" applyAlignment="1">
      <alignment vertical="center"/>
    </xf>
    <xf numFmtId="43" fontId="24" fillId="0" borderId="13" xfId="1" applyFont="1" applyFill="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right" vertical="center"/>
    </xf>
    <xf numFmtId="169" fontId="24" fillId="3" borderId="1" xfId="0" applyNumberFormat="1" applyFont="1" applyFill="1" applyBorder="1" applyAlignment="1">
      <alignment horizontal="center" vertical="center"/>
    </xf>
    <xf numFmtId="1" fontId="24" fillId="3" borderId="1" xfId="0" applyNumberFormat="1" applyFont="1" applyFill="1" applyBorder="1" applyAlignment="1">
      <alignment vertical="center"/>
    </xf>
    <xf numFmtId="0" fontId="24" fillId="0" borderId="15" xfId="0" applyFont="1" applyBorder="1" applyAlignment="1">
      <alignment vertical="center"/>
    </xf>
    <xf numFmtId="0" fontId="24" fillId="0" borderId="15" xfId="0" applyFont="1" applyBorder="1" applyAlignment="1">
      <alignment horizontal="right" vertical="center"/>
    </xf>
    <xf numFmtId="9" fontId="24" fillId="3" borderId="1" xfId="2" applyFont="1" applyFill="1" applyBorder="1" applyAlignment="1">
      <alignment vertical="center"/>
    </xf>
    <xf numFmtId="0" fontId="25" fillId="0" borderId="11" xfId="0" applyFont="1" applyBorder="1" applyAlignment="1">
      <alignment horizontal="right" vertical="center"/>
    </xf>
    <xf numFmtId="165" fontId="25" fillId="4" borderId="12" xfId="2" applyNumberFormat="1" applyFont="1" applyFill="1" applyBorder="1" applyAlignment="1">
      <alignment vertical="center"/>
    </xf>
    <xf numFmtId="0" fontId="25" fillId="0" borderId="12" xfId="0" applyFont="1" applyBorder="1" applyAlignment="1">
      <alignment vertical="center"/>
    </xf>
    <xf numFmtId="43" fontId="25" fillId="0" borderId="13" xfId="1" applyFont="1" applyFill="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right" vertical="center"/>
    </xf>
    <xf numFmtId="169" fontId="25" fillId="3" borderId="1" xfId="0" applyNumberFormat="1" applyFont="1" applyFill="1" applyBorder="1" applyAlignment="1">
      <alignment horizontal="center" vertical="center"/>
    </xf>
    <xf numFmtId="1" fontId="25" fillId="3" borderId="1" xfId="0" applyNumberFormat="1" applyFont="1" applyFill="1" applyBorder="1" applyAlignment="1">
      <alignment vertical="center"/>
    </xf>
    <xf numFmtId="0" fontId="25" fillId="0" borderId="15" xfId="0" applyFont="1" applyBorder="1" applyAlignment="1">
      <alignment vertical="center"/>
    </xf>
    <xf numFmtId="0" fontId="25" fillId="0" borderId="15" xfId="0" applyFont="1" applyBorder="1" applyAlignment="1">
      <alignment horizontal="right" vertical="center"/>
    </xf>
    <xf numFmtId="9" fontId="25" fillId="3" borderId="1" xfId="2" applyFont="1" applyFill="1" applyBorder="1" applyAlignment="1">
      <alignment vertical="center"/>
    </xf>
    <xf numFmtId="1" fontId="6" fillId="4" borderId="1" xfId="1" applyNumberFormat="1" applyFont="1" applyFill="1" applyBorder="1" applyAlignment="1">
      <alignment horizontal="center" vertical="center"/>
    </xf>
    <xf numFmtId="1" fontId="88" fillId="0" borderId="0" xfId="1" applyNumberFormat="1" applyFont="1" applyFill="1" applyBorder="1" applyAlignment="1">
      <alignment horizontal="center" vertical="center"/>
    </xf>
    <xf numFmtId="1" fontId="88" fillId="0" borderId="0" xfId="0" applyNumberFormat="1" applyFont="1" applyBorder="1" applyAlignment="1">
      <alignment horizontal="center" vertical="center"/>
    </xf>
    <xf numFmtId="1" fontId="88" fillId="0" borderId="15" xfId="1" applyNumberFormat="1" applyFont="1" applyFill="1" applyBorder="1" applyAlignment="1">
      <alignment horizontal="center" vertical="center"/>
    </xf>
    <xf numFmtId="1" fontId="88" fillId="0" borderId="15" xfId="0" applyNumberFormat="1" applyFont="1" applyBorder="1" applyAlignment="1">
      <alignment horizontal="center" vertical="center"/>
    </xf>
    <xf numFmtId="9" fontId="88" fillId="0" borderId="12" xfId="2" applyNumberFormat="1" applyFont="1" applyFill="1" applyBorder="1" applyAlignment="1">
      <alignment horizontal="center" vertical="center"/>
    </xf>
    <xf numFmtId="1" fontId="88" fillId="0" borderId="12" xfId="0" applyNumberFormat="1" applyFont="1" applyBorder="1" applyAlignment="1">
      <alignment horizontal="center" vertical="center"/>
    </xf>
    <xf numFmtId="165" fontId="88" fillId="0" borderId="0" xfId="2" applyNumberFormat="1" applyFont="1" applyFill="1" applyBorder="1" applyAlignment="1">
      <alignment horizontal="center" vertical="center"/>
    </xf>
    <xf numFmtId="169" fontId="88" fillId="0" borderId="0" xfId="0" applyNumberFormat="1" applyFont="1" applyBorder="1" applyAlignment="1">
      <alignment horizontal="center" vertical="center"/>
    </xf>
    <xf numFmtId="165" fontId="88" fillId="0" borderId="0" xfId="2" applyNumberFormat="1" applyFont="1" applyFill="1" applyBorder="1" applyAlignment="1">
      <alignment vertical="center"/>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2" fillId="0" borderId="0" xfId="0" applyFont="1"/>
    <xf numFmtId="0" fontId="89" fillId="0" borderId="0" xfId="0" applyFont="1" applyAlignment="1">
      <alignment horizontal="center"/>
    </xf>
    <xf numFmtId="0" fontId="89" fillId="0" borderId="0" xfId="0" applyFont="1" applyAlignment="1">
      <alignment horizontal="left"/>
    </xf>
    <xf numFmtId="1" fontId="24" fillId="4" borderId="0" xfId="1" applyNumberFormat="1" applyFont="1" applyFill="1" applyBorder="1" applyAlignment="1">
      <alignment horizontal="center" vertical="center"/>
    </xf>
    <xf numFmtId="0" fontId="6" fillId="0" borderId="0" xfId="0" applyFont="1" applyAlignment="1">
      <alignment horizontal="center"/>
    </xf>
    <xf numFmtId="0" fontId="90" fillId="0" borderId="0" xfId="0" applyFont="1" applyAlignment="1">
      <alignment horizontal="center"/>
    </xf>
    <xf numFmtId="0" fontId="90" fillId="0" borderId="0" xfId="0" applyFont="1" applyAlignment="1">
      <alignment horizontal="left"/>
    </xf>
    <xf numFmtId="0" fontId="28" fillId="3" borderId="22" xfId="0" applyFont="1" applyFill="1" applyBorder="1" applyAlignment="1">
      <alignment horizontal="center" vertical="center" wrapText="1"/>
    </xf>
    <xf numFmtId="2" fontId="28" fillId="3" borderId="2" xfId="1" applyNumberFormat="1" applyFont="1" applyFill="1" applyBorder="1" applyAlignment="1">
      <alignment horizontal="center" vertical="center"/>
    </xf>
    <xf numFmtId="2" fontId="28" fillId="3" borderId="1" xfId="1" applyNumberFormat="1" applyFont="1" applyFill="1" applyBorder="1" applyAlignment="1">
      <alignment horizontal="center" vertical="center"/>
    </xf>
    <xf numFmtId="0" fontId="92" fillId="3" borderId="1" xfId="0" applyFont="1" applyFill="1" applyBorder="1" applyAlignment="1">
      <alignment horizontal="center" vertical="center" wrapText="1"/>
    </xf>
    <xf numFmtId="0" fontId="94" fillId="3"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67" fillId="0" borderId="22"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1" xfId="0" applyFont="1" applyBorder="1" applyAlignment="1">
      <alignment horizontal="center" vertical="center" wrapText="1"/>
    </xf>
    <xf numFmtId="0" fontId="98" fillId="0" borderId="1" xfId="0" applyFont="1" applyBorder="1" applyAlignment="1">
      <alignment horizontal="center" vertical="center" wrapText="1"/>
    </xf>
    <xf numFmtId="2" fontId="88" fillId="0" borderId="1" xfId="1" applyNumberFormat="1" applyFont="1" applyBorder="1" applyAlignment="1">
      <alignment horizontal="center" vertical="center"/>
    </xf>
    <xf numFmtId="1" fontId="88" fillId="0" borderId="1" xfId="0" applyNumberFormat="1" applyFont="1" applyBorder="1" applyAlignment="1">
      <alignment horizontal="center" vertical="center"/>
    </xf>
    <xf numFmtId="168" fontId="88" fillId="0" borderId="1" xfId="0" applyNumberFormat="1" applyFont="1" applyBorder="1" applyAlignment="1">
      <alignment horizontal="center" vertical="center"/>
    </xf>
    <xf numFmtId="2" fontId="88" fillId="0" borderId="1" xfId="0" applyNumberFormat="1" applyFont="1" applyBorder="1" applyAlignment="1">
      <alignment horizontal="center" vertical="center"/>
    </xf>
    <xf numFmtId="43" fontId="88" fillId="0" borderId="1" xfId="1" applyFont="1" applyFill="1" applyBorder="1" applyAlignment="1">
      <alignment horizontal="center" vertical="center"/>
    </xf>
    <xf numFmtId="2" fontId="88" fillId="0" borderId="1" xfId="2" applyNumberFormat="1" applyFont="1" applyBorder="1" applyAlignment="1">
      <alignment horizontal="center" vertical="center"/>
    </xf>
    <xf numFmtId="43" fontId="88" fillId="0" borderId="0" xfId="1" applyFont="1" applyBorder="1" applyAlignment="1">
      <alignment vertical="center"/>
    </xf>
    <xf numFmtId="0" fontId="88" fillId="0" borderId="0" xfId="0" applyFont="1" applyBorder="1" applyAlignment="1">
      <alignment vertical="center"/>
    </xf>
    <xf numFmtId="43" fontId="88" fillId="0" borderId="0" xfId="1" applyFont="1" applyAlignment="1">
      <alignment vertical="center"/>
    </xf>
    <xf numFmtId="0" fontId="88" fillId="0" borderId="0" xfId="0" applyFont="1" applyAlignment="1">
      <alignment vertical="center"/>
    </xf>
    <xf numFmtId="0" fontId="101" fillId="0" borderId="0" xfId="0" applyFont="1" applyAlignment="1">
      <alignment vertical="center"/>
    </xf>
    <xf numFmtId="0" fontId="102" fillId="0" borderId="0" xfId="0" applyFont="1" applyAlignment="1">
      <alignment horizontal="center" vertical="center" wrapText="1"/>
    </xf>
    <xf numFmtId="2" fontId="88" fillId="0" borderId="0" xfId="0" applyNumberFormat="1" applyFont="1" applyAlignment="1">
      <alignment horizontal="center" vertical="center"/>
    </xf>
    <xf numFmtId="0" fontId="68" fillId="0" borderId="0" xfId="0" applyFont="1" applyBorder="1" applyAlignment="1">
      <alignment horizontal="right" vertical="center" textRotation="90" wrapText="1"/>
    </xf>
    <xf numFmtId="0" fontId="6" fillId="0" borderId="0" xfId="0" applyFont="1" applyBorder="1" applyAlignment="1">
      <alignment horizontal="left" vertical="center" wrapText="1"/>
    </xf>
    <xf numFmtId="0" fontId="107" fillId="0" borderId="0" xfId="0" applyFont="1" applyAlignment="1">
      <alignment vertical="center"/>
    </xf>
    <xf numFmtId="49" fontId="109" fillId="3" borderId="1" xfId="1" applyNumberFormat="1" applyFont="1" applyFill="1" applyBorder="1" applyAlignment="1">
      <alignment horizontal="center" vertical="center" wrapText="1"/>
    </xf>
    <xf numFmtId="0" fontId="43" fillId="5" borderId="16" xfId="0" applyFont="1" applyFill="1" applyBorder="1" applyAlignment="1">
      <alignment horizontal="left" vertical="center"/>
    </xf>
    <xf numFmtId="0" fontId="43" fillId="5" borderId="17" xfId="0" applyFont="1" applyFill="1" applyBorder="1" applyAlignment="1">
      <alignment horizontal="left" vertical="center"/>
    </xf>
    <xf numFmtId="0" fontId="43" fillId="5" borderId="18" xfId="0" applyFont="1" applyFill="1" applyBorder="1" applyAlignment="1">
      <alignment horizontal="left" vertical="center"/>
    </xf>
    <xf numFmtId="0" fontId="103" fillId="0" borderId="11" xfId="0" applyFont="1" applyBorder="1" applyAlignment="1">
      <alignment horizontal="left" vertical="center" wrapText="1"/>
    </xf>
    <xf numFmtId="0" fontId="103" fillId="0" borderId="12" xfId="0" applyFont="1" applyBorder="1" applyAlignment="1">
      <alignment horizontal="left" vertical="center" wrapText="1"/>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0" xfId="0" applyFont="1" applyBorder="1" applyAlignment="1">
      <alignment horizontal="left" vertical="center" wrapText="1"/>
    </xf>
    <xf numFmtId="0" fontId="103" fillId="0" borderId="19" xfId="0" applyFont="1" applyBorder="1" applyAlignment="1">
      <alignment horizontal="left" vertical="center" wrapText="1"/>
    </xf>
    <xf numFmtId="0" fontId="84" fillId="5" borderId="5" xfId="0" applyFont="1" applyFill="1" applyBorder="1" applyAlignment="1">
      <alignment horizontal="center" vertical="center" wrapText="1"/>
    </xf>
    <xf numFmtId="0" fontId="84" fillId="5" borderId="9" xfId="0" applyFont="1" applyFill="1" applyBorder="1" applyAlignment="1">
      <alignment horizontal="center" vertical="center" wrapText="1"/>
    </xf>
    <xf numFmtId="0" fontId="84" fillId="5" borderId="2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3" fillId="0" borderId="14" xfId="0" applyFont="1" applyBorder="1" applyAlignment="1">
      <alignment horizontal="left" vertical="center" wrapText="1"/>
    </xf>
    <xf numFmtId="0" fontId="103" fillId="0" borderId="15" xfId="0" applyFont="1" applyBorder="1" applyAlignment="1">
      <alignment horizontal="left" vertical="center" wrapText="1"/>
    </xf>
    <xf numFmtId="0" fontId="103" fillId="0" borderId="21"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3" fillId="2" borderId="10"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43" fillId="0" borderId="16"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3" fillId="0" borderId="16" xfId="0" applyFont="1" applyBorder="1" applyAlignment="1">
      <alignment horizontal="center" vertical="center" wrapText="1"/>
    </xf>
    <xf numFmtId="0" fontId="73" fillId="0" borderId="1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2"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43" fillId="5" borderId="16" xfId="0" applyFont="1" applyFill="1" applyBorder="1" applyAlignment="1">
      <alignment horizontal="left" vertical="center" wrapText="1"/>
    </xf>
    <xf numFmtId="0" fontId="43" fillId="5" borderId="17" xfId="0" applyFont="1" applyFill="1" applyBorder="1" applyAlignment="1">
      <alignment horizontal="left" vertical="center" wrapText="1"/>
    </xf>
    <xf numFmtId="0" fontId="43" fillId="5" borderId="18"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43" fontId="6" fillId="0" borderId="11" xfId="1" applyFont="1" applyBorder="1" applyAlignment="1">
      <alignment horizontal="left" vertical="center" wrapText="1"/>
    </xf>
    <xf numFmtId="43" fontId="6" fillId="0" borderId="12" xfId="1" applyFont="1" applyBorder="1" applyAlignment="1">
      <alignment horizontal="left" vertical="center" wrapText="1"/>
    </xf>
    <xf numFmtId="43" fontId="6" fillId="0" borderId="20" xfId="1" applyFont="1" applyBorder="1" applyAlignment="1">
      <alignment horizontal="left" vertical="center" wrapText="1"/>
    </xf>
    <xf numFmtId="43" fontId="6" fillId="0" borderId="13" xfId="1" applyFont="1" applyBorder="1" applyAlignment="1">
      <alignment horizontal="left" vertical="center" wrapText="1"/>
    </xf>
    <xf numFmtId="43" fontId="6" fillId="0" borderId="0" xfId="1" applyFont="1" applyBorder="1" applyAlignment="1">
      <alignment horizontal="left" vertical="center" wrapText="1"/>
    </xf>
    <xf numFmtId="43" fontId="6" fillId="0" borderId="19" xfId="1" applyFont="1" applyBorder="1" applyAlignment="1">
      <alignment horizontal="left" vertical="center" wrapText="1"/>
    </xf>
    <xf numFmtId="43" fontId="6" fillId="0" borderId="14" xfId="1" applyFont="1" applyBorder="1" applyAlignment="1">
      <alignment horizontal="left" vertical="center" wrapText="1"/>
    </xf>
    <xf numFmtId="43" fontId="6" fillId="0" borderId="15" xfId="1" applyFont="1" applyBorder="1" applyAlignment="1">
      <alignment horizontal="left" vertical="center" wrapText="1"/>
    </xf>
    <xf numFmtId="43" fontId="6" fillId="0" borderId="21" xfId="1" applyFont="1" applyBorder="1" applyAlignment="1">
      <alignment horizontal="left" vertical="center" wrapText="1"/>
    </xf>
    <xf numFmtId="0" fontId="38" fillId="0" borderId="1" xfId="0" applyFont="1" applyBorder="1" applyAlignment="1">
      <alignment horizontal="left" vertical="center" wrapText="1"/>
    </xf>
    <xf numFmtId="0" fontId="74" fillId="0" borderId="1" xfId="0" applyFont="1" applyBorder="1" applyAlignment="1">
      <alignment horizontal="left" vertical="center" wrapText="1"/>
    </xf>
    <xf numFmtId="0" fontId="28" fillId="0" borderId="1" xfId="0" applyFont="1" applyBorder="1" applyAlignment="1">
      <alignment horizontal="center" vertical="center" wrapText="1"/>
    </xf>
    <xf numFmtId="0" fontId="43" fillId="0" borderId="16" xfId="0" applyFont="1" applyFill="1" applyBorder="1" applyAlignment="1">
      <alignment vertical="center" wrapText="1"/>
    </xf>
    <xf numFmtId="0" fontId="43" fillId="0" borderId="17" xfId="0" applyFont="1" applyFill="1" applyBorder="1" applyAlignment="1">
      <alignment vertical="center" wrapText="1"/>
    </xf>
    <xf numFmtId="0" fontId="43" fillId="0" borderId="18" xfId="0" applyFont="1" applyFill="1" applyBorder="1" applyAlignment="1">
      <alignment vertical="center" wrapText="1"/>
    </xf>
    <xf numFmtId="0" fontId="21" fillId="0" borderId="0" xfId="0" applyFont="1" applyAlignment="1">
      <alignment horizontal="center" vertical="center"/>
    </xf>
    <xf numFmtId="0" fontId="23" fillId="0" borderId="0" xfId="0" applyFont="1" applyAlignment="1">
      <alignment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8000"/>
      <color rgb="FFCCFFFF"/>
      <color rgb="FFFFFF99"/>
      <color rgb="FFFF9933"/>
      <color rgb="FF996633"/>
      <color rgb="FF996600"/>
      <color rgb="FF0000FF"/>
      <color rgb="FF663300"/>
      <color rgb="FF99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fs-3.1.a [SG, Cohortes</a:t>
            </a:r>
            <a:r>
              <a:rPr lang="es-ES" sz="1100" b="1" baseline="0">
                <a:solidFill>
                  <a:sysClr val="windowText" lastClr="000000"/>
                </a:solidFill>
              </a:rPr>
              <a:t> Completas </a:t>
            </a:r>
            <a:r>
              <a:rPr lang="es-ES" sz="1100" b="1">
                <a:solidFill>
                  <a:sysClr val="windowText" lastClr="000000"/>
                </a:solidFill>
              </a:rPr>
              <a:t>Grupo B vs A]: </a:t>
            </a:r>
            <a:r>
              <a:rPr lang="es-ES" sz="1100" b="1" i="1">
                <a:solidFill>
                  <a:schemeClr val="accent4">
                    <a:lumMod val="75000"/>
                  </a:schemeClr>
                </a:solidFill>
              </a:rPr>
              <a:t>% Supervivencia libre de evento K-M</a:t>
            </a:r>
          </a:p>
        </c:rich>
      </c:tx>
      <c:layout>
        <c:manualLayout>
          <c:xMode val="edge"/>
          <c:yMode val="edge"/>
          <c:x val="0.20403260997466113"/>
          <c:y val="1.163414551476208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0198568544334054"/>
          <c:y val="0.13667617043015498"/>
          <c:w val="0.87566220775569004"/>
          <c:h val="0.60818762914741265"/>
        </c:manualLayout>
      </c:layout>
      <c:scatterChart>
        <c:scatterStyle val="lineMarker"/>
        <c:varyColors val="0"/>
        <c:ser>
          <c:idx val="0"/>
          <c:order val="0"/>
          <c:tx>
            <c:strRef>
              <c:f>'3.1 SG, B vs A, CC'!$N$48</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dLbl>
              <c:idx val="4"/>
              <c:layout>
                <c:manualLayout>
                  <c:x val="-3.140174943903927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0B-45A6-BB5B-CA7C9566C1CC}"/>
                </c:ext>
              </c:extLst>
            </c:dLbl>
            <c:dLbl>
              <c:idx val="5"/>
              <c:layout>
                <c:manualLayout>
                  <c:x val="-3.3442483126185474E-2"/>
                  <c:y val="3.521882200146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0B-45A6-BB5B-CA7C9566C1CC}"/>
                </c:ext>
              </c:extLst>
            </c:dLbl>
            <c:dLbl>
              <c:idx val="6"/>
              <c:layout>
                <c:manualLayout>
                  <c:x val="-3.7523950500477889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0B-45A6-BB5B-CA7C9566C1CC}"/>
                </c:ext>
              </c:extLst>
            </c:dLbl>
            <c:dLbl>
              <c:idx val="7"/>
              <c:layout>
                <c:manualLayout>
                  <c:x val="-3.3442483126185474E-2"/>
                  <c:y val="3.52188220014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0B-45A6-BB5B-CA7C9566C1CC}"/>
                </c:ext>
              </c:extLst>
            </c:dLbl>
            <c:dLbl>
              <c:idx val="8"/>
              <c:layout>
                <c:manualLayout>
                  <c:x val="-3.5483216813331678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0B-45A6-BB5B-CA7C9566C1CC}"/>
                </c:ext>
              </c:extLst>
            </c:dLbl>
            <c:dLbl>
              <c:idx val="9"/>
              <c:layout>
                <c:manualLayout>
                  <c:x val="-3.3442483126185626E-2"/>
                  <c:y val="2.728890498460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0B-45A6-BB5B-CA7C9566C1CC}"/>
                </c:ext>
              </c:extLst>
            </c:dLbl>
            <c:dLbl>
              <c:idx val="10"/>
              <c:layout>
                <c:manualLayout>
                  <c:x val="-3.7523950500478034E-2"/>
                  <c:y val="3.1253863493034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0B-45A6-BB5B-CA7C9566C1C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CC'!$N$49:$N$58</c:f>
              <c:numCache>
                <c:formatCode>0.0%</c:formatCode>
                <c:ptCount val="10"/>
                <c:pt idx="0">
                  <c:v>1</c:v>
                </c:pt>
                <c:pt idx="1">
                  <c:v>0.75415282392026572</c:v>
                </c:pt>
                <c:pt idx="2">
                  <c:v>0.5739570164348925</c:v>
                </c:pt>
                <c:pt idx="3">
                  <c:v>0.4171199247346602</c:v>
                </c:pt>
                <c:pt idx="4">
                  <c:v>0.3303589803898509</c:v>
                </c:pt>
                <c:pt idx="5">
                  <c:v>0.26028283303442795</c:v>
                </c:pt>
                <c:pt idx="6">
                  <c:v>0.22557845529650422</c:v>
                </c:pt>
                <c:pt idx="7">
                  <c:v>0.21086681690760178</c:v>
                </c:pt>
                <c:pt idx="8">
                  <c:v>0.20128196159361988</c:v>
                </c:pt>
                <c:pt idx="9">
                  <c:v>0.18579873377872605</c:v>
                </c:pt>
              </c:numCache>
            </c:numRef>
          </c:yVal>
          <c:smooth val="0"/>
          <c:extLst>
            <c:ext xmlns:c16="http://schemas.microsoft.com/office/drawing/2014/chart" uri="{C3380CC4-5D6E-409C-BE32-E72D297353CC}">
              <c16:uniqueId val="{00000000-36BB-424E-976B-2C25C7B310C4}"/>
            </c:ext>
          </c:extLst>
        </c:ser>
        <c:ser>
          <c:idx val="1"/>
          <c:order val="1"/>
          <c:tx>
            <c:strRef>
              <c:f>'3.1 SG, B vs A, CC'!$O$48</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CC'!$O$49:$O$58</c:f>
              <c:numCache>
                <c:formatCode>0.0%</c:formatCode>
                <c:ptCount val="10"/>
                <c:pt idx="0">
                  <c:v>1</c:v>
                </c:pt>
                <c:pt idx="1">
                  <c:v>0.80782918149466187</c:v>
                </c:pt>
                <c:pt idx="2">
                  <c:v>0.60142348754448394</c:v>
                </c:pt>
                <c:pt idx="3">
                  <c:v>0.43772241992882555</c:v>
                </c:pt>
                <c:pt idx="4">
                  <c:v>0.33726153666647213</c:v>
                </c:pt>
                <c:pt idx="5">
                  <c:v>0.27985531765941302</c:v>
                </c:pt>
                <c:pt idx="6">
                  <c:v>0.25804840978984833</c:v>
                </c:pt>
                <c:pt idx="7">
                  <c:v>0.23928125271422299</c:v>
                </c:pt>
                <c:pt idx="8">
                  <c:v>0.23103017503442219</c:v>
                </c:pt>
                <c:pt idx="9">
                  <c:v>0.23103017503442219</c:v>
                </c:pt>
              </c:numCache>
            </c:numRef>
          </c:yVal>
          <c:smooth val="0"/>
          <c:extLst>
            <c:ext xmlns:c16="http://schemas.microsoft.com/office/drawing/2014/chart" uri="{C3380CC4-5D6E-409C-BE32-E72D297353CC}">
              <c16:uniqueId val="{00000001-36BB-424E-976B-2C25C7B310C4}"/>
            </c:ext>
          </c:extLst>
        </c:ser>
        <c:dLbls>
          <c:showLegendKey val="0"/>
          <c:showVal val="0"/>
          <c:showCatName val="0"/>
          <c:showSerName val="0"/>
          <c:showPercent val="0"/>
          <c:showBubbleSize val="0"/>
        </c:dLbls>
        <c:axId val="997299455"/>
        <c:axId val="945237055"/>
      </c:scatterChart>
      <c:valAx>
        <c:axId val="997299455"/>
        <c:scaling>
          <c:orientation val="minMax"/>
          <c:max val="5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0.10371164384429041"/>
              <c:y val="0.8915637592363603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45237055"/>
        <c:crosses val="autoZero"/>
        <c:crossBetween val="midCat"/>
        <c:majorUnit val="5"/>
      </c:valAx>
      <c:valAx>
        <c:axId val="94523705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1.0976866052800918E-2"/>
              <c:y val="0.16971317403612932"/>
            </c:manualLayout>
          </c:layout>
          <c:overlay val="0"/>
          <c:spPr>
            <a:noFill/>
            <a:ln>
              <a:noFill/>
            </a:ln>
            <a:effectLst/>
          </c:spPr>
          <c:txPr>
            <a:bodyPr rot="-5400000" spcFirstLastPara="1" vertOverflow="ellipsis" vert="horz"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997299455"/>
        <c:crosses val="autoZero"/>
        <c:crossBetween val="midCat"/>
      </c:valAx>
      <c:spPr>
        <a:noFill/>
        <a:ln>
          <a:noFill/>
        </a:ln>
        <a:effectLst/>
      </c:spPr>
    </c:plotArea>
    <c:legend>
      <c:legendPos val="b"/>
      <c:layout>
        <c:manualLayout>
          <c:xMode val="edge"/>
          <c:yMode val="edge"/>
          <c:x val="0.24457135448507347"/>
          <c:y val="0.93423623424716806"/>
          <c:w val="0.75542865806080217"/>
          <c:h val="4.8126220339915551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fs-3.3.b [SG, solo Subgr CPS &gt; 20% del Grupo de Interv B]: </a:t>
            </a:r>
            <a:r>
              <a:rPr lang="es-ES" sz="1100" b="1" i="1" baseline="0">
                <a:solidFill>
                  <a:schemeClr val="accent4">
                    <a:lumMod val="75000"/>
                  </a:schemeClr>
                </a:solidFill>
              </a:rPr>
              <a:t>% Supervivencia-LEv K-M</a:t>
            </a:r>
            <a:r>
              <a:rPr lang="es-ES" sz="1100" b="1" baseline="0">
                <a:solidFill>
                  <a:sysClr val="windowText" lastClr="000000"/>
                </a:solidFill>
              </a:rPr>
              <a:t> vs </a:t>
            </a:r>
            <a:r>
              <a:rPr lang="es-ES" sz="1100" b="1" baseline="0">
                <a:solidFill>
                  <a:srgbClr val="008000"/>
                </a:solidFill>
              </a:rPr>
              <a:t>% Supervivientes-LEv</a:t>
            </a:r>
            <a:endParaRPr lang="es-ES" sz="1100" b="1">
              <a:solidFill>
                <a:srgbClr val="008000"/>
              </a:solidFill>
            </a:endParaRPr>
          </a:p>
        </c:rich>
      </c:tx>
      <c:layout>
        <c:manualLayout>
          <c:xMode val="edge"/>
          <c:yMode val="edge"/>
          <c:x val="0.29028632453480946"/>
          <c:y val="2.120628707969389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1049298028247206"/>
          <c:y val="0.14775177644496459"/>
          <c:w val="0.8256600808736595"/>
          <c:h val="0.70172300753715944"/>
        </c:manualLayout>
      </c:layout>
      <c:scatterChart>
        <c:scatterStyle val="lineMarker"/>
        <c:varyColors val="0"/>
        <c:ser>
          <c:idx val="0"/>
          <c:order val="0"/>
          <c:tx>
            <c:strRef>
              <c:f>'3.3 SG, B vs A,+20'!$Y$82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035957411131755E-2"/>
                  <c:y val="3.0958942321698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02-4F1C-93B6-C3671FDD2FC9}"/>
                </c:ext>
              </c:extLst>
            </c:dLbl>
            <c:dLbl>
              <c:idx val="9"/>
              <c:layout>
                <c:manualLayout>
                  <c:x val="-6.3328791724372974E-2"/>
                  <c:y val="1.13212226846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02-4F1C-93B6-C3671FDD2FC9}"/>
                </c:ext>
              </c:extLst>
            </c:dLbl>
            <c:dLbl>
              <c:idx val="10"/>
              <c:layout>
                <c:manualLayout>
                  <c:x val="-5.8141104679150839E-2"/>
                  <c:y val="1.13212226846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02-4F1C-93B6-C3671FDD2FC9}"/>
                </c:ext>
              </c:extLst>
            </c:dLbl>
            <c:dLbl>
              <c:idx val="13"/>
              <c:layout>
                <c:manualLayout>
                  <c:x val="-4.7694246712099E-2"/>
                  <c:y val="2.82559644675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BF-4F70-95EE-599070DC64B3}"/>
                </c:ext>
              </c:extLst>
            </c:dLbl>
            <c:dLbl>
              <c:idx val="14"/>
              <c:layout>
                <c:manualLayout>
                  <c:x val="-4.250655966687706E-2"/>
                  <c:y val="2.108669230669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BF-4F70-95EE-599070DC64B3}"/>
                </c:ext>
              </c:extLst>
            </c:dLbl>
            <c:dLbl>
              <c:idx val="15"/>
              <c:layout>
                <c:manualLayout>
                  <c:x val="-4.5100403189488124E-2"/>
                  <c:y val="1.7502056226287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BF-4F70-95EE-599070DC64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A,+20'!$Y$83:$Y$92</c:f>
              <c:numCache>
                <c:formatCode>0.00%</c:formatCode>
                <c:ptCount val="10"/>
                <c:pt idx="0">
                  <c:v>1</c:v>
                </c:pt>
                <c:pt idx="1">
                  <c:v>0.80952380952380953</c:v>
                </c:pt>
                <c:pt idx="2">
                  <c:v>0.61111111111111116</c:v>
                </c:pt>
                <c:pt idx="3">
                  <c:v>0.47619047619047616</c:v>
                </c:pt>
                <c:pt idx="4">
                  <c:v>0.3968253968253968</c:v>
                </c:pt>
                <c:pt idx="5">
                  <c:v>0.34920634920634919</c:v>
                </c:pt>
                <c:pt idx="6">
                  <c:v>0.2857142857142857</c:v>
                </c:pt>
                <c:pt idx="7">
                  <c:v>0.16666666666666666</c:v>
                </c:pt>
                <c:pt idx="8">
                  <c:v>3.1746031746031744E-2</c:v>
                </c:pt>
                <c:pt idx="9">
                  <c:v>0</c:v>
                </c:pt>
              </c:numCache>
            </c:numRef>
          </c:yVal>
          <c:smooth val="0"/>
          <c:extLst>
            <c:ext xmlns:c16="http://schemas.microsoft.com/office/drawing/2014/chart" uri="{C3380CC4-5D6E-409C-BE32-E72D297353CC}">
              <c16:uniqueId val="{00000000-DE74-4A87-9C19-AADBB68A8004}"/>
            </c:ext>
          </c:extLst>
        </c:ser>
        <c:ser>
          <c:idx val="1"/>
          <c:order val="1"/>
          <c:tx>
            <c:strRef>
              <c:f>'3.3 SG, B vs A,+20'!$Z$82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A,+20'!$Z$83:$Z$92</c:f>
              <c:numCache>
                <c:formatCode>0.00%</c:formatCode>
                <c:ptCount val="10"/>
                <c:pt idx="0">
                  <c:v>1</c:v>
                </c:pt>
                <c:pt idx="1">
                  <c:v>0.80952380952380953</c:v>
                </c:pt>
                <c:pt idx="2">
                  <c:v>0.61111111111111116</c:v>
                </c:pt>
                <c:pt idx="3">
                  <c:v>0.48412698412698413</c:v>
                </c:pt>
                <c:pt idx="4">
                  <c:v>0.40343915343915343</c:v>
                </c:pt>
                <c:pt idx="5">
                  <c:v>0.35502645502645502</c:v>
                </c:pt>
                <c:pt idx="6">
                  <c:v>0.34695767195767196</c:v>
                </c:pt>
                <c:pt idx="7">
                  <c:v>0.33731995884773663</c:v>
                </c:pt>
                <c:pt idx="8">
                  <c:v>0.32125710366451105</c:v>
                </c:pt>
                <c:pt idx="9">
                  <c:v>0.32125710366451105</c:v>
                </c:pt>
              </c:numCache>
            </c:numRef>
          </c:yVal>
          <c:smooth val="0"/>
          <c:extLst>
            <c:ext xmlns:c16="http://schemas.microsoft.com/office/drawing/2014/chart" uri="{C3380CC4-5D6E-409C-BE32-E72D297353CC}">
              <c16:uniqueId val="{00000001-DE74-4A87-9C19-AADBB68A8004}"/>
            </c:ext>
          </c:extLst>
        </c:ser>
        <c:dLbls>
          <c:showLegendKey val="0"/>
          <c:showVal val="0"/>
          <c:showCatName val="0"/>
          <c:showSerName val="0"/>
          <c:showPercent val="0"/>
          <c:showBubbleSize val="0"/>
        </c:dLbls>
        <c:axId val="1511799983"/>
        <c:axId val="1207641567"/>
      </c:scatterChart>
      <c:valAx>
        <c:axId val="1511799983"/>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0.11923919024401479"/>
              <c:y val="0.8979709946819900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207641567"/>
        <c:crosses val="autoZero"/>
        <c:crossBetween val="midCat"/>
        <c:majorUnit val="5"/>
      </c:valAx>
      <c:valAx>
        <c:axId val="120764156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ysClr val="windowText" lastClr="000000"/>
                    </a:solidFill>
                  </a:rPr>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6.193580287743969E-3"/>
              <c:y val="0.1752816512183596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511799983"/>
        <c:crosses val="autoZero"/>
        <c:crossBetween val="midCat"/>
      </c:valAx>
      <c:spPr>
        <a:noFill/>
        <a:ln>
          <a:noFill/>
        </a:ln>
        <a:effectLst/>
      </c:spPr>
    </c:plotArea>
    <c:legend>
      <c:legendPos val="b"/>
      <c:layout>
        <c:manualLayout>
          <c:xMode val="edge"/>
          <c:yMode val="edge"/>
          <c:x val="0.2236563733982613"/>
          <c:y val="0.94348150331918357"/>
          <c:w val="0.77250817022966045"/>
          <c:h val="4.30816028445267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fs-3.3.b</a:t>
            </a:r>
            <a:r>
              <a:rPr lang="es-ES" sz="1100" b="1" baseline="0">
                <a:solidFill>
                  <a:sysClr val="windowText" lastClr="000000"/>
                </a:solidFill>
              </a:rPr>
              <a:t> [SG, solo Subgr CPS &gt; 20% del Grupo de Interv A]: </a:t>
            </a:r>
            <a:r>
              <a:rPr lang="es-ES" sz="1100" b="1" i="1" baseline="0">
                <a:solidFill>
                  <a:schemeClr val="accent4">
                    <a:lumMod val="75000"/>
                  </a:schemeClr>
                </a:solidFill>
              </a:rPr>
              <a:t>% Supervivencia-LEv K-M </a:t>
            </a:r>
            <a:r>
              <a:rPr lang="es-ES" sz="1100" b="1" baseline="0">
                <a:solidFill>
                  <a:sysClr val="windowText" lastClr="000000"/>
                </a:solidFill>
              </a:rPr>
              <a:t>vs</a:t>
            </a:r>
            <a:r>
              <a:rPr lang="es-ES" sz="1100" b="1" baseline="0">
                <a:solidFill>
                  <a:srgbClr val="008000"/>
                </a:solidFill>
              </a:rPr>
              <a:t> % Supervivientes-LEv</a:t>
            </a:r>
            <a:endParaRPr lang="es-ES" sz="1100" b="1">
              <a:solidFill>
                <a:srgbClr val="008000"/>
              </a:solidFill>
            </a:endParaRPr>
          </a:p>
        </c:rich>
      </c:tx>
      <c:layout>
        <c:manualLayout>
          <c:xMode val="edge"/>
          <c:yMode val="edge"/>
          <c:x val="0.30164339413318952"/>
          <c:y val="2.14401536938261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9.4681872910423473E-2"/>
          <c:y val="0.15574198422076738"/>
          <c:w val="0.86225964148075773"/>
          <c:h val="0.7137885792634322"/>
        </c:manualLayout>
      </c:layout>
      <c:scatterChart>
        <c:scatterStyle val="lineMarker"/>
        <c:varyColors val="0"/>
        <c:ser>
          <c:idx val="0"/>
          <c:order val="0"/>
          <c:tx>
            <c:strRef>
              <c:f>'3.3 SG, B vs A,+20'!$Y$100</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5.2002312987852094E-2"/>
                  <c:y val="3.1146530068467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6-452E-985E-D73DF5A270A9}"/>
                </c:ext>
              </c:extLst>
            </c:dLbl>
            <c:dLbl>
              <c:idx val="8"/>
              <c:layout>
                <c:manualLayout>
                  <c:x val="-5.2002312987852004E-2"/>
                  <c:y val="2.3243846329514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A6-452E-985E-D73DF5A270A9}"/>
                </c:ext>
              </c:extLst>
            </c:dLbl>
            <c:dLbl>
              <c:idx val="9"/>
              <c:layout>
                <c:manualLayout>
                  <c:x val="-5.7096823171757891E-2"/>
                  <c:y val="1.929250446003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A6-452E-985E-D73DF5A270A9}"/>
                </c:ext>
              </c:extLst>
            </c:dLbl>
            <c:dLbl>
              <c:idx val="10"/>
              <c:layout>
                <c:manualLayout>
                  <c:x val="-5.4549568079804898E-2"/>
                  <c:y val="1.5341162590561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A6-452E-985E-D73DF5A270A9}"/>
                </c:ext>
              </c:extLst>
            </c:dLbl>
            <c:dLbl>
              <c:idx val="12"/>
              <c:layout>
                <c:manualLayout>
                  <c:x val="-4.1764645680194182E-2"/>
                  <c:y val="2.1007976833522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44-4E36-8646-1DC0051EBBCB}"/>
                </c:ext>
              </c:extLst>
            </c:dLbl>
            <c:dLbl>
              <c:idx val="13"/>
              <c:layout>
                <c:manualLayout>
                  <c:x val="-4.1764645680194092E-2"/>
                  <c:y val="1.743672200424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44-4E36-8646-1DC0051EBBCB}"/>
                </c:ext>
              </c:extLst>
            </c:dLbl>
            <c:dLbl>
              <c:idx val="14"/>
              <c:layout>
                <c:manualLayout>
                  <c:x val="-4.1764645680194001E-2"/>
                  <c:y val="2.1007976833523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44-4E36-8646-1DC0051EBBCB}"/>
                </c:ext>
              </c:extLst>
            </c:dLbl>
            <c:dLbl>
              <c:idx val="15"/>
              <c:layout>
                <c:manualLayout>
                  <c:x val="-4.1764645680194092E-2"/>
                  <c:y val="1.7436722004244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44-4E36-8646-1DC0051EBBC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A,+20'!$Y$101:$Y$110</c:f>
              <c:numCache>
                <c:formatCode>0.0%</c:formatCode>
                <c:ptCount val="10"/>
                <c:pt idx="0">
                  <c:v>1</c:v>
                </c:pt>
                <c:pt idx="1">
                  <c:v>0.80451127819548873</c:v>
                </c:pt>
                <c:pt idx="2">
                  <c:v>0.63909774436090228</c:v>
                </c:pt>
                <c:pt idx="3">
                  <c:v>0.48872180451127817</c:v>
                </c:pt>
                <c:pt idx="4">
                  <c:v>0.42857142857142855</c:v>
                </c:pt>
                <c:pt idx="5">
                  <c:v>0.33834586466165412</c:v>
                </c:pt>
                <c:pt idx="6">
                  <c:v>0.21804511278195488</c:v>
                </c:pt>
                <c:pt idx="7">
                  <c:v>0.11278195488721804</c:v>
                </c:pt>
                <c:pt idx="8">
                  <c:v>6.7669172932330823E-2</c:v>
                </c:pt>
                <c:pt idx="9">
                  <c:v>7.5187969924812026E-3</c:v>
                </c:pt>
              </c:numCache>
            </c:numRef>
          </c:yVal>
          <c:smooth val="0"/>
          <c:extLst>
            <c:ext xmlns:c16="http://schemas.microsoft.com/office/drawing/2014/chart" uri="{C3380CC4-5D6E-409C-BE32-E72D297353CC}">
              <c16:uniqueId val="{00000000-66A1-4EC2-B393-621B607A930F}"/>
            </c:ext>
          </c:extLst>
        </c:ser>
        <c:ser>
          <c:idx val="1"/>
          <c:order val="1"/>
          <c:tx>
            <c:strRef>
              <c:f>'3.3 SG, B vs A,+20'!$Z$100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A,+20'!$Z$101:$Z$110</c:f>
              <c:numCache>
                <c:formatCode>0.0%</c:formatCode>
                <c:ptCount val="10"/>
                <c:pt idx="0">
                  <c:v>1</c:v>
                </c:pt>
                <c:pt idx="1">
                  <c:v>0.80451127819548873</c:v>
                </c:pt>
                <c:pt idx="2">
                  <c:v>0.63909774436090228</c:v>
                </c:pt>
                <c:pt idx="3">
                  <c:v>0.48872180451127817</c:v>
                </c:pt>
                <c:pt idx="4">
                  <c:v>0.42857142857142855</c:v>
                </c:pt>
                <c:pt idx="5">
                  <c:v>0.34586466165413537</c:v>
                </c:pt>
                <c:pt idx="6">
                  <c:v>0.29974937343358399</c:v>
                </c:pt>
                <c:pt idx="7">
                  <c:v>0.29974937343358399</c:v>
                </c:pt>
                <c:pt idx="8">
                  <c:v>0.29974937343358399</c:v>
                </c:pt>
                <c:pt idx="9">
                  <c:v>0.26644388749651909</c:v>
                </c:pt>
              </c:numCache>
            </c:numRef>
          </c:yVal>
          <c:smooth val="0"/>
          <c:extLst>
            <c:ext xmlns:c16="http://schemas.microsoft.com/office/drawing/2014/chart" uri="{C3380CC4-5D6E-409C-BE32-E72D297353CC}">
              <c16:uniqueId val="{00000001-66A1-4EC2-B393-621B607A930F}"/>
            </c:ext>
          </c:extLst>
        </c:ser>
        <c:dLbls>
          <c:showLegendKey val="0"/>
          <c:showVal val="0"/>
          <c:showCatName val="0"/>
          <c:showSerName val="0"/>
          <c:showPercent val="0"/>
          <c:showBubbleSize val="0"/>
        </c:dLbls>
        <c:axId val="1522107071"/>
        <c:axId val="1470640607"/>
      </c:scatterChart>
      <c:valAx>
        <c:axId val="1522107071"/>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8.2633310646471558E-2"/>
              <c:y val="0.9105287192546930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470640607"/>
        <c:crosses val="autoZero"/>
        <c:crossBetween val="midCat"/>
        <c:majorUnit val="5"/>
      </c:valAx>
      <c:valAx>
        <c:axId val="147064060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solidFill>
                      <a:schemeClr val="tx1"/>
                    </a:solidFill>
                  </a:rPr>
                  <a:t> vs % </a:t>
                </a:r>
                <a:r>
                  <a:rPr lang="es-ES" sz="900" i="1" baseline="0">
                    <a:solidFill>
                      <a:schemeClr val="accent4">
                        <a:lumMod val="75000"/>
                      </a:schemeClr>
                    </a:solidFill>
                  </a:rPr>
                  <a:t>supervivencia-LEv K-M</a:t>
                </a:r>
                <a:endParaRPr lang="es-ES" sz="900" i="1">
                  <a:solidFill>
                    <a:schemeClr val="accent4">
                      <a:lumMod val="75000"/>
                    </a:schemeClr>
                  </a:solidFill>
                </a:endParaRPr>
              </a:p>
            </c:rich>
          </c:tx>
          <c:layout>
            <c:manualLayout>
              <c:xMode val="edge"/>
              <c:yMode val="edge"/>
              <c:x val="6.9648598977951207E-3"/>
              <c:y val="0.185724909322499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es-ES"/>
          </a:p>
        </c:txPr>
        <c:crossAx val="1522107071"/>
        <c:crosses val="autoZero"/>
        <c:crossBetween val="midCat"/>
      </c:valAx>
      <c:spPr>
        <a:noFill/>
        <a:ln>
          <a:noFill/>
        </a:ln>
        <a:effectLst/>
      </c:spPr>
    </c:plotArea>
    <c:legend>
      <c:legendPos val="b"/>
      <c:layout>
        <c:manualLayout>
          <c:xMode val="edge"/>
          <c:yMode val="edge"/>
          <c:x val="0.28302898288581951"/>
          <c:y val="0.94957813837833538"/>
          <c:w val="0.71308001370058072"/>
          <c:h val="4.31051284109004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a:t>
            </a:r>
            <a:r>
              <a:rPr lang="en-US" sz="1100" baseline="0">
                <a:solidFill>
                  <a:schemeClr val="accent4">
                    <a:lumMod val="75000"/>
                  </a:schemeClr>
                </a:solidFill>
              </a:rPr>
              <a:t> Ratio al final de cada intervalo de tiempo acumulado desde el inicio</a:t>
            </a:r>
            <a:endParaRPr lang="en-US" sz="1100">
              <a:solidFill>
                <a:schemeClr val="accent4">
                  <a:lumMod val="75000"/>
                </a:schemeClr>
              </a:solidFill>
            </a:endParaRPr>
          </a:p>
        </c:rich>
      </c:tx>
      <c:layout>
        <c:manualLayout>
          <c:xMode val="edge"/>
          <c:yMode val="edge"/>
          <c:x val="0.11199147011034753"/>
          <c:y val="3.708377371998589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2839445928670065"/>
          <c:y val="0.21694440034064175"/>
          <c:w val="0.83016785424768047"/>
          <c:h val="0.55528579760863228"/>
        </c:manualLayout>
      </c:layout>
      <c:scatterChart>
        <c:scatterStyle val="lineMarker"/>
        <c:varyColors val="0"/>
        <c:ser>
          <c:idx val="0"/>
          <c:order val="0"/>
          <c:tx>
            <c:strRef>
              <c:f>'3.3 SG, B vs A,+20'!$Q$48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'3.3 SG, B vs A,+20'!$Q$49:$Q$58</c:f>
              <c:numCache>
                <c:formatCode>0.00</c:formatCode>
                <c:ptCount val="10"/>
                <c:pt idx="0">
                  <c:v>1</c:v>
                </c:pt>
                <c:pt idx="1">
                  <c:v>0.97144542246941734</c:v>
                </c:pt>
                <c:pt idx="2">
                  <c:v>1.1000197146195467</c:v>
                </c:pt>
                <c:pt idx="3">
                  <c:v>1.0131936978795697</c:v>
                </c:pt>
                <c:pt idx="4">
                  <c:v>1.0713228983692951</c:v>
                </c:pt>
                <c:pt idx="5">
                  <c:v>0.9753748043183359</c:v>
                </c:pt>
                <c:pt idx="6">
                  <c:v>0.87860637029305111</c:v>
                </c:pt>
                <c:pt idx="7">
                  <c:v>0.90198840586494011</c:v>
                </c:pt>
                <c:pt idx="8">
                  <c:v>0.94248460183060512</c:v>
                </c:pt>
                <c:pt idx="9">
                  <c:v>0.85855189234019802</c:v>
                </c:pt>
              </c:numCache>
            </c:numRef>
          </c:yVal>
          <c:smooth val="0"/>
          <c:extLst>
            <c:ext xmlns:c16="http://schemas.microsoft.com/office/drawing/2014/chart" uri="{C3380CC4-5D6E-409C-BE32-E72D297353CC}">
              <c16:uniqueId val="{00000000-1244-49FD-93E8-8B521078F416}"/>
            </c:ext>
          </c:extLst>
        </c:ser>
        <c:dLbls>
          <c:showLegendKey val="0"/>
          <c:showVal val="0"/>
          <c:showCatName val="0"/>
          <c:showSerName val="0"/>
          <c:showPercent val="0"/>
          <c:showBubbleSize val="0"/>
        </c:dLbls>
        <c:axId val="927706479"/>
        <c:axId val="645544543"/>
      </c:scatterChart>
      <c:valAx>
        <c:axId val="927706479"/>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a:t>
                </a:r>
                <a:r>
                  <a:rPr lang="es-ES" baseline="0"/>
                  <a:t> (meses)</a:t>
                </a:r>
                <a:endParaRPr lang="es-E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645544543"/>
        <c:crosses val="autoZero"/>
        <c:crossBetween val="midCat"/>
        <c:majorUnit val="5"/>
      </c:valAx>
      <c:valAx>
        <c:axId val="6455445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n-US">
                    <a:solidFill>
                      <a:schemeClr val="accent4">
                        <a:lumMod val="75000"/>
                      </a:schemeClr>
                    </a:solidFill>
                  </a:rPr>
                  <a:t>Hazard Ratio</a:t>
                </a:r>
              </a:p>
            </c:rich>
          </c:tx>
          <c:layout>
            <c:manualLayout>
              <c:xMode val="edge"/>
              <c:yMode val="edge"/>
              <c:x val="2.4333921168490217E-3"/>
              <c:y val="0.346717479077048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2770647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fs-3.1.b [SG,</a:t>
            </a:r>
            <a:r>
              <a:rPr lang="es-ES" sz="1100" b="1" baseline="0">
                <a:solidFill>
                  <a:sysClr val="windowText" lastClr="000000"/>
                </a:solidFill>
              </a:rPr>
              <a:t> </a:t>
            </a:r>
            <a:r>
              <a:rPr lang="es-ES" sz="1100" b="1">
                <a:solidFill>
                  <a:sysClr val="windowText" lastClr="000000"/>
                </a:solidFill>
              </a:rPr>
              <a:t>solo Coh</a:t>
            </a:r>
            <a:r>
              <a:rPr lang="es-ES" sz="1100" b="1" baseline="0">
                <a:solidFill>
                  <a:sysClr val="windowText" lastClr="000000"/>
                </a:solidFill>
              </a:rPr>
              <a:t> Compl del</a:t>
            </a:r>
            <a:r>
              <a:rPr lang="es-ES" sz="1100" b="1">
                <a:solidFill>
                  <a:sysClr val="windowText" lastClr="000000"/>
                </a:solidFill>
              </a:rPr>
              <a:t> Grupo Interv B]: </a:t>
            </a:r>
            <a:r>
              <a:rPr lang="es-ES" sz="1100" b="1" i="1">
                <a:solidFill>
                  <a:schemeClr val="accent4">
                    <a:lumMod val="75000"/>
                  </a:schemeClr>
                </a:solidFill>
              </a:rPr>
              <a:t>% Supervivencia-LEv K-M </a:t>
            </a:r>
            <a:r>
              <a:rPr lang="es-ES" sz="1100" b="1">
                <a:solidFill>
                  <a:sysClr val="windowText" lastClr="000000"/>
                </a:solidFill>
              </a:rPr>
              <a:t>vs </a:t>
            </a:r>
            <a:r>
              <a:rPr lang="es-ES" sz="1100" b="1">
                <a:solidFill>
                  <a:srgbClr val="008000"/>
                </a:solidFill>
              </a:rPr>
              <a:t>% Supervivientes-LEv</a:t>
            </a:r>
            <a:endParaRPr lang="es-ES" sz="1100" b="1">
              <a:solidFill>
                <a:sysClr val="windowText" lastClr="000000"/>
              </a:solidFill>
            </a:endParaRPr>
          </a:p>
        </c:rich>
      </c:tx>
      <c:layout>
        <c:manualLayout>
          <c:xMode val="edge"/>
          <c:yMode val="edge"/>
          <c:x val="0.34553118672796745"/>
          <c:y val="1.229148432416354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4948825394715162"/>
          <c:y val="0.16975503182875687"/>
          <c:w val="0.81195596483211518"/>
          <c:h val="0.62405485517586312"/>
        </c:manualLayout>
      </c:layout>
      <c:scatterChart>
        <c:scatterStyle val="lineMarker"/>
        <c:varyColors val="0"/>
        <c:ser>
          <c:idx val="0"/>
          <c:order val="0"/>
          <c:tx>
            <c:strRef>
              <c:f>'3.1 SG, B vs A, CC'!$Y$82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3.4434654116251739E-2"/>
                  <c:y val="3.8319941036850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FD-4929-A7E8-A6DB72FADE51}"/>
                </c:ext>
              </c:extLst>
            </c:dLbl>
            <c:dLbl>
              <c:idx val="8"/>
              <c:layout>
                <c:manualLayout>
                  <c:x val="-4.7300360470746074E-2"/>
                  <c:y val="1.4657648077484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FD-4929-A7E8-A6DB72FADE51}"/>
                </c:ext>
              </c:extLst>
            </c:dLbl>
            <c:dLbl>
              <c:idx val="9"/>
              <c:layout>
                <c:manualLayout>
                  <c:x val="-5.7588783679249737E-2"/>
                  <c:y val="6.98173153048790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FD-4929-A7E8-A6DB72FADE51}"/>
                </c:ext>
              </c:extLst>
            </c:dLbl>
            <c:dLbl>
              <c:idx val="10"/>
              <c:layout>
                <c:manualLayout>
                  <c:x val="-6.2641899764124515E-2"/>
                  <c:y val="7.13253294340990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9B-4E7D-8868-7157FE915F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CC'!$Y$83:$Y$92</c:f>
              <c:numCache>
                <c:formatCode>0.00%</c:formatCode>
                <c:ptCount val="10"/>
                <c:pt idx="0">
                  <c:v>1</c:v>
                </c:pt>
                <c:pt idx="1">
                  <c:v>0.80782918149466187</c:v>
                </c:pt>
                <c:pt idx="2">
                  <c:v>0.60142348754448394</c:v>
                </c:pt>
                <c:pt idx="3">
                  <c:v>0.43416370106761565</c:v>
                </c:pt>
                <c:pt idx="4">
                  <c:v>0.33451957295373663</c:v>
                </c:pt>
                <c:pt idx="5">
                  <c:v>0.27402135231316727</c:v>
                </c:pt>
                <c:pt idx="6">
                  <c:v>0.19572953736654805</c:v>
                </c:pt>
                <c:pt idx="7">
                  <c:v>0.10320284697508897</c:v>
                </c:pt>
                <c:pt idx="8">
                  <c:v>1.7793594306049824E-2</c:v>
                </c:pt>
                <c:pt idx="9">
                  <c:v>0</c:v>
                </c:pt>
              </c:numCache>
            </c:numRef>
          </c:yVal>
          <c:smooth val="0"/>
          <c:extLst>
            <c:ext xmlns:c16="http://schemas.microsoft.com/office/drawing/2014/chart" uri="{C3380CC4-5D6E-409C-BE32-E72D297353CC}">
              <c16:uniqueId val="{00000000-FB2B-4207-A44E-FA39184F3B57}"/>
            </c:ext>
          </c:extLst>
        </c:ser>
        <c:ser>
          <c:idx val="1"/>
          <c:order val="1"/>
          <c:tx>
            <c:strRef>
              <c:f>'3.1 SG, B vs A, CC'!$Z$82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dLbl>
              <c:idx val="9"/>
              <c:layout>
                <c:manualLayout>
                  <c:x val="-4.9969996236610026E-2"/>
                  <c:y val="-5.4932841961677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0C-4AD4-AD56-B4F6A00DF08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CC'!$Z$83:$Z$92</c:f>
              <c:numCache>
                <c:formatCode>0.00%</c:formatCode>
                <c:ptCount val="10"/>
                <c:pt idx="0">
                  <c:v>1</c:v>
                </c:pt>
                <c:pt idx="1">
                  <c:v>0.80782918149466187</c:v>
                </c:pt>
                <c:pt idx="2">
                  <c:v>0.60142348754448394</c:v>
                </c:pt>
                <c:pt idx="3">
                  <c:v>0.43772241992882555</c:v>
                </c:pt>
                <c:pt idx="4">
                  <c:v>0.33726153666647213</c:v>
                </c:pt>
                <c:pt idx="5">
                  <c:v>0.27985531765941302</c:v>
                </c:pt>
                <c:pt idx="6">
                  <c:v>0.25804840978984833</c:v>
                </c:pt>
                <c:pt idx="7">
                  <c:v>0.23928125271422299</c:v>
                </c:pt>
                <c:pt idx="8">
                  <c:v>0.23103017503442219</c:v>
                </c:pt>
                <c:pt idx="9">
                  <c:v>0.23103017503442219</c:v>
                </c:pt>
              </c:numCache>
            </c:numRef>
          </c:yVal>
          <c:smooth val="0"/>
          <c:extLst>
            <c:ext xmlns:c16="http://schemas.microsoft.com/office/drawing/2014/chart" uri="{C3380CC4-5D6E-409C-BE32-E72D297353CC}">
              <c16:uniqueId val="{00000001-FB2B-4207-A44E-FA39184F3B57}"/>
            </c:ext>
          </c:extLst>
        </c:ser>
        <c:dLbls>
          <c:showLegendKey val="0"/>
          <c:showVal val="0"/>
          <c:showCatName val="0"/>
          <c:showSerName val="0"/>
          <c:showPercent val="0"/>
          <c:showBubbleSize val="0"/>
        </c:dLbls>
        <c:axId val="1052332351"/>
        <c:axId val="1047981343"/>
      </c:scatterChart>
      <c:valAx>
        <c:axId val="1052332351"/>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0.10464084240674928"/>
              <c:y val="0.8784582432279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7981343"/>
        <c:crosses val="autoZero"/>
        <c:crossBetween val="midCat"/>
        <c:majorUnit val="5"/>
      </c:valAx>
      <c:valAx>
        <c:axId val="104798134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solidFill>
                      <a:sysClr val="windowText" lastClr="000000"/>
                    </a:solidFill>
                  </a:rPr>
                  <a:t> vs </a:t>
                </a:r>
                <a:r>
                  <a:rPr lang="es-ES" sz="900">
                    <a:solidFill>
                      <a:schemeClr val="accent4">
                        <a:lumMod val="75000"/>
                      </a:schemeClr>
                    </a:solidFill>
                  </a:rPr>
                  <a:t>%</a:t>
                </a:r>
                <a:r>
                  <a:rPr lang="es-ES" sz="900" baseline="0">
                    <a:solidFill>
                      <a:schemeClr val="accent4">
                        <a:lumMod val="75000"/>
                      </a:schemeClr>
                    </a:solidFill>
                  </a:rPr>
                  <a:t> Supervivencia-LEv K-M</a:t>
                </a:r>
                <a:endParaRPr lang="es-ES" sz="900">
                  <a:solidFill>
                    <a:schemeClr val="accent4">
                      <a:lumMod val="75000"/>
                    </a:schemeClr>
                  </a:solidFill>
                </a:endParaRPr>
              </a:p>
            </c:rich>
          </c:tx>
          <c:layout>
            <c:manualLayout>
              <c:xMode val="edge"/>
              <c:yMode val="edge"/>
              <c:x val="1.387843274480019E-2"/>
              <c:y val="0.1538650029864106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52332351"/>
        <c:crosses val="autoZero"/>
        <c:crossBetween val="midCat"/>
      </c:valAx>
      <c:spPr>
        <a:noFill/>
        <a:ln>
          <a:noFill/>
        </a:ln>
        <a:effectLst/>
      </c:spPr>
    </c:plotArea>
    <c:legend>
      <c:legendPos val="b"/>
      <c:layout>
        <c:manualLayout>
          <c:xMode val="edge"/>
          <c:yMode val="edge"/>
          <c:x val="0.22541488809171964"/>
          <c:y val="0.93818167509731554"/>
          <c:w val="0.77367264188454532"/>
          <c:h val="4.404915836251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fs-3.1.b [SG, solo Coh Compl del Grupo de Interv A]: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 libres de evento</a:t>
            </a:r>
            <a:endParaRPr lang="es-ES" sz="1100" b="1">
              <a:solidFill>
                <a:srgbClr val="008000"/>
              </a:solidFill>
            </a:endParaRPr>
          </a:p>
        </c:rich>
      </c:tx>
      <c:layout>
        <c:manualLayout>
          <c:xMode val="edge"/>
          <c:yMode val="edge"/>
          <c:x val="0.28434601079376087"/>
          <c:y val="1.80527481399983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132064885625969"/>
          <c:y val="0.14081794984403498"/>
          <c:w val="0.83881960850352755"/>
          <c:h val="0.66126867615319496"/>
        </c:manualLayout>
      </c:layout>
      <c:scatterChart>
        <c:scatterStyle val="lineMarker"/>
        <c:varyColors val="0"/>
        <c:ser>
          <c:idx val="0"/>
          <c:order val="0"/>
          <c:tx>
            <c:strRef>
              <c:f>'3.1 SG, B vs A, CC'!$Y$101</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chemeClr val="accent1"/>
                </a:solidFill>
              </a:ln>
              <a:effectLst/>
            </c:spPr>
          </c:marker>
          <c:dLbls>
            <c:dLbl>
              <c:idx val="3"/>
              <c:layout>
                <c:manualLayout>
                  <c:x val="-3.7108680590605944E-2"/>
                  <c:y val="4.4493419864633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1-4C33-8005-EC7B340D0C07}"/>
                </c:ext>
              </c:extLst>
            </c:dLbl>
            <c:dLbl>
              <c:idx val="4"/>
              <c:layout>
                <c:manualLayout>
                  <c:x val="-3.961203833319752E-2"/>
                  <c:y val="2.7224507822409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1-4C33-8005-EC7B340D0C07}"/>
                </c:ext>
              </c:extLst>
            </c:dLbl>
            <c:dLbl>
              <c:idx val="5"/>
              <c:layout>
                <c:manualLayout>
                  <c:x val="-4.7334947644350499E-2"/>
                  <c:y val="2.03169430055195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1-4C33-8005-EC7B340D0C07}"/>
                </c:ext>
              </c:extLst>
            </c:dLbl>
            <c:dLbl>
              <c:idx val="6"/>
              <c:layout>
                <c:manualLayout>
                  <c:x val="-5.5057856955503567E-2"/>
                  <c:y val="1.68631605970746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B1-4C33-8005-EC7B340D0C07}"/>
                </c:ext>
              </c:extLst>
            </c:dLbl>
            <c:dLbl>
              <c:idx val="7"/>
              <c:layout>
                <c:manualLayout>
                  <c:x val="-5.5058745520815959E-2"/>
                  <c:y val="1.1799289724055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B1-4C33-8005-EC7B340D0C07}"/>
                </c:ext>
              </c:extLst>
            </c:dLbl>
            <c:dLbl>
              <c:idx val="8"/>
              <c:layout>
                <c:manualLayout>
                  <c:x val="-6.0213956433104107E-2"/>
                  <c:y val="8.4087962720627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1-4C33-8005-EC7B340D0C07}"/>
                </c:ext>
              </c:extLst>
            </c:dLbl>
            <c:dLbl>
              <c:idx val="9"/>
              <c:layout>
                <c:manualLayout>
                  <c:x val="-5.6230045789185251E-2"/>
                  <c:y val="5.0660803380915467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3487033173037241E-2"/>
                      <c:h val="4.1311872583710975E-2"/>
                    </c:manualLayout>
                  </c15:layout>
                </c:ext>
                <c:ext xmlns:c16="http://schemas.microsoft.com/office/drawing/2014/chart" uri="{C3380CC4-5D6E-409C-BE32-E72D297353CC}">
                  <c16:uniqueId val="{00000000-749E-4537-950D-E1BCBD310736}"/>
                </c:ext>
              </c:extLst>
            </c:dLbl>
            <c:dLbl>
              <c:idx val="10"/>
              <c:layout>
                <c:manualLayout>
                  <c:x val="-5.7537563249290269E-2"/>
                  <c:y val="3.4122570767749919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5.5969652102793636E-2"/>
                      <c:h val="5.8912018815752913E-2"/>
                    </c:manualLayout>
                  </c15:layout>
                </c:ext>
                <c:ext xmlns:c16="http://schemas.microsoft.com/office/drawing/2014/chart" uri="{C3380CC4-5D6E-409C-BE32-E72D297353CC}">
                  <c16:uniqueId val="{00000001-749E-4537-950D-E1BCBD3107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CC'!$X$102:$X$111</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CC'!$Y$102:$Y$111</c:f>
              <c:numCache>
                <c:formatCode>0.0%</c:formatCode>
                <c:ptCount val="10"/>
                <c:pt idx="0">
                  <c:v>1</c:v>
                </c:pt>
                <c:pt idx="1">
                  <c:v>0.75083056478405319</c:v>
                </c:pt>
                <c:pt idx="2">
                  <c:v>0.5714285714285714</c:v>
                </c:pt>
                <c:pt idx="3">
                  <c:v>0.41528239202657807</c:v>
                </c:pt>
                <c:pt idx="4">
                  <c:v>0.32890365448504982</c:v>
                </c:pt>
                <c:pt idx="5">
                  <c:v>0.24916943521594684</c:v>
                </c:pt>
                <c:pt idx="6">
                  <c:v>0.15282392026578073</c:v>
                </c:pt>
                <c:pt idx="7">
                  <c:v>7.3089700996677748E-2</c:v>
                </c:pt>
                <c:pt idx="8">
                  <c:v>4.3189368770764118E-2</c:v>
                </c:pt>
                <c:pt idx="9">
                  <c:v>3.3222591362126247E-3</c:v>
                </c:pt>
              </c:numCache>
            </c:numRef>
          </c:yVal>
          <c:smooth val="0"/>
          <c:extLst>
            <c:ext xmlns:c16="http://schemas.microsoft.com/office/drawing/2014/chart" uri="{C3380CC4-5D6E-409C-BE32-E72D297353CC}">
              <c16:uniqueId val="{00000000-B855-4DDA-8AED-1616A0820587}"/>
            </c:ext>
          </c:extLst>
        </c:ser>
        <c:ser>
          <c:idx val="1"/>
          <c:order val="1"/>
          <c:tx>
            <c:strRef>
              <c:f>'3.1 SG, B vs A, CC'!$Z$101</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CC'!$X$102:$X$111</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CC'!$Z$102:$Z$111</c:f>
              <c:numCache>
                <c:formatCode>0.0%</c:formatCode>
                <c:ptCount val="10"/>
                <c:pt idx="0">
                  <c:v>1</c:v>
                </c:pt>
                <c:pt idx="1">
                  <c:v>0.75415282392026572</c:v>
                </c:pt>
                <c:pt idx="2">
                  <c:v>0.5739570164348925</c:v>
                </c:pt>
                <c:pt idx="3">
                  <c:v>0.4171199247346602</c:v>
                </c:pt>
                <c:pt idx="4">
                  <c:v>0.3303589803898509</c:v>
                </c:pt>
                <c:pt idx="5">
                  <c:v>0.26028283303442795</c:v>
                </c:pt>
                <c:pt idx="6">
                  <c:v>0.22557845529650422</c:v>
                </c:pt>
                <c:pt idx="7">
                  <c:v>0.21086681690760178</c:v>
                </c:pt>
                <c:pt idx="8">
                  <c:v>0.20128196159361988</c:v>
                </c:pt>
                <c:pt idx="9">
                  <c:v>0.18579873377872605</c:v>
                </c:pt>
              </c:numCache>
            </c:numRef>
          </c:yVal>
          <c:smooth val="0"/>
          <c:extLst>
            <c:ext xmlns:c16="http://schemas.microsoft.com/office/drawing/2014/chart" uri="{C3380CC4-5D6E-409C-BE32-E72D297353CC}">
              <c16:uniqueId val="{00000001-B855-4DDA-8AED-1616A0820587}"/>
            </c:ext>
          </c:extLst>
        </c:ser>
        <c:dLbls>
          <c:showLegendKey val="0"/>
          <c:showVal val="0"/>
          <c:showCatName val="0"/>
          <c:showSerName val="0"/>
          <c:showPercent val="0"/>
          <c:showBubbleSize val="0"/>
        </c:dLbls>
        <c:axId val="1039542655"/>
        <c:axId val="1047986335"/>
      </c:scatterChart>
      <c:valAx>
        <c:axId val="103954265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layout>
            <c:manualLayout>
              <c:xMode val="edge"/>
              <c:yMode val="edge"/>
              <c:x val="0.10099481705586064"/>
              <c:y val="0.87956103471100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47986335"/>
        <c:crosses val="autoZero"/>
        <c:crossBetween val="midCat"/>
        <c:majorUnit val="5"/>
      </c:valAx>
      <c:valAx>
        <c:axId val="104798633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a:t>
                </a:r>
                <a:r>
                  <a:rPr lang="es-ES" sz="900"/>
                  <a:t> vs </a:t>
                </a:r>
                <a:r>
                  <a:rPr lang="es-ES" sz="900" i="1">
                    <a:solidFill>
                      <a:schemeClr val="accent4">
                        <a:lumMod val="75000"/>
                      </a:schemeClr>
                    </a:solidFill>
                  </a:rPr>
                  <a:t>% Supervivencia-LEv K-M</a:t>
                </a:r>
              </a:p>
            </c:rich>
          </c:tx>
          <c:layout>
            <c:manualLayout>
              <c:xMode val="edge"/>
              <c:yMode val="edge"/>
              <c:x val="8.472802669779898E-3"/>
              <c:y val="0.158047687684614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39542655"/>
        <c:crosses val="autoZero"/>
        <c:crossBetween val="midCat"/>
      </c:valAx>
      <c:spPr>
        <a:noFill/>
        <a:ln>
          <a:noFill/>
        </a:ln>
        <a:effectLst/>
      </c:spPr>
    </c:plotArea>
    <c:legend>
      <c:legendPos val="b"/>
      <c:layout>
        <c:manualLayout>
          <c:xMode val="edge"/>
          <c:yMode val="edge"/>
          <c:x val="0.24196419764009106"/>
          <c:y val="0.94664020085250411"/>
          <c:w val="0.75295220335077795"/>
          <c:h val="4.34598338129893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a:t>
            </a:r>
            <a:r>
              <a:rPr lang="en-US" sz="1100" baseline="0">
                <a:solidFill>
                  <a:schemeClr val="accent4">
                    <a:lumMod val="75000"/>
                  </a:schemeClr>
                </a:solidFill>
              </a:rPr>
              <a:t> Ratio al final de cada intervalo de tiempo acumulado desde el inicio</a:t>
            </a:r>
            <a:endParaRPr lang="en-US" sz="1100">
              <a:solidFill>
                <a:schemeClr val="accent4">
                  <a:lumMod val="75000"/>
                </a:schemeClr>
              </a:solidFill>
            </a:endParaRPr>
          </a:p>
        </c:rich>
      </c:tx>
      <c:layout>
        <c:manualLayout>
          <c:xMode val="edge"/>
          <c:yMode val="edge"/>
          <c:x val="0.14106387304532217"/>
          <c:y val="2.777776765173240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4035799729921281"/>
          <c:y val="0.22620370370370371"/>
          <c:w val="0.82197527692948469"/>
          <c:h val="0.56917468649752123"/>
        </c:manualLayout>
      </c:layout>
      <c:scatterChart>
        <c:scatterStyle val="lineMarker"/>
        <c:varyColors val="0"/>
        <c:ser>
          <c:idx val="0"/>
          <c:order val="0"/>
          <c:tx>
            <c:strRef>
              <c:f>'3.1 SG, B vs A, CC'!$Q$48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'3.1 SG, B vs A, CC'!$P$49:$P$58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'3.1 SG, B vs A, CC'!$Q$49:$Q$58</c:f>
              <c:numCache>
                <c:formatCode>0.00</c:formatCode>
                <c:ptCount val="10"/>
                <c:pt idx="0">
                  <c:v>1</c:v>
                </c:pt>
                <c:pt idx="1">
                  <c:v>0.75632430124023353</c:v>
                </c:pt>
                <c:pt idx="2">
                  <c:v>0.91580556464524165</c:v>
                </c:pt>
                <c:pt idx="3">
                  <c:v>0.94486251737165139</c:v>
                </c:pt>
                <c:pt idx="4">
                  <c:v>0.98132965029044084</c:v>
                </c:pt>
                <c:pt idx="5">
                  <c:v>0.94613326941794473</c:v>
                </c:pt>
                <c:pt idx="6">
                  <c:v>0.90969019078289504</c:v>
                </c:pt>
                <c:pt idx="7">
                  <c:v>0.91878535384082971</c:v>
                </c:pt>
                <c:pt idx="8">
                  <c:v>0.91401282891189584</c:v>
                </c:pt>
                <c:pt idx="9">
                  <c:v>0.87054515542143485</c:v>
                </c:pt>
              </c:numCache>
            </c:numRef>
          </c:yVal>
          <c:smooth val="0"/>
          <c:extLst>
            <c:ext xmlns:c16="http://schemas.microsoft.com/office/drawing/2014/chart" uri="{C3380CC4-5D6E-409C-BE32-E72D297353CC}">
              <c16:uniqueId val="{00000000-FCE2-495D-B939-5462A7772E7A}"/>
            </c:ext>
          </c:extLst>
        </c:ser>
        <c:dLbls>
          <c:showLegendKey val="0"/>
          <c:showVal val="0"/>
          <c:showCatName val="0"/>
          <c:showSerName val="0"/>
          <c:showPercent val="0"/>
          <c:showBubbleSize val="0"/>
        </c:dLbls>
        <c:axId val="1065168639"/>
        <c:axId val="766865935"/>
      </c:scatterChart>
      <c:valAx>
        <c:axId val="1065168639"/>
        <c:scaling>
          <c:orientation val="minMax"/>
          <c:max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2915857392825901"/>
              <c:y val="0.9027777777777777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65935"/>
        <c:crosses val="autoZero"/>
        <c:crossBetween val="midCat"/>
        <c:majorUnit val="5"/>
      </c:valAx>
      <c:valAx>
        <c:axId val="766865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layout>
            <c:manualLayout>
              <c:xMode val="edge"/>
              <c:yMode val="edge"/>
              <c:x val="2.208223972003499E-3"/>
              <c:y val="0.365570866141732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65168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fs-3.2.a [SG, Subgr CPS&gt; 1% de las Cohortes Completas Grupo B vs Grupo A]:</a:t>
            </a:r>
            <a:r>
              <a:rPr lang="es-ES" sz="1100" b="1" i="1" baseline="0">
                <a:solidFill>
                  <a:schemeClr val="accent4">
                    <a:lumMod val="75000"/>
                  </a:schemeClr>
                </a:solidFill>
              </a:rPr>
              <a:t> % Supervivencia libre de evento K-M</a:t>
            </a:r>
            <a:endParaRPr lang="es-ES" sz="1100" b="1" i="1">
              <a:solidFill>
                <a:schemeClr val="accent4">
                  <a:lumMod val="75000"/>
                </a:schemeClr>
              </a:solidFill>
            </a:endParaRPr>
          </a:p>
        </c:rich>
      </c:tx>
      <c:layout>
        <c:manualLayout>
          <c:xMode val="edge"/>
          <c:yMode val="edge"/>
          <c:x val="0.21386333244786432"/>
          <c:y val="1.604814950304440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9.7813358381680093E-2"/>
          <c:y val="0.11661143028920211"/>
          <c:w val="0.86848015078805962"/>
          <c:h val="0.72166474910234613"/>
        </c:manualLayout>
      </c:layout>
      <c:scatterChart>
        <c:scatterStyle val="lineMarker"/>
        <c:varyColors val="0"/>
        <c:ser>
          <c:idx val="0"/>
          <c:order val="0"/>
          <c:tx>
            <c:strRef>
              <c:f>'3.2 SG, B vs A,+1'!$N$48</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A,+1'!$N$49:$N$58</c:f>
              <c:numCache>
                <c:formatCode>0.0%</c:formatCode>
                <c:ptCount val="10"/>
                <c:pt idx="0">
                  <c:v>1</c:v>
                </c:pt>
                <c:pt idx="1">
                  <c:v>0.77042801556420237</c:v>
                </c:pt>
                <c:pt idx="2">
                  <c:v>0.59444192063836931</c:v>
                </c:pt>
                <c:pt idx="3">
                  <c:v>0.4301882320409251</c:v>
                </c:pt>
                <c:pt idx="4">
                  <c:v>0.35588299196112894</c:v>
                </c:pt>
                <c:pt idx="5">
                  <c:v>0.28157775188133277</c:v>
                </c:pt>
                <c:pt idx="6">
                  <c:v>0.24537489806801857</c:v>
                </c:pt>
                <c:pt idx="7">
                  <c:v>0.23396211211136655</c:v>
                </c:pt>
                <c:pt idx="8">
                  <c:v>0.22282105915368242</c:v>
                </c:pt>
                <c:pt idx="9">
                  <c:v>0.20568097768032223</c:v>
                </c:pt>
              </c:numCache>
            </c:numRef>
          </c:yVal>
          <c:smooth val="0"/>
          <c:extLst>
            <c:ext xmlns:c16="http://schemas.microsoft.com/office/drawing/2014/chart" uri="{C3380CC4-5D6E-409C-BE32-E72D297353CC}">
              <c16:uniqueId val="{00000000-0C8D-4255-8D0B-12515048F6FF}"/>
            </c:ext>
          </c:extLst>
        </c:ser>
        <c:ser>
          <c:idx val="1"/>
          <c:order val="1"/>
          <c:tx>
            <c:strRef>
              <c:f>'3.2 SG, B vs A,+1'!$O$48</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A,+1'!$O$49:$O$58</c:f>
              <c:numCache>
                <c:formatCode>0.0%</c:formatCode>
                <c:ptCount val="10"/>
                <c:pt idx="0">
                  <c:v>1</c:v>
                </c:pt>
                <c:pt idx="1">
                  <c:v>0.81404958677685957</c:v>
                </c:pt>
                <c:pt idx="2">
                  <c:v>0.5950413223140496</c:v>
                </c:pt>
                <c:pt idx="3">
                  <c:v>0.45454545454545453</c:v>
                </c:pt>
                <c:pt idx="4">
                  <c:v>0.35029190992493747</c:v>
                </c:pt>
                <c:pt idx="5">
                  <c:v>0.29608006672226855</c:v>
                </c:pt>
                <c:pt idx="6">
                  <c:v>0.28339092100559993</c:v>
                </c:pt>
                <c:pt idx="7">
                  <c:v>0.26704144479373837</c:v>
                </c:pt>
                <c:pt idx="8">
                  <c:v>0.25783311911119566</c:v>
                </c:pt>
                <c:pt idx="9">
                  <c:v>0.25783311911119566</c:v>
                </c:pt>
              </c:numCache>
            </c:numRef>
          </c:yVal>
          <c:smooth val="0"/>
          <c:extLst>
            <c:ext xmlns:c16="http://schemas.microsoft.com/office/drawing/2014/chart" uri="{C3380CC4-5D6E-409C-BE32-E72D297353CC}">
              <c16:uniqueId val="{00000001-0C8D-4255-8D0B-12515048F6FF}"/>
            </c:ext>
          </c:extLst>
        </c:ser>
        <c:dLbls>
          <c:showLegendKey val="0"/>
          <c:showVal val="0"/>
          <c:showCatName val="0"/>
          <c:showSerName val="0"/>
          <c:showPercent val="0"/>
          <c:showBubbleSize val="0"/>
        </c:dLbls>
        <c:axId val="1318070287"/>
        <c:axId val="981180367"/>
      </c:scatterChart>
      <c:valAx>
        <c:axId val="1318070287"/>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s-ES" sz="900">
                    <a:solidFill>
                      <a:schemeClr val="tx1"/>
                    </a:solidFill>
                  </a:rPr>
                  <a:t>tiempo (meses)</a:t>
                </a:r>
              </a:p>
            </c:rich>
          </c:tx>
          <c:layout>
            <c:manualLayout>
              <c:xMode val="edge"/>
              <c:yMode val="edge"/>
              <c:x val="8.4399286107842697E-2"/>
              <c:y val="0.912146536592479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81180367"/>
        <c:crosses val="autoZero"/>
        <c:crossBetween val="midCat"/>
        <c:majorUnit val="5"/>
      </c:valAx>
      <c:valAx>
        <c:axId val="98118036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b="0" i="1">
                    <a:solidFill>
                      <a:schemeClr val="accent4">
                        <a:lumMod val="75000"/>
                      </a:schemeClr>
                    </a:solidFill>
                  </a:rPr>
                  <a:t>%</a:t>
                </a:r>
                <a:r>
                  <a:rPr lang="es-ES" sz="900" b="0" i="1" baseline="0">
                    <a:solidFill>
                      <a:schemeClr val="accent4">
                        <a:lumMod val="75000"/>
                      </a:schemeClr>
                    </a:solidFill>
                  </a:rPr>
                  <a:t> Supervivencia libre de evento  K-M</a:t>
                </a:r>
                <a:endParaRPr lang="es-ES" sz="900" b="0" i="1">
                  <a:solidFill>
                    <a:schemeClr val="accent4">
                      <a:lumMod val="75000"/>
                    </a:schemeClr>
                  </a:solidFill>
                </a:endParaRPr>
              </a:p>
            </c:rich>
          </c:tx>
          <c:layout>
            <c:manualLayout>
              <c:xMode val="edge"/>
              <c:yMode val="edge"/>
              <c:x val="6.9516320719056864E-3"/>
              <c:y val="0.24277406795949041"/>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318070287"/>
        <c:crosses val="autoZero"/>
        <c:crossBetween val="midCat"/>
      </c:valAx>
      <c:spPr>
        <a:noFill/>
        <a:ln>
          <a:noFill/>
        </a:ln>
        <a:effectLst/>
      </c:spPr>
    </c:plotArea>
    <c:legend>
      <c:legendPos val="b"/>
      <c:layout>
        <c:manualLayout>
          <c:xMode val="edge"/>
          <c:yMode val="edge"/>
          <c:x val="0.23543919104637273"/>
          <c:y val="0.94522065908652919"/>
          <c:w val="0.74905619868362938"/>
          <c:h val="4.6510810289958494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fs-3.2.b [SG, solo</a:t>
            </a:r>
            <a:r>
              <a:rPr lang="es-ES" sz="1100" b="1" baseline="0">
                <a:solidFill>
                  <a:sysClr val="windowText" lastClr="000000"/>
                </a:solidFill>
              </a:rPr>
              <a:t> Subgr CPS &gt; 1% del Grupo de Interv B]: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31734355408421117"/>
          <c:y val="1.174013916985062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3460003167521217"/>
          <c:y val="0.15618157504587243"/>
          <c:w val="0.82677582950726025"/>
          <c:h val="0.69675558024361095"/>
        </c:manualLayout>
      </c:layout>
      <c:scatterChart>
        <c:scatterStyle val="lineMarker"/>
        <c:varyColors val="0"/>
        <c:ser>
          <c:idx val="0"/>
          <c:order val="0"/>
          <c:tx>
            <c:strRef>
              <c:f>'3.2 SG, B vs A,+1'!$Y$82</c:f>
              <c:strCache>
                <c:ptCount val="1"/>
                <c:pt idx="0">
                  <c:v>% Supervivientes-LEv interv</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8"/>
              <c:layout>
                <c:manualLayout>
                  <c:x val="-5.2593346897294675E-2"/>
                  <c:y val="1.79490773013772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26-4889-A99F-C1EC0130369B}"/>
                </c:ext>
              </c:extLst>
            </c:dLbl>
            <c:dLbl>
              <c:idx val="9"/>
              <c:layout>
                <c:manualLayout>
                  <c:x val="-5.7745758895517696E-2"/>
                  <c:y val="1.3326028673822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26-4889-A99F-C1EC0130369B}"/>
                </c:ext>
              </c:extLst>
            </c:dLbl>
            <c:dLbl>
              <c:idx val="10"/>
              <c:layout>
                <c:manualLayout>
                  <c:x val="-5.7745758895517696E-2"/>
                  <c:y val="8.702980046266888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26-4889-A99F-C1EC0130369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A,+1'!$Y$83:$Y$92</c:f>
              <c:numCache>
                <c:formatCode>0.00%</c:formatCode>
                <c:ptCount val="10"/>
                <c:pt idx="0">
                  <c:v>1</c:v>
                </c:pt>
                <c:pt idx="1">
                  <c:v>0.81404958677685946</c:v>
                </c:pt>
                <c:pt idx="2">
                  <c:v>0.5950413223140496</c:v>
                </c:pt>
                <c:pt idx="3">
                  <c:v>0.45041322314049587</c:v>
                </c:pt>
                <c:pt idx="4">
                  <c:v>0.34710743801652894</c:v>
                </c:pt>
                <c:pt idx="5">
                  <c:v>0.28925619834710742</c:v>
                </c:pt>
                <c:pt idx="6">
                  <c:v>0.21487603305785125</c:v>
                </c:pt>
                <c:pt idx="7">
                  <c:v>0.11983471074380166</c:v>
                </c:pt>
                <c:pt idx="8">
                  <c:v>2.0661157024793389E-2</c:v>
                </c:pt>
                <c:pt idx="9">
                  <c:v>0</c:v>
                </c:pt>
              </c:numCache>
            </c:numRef>
          </c:yVal>
          <c:smooth val="0"/>
          <c:extLst>
            <c:ext xmlns:c16="http://schemas.microsoft.com/office/drawing/2014/chart" uri="{C3380CC4-5D6E-409C-BE32-E72D297353CC}">
              <c16:uniqueId val="{00000000-4FC4-4DBF-A986-DFFE0B7C4EC5}"/>
            </c:ext>
          </c:extLst>
        </c:ser>
        <c:ser>
          <c:idx val="1"/>
          <c:order val="1"/>
          <c:tx>
            <c:strRef>
              <c:f>'3.2 SG, B vs A,+1'!$Z$82</c:f>
              <c:strCache>
                <c:ptCount val="1"/>
                <c:pt idx="0">
                  <c:v>% Supervivencia-LEv K-M interv</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A,+1'!$X$83:$X$92</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A,+1'!$Z$83:$Z$92</c:f>
              <c:numCache>
                <c:formatCode>0.00%</c:formatCode>
                <c:ptCount val="10"/>
                <c:pt idx="0">
                  <c:v>1</c:v>
                </c:pt>
                <c:pt idx="1">
                  <c:v>0.81404958677685957</c:v>
                </c:pt>
                <c:pt idx="2">
                  <c:v>0.5950413223140496</c:v>
                </c:pt>
                <c:pt idx="3">
                  <c:v>0.45454545454545453</c:v>
                </c:pt>
                <c:pt idx="4">
                  <c:v>0.35029190992493747</c:v>
                </c:pt>
                <c:pt idx="5">
                  <c:v>0.29608006672226855</c:v>
                </c:pt>
                <c:pt idx="6">
                  <c:v>0.28339092100559993</c:v>
                </c:pt>
                <c:pt idx="7">
                  <c:v>0.26704144479373837</c:v>
                </c:pt>
                <c:pt idx="8">
                  <c:v>0.25783311911119566</c:v>
                </c:pt>
                <c:pt idx="9">
                  <c:v>0.25783311911119566</c:v>
                </c:pt>
              </c:numCache>
            </c:numRef>
          </c:yVal>
          <c:smooth val="0"/>
          <c:extLst>
            <c:ext xmlns:c16="http://schemas.microsoft.com/office/drawing/2014/chart" uri="{C3380CC4-5D6E-409C-BE32-E72D297353CC}">
              <c16:uniqueId val="{00000001-4FC4-4DBF-A986-DFFE0B7C4EC5}"/>
            </c:ext>
          </c:extLst>
        </c:ser>
        <c:dLbls>
          <c:showLegendKey val="0"/>
          <c:showVal val="0"/>
          <c:showCatName val="0"/>
          <c:showSerName val="0"/>
          <c:showPercent val="0"/>
          <c:showBubbleSize val="0"/>
        </c:dLbls>
        <c:axId val="1483925775"/>
        <c:axId val="1220179199"/>
      </c:scatterChart>
      <c:valAx>
        <c:axId val="148392577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a:t>
                </a:r>
                <a:r>
                  <a:rPr lang="es-ES" sz="800" baseline="0">
                    <a:solidFill>
                      <a:sysClr val="windowText" lastClr="000000"/>
                    </a:solidFill>
                  </a:rPr>
                  <a:t> (meses)</a:t>
                </a:r>
                <a:endParaRPr lang="es-ES" sz="800">
                  <a:solidFill>
                    <a:sysClr val="windowText" lastClr="000000"/>
                  </a:solidFill>
                </a:endParaRPr>
              </a:p>
            </c:rich>
          </c:tx>
          <c:layout>
            <c:manualLayout>
              <c:xMode val="edge"/>
              <c:yMode val="edge"/>
              <c:x val="0.10627579805454326"/>
              <c:y val="0.9049183964534612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220179199"/>
        <c:crosses val="autoZero"/>
        <c:crossBetween val="midCat"/>
        <c:majorUnit val="5"/>
      </c:valAx>
      <c:valAx>
        <c:axId val="122017919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ES" sz="900">
                    <a:solidFill>
                      <a:srgbClr val="008000"/>
                    </a:solidFill>
                  </a:rPr>
                  <a:t>%</a:t>
                </a:r>
                <a:r>
                  <a:rPr lang="es-ES" sz="900" baseline="0">
                    <a:solidFill>
                      <a:srgbClr val="008000"/>
                    </a:solidFill>
                  </a:rPr>
                  <a:t> Supervivientes-LEv</a:t>
                </a:r>
                <a:r>
                  <a:rPr lang="es-ES" sz="900" baseline="0"/>
                  <a:t> vs </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1.440291719399692E-2"/>
              <c:y val="0.186313392851582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83925775"/>
        <c:crosses val="autoZero"/>
        <c:crossBetween val="midCat"/>
      </c:valAx>
      <c:spPr>
        <a:noFill/>
        <a:ln>
          <a:noFill/>
        </a:ln>
        <a:effectLst/>
      </c:spPr>
    </c:plotArea>
    <c:legend>
      <c:legendPos val="b"/>
      <c:layout>
        <c:manualLayout>
          <c:xMode val="edge"/>
          <c:yMode val="edge"/>
          <c:x val="0.2249280044157031"/>
          <c:y val="0.94604917019621315"/>
          <c:w val="0.77354803855765686"/>
          <c:h val="4.361300473972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fs-3.2.b [SG, solo Subgr CPS &gt; 1% del Grupo de Interv A]: </a:t>
            </a:r>
            <a:r>
              <a:rPr lang="es-ES" sz="1100" b="1" i="1" baseline="0">
                <a:solidFill>
                  <a:schemeClr val="accent4">
                    <a:lumMod val="75000"/>
                  </a:schemeClr>
                </a:solidFill>
              </a:rPr>
              <a:t>% Supervivencia-LEv KM </a:t>
            </a:r>
            <a:r>
              <a:rPr lang="es-ES" sz="1100" b="1" baseline="0">
                <a:solidFill>
                  <a:sysClr val="windowText" lastClr="000000"/>
                </a:solidFill>
              </a:rPr>
              <a:t>vs </a:t>
            </a:r>
            <a:r>
              <a:rPr lang="es-ES" sz="1100" b="1" baseline="0">
                <a:solidFill>
                  <a:srgbClr val="008000"/>
                </a:solidFill>
              </a:rPr>
              <a:t>% Supervivientes-LEv</a:t>
            </a:r>
            <a:endParaRPr lang="es-ES" sz="1100" b="1">
              <a:solidFill>
                <a:srgbClr val="008000"/>
              </a:solidFill>
            </a:endParaRPr>
          </a:p>
        </c:rich>
      </c:tx>
      <c:layout>
        <c:manualLayout>
          <c:xMode val="edge"/>
          <c:yMode val="edge"/>
          <c:x val="0.28094392710856797"/>
          <c:y val="1.14291131008233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0645831653988845"/>
          <c:y val="0.15501237104000729"/>
          <c:w val="0.85478018445592174"/>
          <c:h val="0.70231570030165658"/>
        </c:manualLayout>
      </c:layout>
      <c:scatterChart>
        <c:scatterStyle val="lineMarker"/>
        <c:varyColors val="0"/>
        <c:ser>
          <c:idx val="0"/>
          <c:order val="0"/>
          <c:tx>
            <c:strRef>
              <c:f>'3.2 SG, B vs A,+1'!$Y$100</c:f>
              <c:strCache>
                <c:ptCount val="1"/>
                <c:pt idx="0">
                  <c:v>% Supervivientes-LEv control</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7"/>
              <c:layout>
                <c:manualLayout>
                  <c:x val="-5.4993563853729117E-2"/>
                  <c:y val="2.2924297100487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A-4837-9B0F-6A8E82CBFA74}"/>
                </c:ext>
              </c:extLst>
            </c:dLbl>
            <c:dLbl>
              <c:idx val="8"/>
              <c:layout>
                <c:manualLayout>
                  <c:x val="-5.7561551841207037E-2"/>
                  <c:y val="1.8229119491530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A-4837-9B0F-6A8E82CBFA74}"/>
                </c:ext>
              </c:extLst>
            </c:dLbl>
            <c:dLbl>
              <c:idx val="9"/>
              <c:layout>
                <c:manualLayout>
                  <c:x val="-6.0129539828685061E-2"/>
                  <c:y val="1.3533941882573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A-4837-9B0F-6A8E82CBFA74}"/>
                </c:ext>
              </c:extLst>
            </c:dLbl>
            <c:dLbl>
              <c:idx val="10"/>
              <c:layout>
                <c:manualLayout>
                  <c:x val="-6.7833503791118743E-2"/>
                  <c:y val="1.3533941882573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5A-4837-9B0F-6A8E82CBFA7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A,+1'!$Y$101:$Y$110</c:f>
              <c:numCache>
                <c:formatCode>0.0%</c:formatCode>
                <c:ptCount val="10"/>
                <c:pt idx="0">
                  <c:v>1</c:v>
                </c:pt>
                <c:pt idx="1">
                  <c:v>0.7665369649805448</c:v>
                </c:pt>
                <c:pt idx="2">
                  <c:v>0.59143968871595332</c:v>
                </c:pt>
                <c:pt idx="3">
                  <c:v>0.42801556420233461</c:v>
                </c:pt>
                <c:pt idx="4">
                  <c:v>0.35408560311284049</c:v>
                </c:pt>
                <c:pt idx="5">
                  <c:v>0.2723735408560311</c:v>
                </c:pt>
                <c:pt idx="6">
                  <c:v>0.16731517509727625</c:v>
                </c:pt>
                <c:pt idx="7">
                  <c:v>8.171206225680934E-2</c:v>
                </c:pt>
                <c:pt idx="8">
                  <c:v>5.0583657587548639E-2</c:v>
                </c:pt>
                <c:pt idx="9">
                  <c:v>3.8910505836575876E-3</c:v>
                </c:pt>
              </c:numCache>
            </c:numRef>
          </c:yVal>
          <c:smooth val="0"/>
          <c:extLst>
            <c:ext xmlns:c16="http://schemas.microsoft.com/office/drawing/2014/chart" uri="{C3380CC4-5D6E-409C-BE32-E72D297353CC}">
              <c16:uniqueId val="{00000000-AAA0-4ACA-AE1B-0C0EDCA4C5D7}"/>
            </c:ext>
          </c:extLst>
        </c:ser>
        <c:ser>
          <c:idx val="1"/>
          <c:order val="1"/>
          <c:tx>
            <c:strRef>
              <c:f>'3.2 SG, B vs A,+1'!$Z$100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2"/>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A,+1'!$X$101:$X$110</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'3.2 SG, B vs A,+1'!$Z$101:$Z$110</c:f>
              <c:numCache>
                <c:formatCode>0.0%</c:formatCode>
                <c:ptCount val="10"/>
                <c:pt idx="0">
                  <c:v>1</c:v>
                </c:pt>
                <c:pt idx="1">
                  <c:v>0.77042801556420237</c:v>
                </c:pt>
                <c:pt idx="2">
                  <c:v>0.59444192063836931</c:v>
                </c:pt>
                <c:pt idx="3">
                  <c:v>0.4301882320409251</c:v>
                </c:pt>
                <c:pt idx="4">
                  <c:v>0.35588299196112894</c:v>
                </c:pt>
                <c:pt idx="5">
                  <c:v>0.28157775188133277</c:v>
                </c:pt>
                <c:pt idx="6">
                  <c:v>0.24537489806801857</c:v>
                </c:pt>
                <c:pt idx="7">
                  <c:v>0.23396211211136655</c:v>
                </c:pt>
                <c:pt idx="8">
                  <c:v>0.22282105915368242</c:v>
                </c:pt>
                <c:pt idx="9">
                  <c:v>0.20568097768032223</c:v>
                </c:pt>
              </c:numCache>
            </c:numRef>
          </c:yVal>
          <c:smooth val="0"/>
          <c:extLst>
            <c:ext xmlns:c16="http://schemas.microsoft.com/office/drawing/2014/chart" uri="{C3380CC4-5D6E-409C-BE32-E72D297353CC}">
              <c16:uniqueId val="{00000001-AAA0-4ACA-AE1B-0C0EDCA4C5D7}"/>
            </c:ext>
          </c:extLst>
        </c:ser>
        <c:dLbls>
          <c:showLegendKey val="0"/>
          <c:showVal val="0"/>
          <c:showCatName val="0"/>
          <c:showSerName val="0"/>
          <c:showPercent val="0"/>
          <c:showBubbleSize val="0"/>
        </c:dLbls>
        <c:axId val="1459804335"/>
        <c:axId val="1457860175"/>
      </c:scatterChart>
      <c:valAx>
        <c:axId val="145980433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ES" sz="800">
                    <a:solidFill>
                      <a:sysClr val="windowText" lastClr="000000"/>
                    </a:solidFill>
                  </a:rPr>
                  <a:t>tiempo (meses)</a:t>
                </a:r>
              </a:p>
            </c:rich>
          </c:tx>
          <c:layout>
            <c:manualLayout>
              <c:xMode val="edge"/>
              <c:yMode val="edge"/>
              <c:x val="8.5314146708322366E-2"/>
              <c:y val="0.9123162042625492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457860175"/>
        <c:crosses val="autoZero"/>
        <c:crossBetween val="midCat"/>
        <c:majorUnit val="5"/>
      </c:valAx>
      <c:valAx>
        <c:axId val="145786017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Supervivientes-LEv </a:t>
                </a:r>
                <a:r>
                  <a:rPr lang="es-ES" sz="900">
                    <a:solidFill>
                      <a:schemeClr val="tx1"/>
                    </a:solidFill>
                  </a:rPr>
                  <a:t>vs </a:t>
                </a:r>
                <a:r>
                  <a:rPr lang="es-ES" sz="900" i="1">
                    <a:solidFill>
                      <a:schemeClr val="accent4">
                        <a:lumMod val="75000"/>
                      </a:schemeClr>
                    </a:solidFill>
                  </a:rPr>
                  <a:t>%</a:t>
                </a:r>
                <a:r>
                  <a:rPr lang="es-ES" sz="900" i="1" baseline="0">
                    <a:solidFill>
                      <a:schemeClr val="accent4">
                        <a:lumMod val="75000"/>
                      </a:schemeClr>
                    </a:solidFill>
                  </a:rPr>
                  <a:t> Supervivencia-LEv K-M</a:t>
                </a:r>
                <a:endParaRPr lang="es-ES" sz="900" i="1">
                  <a:solidFill>
                    <a:schemeClr val="accent4">
                      <a:lumMod val="75000"/>
                    </a:schemeClr>
                  </a:solidFill>
                </a:endParaRPr>
              </a:p>
            </c:rich>
          </c:tx>
          <c:layout>
            <c:manualLayout>
              <c:xMode val="edge"/>
              <c:yMode val="edge"/>
              <c:x val="4.6704390684526604E-3"/>
              <c:y val="0.1719487567764741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459804335"/>
        <c:crosses val="autoZero"/>
        <c:crossBetween val="midCat"/>
      </c:valAx>
      <c:spPr>
        <a:noFill/>
        <a:ln>
          <a:noFill/>
        </a:ln>
        <a:effectLst/>
      </c:spPr>
    </c:plotArea>
    <c:legend>
      <c:legendPos val="b"/>
      <c:layout>
        <c:manualLayout>
          <c:xMode val="edge"/>
          <c:yMode val="edge"/>
          <c:x val="0.25363789396215325"/>
          <c:y val="0.94142095234254486"/>
          <c:w val="0.7285786749136407"/>
          <c:h val="4.32141308840876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r>
              <a:rPr lang="en-US" sz="1100">
                <a:solidFill>
                  <a:schemeClr val="accent4">
                    <a:lumMod val="75000"/>
                  </a:schemeClr>
                </a:solidFill>
              </a:rPr>
              <a:t>Hazard Ratio al final de cada intervalo de tiempo</a:t>
            </a:r>
            <a:r>
              <a:rPr lang="en-US" sz="1100" baseline="0">
                <a:solidFill>
                  <a:schemeClr val="accent4">
                    <a:lumMod val="75000"/>
                  </a:schemeClr>
                </a:solidFill>
              </a:rPr>
              <a:t> acumulado desde el inicio</a:t>
            </a:r>
            <a:endParaRPr lang="en-US" sz="1100">
              <a:solidFill>
                <a:schemeClr val="accent4">
                  <a:lumMod val="75000"/>
                </a:schemeClr>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accent4">
                  <a:lumMod val="75000"/>
                </a:schemeClr>
              </a:solidFill>
              <a:latin typeface="+mn-lt"/>
              <a:ea typeface="+mn-ea"/>
              <a:cs typeface="+mn-cs"/>
            </a:defRPr>
          </a:pPr>
          <a:endParaRPr lang="es-ES"/>
        </a:p>
      </c:txPr>
    </c:title>
    <c:autoTitleDeleted val="0"/>
    <c:plotArea>
      <c:layout>
        <c:manualLayout>
          <c:layoutTarget val="inner"/>
          <c:xMode val="edge"/>
          <c:yMode val="edge"/>
          <c:x val="0.12715048118985126"/>
          <c:y val="0.21694444444444444"/>
          <c:w val="0.82962729658792655"/>
          <c:h val="0.58306357538641007"/>
        </c:manualLayout>
      </c:layout>
      <c:scatterChart>
        <c:scatterStyle val="lineMarker"/>
        <c:varyColors val="0"/>
        <c:ser>
          <c:idx val="0"/>
          <c:order val="0"/>
          <c:tx>
            <c:strRef>
              <c:f>'3.2 SG, B vs A,+1'!$Q$48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'3.2 SG, B vs A,+1'!$P$49:$P$58</c:f>
              <c:numCache>
                <c:formatCode>0</c:formatCode>
                <c:ptCount val="10"/>
                <c:pt idx="0">
                  <c:v>0</c:v>
                </c:pt>
                <c:pt idx="1">
                  <c:v>5</c:v>
                </c:pt>
                <c:pt idx="2">
                  <c:v>10</c:v>
                </c:pt>
                <c:pt idx="3">
                  <c:v>15</c:v>
                </c:pt>
                <c:pt idx="4">
                  <c:v>20</c:v>
                </c:pt>
                <c:pt idx="5">
                  <c:v>25</c:v>
                </c:pt>
                <c:pt idx="6">
                  <c:v>30</c:v>
                </c:pt>
                <c:pt idx="7">
                  <c:v>35</c:v>
                </c:pt>
                <c:pt idx="8">
                  <c:v>40</c:v>
                </c:pt>
                <c:pt idx="9">
                  <c:v>45</c:v>
                </c:pt>
              </c:numCache>
            </c:numRef>
          </c:xVal>
          <c:yVal>
            <c:numRef>
              <c:f>'3.2 SG, B vs A,+1'!$Q$49:$Q$58</c:f>
              <c:numCache>
                <c:formatCode>0.00</c:formatCode>
                <c:ptCount val="10"/>
                <c:pt idx="0">
                  <c:v>1</c:v>
                </c:pt>
                <c:pt idx="1">
                  <c:v>0.7888299662341931</c:v>
                </c:pt>
                <c:pt idx="2">
                  <c:v>0.99806234762739643</c:v>
                </c:pt>
                <c:pt idx="3">
                  <c:v>0.93470902165406944</c:v>
                </c:pt>
                <c:pt idx="4">
                  <c:v>1.0153270261922025</c:v>
                </c:pt>
                <c:pt idx="5">
                  <c:v>0.96037287997028564</c:v>
                </c:pt>
                <c:pt idx="6">
                  <c:v>0.89747805693589189</c:v>
                </c:pt>
                <c:pt idx="7">
                  <c:v>0.90895977006595441</c:v>
                </c:pt>
                <c:pt idx="8">
                  <c:v>0.90279415041738509</c:v>
                </c:pt>
                <c:pt idx="9">
                  <c:v>0.85709997762885759</c:v>
                </c:pt>
              </c:numCache>
            </c:numRef>
          </c:yVal>
          <c:smooth val="0"/>
          <c:extLst>
            <c:ext xmlns:c16="http://schemas.microsoft.com/office/drawing/2014/chart" uri="{C3380CC4-5D6E-409C-BE32-E72D297353CC}">
              <c16:uniqueId val="{00000000-3486-423D-B508-33A0020831D2}"/>
            </c:ext>
          </c:extLst>
        </c:ser>
        <c:dLbls>
          <c:showLegendKey val="0"/>
          <c:showVal val="0"/>
          <c:showCatName val="0"/>
          <c:showSerName val="0"/>
          <c:showPercent val="0"/>
          <c:showBubbleSize val="0"/>
        </c:dLbls>
        <c:axId val="963097647"/>
        <c:axId val="766876335"/>
      </c:scatterChart>
      <c:valAx>
        <c:axId val="963097647"/>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76335"/>
        <c:crosses val="autoZero"/>
        <c:crossBetween val="midCat"/>
        <c:majorUnit val="5"/>
      </c:valAx>
      <c:valAx>
        <c:axId val="766876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r>
                  <a:rPr lang="es-ES">
                    <a:solidFill>
                      <a:schemeClr val="accent4">
                        <a:lumMod val="75000"/>
                      </a:schemeClr>
                    </a:solidFill>
                  </a:rPr>
                  <a:t>Hazard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6309764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s-ES" sz="1100" b="1">
                <a:solidFill>
                  <a:schemeClr val="tx1"/>
                </a:solidFill>
              </a:rPr>
              <a:t>Gráfico</a:t>
            </a:r>
            <a:r>
              <a:rPr lang="es-ES" sz="1100" b="1" baseline="0">
                <a:solidFill>
                  <a:schemeClr val="tx1"/>
                </a:solidFill>
              </a:rPr>
              <a:t> fs-3.3.a [SG, Subgr CPS &gt; 20% de las Cohortes Completas Grupo B vs Grupo A]: </a:t>
            </a:r>
            <a:r>
              <a:rPr lang="es-ES" sz="1100" b="1" i="1" baseline="0">
                <a:solidFill>
                  <a:schemeClr val="accent4">
                    <a:lumMod val="75000"/>
                  </a:schemeClr>
                </a:solidFill>
              </a:rPr>
              <a:t>% Supervivencia libre de evento K-M</a:t>
            </a:r>
            <a:endParaRPr lang="es-ES" sz="1100" b="1" i="1">
              <a:solidFill>
                <a:schemeClr val="accent4">
                  <a:lumMod val="75000"/>
                </a:schemeClr>
              </a:solidFill>
            </a:endParaRPr>
          </a:p>
        </c:rich>
      </c:tx>
      <c:layout>
        <c:manualLayout>
          <c:xMode val="edge"/>
          <c:yMode val="edge"/>
          <c:x val="0.21555443978063168"/>
          <c:y val="7.7413982854936253E-3"/>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ES"/>
        </a:p>
      </c:txPr>
    </c:title>
    <c:autoTitleDeleted val="0"/>
    <c:plotArea>
      <c:layout>
        <c:manualLayout>
          <c:layoutTarget val="inner"/>
          <c:xMode val="edge"/>
          <c:yMode val="edge"/>
          <c:x val="8.4658941343175739E-2"/>
          <c:y val="0.14459469055893809"/>
          <c:w val="0.87615940527330805"/>
          <c:h val="0.72575029845528627"/>
        </c:manualLayout>
      </c:layout>
      <c:scatterChart>
        <c:scatterStyle val="lineMarker"/>
        <c:varyColors val="0"/>
        <c:ser>
          <c:idx val="0"/>
          <c:order val="0"/>
          <c:tx>
            <c:strRef>
              <c:f>'3.3 SG, B vs A,+20'!$N$48</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A,+20'!$N$49:$N$58</c:f>
              <c:numCache>
                <c:formatCode>0.0%</c:formatCode>
                <c:ptCount val="10"/>
                <c:pt idx="0">
                  <c:v>1</c:v>
                </c:pt>
                <c:pt idx="1">
                  <c:v>0.80451127819548873</c:v>
                </c:pt>
                <c:pt idx="2">
                  <c:v>0.63909774436090228</c:v>
                </c:pt>
                <c:pt idx="3">
                  <c:v>0.48872180451127817</c:v>
                </c:pt>
                <c:pt idx="4">
                  <c:v>0.42857142857142855</c:v>
                </c:pt>
                <c:pt idx="5">
                  <c:v>0.34586466165413537</c:v>
                </c:pt>
                <c:pt idx="6">
                  <c:v>0.29974937343358399</c:v>
                </c:pt>
                <c:pt idx="7">
                  <c:v>0.29974937343358399</c:v>
                </c:pt>
                <c:pt idx="8">
                  <c:v>0.29974937343358399</c:v>
                </c:pt>
                <c:pt idx="9">
                  <c:v>0.26644388749651909</c:v>
                </c:pt>
              </c:numCache>
            </c:numRef>
          </c:yVal>
          <c:smooth val="0"/>
          <c:extLst>
            <c:ext xmlns:c16="http://schemas.microsoft.com/office/drawing/2014/chart" uri="{C3380CC4-5D6E-409C-BE32-E72D297353CC}">
              <c16:uniqueId val="{00000000-7382-447E-A1EC-BE99B1E9A31D}"/>
            </c:ext>
          </c:extLst>
        </c:ser>
        <c:ser>
          <c:idx val="1"/>
          <c:order val="1"/>
          <c:tx>
            <c:strRef>
              <c:f>'3.3 SG, B vs A,+20'!$O$48</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'3.3 SG, B vs A,+20'!$M$49:$M$58</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'3.3 SG, B vs A,+20'!$O$49:$O$58</c:f>
              <c:numCache>
                <c:formatCode>0.0%</c:formatCode>
                <c:ptCount val="10"/>
                <c:pt idx="0">
                  <c:v>1</c:v>
                </c:pt>
                <c:pt idx="1">
                  <c:v>0.80952380952380953</c:v>
                </c:pt>
                <c:pt idx="2">
                  <c:v>0.61111111111111116</c:v>
                </c:pt>
                <c:pt idx="3">
                  <c:v>0.48412698412698413</c:v>
                </c:pt>
                <c:pt idx="4">
                  <c:v>0.40343915343915343</c:v>
                </c:pt>
                <c:pt idx="5">
                  <c:v>0.35502645502645502</c:v>
                </c:pt>
                <c:pt idx="6">
                  <c:v>0.34695767195767196</c:v>
                </c:pt>
                <c:pt idx="7">
                  <c:v>0.33731995884773663</c:v>
                </c:pt>
                <c:pt idx="8">
                  <c:v>0.32125710366451105</c:v>
                </c:pt>
                <c:pt idx="9">
                  <c:v>0.32125710366451105</c:v>
                </c:pt>
              </c:numCache>
            </c:numRef>
          </c:yVal>
          <c:smooth val="0"/>
          <c:extLst>
            <c:ext xmlns:c16="http://schemas.microsoft.com/office/drawing/2014/chart" uri="{C3380CC4-5D6E-409C-BE32-E72D297353CC}">
              <c16:uniqueId val="{00000001-7382-447E-A1EC-BE99B1E9A31D}"/>
            </c:ext>
          </c:extLst>
        </c:ser>
        <c:dLbls>
          <c:showLegendKey val="0"/>
          <c:showVal val="0"/>
          <c:showCatName val="0"/>
          <c:showSerName val="0"/>
          <c:showPercent val="0"/>
          <c:showBubbleSize val="0"/>
        </c:dLbls>
        <c:axId val="1226302959"/>
        <c:axId val="1028161487"/>
      </c:scatterChart>
      <c:valAx>
        <c:axId val="1226302959"/>
        <c:scaling>
          <c:orientation val="minMax"/>
          <c:max val="5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ES" sz="900">
                    <a:solidFill>
                      <a:sysClr val="windowText" lastClr="000000"/>
                    </a:solidFill>
                  </a:rPr>
                  <a:t>tiempo</a:t>
                </a:r>
                <a:r>
                  <a:rPr lang="es-ES" sz="900" baseline="0">
                    <a:solidFill>
                      <a:sysClr val="windowText" lastClr="000000"/>
                    </a:solidFill>
                  </a:rPr>
                  <a:t> (meses)</a:t>
                </a:r>
                <a:endParaRPr lang="es-ES" sz="900">
                  <a:solidFill>
                    <a:sysClr val="windowText" lastClr="000000"/>
                  </a:solidFill>
                </a:endParaRPr>
              </a:p>
            </c:rich>
          </c:tx>
          <c:layout>
            <c:manualLayout>
              <c:xMode val="edge"/>
              <c:yMode val="edge"/>
              <c:x val="5.933770224993741E-2"/>
              <c:y val="0.9187424010869976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28161487"/>
        <c:crosses val="autoZero"/>
        <c:crossBetween val="midCat"/>
        <c:majorUnit val="5"/>
      </c:valAx>
      <c:valAx>
        <c:axId val="102816148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r>
                  <a:rPr lang="es-ES" sz="900" i="1">
                    <a:solidFill>
                      <a:schemeClr val="accent4">
                        <a:lumMod val="75000"/>
                      </a:schemeClr>
                    </a:solidFill>
                  </a:rPr>
                  <a:t>% </a:t>
                </a:r>
                <a:r>
                  <a:rPr lang="es-ES" sz="900" i="1" baseline="0">
                    <a:solidFill>
                      <a:schemeClr val="accent4">
                        <a:lumMod val="75000"/>
                      </a:schemeClr>
                    </a:solidFill>
                  </a:rPr>
                  <a:t>Supervivencia libre de evento K-M</a:t>
                </a:r>
                <a:endParaRPr lang="es-ES" sz="900" i="1">
                  <a:solidFill>
                    <a:schemeClr val="accent4">
                      <a:lumMod val="75000"/>
                    </a:schemeClr>
                  </a:solidFill>
                </a:endParaRPr>
              </a:p>
            </c:rich>
          </c:tx>
          <c:layout>
            <c:manualLayout>
              <c:xMode val="edge"/>
              <c:yMode val="edge"/>
              <c:x val="2.1697368199969764E-3"/>
              <c:y val="0.2797854507238775"/>
            </c:manualLayout>
          </c:layout>
          <c:overlay val="0"/>
          <c:spPr>
            <a:noFill/>
            <a:ln>
              <a:noFill/>
            </a:ln>
            <a:effectLst/>
          </c:spPr>
          <c:txPr>
            <a:bodyPr rot="-5400000" spcFirstLastPara="1" vertOverflow="ellipsis" vert="horz" wrap="square" anchor="ctr" anchorCtr="1"/>
            <a:lstStyle/>
            <a:p>
              <a:pPr>
                <a:defRPr sz="900" b="0" i="1" u="none" strike="noStrike" kern="1200" baseline="0">
                  <a:solidFill>
                    <a:schemeClr val="accent4">
                      <a:lumMod val="7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226302959"/>
        <c:crosses val="autoZero"/>
        <c:crossBetween val="midCat"/>
        <c:majorUnit val="0.1"/>
      </c:valAx>
      <c:spPr>
        <a:noFill/>
        <a:ln>
          <a:noFill/>
        </a:ln>
        <a:effectLst/>
      </c:spPr>
    </c:plotArea>
    <c:legend>
      <c:legendPos val="b"/>
      <c:layout>
        <c:manualLayout>
          <c:xMode val="edge"/>
          <c:yMode val="edge"/>
          <c:x val="0.21054822103518583"/>
          <c:y val="0.944069341306777"/>
          <c:w val="0.78096654288973411"/>
          <c:h val="4.7799194938389238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DD869B5D-A2F1-4BEF-BE8B-3123C23E6C99}"/>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18A5A864-49EA-4BAC-8196-935C39A60C48}"/>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24</xdr:row>
      <xdr:rowOff>0</xdr:rowOff>
    </xdr:from>
    <xdr:to>
      <xdr:col>10</xdr:col>
      <xdr:colOff>462641</xdr:colOff>
      <xdr:row>26</xdr:row>
      <xdr:rowOff>54430</xdr:rowOff>
    </xdr:to>
    <xdr:sp macro="" textlink="">
      <xdr:nvSpPr>
        <xdr:cNvPr id="5" name="Forma libre: forma 4">
          <a:extLst>
            <a:ext uri="{FF2B5EF4-FFF2-40B4-BE49-F238E27FC236}">
              <a16:creationId xmlns:a16="http://schemas.microsoft.com/office/drawing/2014/main" id="{6385B59E-7F4E-4935-8697-0D28FFC9DD47}"/>
            </a:ext>
          </a:extLst>
        </xdr:cNvPr>
        <xdr:cNvSpPr/>
      </xdr:nvSpPr>
      <xdr:spPr>
        <a:xfrm>
          <a:off x="5170713" y="6540501"/>
          <a:ext cx="24583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40</xdr:row>
      <xdr:rowOff>0</xdr:rowOff>
    </xdr:from>
    <xdr:to>
      <xdr:col>10</xdr:col>
      <xdr:colOff>480785</xdr:colOff>
      <xdr:row>42</xdr:row>
      <xdr:rowOff>27214</xdr:rowOff>
    </xdr:to>
    <xdr:sp macro="" textlink="">
      <xdr:nvSpPr>
        <xdr:cNvPr id="6" name="Forma libre: forma 5">
          <a:extLst>
            <a:ext uri="{FF2B5EF4-FFF2-40B4-BE49-F238E27FC236}">
              <a16:creationId xmlns:a16="http://schemas.microsoft.com/office/drawing/2014/main" id="{CC9A2790-60CF-475C-8B37-62A39887B29F}"/>
            </a:ext>
          </a:extLst>
        </xdr:cNvPr>
        <xdr:cNvSpPr/>
      </xdr:nvSpPr>
      <xdr:spPr>
        <a:xfrm>
          <a:off x="5161642" y="10105571"/>
          <a:ext cx="2485572"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24</xdr:row>
      <xdr:rowOff>0</xdr:rowOff>
    </xdr:from>
    <xdr:to>
      <xdr:col>10</xdr:col>
      <xdr:colOff>542193</xdr:colOff>
      <xdr:row>25</xdr:row>
      <xdr:rowOff>48846</xdr:rowOff>
    </xdr:to>
    <xdr:cxnSp macro="">
      <xdr:nvCxnSpPr>
        <xdr:cNvPr id="9" name="Conector recto de flecha 8">
          <a:extLst>
            <a:ext uri="{FF2B5EF4-FFF2-40B4-BE49-F238E27FC236}">
              <a16:creationId xmlns:a16="http://schemas.microsoft.com/office/drawing/2014/main" id="{0EF84802-7045-45F8-BA11-108E24743682}"/>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517072</xdr:colOff>
      <xdr:row>79</xdr:row>
      <xdr:rowOff>535214</xdr:rowOff>
    </xdr:from>
    <xdr:to>
      <xdr:col>15</xdr:col>
      <xdr:colOff>480787</xdr:colOff>
      <xdr:row>81</xdr:row>
      <xdr:rowOff>63498</xdr:rowOff>
    </xdr:to>
    <xdr:sp macro="" textlink="">
      <xdr:nvSpPr>
        <xdr:cNvPr id="14" name="Forma libre: forma 13">
          <a:extLst>
            <a:ext uri="{FF2B5EF4-FFF2-40B4-BE49-F238E27FC236}">
              <a16:creationId xmlns:a16="http://schemas.microsoft.com/office/drawing/2014/main" id="{F7299DB4-82F3-4727-A800-32A9C51C164A}"/>
            </a:ext>
          </a:extLst>
        </xdr:cNvPr>
        <xdr:cNvSpPr/>
      </xdr:nvSpPr>
      <xdr:spPr>
        <a:xfrm>
          <a:off x="7683501" y="17689285"/>
          <a:ext cx="4871357"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444500</xdr:colOff>
      <xdr:row>98</xdr:row>
      <xdr:rowOff>99787</xdr:rowOff>
    </xdr:from>
    <xdr:to>
      <xdr:col>15</xdr:col>
      <xdr:colOff>408215</xdr:colOff>
      <xdr:row>100</xdr:row>
      <xdr:rowOff>90714</xdr:rowOff>
    </xdr:to>
    <xdr:sp macro="" textlink="">
      <xdr:nvSpPr>
        <xdr:cNvPr id="15" name="Forma libre: forma 14">
          <a:extLst>
            <a:ext uri="{FF2B5EF4-FFF2-40B4-BE49-F238E27FC236}">
              <a16:creationId xmlns:a16="http://schemas.microsoft.com/office/drawing/2014/main" id="{0F95386C-BC26-416E-86A0-4416EA91B4E1}"/>
            </a:ext>
          </a:extLst>
        </xdr:cNvPr>
        <xdr:cNvSpPr/>
      </xdr:nvSpPr>
      <xdr:spPr>
        <a:xfrm>
          <a:off x="7610929" y="22079858"/>
          <a:ext cx="4871357"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426356</xdr:colOff>
      <xdr:row>99</xdr:row>
      <xdr:rowOff>45357</xdr:rowOff>
    </xdr:from>
    <xdr:to>
      <xdr:col>18</xdr:col>
      <xdr:colOff>344713</xdr:colOff>
      <xdr:row>100</xdr:row>
      <xdr:rowOff>127000</xdr:rowOff>
    </xdr:to>
    <xdr:sp macro="" textlink="">
      <xdr:nvSpPr>
        <xdr:cNvPr id="18" name="Forma libre: forma 17">
          <a:extLst>
            <a:ext uri="{FF2B5EF4-FFF2-40B4-BE49-F238E27FC236}">
              <a16:creationId xmlns:a16="http://schemas.microsoft.com/office/drawing/2014/main" id="{67B27222-2454-4F5C-B8DF-B787B2A5FC76}"/>
            </a:ext>
          </a:extLst>
        </xdr:cNvPr>
        <xdr:cNvSpPr/>
      </xdr:nvSpPr>
      <xdr:spPr>
        <a:xfrm>
          <a:off x="10658927" y="22143357"/>
          <a:ext cx="5080000"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0C7CF7C4-4F9E-40EF-8ED5-C5A2404732B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153569</xdr:colOff>
      <xdr:row>47</xdr:row>
      <xdr:rowOff>10984</xdr:rowOff>
    </xdr:from>
    <xdr:to>
      <xdr:col>30</xdr:col>
      <xdr:colOff>712700</xdr:colOff>
      <xdr:row>63</xdr:row>
      <xdr:rowOff>110827</xdr:rowOff>
    </xdr:to>
    <xdr:graphicFrame macro="">
      <xdr:nvGraphicFramePr>
        <xdr:cNvPr id="25" name="Gráfico 24">
          <a:extLst>
            <a:ext uri="{FF2B5EF4-FFF2-40B4-BE49-F238E27FC236}">
              <a16:creationId xmlns:a16="http://schemas.microsoft.com/office/drawing/2014/main" id="{8AFFF7D9-2AA1-4E2F-9BF2-43C01B189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108857</xdr:colOff>
      <xdr:row>80</xdr:row>
      <xdr:rowOff>519793</xdr:rowOff>
    </xdr:from>
    <xdr:to>
      <xdr:col>30</xdr:col>
      <xdr:colOff>952501</xdr:colOff>
      <xdr:row>94</xdr:row>
      <xdr:rowOff>99786</xdr:rowOff>
    </xdr:to>
    <xdr:graphicFrame macro="">
      <xdr:nvGraphicFramePr>
        <xdr:cNvPr id="26" name="Gráfico 25">
          <a:extLst>
            <a:ext uri="{FF2B5EF4-FFF2-40B4-BE49-F238E27FC236}">
              <a16:creationId xmlns:a16="http://schemas.microsoft.com/office/drawing/2014/main" id="{41181F69-AD88-4396-A816-E160CECF0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104111</xdr:colOff>
      <xdr:row>99</xdr:row>
      <xdr:rowOff>378499</xdr:rowOff>
    </xdr:from>
    <xdr:to>
      <xdr:col>30</xdr:col>
      <xdr:colOff>944457</xdr:colOff>
      <xdr:row>113</xdr:row>
      <xdr:rowOff>63500</xdr:rowOff>
    </xdr:to>
    <xdr:graphicFrame macro="">
      <xdr:nvGraphicFramePr>
        <xdr:cNvPr id="27" name="Gráfico 26">
          <a:extLst>
            <a:ext uri="{FF2B5EF4-FFF2-40B4-BE49-F238E27FC236}">
              <a16:creationId xmlns:a16="http://schemas.microsoft.com/office/drawing/2014/main" id="{A06E43DC-6700-4E7A-A634-DEF8E2E0DC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9072</xdr:colOff>
      <xdr:row>59</xdr:row>
      <xdr:rowOff>129722</xdr:rowOff>
    </xdr:from>
    <xdr:to>
      <xdr:col>19</xdr:col>
      <xdr:colOff>335643</xdr:colOff>
      <xdr:row>76</xdr:row>
      <xdr:rowOff>97065</xdr:rowOff>
    </xdr:to>
    <xdr:graphicFrame macro="">
      <xdr:nvGraphicFramePr>
        <xdr:cNvPr id="28" name="Gráfico 27">
          <a:extLst>
            <a:ext uri="{FF2B5EF4-FFF2-40B4-BE49-F238E27FC236}">
              <a16:creationId xmlns:a16="http://schemas.microsoft.com/office/drawing/2014/main" id="{AAD62F4E-842A-4668-9552-CCAC2638F9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517071</xdr:colOff>
      <xdr:row>79</xdr:row>
      <xdr:rowOff>526144</xdr:rowOff>
    </xdr:from>
    <xdr:to>
      <xdr:col>18</xdr:col>
      <xdr:colOff>435428</xdr:colOff>
      <xdr:row>81</xdr:row>
      <xdr:rowOff>54429</xdr:rowOff>
    </xdr:to>
    <xdr:sp macro="" textlink="">
      <xdr:nvSpPr>
        <xdr:cNvPr id="29" name="Forma libre: forma 28">
          <a:extLst>
            <a:ext uri="{FF2B5EF4-FFF2-40B4-BE49-F238E27FC236}">
              <a16:creationId xmlns:a16="http://schemas.microsoft.com/office/drawing/2014/main" id="{663AA158-9729-493B-B42F-5A2E74A4C9D1}"/>
            </a:ext>
          </a:extLst>
        </xdr:cNvPr>
        <xdr:cNvSpPr/>
      </xdr:nvSpPr>
      <xdr:spPr>
        <a:xfrm>
          <a:off x="10749642" y="17680215"/>
          <a:ext cx="5080000"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26</xdr:row>
      <xdr:rowOff>9071</xdr:rowOff>
    </xdr:from>
    <xdr:to>
      <xdr:col>10</xdr:col>
      <xdr:colOff>490764</xdr:colOff>
      <xdr:row>28</xdr:row>
      <xdr:rowOff>66221</xdr:rowOff>
    </xdr:to>
    <xdr:sp macro="" textlink="">
      <xdr:nvSpPr>
        <xdr:cNvPr id="46" name="Forma libre: forma 45">
          <a:extLst>
            <a:ext uri="{FF2B5EF4-FFF2-40B4-BE49-F238E27FC236}">
              <a16:creationId xmlns:a16="http://schemas.microsoft.com/office/drawing/2014/main" id="{6A999584-D769-4CA2-AA13-165A85E91B7E}"/>
            </a:ext>
          </a:extLst>
        </xdr:cNvPr>
        <xdr:cNvSpPr/>
      </xdr:nvSpPr>
      <xdr:spPr>
        <a:xfrm>
          <a:off x="3764643" y="69487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42</xdr:row>
      <xdr:rowOff>18143</xdr:rowOff>
    </xdr:from>
    <xdr:to>
      <xdr:col>10</xdr:col>
      <xdr:colOff>490764</xdr:colOff>
      <xdr:row>44</xdr:row>
      <xdr:rowOff>75293</xdr:rowOff>
    </xdr:to>
    <xdr:sp macro="" textlink="">
      <xdr:nvSpPr>
        <xdr:cNvPr id="47" name="Forma libre: forma 46">
          <a:extLst>
            <a:ext uri="{FF2B5EF4-FFF2-40B4-BE49-F238E27FC236}">
              <a16:creationId xmlns:a16="http://schemas.microsoft.com/office/drawing/2014/main" id="{CACD6D84-789A-4518-805A-04FCC964F26D}"/>
            </a:ext>
          </a:extLst>
        </xdr:cNvPr>
        <xdr:cNvSpPr/>
      </xdr:nvSpPr>
      <xdr:spPr>
        <a:xfrm>
          <a:off x="3764643" y="10640786"/>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111</xdr:row>
      <xdr:rowOff>0</xdr:rowOff>
    </xdr:from>
    <xdr:to>
      <xdr:col>18</xdr:col>
      <xdr:colOff>381000</xdr:colOff>
      <xdr:row>112</xdr:row>
      <xdr:rowOff>0</xdr:rowOff>
    </xdr:to>
    <xdr:cxnSp macro="">
      <xdr:nvCxnSpPr>
        <xdr:cNvPr id="22" name="Conector recto de flecha 21">
          <a:extLst>
            <a:ext uri="{FF2B5EF4-FFF2-40B4-BE49-F238E27FC236}">
              <a16:creationId xmlns:a16="http://schemas.microsoft.com/office/drawing/2014/main" id="{A7746687-B674-4247-8938-1D19CF7F6AC0}"/>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92</xdr:row>
      <xdr:rowOff>0</xdr:rowOff>
    </xdr:from>
    <xdr:to>
      <xdr:col>18</xdr:col>
      <xdr:colOff>381000</xdr:colOff>
      <xdr:row>93</xdr:row>
      <xdr:rowOff>0</xdr:rowOff>
    </xdr:to>
    <xdr:cxnSp macro="">
      <xdr:nvCxnSpPr>
        <xdr:cNvPr id="24" name="Conector recto de flecha 23">
          <a:extLst>
            <a:ext uri="{FF2B5EF4-FFF2-40B4-BE49-F238E27FC236}">
              <a16:creationId xmlns:a16="http://schemas.microsoft.com/office/drawing/2014/main" id="{050790A7-C4CA-4ABF-A64C-BA3E87BF3521}"/>
            </a:ext>
          </a:extLst>
        </xdr:cNvPr>
        <xdr:cNvCxnSpPr/>
      </xdr:nvCxnSpPr>
      <xdr:spPr>
        <a:xfrm flipV="1">
          <a:off x="14915243" y="266763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136072</xdr:colOff>
      <xdr:row>44</xdr:row>
      <xdr:rowOff>0</xdr:rowOff>
    </xdr:from>
    <xdr:to>
      <xdr:col>42</xdr:col>
      <xdr:colOff>597007</xdr:colOff>
      <xdr:row>53</xdr:row>
      <xdr:rowOff>54428</xdr:rowOff>
    </xdr:to>
    <xdr:pic>
      <xdr:nvPicPr>
        <xdr:cNvPr id="31" name="Imagen 30">
          <a:extLst>
            <a:ext uri="{FF2B5EF4-FFF2-40B4-BE49-F238E27FC236}">
              <a16:creationId xmlns:a16="http://schemas.microsoft.com/office/drawing/2014/main" id="{8AC3AA4A-ED14-4FBF-87F4-CE464C4412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806072" y="10804071"/>
          <a:ext cx="5822149" cy="2313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299357</xdr:colOff>
      <xdr:row>3</xdr:row>
      <xdr:rowOff>72572</xdr:rowOff>
    </xdr:from>
    <xdr:to>
      <xdr:col>8</xdr:col>
      <xdr:colOff>154215</xdr:colOff>
      <xdr:row>8</xdr:row>
      <xdr:rowOff>13234</xdr:rowOff>
    </xdr:to>
    <xdr:pic>
      <xdr:nvPicPr>
        <xdr:cNvPr id="33" name="Imagen 32">
          <a:extLst>
            <a:ext uri="{FF2B5EF4-FFF2-40B4-BE49-F238E27FC236}">
              <a16:creationId xmlns:a16="http://schemas.microsoft.com/office/drawing/2014/main" id="{7FBB5D75-E060-4D4D-9093-5910644C7F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9357" y="526143"/>
          <a:ext cx="5324929" cy="214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9071</xdr:colOff>
      <xdr:row>55</xdr:row>
      <xdr:rowOff>45357</xdr:rowOff>
    </xdr:from>
    <xdr:to>
      <xdr:col>41</xdr:col>
      <xdr:colOff>212271</xdr:colOff>
      <xdr:row>69</xdr:row>
      <xdr:rowOff>146957</xdr:rowOff>
    </xdr:to>
    <xdr:pic>
      <xdr:nvPicPr>
        <xdr:cNvPr id="34" name="Imagen 33">
          <a:extLst>
            <a:ext uri="{FF2B5EF4-FFF2-40B4-BE49-F238E27FC236}">
              <a16:creationId xmlns:a16="http://schemas.microsoft.com/office/drawing/2014/main" id="{FF025B94-C910-4CB6-9E1D-9024B2C436F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924000" y="13434786"/>
          <a:ext cx="4376057" cy="238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408215</xdr:colOff>
      <xdr:row>3</xdr:row>
      <xdr:rowOff>45357</xdr:rowOff>
    </xdr:from>
    <xdr:to>
      <xdr:col>13</xdr:col>
      <xdr:colOff>571501</xdr:colOff>
      <xdr:row>8</xdr:row>
      <xdr:rowOff>67386</xdr:rowOff>
    </xdr:to>
    <xdr:pic>
      <xdr:nvPicPr>
        <xdr:cNvPr id="35" name="Imagen 34">
          <a:extLst>
            <a:ext uri="{FF2B5EF4-FFF2-40B4-BE49-F238E27FC236}">
              <a16:creationId xmlns:a16="http://schemas.microsoft.com/office/drawing/2014/main" id="{AA0F84A2-3A85-4A8E-B678-53F6391CB84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572" y="498928"/>
          <a:ext cx="4000500" cy="222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83251113-D8D5-46EC-82EA-CBE35A722273}"/>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D6F997C3-9BD7-458A-B938-B6138E68D901}"/>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644070</xdr:colOff>
      <xdr:row>24</xdr:row>
      <xdr:rowOff>0</xdr:rowOff>
    </xdr:from>
    <xdr:to>
      <xdr:col>10</xdr:col>
      <xdr:colOff>480786</xdr:colOff>
      <xdr:row>26</xdr:row>
      <xdr:rowOff>54430</xdr:rowOff>
    </xdr:to>
    <xdr:sp macro="" textlink="">
      <xdr:nvSpPr>
        <xdr:cNvPr id="5" name="Forma libre: forma 4">
          <a:extLst>
            <a:ext uri="{FF2B5EF4-FFF2-40B4-BE49-F238E27FC236}">
              <a16:creationId xmlns:a16="http://schemas.microsoft.com/office/drawing/2014/main" id="{60E5791D-E76E-41C3-9988-2731B3A3E72B}"/>
            </a:ext>
          </a:extLst>
        </xdr:cNvPr>
        <xdr:cNvSpPr/>
      </xdr:nvSpPr>
      <xdr:spPr>
        <a:xfrm>
          <a:off x="5206999" y="7175500"/>
          <a:ext cx="2440216" cy="471716"/>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40</xdr:row>
      <xdr:rowOff>0</xdr:rowOff>
    </xdr:from>
    <xdr:to>
      <xdr:col>10</xdr:col>
      <xdr:colOff>112059</xdr:colOff>
      <xdr:row>42</xdr:row>
      <xdr:rowOff>27214</xdr:rowOff>
    </xdr:to>
    <xdr:sp macro="" textlink="">
      <xdr:nvSpPr>
        <xdr:cNvPr id="6" name="Forma libre: forma 5">
          <a:extLst>
            <a:ext uri="{FF2B5EF4-FFF2-40B4-BE49-F238E27FC236}">
              <a16:creationId xmlns:a16="http://schemas.microsoft.com/office/drawing/2014/main" id="{20D6B515-0358-4DAF-8B53-371B1C42F478}"/>
            </a:ext>
          </a:extLst>
        </xdr:cNvPr>
        <xdr:cNvSpPr/>
      </xdr:nvSpPr>
      <xdr:spPr>
        <a:xfrm>
          <a:off x="5170713" y="14712577"/>
          <a:ext cx="2123196" cy="402237"/>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24</xdr:row>
      <xdr:rowOff>0</xdr:rowOff>
    </xdr:from>
    <xdr:to>
      <xdr:col>10</xdr:col>
      <xdr:colOff>542193</xdr:colOff>
      <xdr:row>25</xdr:row>
      <xdr:rowOff>48846</xdr:rowOff>
    </xdr:to>
    <xdr:cxnSp macro="">
      <xdr:nvCxnSpPr>
        <xdr:cNvPr id="9" name="Conector recto de flecha 8">
          <a:extLst>
            <a:ext uri="{FF2B5EF4-FFF2-40B4-BE49-F238E27FC236}">
              <a16:creationId xmlns:a16="http://schemas.microsoft.com/office/drawing/2014/main" id="{5F683C8B-8CA2-45F0-9239-18CC8AD9BC08}"/>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480786</xdr:colOff>
      <xdr:row>80</xdr:row>
      <xdr:rowOff>9072</xdr:rowOff>
    </xdr:from>
    <xdr:to>
      <xdr:col>15</xdr:col>
      <xdr:colOff>444501</xdr:colOff>
      <xdr:row>81</xdr:row>
      <xdr:rowOff>90714</xdr:rowOff>
    </xdr:to>
    <xdr:sp macro="" textlink="">
      <xdr:nvSpPr>
        <xdr:cNvPr id="14" name="Forma libre: forma 13">
          <a:extLst>
            <a:ext uri="{FF2B5EF4-FFF2-40B4-BE49-F238E27FC236}">
              <a16:creationId xmlns:a16="http://schemas.microsoft.com/office/drawing/2014/main" id="{FD40B9C4-82DD-4F22-BE03-2602B45BF2E3}"/>
            </a:ext>
          </a:extLst>
        </xdr:cNvPr>
        <xdr:cNvSpPr/>
      </xdr:nvSpPr>
      <xdr:spPr>
        <a:xfrm>
          <a:off x="7647215" y="19675929"/>
          <a:ext cx="5016500"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435428</xdr:colOff>
      <xdr:row>98</xdr:row>
      <xdr:rowOff>1</xdr:rowOff>
    </xdr:from>
    <xdr:to>
      <xdr:col>15</xdr:col>
      <xdr:colOff>399143</xdr:colOff>
      <xdr:row>99</xdr:row>
      <xdr:rowOff>108857</xdr:rowOff>
    </xdr:to>
    <xdr:sp macro="" textlink="">
      <xdr:nvSpPr>
        <xdr:cNvPr id="15" name="Forma libre: forma 14">
          <a:extLst>
            <a:ext uri="{FF2B5EF4-FFF2-40B4-BE49-F238E27FC236}">
              <a16:creationId xmlns:a16="http://schemas.microsoft.com/office/drawing/2014/main" id="{6E96C887-0E93-4D8F-8BCC-6DD3CA78A18A}"/>
            </a:ext>
          </a:extLst>
        </xdr:cNvPr>
        <xdr:cNvSpPr/>
      </xdr:nvSpPr>
      <xdr:spPr>
        <a:xfrm>
          <a:off x="7617278" y="31311851"/>
          <a:ext cx="475796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526142</xdr:colOff>
      <xdr:row>79</xdr:row>
      <xdr:rowOff>498928</xdr:rowOff>
    </xdr:from>
    <xdr:to>
      <xdr:col>18</xdr:col>
      <xdr:colOff>444499</xdr:colOff>
      <xdr:row>81</xdr:row>
      <xdr:rowOff>27214</xdr:rowOff>
    </xdr:to>
    <xdr:sp macro="" textlink="">
      <xdr:nvSpPr>
        <xdr:cNvPr id="16" name="Forma libre: forma 15">
          <a:extLst>
            <a:ext uri="{FF2B5EF4-FFF2-40B4-BE49-F238E27FC236}">
              <a16:creationId xmlns:a16="http://schemas.microsoft.com/office/drawing/2014/main" id="{0723E8FA-9510-4A76-B698-664A0AD73331}"/>
            </a:ext>
          </a:extLst>
        </xdr:cNvPr>
        <xdr:cNvSpPr/>
      </xdr:nvSpPr>
      <xdr:spPr>
        <a:xfrm>
          <a:off x="10794999" y="19612428"/>
          <a:ext cx="5352143"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98</xdr:row>
      <xdr:rowOff>0</xdr:rowOff>
    </xdr:from>
    <xdr:to>
      <xdr:col>18</xdr:col>
      <xdr:colOff>371928</xdr:colOff>
      <xdr:row>99</xdr:row>
      <xdr:rowOff>81643</xdr:rowOff>
    </xdr:to>
    <xdr:sp macro="" textlink="">
      <xdr:nvSpPr>
        <xdr:cNvPr id="18" name="Forma libre: forma 17">
          <a:extLst>
            <a:ext uri="{FF2B5EF4-FFF2-40B4-BE49-F238E27FC236}">
              <a16:creationId xmlns:a16="http://schemas.microsoft.com/office/drawing/2014/main" id="{47B62948-0A7A-4E9C-9B0A-D75BA41E1291}"/>
            </a:ext>
          </a:extLst>
        </xdr:cNvPr>
        <xdr:cNvSpPr/>
      </xdr:nvSpPr>
      <xdr:spPr>
        <a:xfrm>
          <a:off x="10626271" y="31311850"/>
          <a:ext cx="5017407"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193C94D3-E21F-4799-8E83-49829707165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105455</xdr:colOff>
      <xdr:row>46</xdr:row>
      <xdr:rowOff>442685</xdr:rowOff>
    </xdr:from>
    <xdr:to>
      <xdr:col>30</xdr:col>
      <xdr:colOff>852714</xdr:colOff>
      <xdr:row>60</xdr:row>
      <xdr:rowOff>145142</xdr:rowOff>
    </xdr:to>
    <xdr:graphicFrame macro="">
      <xdr:nvGraphicFramePr>
        <xdr:cNvPr id="25" name="Gráfico 24">
          <a:extLst>
            <a:ext uri="{FF2B5EF4-FFF2-40B4-BE49-F238E27FC236}">
              <a16:creationId xmlns:a16="http://schemas.microsoft.com/office/drawing/2014/main" id="{2425D5C2-F382-48C5-8C08-D7F6DC9BA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99785</xdr:colOff>
      <xdr:row>81</xdr:row>
      <xdr:rowOff>2721</xdr:rowOff>
    </xdr:from>
    <xdr:to>
      <xdr:col>30</xdr:col>
      <xdr:colOff>943428</xdr:colOff>
      <xdr:row>92</xdr:row>
      <xdr:rowOff>154214</xdr:rowOff>
    </xdr:to>
    <xdr:graphicFrame macro="">
      <xdr:nvGraphicFramePr>
        <xdr:cNvPr id="28" name="Gráfico 27">
          <a:extLst>
            <a:ext uri="{FF2B5EF4-FFF2-40B4-BE49-F238E27FC236}">
              <a16:creationId xmlns:a16="http://schemas.microsoft.com/office/drawing/2014/main" id="{74C16044-E492-4BDB-AAAF-C84862FFE7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74938</xdr:colOff>
      <xdr:row>99</xdr:row>
      <xdr:rowOff>22836</xdr:rowOff>
    </xdr:from>
    <xdr:to>
      <xdr:col>30</xdr:col>
      <xdr:colOff>934357</xdr:colOff>
      <xdr:row>110</xdr:row>
      <xdr:rowOff>127000</xdr:rowOff>
    </xdr:to>
    <xdr:graphicFrame macro="">
      <xdr:nvGraphicFramePr>
        <xdr:cNvPr id="29" name="Gráfico 28">
          <a:extLst>
            <a:ext uri="{FF2B5EF4-FFF2-40B4-BE49-F238E27FC236}">
              <a16:creationId xmlns:a16="http://schemas.microsoft.com/office/drawing/2014/main" id="{4A5414A5-A309-4C01-8198-6D9B7C37D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698501</xdr:colOff>
      <xdr:row>59</xdr:row>
      <xdr:rowOff>2722</xdr:rowOff>
    </xdr:from>
    <xdr:to>
      <xdr:col>20</xdr:col>
      <xdr:colOff>471715</xdr:colOff>
      <xdr:row>75</xdr:row>
      <xdr:rowOff>154214</xdr:rowOff>
    </xdr:to>
    <xdr:graphicFrame macro="">
      <xdr:nvGraphicFramePr>
        <xdr:cNvPr id="7" name="Gráfico 6">
          <a:extLst>
            <a:ext uri="{FF2B5EF4-FFF2-40B4-BE49-F238E27FC236}">
              <a16:creationId xmlns:a16="http://schemas.microsoft.com/office/drawing/2014/main" id="{96E7797A-A77F-40C8-BA05-42F022C92F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598715</xdr:colOff>
      <xdr:row>26</xdr:row>
      <xdr:rowOff>9072</xdr:rowOff>
    </xdr:from>
    <xdr:to>
      <xdr:col>10</xdr:col>
      <xdr:colOff>472622</xdr:colOff>
      <xdr:row>28</xdr:row>
      <xdr:rowOff>66222</xdr:rowOff>
    </xdr:to>
    <xdr:sp macro="" textlink="">
      <xdr:nvSpPr>
        <xdr:cNvPr id="41" name="Forma libre: forma 40">
          <a:extLst>
            <a:ext uri="{FF2B5EF4-FFF2-40B4-BE49-F238E27FC236}">
              <a16:creationId xmlns:a16="http://schemas.microsoft.com/office/drawing/2014/main" id="{D847B076-65AC-4951-8B2B-9980A02D254C}"/>
            </a:ext>
          </a:extLst>
        </xdr:cNvPr>
        <xdr:cNvSpPr/>
      </xdr:nvSpPr>
      <xdr:spPr>
        <a:xfrm>
          <a:off x="3746501" y="7601858"/>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6</xdr:col>
      <xdr:colOff>0</xdr:colOff>
      <xdr:row>42</xdr:row>
      <xdr:rowOff>18143</xdr:rowOff>
    </xdr:from>
    <xdr:to>
      <xdr:col>10</xdr:col>
      <xdr:colOff>517978</xdr:colOff>
      <xdr:row>44</xdr:row>
      <xdr:rowOff>75293</xdr:rowOff>
    </xdr:to>
    <xdr:sp macro="" textlink="">
      <xdr:nvSpPr>
        <xdr:cNvPr id="43" name="Forma libre: forma 42">
          <a:extLst>
            <a:ext uri="{FF2B5EF4-FFF2-40B4-BE49-F238E27FC236}">
              <a16:creationId xmlns:a16="http://schemas.microsoft.com/office/drawing/2014/main" id="{1AF5A9C6-90F4-49D5-8E67-1898900AC5F8}"/>
            </a:ext>
          </a:extLst>
        </xdr:cNvPr>
        <xdr:cNvSpPr/>
      </xdr:nvSpPr>
      <xdr:spPr>
        <a:xfrm>
          <a:off x="3791857" y="11947072"/>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92</xdr:row>
      <xdr:rowOff>0</xdr:rowOff>
    </xdr:from>
    <xdr:to>
      <xdr:col>18</xdr:col>
      <xdr:colOff>381000</xdr:colOff>
      <xdr:row>93</xdr:row>
      <xdr:rowOff>0</xdr:rowOff>
    </xdr:to>
    <xdr:cxnSp macro="">
      <xdr:nvCxnSpPr>
        <xdr:cNvPr id="20" name="Conector recto de flecha 19">
          <a:extLst>
            <a:ext uri="{FF2B5EF4-FFF2-40B4-BE49-F238E27FC236}">
              <a16:creationId xmlns:a16="http://schemas.microsoft.com/office/drawing/2014/main" id="{68BF3FB4-DB06-4A91-9F14-29FF2F546710}"/>
            </a:ext>
          </a:extLst>
        </xdr:cNvPr>
        <xdr:cNvCxnSpPr/>
      </xdr:nvCxnSpPr>
      <xdr:spPr>
        <a:xfrm flipV="1">
          <a:off x="15137493" y="249936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145143</xdr:colOff>
      <xdr:row>110</xdr:row>
      <xdr:rowOff>0</xdr:rowOff>
    </xdr:from>
    <xdr:to>
      <xdr:col>18</xdr:col>
      <xdr:colOff>381000</xdr:colOff>
      <xdr:row>111</xdr:row>
      <xdr:rowOff>0</xdr:rowOff>
    </xdr:to>
    <xdr:cxnSp macro="">
      <xdr:nvCxnSpPr>
        <xdr:cNvPr id="21" name="Conector recto de flecha 20">
          <a:extLst>
            <a:ext uri="{FF2B5EF4-FFF2-40B4-BE49-F238E27FC236}">
              <a16:creationId xmlns:a16="http://schemas.microsoft.com/office/drawing/2014/main" id="{DCC5F431-9408-4609-B4A3-163F242F24F6}"/>
            </a:ext>
          </a:extLst>
        </xdr:cNvPr>
        <xdr:cNvCxnSpPr/>
      </xdr:nvCxnSpPr>
      <xdr:spPr>
        <a:xfrm flipV="1">
          <a:off x="15137493" y="2499360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181429</xdr:colOff>
      <xdr:row>41</xdr:row>
      <xdr:rowOff>172357</xdr:rowOff>
    </xdr:from>
    <xdr:to>
      <xdr:col>39</xdr:col>
      <xdr:colOff>178196</xdr:colOff>
      <xdr:row>50</xdr:row>
      <xdr:rowOff>45358</xdr:rowOff>
    </xdr:to>
    <xdr:pic>
      <xdr:nvPicPr>
        <xdr:cNvPr id="26" name="Imagen 25">
          <a:extLst>
            <a:ext uri="{FF2B5EF4-FFF2-40B4-BE49-F238E27FC236}">
              <a16:creationId xmlns:a16="http://schemas.microsoft.com/office/drawing/2014/main" id="{8EF5608C-5402-495E-8A59-8DD9B218B1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051000" y="10495643"/>
          <a:ext cx="4024482" cy="2213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335643</xdr:colOff>
      <xdr:row>3</xdr:row>
      <xdr:rowOff>63501</xdr:rowOff>
    </xdr:from>
    <xdr:to>
      <xdr:col>6</xdr:col>
      <xdr:colOff>743857</xdr:colOff>
      <xdr:row>9</xdr:row>
      <xdr:rowOff>20455</xdr:rowOff>
    </xdr:to>
    <xdr:pic>
      <xdr:nvPicPr>
        <xdr:cNvPr id="30" name="Imagen 29">
          <a:extLst>
            <a:ext uri="{FF2B5EF4-FFF2-40B4-BE49-F238E27FC236}">
              <a16:creationId xmlns:a16="http://schemas.microsoft.com/office/drawing/2014/main" id="{0160C277-EC9D-419C-9F02-53D25DAF92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5643" y="517072"/>
          <a:ext cx="4200071" cy="2324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117930</xdr:colOff>
      <xdr:row>51</xdr:row>
      <xdr:rowOff>136071</xdr:rowOff>
    </xdr:from>
    <xdr:to>
      <xdr:col>41</xdr:col>
      <xdr:colOff>725714</xdr:colOff>
      <xdr:row>65</xdr:row>
      <xdr:rowOff>17400</xdr:rowOff>
    </xdr:to>
    <xdr:pic>
      <xdr:nvPicPr>
        <xdr:cNvPr id="31" name="Imagen 30">
          <a:extLst>
            <a:ext uri="{FF2B5EF4-FFF2-40B4-BE49-F238E27FC236}">
              <a16:creationId xmlns:a16="http://schemas.microsoft.com/office/drawing/2014/main" id="{8759EB69-12E2-4F06-AA6C-3FD451AA69B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987501" y="12963071"/>
          <a:ext cx="5333999" cy="21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36287</xdr:colOff>
      <xdr:row>3</xdr:row>
      <xdr:rowOff>127000</xdr:rowOff>
    </xdr:from>
    <xdr:to>
      <xdr:col>13</xdr:col>
      <xdr:colOff>700122</xdr:colOff>
      <xdr:row>9</xdr:row>
      <xdr:rowOff>18142</xdr:rowOff>
    </xdr:to>
    <xdr:pic>
      <xdr:nvPicPr>
        <xdr:cNvPr id="32" name="Imagen 31">
          <a:extLst>
            <a:ext uri="{FF2B5EF4-FFF2-40B4-BE49-F238E27FC236}">
              <a16:creationId xmlns:a16="http://schemas.microsoft.com/office/drawing/2014/main" id="{B7949C7B-27B5-4213-935F-1398632F411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06358" y="580571"/>
          <a:ext cx="5462621" cy="225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124241</xdr:colOff>
      <xdr:row>59</xdr:row>
      <xdr:rowOff>149087</xdr:rowOff>
    </xdr:from>
    <xdr:to>
      <xdr:col>3</xdr:col>
      <xdr:colOff>441861</xdr:colOff>
      <xdr:row>61</xdr:row>
      <xdr:rowOff>16566</xdr:rowOff>
    </xdr:to>
    <xdr:sp macro="" textlink="">
      <xdr:nvSpPr>
        <xdr:cNvPr id="2" name="Más 8">
          <a:extLst>
            <a:ext uri="{FF2B5EF4-FFF2-40B4-BE49-F238E27FC236}">
              <a16:creationId xmlns:a16="http://schemas.microsoft.com/office/drawing/2014/main" id="{F01C41B6-75B0-461F-B771-8C4AF1EDFD24}"/>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59</xdr:row>
      <xdr:rowOff>140804</xdr:rowOff>
    </xdr:from>
    <xdr:to>
      <xdr:col>5</xdr:col>
      <xdr:colOff>482494</xdr:colOff>
      <xdr:row>61</xdr:row>
      <xdr:rowOff>33131</xdr:rowOff>
    </xdr:to>
    <xdr:sp macro="" textlink="">
      <xdr:nvSpPr>
        <xdr:cNvPr id="3" name="Igual que 9">
          <a:extLst>
            <a:ext uri="{FF2B5EF4-FFF2-40B4-BE49-F238E27FC236}">
              <a16:creationId xmlns:a16="http://schemas.microsoft.com/office/drawing/2014/main" id="{395CC1EA-776E-4F98-9D86-1C67D311E25F}"/>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24</xdr:row>
      <xdr:rowOff>0</xdr:rowOff>
    </xdr:from>
    <xdr:to>
      <xdr:col>10</xdr:col>
      <xdr:colOff>526141</xdr:colOff>
      <xdr:row>26</xdr:row>
      <xdr:rowOff>54430</xdr:rowOff>
    </xdr:to>
    <xdr:sp macro="" textlink="">
      <xdr:nvSpPr>
        <xdr:cNvPr id="5" name="Forma libre: forma 4">
          <a:extLst>
            <a:ext uri="{FF2B5EF4-FFF2-40B4-BE49-F238E27FC236}">
              <a16:creationId xmlns:a16="http://schemas.microsoft.com/office/drawing/2014/main" id="{10E8D08D-E078-4E69-937D-0CD628A74197}"/>
            </a:ext>
          </a:extLst>
        </xdr:cNvPr>
        <xdr:cNvSpPr/>
      </xdr:nvSpPr>
      <xdr:spPr>
        <a:xfrm>
          <a:off x="5170713" y="7329715"/>
          <a:ext cx="2521857" cy="480786"/>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653141</xdr:colOff>
      <xdr:row>40</xdr:row>
      <xdr:rowOff>0</xdr:rowOff>
    </xdr:from>
    <xdr:to>
      <xdr:col>10</xdr:col>
      <xdr:colOff>453570</xdr:colOff>
      <xdr:row>42</xdr:row>
      <xdr:rowOff>27214</xdr:rowOff>
    </xdr:to>
    <xdr:sp macro="" textlink="">
      <xdr:nvSpPr>
        <xdr:cNvPr id="6" name="Forma libre: forma 5">
          <a:extLst>
            <a:ext uri="{FF2B5EF4-FFF2-40B4-BE49-F238E27FC236}">
              <a16:creationId xmlns:a16="http://schemas.microsoft.com/office/drawing/2014/main" id="{7A7A96B9-66C6-4C96-B7B6-816FDB7D8952}"/>
            </a:ext>
          </a:extLst>
        </xdr:cNvPr>
        <xdr:cNvSpPr/>
      </xdr:nvSpPr>
      <xdr:spPr>
        <a:xfrm>
          <a:off x="5216070" y="11738429"/>
          <a:ext cx="2403929"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24</xdr:row>
      <xdr:rowOff>0</xdr:rowOff>
    </xdr:from>
    <xdr:to>
      <xdr:col>10</xdr:col>
      <xdr:colOff>542193</xdr:colOff>
      <xdr:row>25</xdr:row>
      <xdr:rowOff>48846</xdr:rowOff>
    </xdr:to>
    <xdr:cxnSp macro="">
      <xdr:nvCxnSpPr>
        <xdr:cNvPr id="9" name="Conector recto de flecha 8">
          <a:extLst>
            <a:ext uri="{FF2B5EF4-FFF2-40B4-BE49-F238E27FC236}">
              <a16:creationId xmlns:a16="http://schemas.microsoft.com/office/drawing/2014/main" id="{24D32C02-4A34-4501-92C2-CBDC61AC952F}"/>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535215</xdr:colOff>
      <xdr:row>79</xdr:row>
      <xdr:rowOff>535215</xdr:rowOff>
    </xdr:from>
    <xdr:to>
      <xdr:col>15</xdr:col>
      <xdr:colOff>498930</xdr:colOff>
      <xdr:row>81</xdr:row>
      <xdr:rowOff>63500</xdr:rowOff>
    </xdr:to>
    <xdr:sp macro="" textlink="">
      <xdr:nvSpPr>
        <xdr:cNvPr id="14" name="Forma libre: forma 13">
          <a:extLst>
            <a:ext uri="{FF2B5EF4-FFF2-40B4-BE49-F238E27FC236}">
              <a16:creationId xmlns:a16="http://schemas.microsoft.com/office/drawing/2014/main" id="{7F305BBE-DCA9-48FC-A9E7-8568B03B472A}"/>
            </a:ext>
          </a:extLst>
        </xdr:cNvPr>
        <xdr:cNvSpPr/>
      </xdr:nvSpPr>
      <xdr:spPr>
        <a:xfrm>
          <a:off x="7701644" y="20138572"/>
          <a:ext cx="4934857" cy="616857"/>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435428</xdr:colOff>
      <xdr:row>98</xdr:row>
      <xdr:rowOff>1</xdr:rowOff>
    </xdr:from>
    <xdr:to>
      <xdr:col>15</xdr:col>
      <xdr:colOff>399143</xdr:colOff>
      <xdr:row>99</xdr:row>
      <xdr:rowOff>108857</xdr:rowOff>
    </xdr:to>
    <xdr:sp macro="" textlink="">
      <xdr:nvSpPr>
        <xdr:cNvPr id="15" name="Forma libre: forma 14">
          <a:extLst>
            <a:ext uri="{FF2B5EF4-FFF2-40B4-BE49-F238E27FC236}">
              <a16:creationId xmlns:a16="http://schemas.microsoft.com/office/drawing/2014/main" id="{2B192576-CFF1-4C0C-8443-26EE42519BCF}"/>
            </a:ext>
          </a:extLst>
        </xdr:cNvPr>
        <xdr:cNvSpPr/>
      </xdr:nvSpPr>
      <xdr:spPr>
        <a:xfrm>
          <a:off x="7617278" y="31311851"/>
          <a:ext cx="4757965"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471714</xdr:colOff>
      <xdr:row>79</xdr:row>
      <xdr:rowOff>517071</xdr:rowOff>
    </xdr:from>
    <xdr:to>
      <xdr:col>18</xdr:col>
      <xdr:colOff>390071</xdr:colOff>
      <xdr:row>81</xdr:row>
      <xdr:rowOff>45357</xdr:rowOff>
    </xdr:to>
    <xdr:sp macro="" textlink="">
      <xdr:nvSpPr>
        <xdr:cNvPr id="16" name="Forma libre: forma 15">
          <a:extLst>
            <a:ext uri="{FF2B5EF4-FFF2-40B4-BE49-F238E27FC236}">
              <a16:creationId xmlns:a16="http://schemas.microsoft.com/office/drawing/2014/main" id="{EC6598EF-B915-4F00-B8E9-1E58E195E173}"/>
            </a:ext>
          </a:extLst>
        </xdr:cNvPr>
        <xdr:cNvSpPr/>
      </xdr:nvSpPr>
      <xdr:spPr>
        <a:xfrm>
          <a:off x="10704285" y="20120428"/>
          <a:ext cx="5306786" cy="616858"/>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13</xdr:col>
      <xdr:colOff>453571</xdr:colOff>
      <xdr:row>97</xdr:row>
      <xdr:rowOff>63500</xdr:rowOff>
    </xdr:from>
    <xdr:to>
      <xdr:col>18</xdr:col>
      <xdr:colOff>371928</xdr:colOff>
      <xdr:row>99</xdr:row>
      <xdr:rowOff>27214</xdr:rowOff>
    </xdr:to>
    <xdr:sp macro="" textlink="">
      <xdr:nvSpPr>
        <xdr:cNvPr id="18" name="Forma libre: forma 17">
          <a:extLst>
            <a:ext uri="{FF2B5EF4-FFF2-40B4-BE49-F238E27FC236}">
              <a16:creationId xmlns:a16="http://schemas.microsoft.com/office/drawing/2014/main" id="{35B11CE5-090D-4762-AF5E-6D29D75CF8A6}"/>
            </a:ext>
          </a:extLst>
        </xdr:cNvPr>
        <xdr:cNvSpPr/>
      </xdr:nvSpPr>
      <xdr:spPr>
        <a:xfrm>
          <a:off x="10686142" y="25209500"/>
          <a:ext cx="5306786"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40</xdr:row>
      <xdr:rowOff>0</xdr:rowOff>
    </xdr:from>
    <xdr:to>
      <xdr:col>10</xdr:col>
      <xdr:colOff>508001</xdr:colOff>
      <xdr:row>41</xdr:row>
      <xdr:rowOff>43961</xdr:rowOff>
    </xdr:to>
    <xdr:cxnSp macro="">
      <xdr:nvCxnSpPr>
        <xdr:cNvPr id="23" name="Conector recto de flecha 22">
          <a:extLst>
            <a:ext uri="{FF2B5EF4-FFF2-40B4-BE49-F238E27FC236}">
              <a16:creationId xmlns:a16="http://schemas.microsoft.com/office/drawing/2014/main" id="{981CE3E6-7BA2-4516-8147-1EF328444EED}"/>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276559</xdr:colOff>
      <xdr:row>46</xdr:row>
      <xdr:rowOff>429153</xdr:rowOff>
    </xdr:from>
    <xdr:to>
      <xdr:col>30</xdr:col>
      <xdr:colOff>979715</xdr:colOff>
      <xdr:row>61</xdr:row>
      <xdr:rowOff>63500</xdr:rowOff>
    </xdr:to>
    <xdr:graphicFrame macro="">
      <xdr:nvGraphicFramePr>
        <xdr:cNvPr id="25" name="Gráfico 24">
          <a:extLst>
            <a:ext uri="{FF2B5EF4-FFF2-40B4-BE49-F238E27FC236}">
              <a16:creationId xmlns:a16="http://schemas.microsoft.com/office/drawing/2014/main" id="{F68D151D-CEE0-4952-B6A6-E113D043D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151450</xdr:colOff>
      <xdr:row>80</xdr:row>
      <xdr:rowOff>516083</xdr:rowOff>
    </xdr:from>
    <xdr:to>
      <xdr:col>30</xdr:col>
      <xdr:colOff>961572</xdr:colOff>
      <xdr:row>94</xdr:row>
      <xdr:rowOff>99786</xdr:rowOff>
    </xdr:to>
    <xdr:graphicFrame macro="">
      <xdr:nvGraphicFramePr>
        <xdr:cNvPr id="28" name="Gráfico 27">
          <a:extLst>
            <a:ext uri="{FF2B5EF4-FFF2-40B4-BE49-F238E27FC236}">
              <a16:creationId xmlns:a16="http://schemas.microsoft.com/office/drawing/2014/main" id="{5976A932-52A4-4EFC-83F1-F90956A99D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70971</xdr:colOff>
      <xdr:row>98</xdr:row>
      <xdr:rowOff>410135</xdr:rowOff>
    </xdr:from>
    <xdr:to>
      <xdr:col>30</xdr:col>
      <xdr:colOff>970643</xdr:colOff>
      <xdr:row>112</xdr:row>
      <xdr:rowOff>117928</xdr:rowOff>
    </xdr:to>
    <xdr:graphicFrame macro="">
      <xdr:nvGraphicFramePr>
        <xdr:cNvPr id="29" name="Gráfico 28">
          <a:extLst>
            <a:ext uri="{FF2B5EF4-FFF2-40B4-BE49-F238E27FC236}">
              <a16:creationId xmlns:a16="http://schemas.microsoft.com/office/drawing/2014/main" id="{1B21CC93-C655-4CF6-AE85-D1A3ADD40E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31337</xdr:colOff>
      <xdr:row>60</xdr:row>
      <xdr:rowOff>70758</xdr:rowOff>
    </xdr:from>
    <xdr:to>
      <xdr:col>19</xdr:col>
      <xdr:colOff>504264</xdr:colOff>
      <xdr:row>77</xdr:row>
      <xdr:rowOff>66140</xdr:rowOff>
    </xdr:to>
    <xdr:graphicFrame macro="">
      <xdr:nvGraphicFramePr>
        <xdr:cNvPr id="7" name="Gráfico 6">
          <a:extLst>
            <a:ext uri="{FF2B5EF4-FFF2-40B4-BE49-F238E27FC236}">
              <a16:creationId xmlns:a16="http://schemas.microsoft.com/office/drawing/2014/main" id="{E795E5D6-FB34-445D-A1FD-A3999311E7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625928</xdr:colOff>
      <xdr:row>26</xdr:row>
      <xdr:rowOff>18143</xdr:rowOff>
    </xdr:from>
    <xdr:to>
      <xdr:col>10</xdr:col>
      <xdr:colOff>499835</xdr:colOff>
      <xdr:row>28</xdr:row>
      <xdr:rowOff>75293</xdr:rowOff>
    </xdr:to>
    <xdr:sp macro="" textlink="">
      <xdr:nvSpPr>
        <xdr:cNvPr id="41" name="Forma libre: forma 40">
          <a:extLst>
            <a:ext uri="{FF2B5EF4-FFF2-40B4-BE49-F238E27FC236}">
              <a16:creationId xmlns:a16="http://schemas.microsoft.com/office/drawing/2014/main" id="{2FD6E435-4711-4809-8D82-61E573CCFF47}"/>
            </a:ext>
          </a:extLst>
        </xdr:cNvPr>
        <xdr:cNvSpPr/>
      </xdr:nvSpPr>
      <xdr:spPr>
        <a:xfrm>
          <a:off x="3773714" y="77742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42</xdr:row>
      <xdr:rowOff>18143</xdr:rowOff>
    </xdr:from>
    <xdr:to>
      <xdr:col>10</xdr:col>
      <xdr:colOff>490764</xdr:colOff>
      <xdr:row>44</xdr:row>
      <xdr:rowOff>75293</xdr:rowOff>
    </xdr:to>
    <xdr:sp macro="" textlink="">
      <xdr:nvSpPr>
        <xdr:cNvPr id="42" name="Forma libre: forma 41">
          <a:extLst>
            <a:ext uri="{FF2B5EF4-FFF2-40B4-BE49-F238E27FC236}">
              <a16:creationId xmlns:a16="http://schemas.microsoft.com/office/drawing/2014/main" id="{8B6E035C-B12C-48AA-9AA7-D44C9D12F6FB}"/>
            </a:ext>
          </a:extLst>
        </xdr:cNvPr>
        <xdr:cNvSpPr/>
      </xdr:nvSpPr>
      <xdr:spPr>
        <a:xfrm>
          <a:off x="3764643" y="12273643"/>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18</xdr:col>
      <xdr:colOff>145143</xdr:colOff>
      <xdr:row>92</xdr:row>
      <xdr:rowOff>0</xdr:rowOff>
    </xdr:from>
    <xdr:to>
      <xdr:col>18</xdr:col>
      <xdr:colOff>381000</xdr:colOff>
      <xdr:row>93</xdr:row>
      <xdr:rowOff>0</xdr:rowOff>
    </xdr:to>
    <xdr:cxnSp macro="">
      <xdr:nvCxnSpPr>
        <xdr:cNvPr id="22" name="Conector recto de flecha 21">
          <a:extLst>
            <a:ext uri="{FF2B5EF4-FFF2-40B4-BE49-F238E27FC236}">
              <a16:creationId xmlns:a16="http://schemas.microsoft.com/office/drawing/2014/main" id="{4CDC823F-A51B-43D2-A6A2-233096D90FDD}"/>
            </a:ext>
          </a:extLst>
        </xdr:cNvPr>
        <xdr:cNvCxnSpPr/>
      </xdr:nvCxnSpPr>
      <xdr:spPr>
        <a:xfrm flipV="1">
          <a:off x="15105743" y="25571450"/>
          <a:ext cx="235857" cy="165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653143</xdr:colOff>
      <xdr:row>91</xdr:row>
      <xdr:rowOff>117928</xdr:rowOff>
    </xdr:from>
    <xdr:to>
      <xdr:col>10</xdr:col>
      <xdr:colOff>462642</xdr:colOff>
      <xdr:row>92</xdr:row>
      <xdr:rowOff>0</xdr:rowOff>
    </xdr:to>
    <xdr:cxnSp macro="">
      <xdr:nvCxnSpPr>
        <xdr:cNvPr id="30" name="Conector recto de flecha 29">
          <a:extLst>
            <a:ext uri="{FF2B5EF4-FFF2-40B4-BE49-F238E27FC236}">
              <a16:creationId xmlns:a16="http://schemas.microsoft.com/office/drawing/2014/main" id="{A8BFA5C9-8B43-49CC-B547-8D717E5A10BB}"/>
            </a:ext>
          </a:extLst>
        </xdr:cNvPr>
        <xdr:cNvCxnSpPr/>
      </xdr:nvCxnSpPr>
      <xdr:spPr>
        <a:xfrm flipH="1">
          <a:off x="7060293" y="6550478"/>
          <a:ext cx="584199" cy="174172"/>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117928</xdr:colOff>
      <xdr:row>40</xdr:row>
      <xdr:rowOff>126999</xdr:rowOff>
    </xdr:from>
    <xdr:to>
      <xdr:col>40</xdr:col>
      <xdr:colOff>45002</xdr:colOff>
      <xdr:row>51</xdr:row>
      <xdr:rowOff>72571</xdr:rowOff>
    </xdr:to>
    <xdr:pic>
      <xdr:nvPicPr>
        <xdr:cNvPr id="24" name="Imagen 23">
          <a:extLst>
            <a:ext uri="{FF2B5EF4-FFF2-40B4-BE49-F238E27FC236}">
              <a16:creationId xmlns:a16="http://schemas.microsoft.com/office/drawing/2014/main" id="{4E41C5CC-3873-4418-853D-76E4AD5AAD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214285" y="10205356"/>
          <a:ext cx="4236003" cy="2630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226786</xdr:colOff>
      <xdr:row>2</xdr:row>
      <xdr:rowOff>36286</xdr:rowOff>
    </xdr:from>
    <xdr:to>
      <xdr:col>6</xdr:col>
      <xdr:colOff>249237</xdr:colOff>
      <xdr:row>7</xdr:row>
      <xdr:rowOff>181429</xdr:rowOff>
    </xdr:to>
    <xdr:pic>
      <xdr:nvPicPr>
        <xdr:cNvPr id="31" name="Imagen 30">
          <a:extLst>
            <a:ext uri="{FF2B5EF4-FFF2-40B4-BE49-F238E27FC236}">
              <a16:creationId xmlns:a16="http://schemas.microsoft.com/office/drawing/2014/main" id="{E5DBFB6C-9744-48FF-8354-241A86BAE5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43857" y="435429"/>
          <a:ext cx="3297237" cy="2068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0</xdr:colOff>
      <xdr:row>53</xdr:row>
      <xdr:rowOff>0</xdr:rowOff>
    </xdr:from>
    <xdr:to>
      <xdr:col>43</xdr:col>
      <xdr:colOff>50800</xdr:colOff>
      <xdr:row>68</xdr:row>
      <xdr:rowOff>88900</xdr:rowOff>
    </xdr:to>
    <xdr:pic>
      <xdr:nvPicPr>
        <xdr:cNvPr id="32" name="Imagen 31">
          <a:extLst>
            <a:ext uri="{FF2B5EF4-FFF2-40B4-BE49-F238E27FC236}">
              <a16:creationId xmlns:a16="http://schemas.microsoft.com/office/drawing/2014/main" id="{FB773679-DFD6-4E06-80C6-A9F5E261D65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070050" y="13112750"/>
          <a:ext cx="6318250" cy="256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172358</xdr:colOff>
      <xdr:row>3</xdr:row>
      <xdr:rowOff>27215</xdr:rowOff>
    </xdr:from>
    <xdr:to>
      <xdr:col>12</xdr:col>
      <xdr:colOff>925285</xdr:colOff>
      <xdr:row>8</xdr:row>
      <xdr:rowOff>65256</xdr:rowOff>
    </xdr:to>
    <xdr:pic>
      <xdr:nvPicPr>
        <xdr:cNvPr id="33" name="Imagen 32">
          <a:extLst>
            <a:ext uri="{FF2B5EF4-FFF2-40B4-BE49-F238E27FC236}">
              <a16:creationId xmlns:a16="http://schemas.microsoft.com/office/drawing/2014/main" id="{5AB42B97-B761-48EA-B92E-DB45AE02A0B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35287" y="480786"/>
          <a:ext cx="5479141" cy="2242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5DE8-5424-47CB-9C7F-855F54D934B1}">
  <dimension ref="A1:AU132"/>
  <sheetViews>
    <sheetView tabSelected="1"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453125" style="59" customWidth="1"/>
    <col min="14" max="14" width="13.54296875" style="59" customWidth="1"/>
    <col min="15" max="15" width="14.7265625" style="59" customWidth="1"/>
    <col min="16" max="16" width="13.4531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3.453125" style="59" customWidth="1"/>
    <col min="33" max="33" width="11.54296875" style="59" customWidth="1"/>
    <col min="34" max="34" width="7.08984375" style="59" customWidth="1"/>
    <col min="35" max="35" width="7.453125" style="59" customWidth="1"/>
    <col min="36" max="36" width="5.36328125" style="59" customWidth="1"/>
    <col min="37" max="37" width="5.453125" style="59" customWidth="1"/>
    <col min="38" max="38" width="2.26953125" style="59" customWidth="1"/>
    <col min="39" max="39" width="11.90625" style="59" customWidth="1"/>
    <col min="40" max="40" width="5.90625" style="59" customWidth="1"/>
    <col min="41" max="41" width="2.54296875" style="59" customWidth="1"/>
    <col min="42" max="42" width="13.453125" style="59" customWidth="1"/>
    <col min="43" max="44" width="11.6328125" style="59" customWidth="1"/>
    <col min="45" max="45" width="3.6328125" style="59" customWidth="1"/>
    <col min="46" max="16384" width="11.453125" style="59"/>
  </cols>
  <sheetData>
    <row r="1" spans="1:41" ht="6" customHeight="1" thickBot="1" x14ac:dyDescent="0.3"/>
    <row r="2" spans="1:41" ht="26" customHeight="1" thickBot="1" x14ac:dyDescent="0.3">
      <c r="A2" s="212" t="s">
        <v>20</v>
      </c>
      <c r="B2" s="213"/>
      <c r="C2" s="213"/>
      <c r="D2" s="213"/>
      <c r="E2" s="213"/>
      <c r="F2" s="213"/>
      <c r="G2" s="213"/>
      <c r="H2" s="213"/>
      <c r="I2" s="213"/>
      <c r="J2" s="213"/>
      <c r="K2" s="213"/>
      <c r="L2" s="213"/>
      <c r="M2" s="213"/>
      <c r="N2" s="213"/>
      <c r="O2" s="213"/>
      <c r="P2" s="213"/>
      <c r="Q2" s="214"/>
    </row>
    <row r="3" spans="1:41" ht="4" customHeight="1" x14ac:dyDescent="0.25">
      <c r="A3" s="30"/>
    </row>
    <row r="4" spans="1:41" ht="41.5" customHeight="1" x14ac:dyDescent="0.25">
      <c r="A4" s="215" t="s">
        <v>35</v>
      </c>
      <c r="B4" s="216"/>
      <c r="C4" s="216"/>
      <c r="D4" s="216"/>
      <c r="E4" s="216"/>
      <c r="F4" s="216"/>
      <c r="G4" s="216"/>
      <c r="H4" s="216"/>
      <c r="I4" s="216"/>
      <c r="J4" s="216"/>
      <c r="K4" s="216"/>
      <c r="L4" s="216"/>
      <c r="M4" s="216"/>
      <c r="N4" s="216"/>
      <c r="O4" s="216"/>
      <c r="P4" s="216"/>
      <c r="Q4" s="217"/>
    </row>
    <row r="5" spans="1:41" ht="45.5" customHeight="1" x14ac:dyDescent="0.25">
      <c r="A5" s="218" t="s">
        <v>95</v>
      </c>
      <c r="B5" s="219"/>
      <c r="C5" s="219"/>
      <c r="D5" s="219"/>
      <c r="E5" s="219"/>
      <c r="F5" s="219"/>
      <c r="G5" s="219"/>
      <c r="H5" s="219"/>
      <c r="I5" s="219"/>
      <c r="J5" s="219"/>
      <c r="K5" s="219"/>
      <c r="L5" s="219"/>
      <c r="M5" s="219"/>
      <c r="N5" s="219"/>
      <c r="O5" s="219"/>
      <c r="P5" s="219"/>
      <c r="Q5" s="220"/>
      <c r="AC5" s="25"/>
      <c r="AD5" s="25"/>
      <c r="AE5" s="25"/>
      <c r="AF5" s="25"/>
      <c r="AG5" s="25"/>
      <c r="AH5" s="25"/>
      <c r="AI5" s="25"/>
      <c r="AJ5" s="25"/>
    </row>
    <row r="6" spans="1:41" ht="30.5" customHeight="1" x14ac:dyDescent="0.25">
      <c r="A6" s="218" t="s">
        <v>96</v>
      </c>
      <c r="B6" s="219"/>
      <c r="C6" s="219"/>
      <c r="D6" s="219"/>
      <c r="E6" s="219"/>
      <c r="F6" s="219"/>
      <c r="G6" s="219"/>
      <c r="H6" s="219"/>
      <c r="I6" s="219"/>
      <c r="J6" s="219"/>
      <c r="K6" s="219"/>
      <c r="L6" s="219"/>
      <c r="M6" s="219"/>
      <c r="N6" s="219"/>
      <c r="O6" s="219"/>
      <c r="P6" s="219"/>
      <c r="Q6" s="220"/>
      <c r="AC6" s="25"/>
    </row>
    <row r="7" spans="1:41" ht="29.25" customHeight="1" x14ac:dyDescent="0.25">
      <c r="A7" s="218" t="s">
        <v>97</v>
      </c>
      <c r="B7" s="219"/>
      <c r="C7" s="219"/>
      <c r="D7" s="219"/>
      <c r="E7" s="219"/>
      <c r="F7" s="219"/>
      <c r="G7" s="219"/>
      <c r="H7" s="219"/>
      <c r="I7" s="219"/>
      <c r="J7" s="219"/>
      <c r="K7" s="219"/>
      <c r="L7" s="219"/>
      <c r="M7" s="219"/>
      <c r="N7" s="219"/>
      <c r="O7" s="219"/>
      <c r="P7" s="219"/>
      <c r="Q7" s="220"/>
      <c r="AC7" s="25"/>
    </row>
    <row r="8" spans="1:41" ht="26.5" customHeight="1" x14ac:dyDescent="0.25">
      <c r="A8" s="226" t="s">
        <v>36</v>
      </c>
      <c r="B8" s="227"/>
      <c r="C8" s="227"/>
      <c r="D8" s="227"/>
      <c r="E8" s="227"/>
      <c r="F8" s="227"/>
      <c r="G8" s="227"/>
      <c r="H8" s="227"/>
      <c r="I8" s="227"/>
      <c r="J8" s="227"/>
      <c r="K8" s="227"/>
      <c r="L8" s="227"/>
      <c r="M8" s="227"/>
      <c r="N8" s="227"/>
      <c r="O8" s="227"/>
      <c r="P8" s="227"/>
      <c r="Q8" s="228"/>
      <c r="AC8" s="25"/>
    </row>
    <row r="9" spans="1:41" ht="12.5" customHeight="1" x14ac:dyDescent="0.25">
      <c r="A9" s="60"/>
      <c r="D9" s="54"/>
      <c r="E9" s="54"/>
      <c r="F9" s="54"/>
      <c r="G9" s="54"/>
      <c r="H9" s="30"/>
      <c r="I9" s="54"/>
      <c r="J9" s="54"/>
      <c r="K9" s="54"/>
      <c r="L9" s="54"/>
      <c r="M9" s="54"/>
      <c r="N9" s="54"/>
    </row>
    <row r="10" spans="1:41" ht="12.5" customHeight="1" x14ac:dyDescent="0.25">
      <c r="A10" s="210" t="s">
        <v>98</v>
      </c>
      <c r="D10" s="209"/>
      <c r="E10" s="209"/>
      <c r="F10" s="209"/>
      <c r="G10" s="209"/>
      <c r="H10" s="30"/>
      <c r="I10" s="209"/>
      <c r="J10" s="209"/>
      <c r="K10" s="209"/>
      <c r="L10" s="209"/>
      <c r="M10" s="209"/>
      <c r="N10" s="209"/>
    </row>
    <row r="11" spans="1:41" ht="12.75" customHeight="1" thickBot="1" x14ac:dyDescent="0.35">
      <c r="A11" s="178" t="s">
        <v>115</v>
      </c>
      <c r="D11" s="209"/>
      <c r="E11" s="209"/>
      <c r="F11" s="209"/>
      <c r="G11" s="209"/>
      <c r="H11" s="209"/>
      <c r="I11" s="209"/>
      <c r="J11" s="209"/>
      <c r="K11" s="209"/>
      <c r="L11" s="209"/>
      <c r="M11" s="209"/>
      <c r="N11" s="209"/>
    </row>
    <row r="12" spans="1:41" ht="37.5" customHeight="1" thickBot="1" x14ac:dyDescent="0.3">
      <c r="A12" s="234" t="s">
        <v>107</v>
      </c>
      <c r="B12" s="235"/>
      <c r="C12" s="235"/>
      <c r="D12" s="235"/>
      <c r="E12" s="235"/>
      <c r="F12" s="235"/>
      <c r="G12" s="235"/>
      <c r="H12" s="235"/>
      <c r="I12" s="235"/>
      <c r="J12" s="235"/>
      <c r="K12" s="235"/>
      <c r="L12" s="235"/>
      <c r="M12" s="235"/>
      <c r="N12" s="235"/>
      <c r="O12" s="235"/>
      <c r="P12" s="235"/>
      <c r="Q12" s="235"/>
      <c r="R12" s="235"/>
      <c r="S12" s="235"/>
      <c r="T12" s="235"/>
      <c r="U12" s="235"/>
      <c r="V12" s="235"/>
      <c r="W12" s="235"/>
      <c r="X12" s="236"/>
      <c r="AE12" s="62"/>
      <c r="AF12" s="62"/>
      <c r="AG12" s="62"/>
      <c r="AH12" s="62"/>
      <c r="AI12" s="62"/>
      <c r="AJ12" s="62"/>
      <c r="AK12" s="62"/>
      <c r="AL12" s="62"/>
      <c r="AM12" s="62"/>
      <c r="AN12" s="62"/>
      <c r="AO12" s="62"/>
    </row>
    <row r="13" spans="1:41" ht="38.5" customHeight="1" x14ac:dyDescent="0.25">
      <c r="A13" s="30" t="s">
        <v>99</v>
      </c>
      <c r="E13" s="63"/>
      <c r="F13" s="64"/>
      <c r="H13" s="10"/>
      <c r="J13" s="237" t="s">
        <v>32</v>
      </c>
      <c r="K13" s="238"/>
      <c r="M13" s="191" t="s">
        <v>43</v>
      </c>
      <c r="N13" s="191"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2" t="s">
        <v>86</v>
      </c>
      <c r="P14" s="192" t="s">
        <v>87</v>
      </c>
      <c r="Q14" s="192" t="s">
        <v>88</v>
      </c>
      <c r="R14" s="192" t="s">
        <v>89</v>
      </c>
      <c r="S14" s="192" t="s">
        <v>90</v>
      </c>
      <c r="T14" s="193" t="s">
        <v>85</v>
      </c>
      <c r="U14" s="193" t="s">
        <v>91</v>
      </c>
      <c r="V14" s="194" t="s">
        <v>92</v>
      </c>
      <c r="W14" s="194" t="s">
        <v>93</v>
      </c>
      <c r="X14" s="194" t="s">
        <v>94</v>
      </c>
      <c r="AC14" s="25"/>
      <c r="AG14" s="25"/>
      <c r="AH14" s="62"/>
      <c r="AI14" s="62"/>
      <c r="AJ14" s="62"/>
      <c r="AK14" s="62"/>
      <c r="AL14" s="62"/>
      <c r="AM14" s="62"/>
    </row>
    <row r="15" spans="1:41" x14ac:dyDescent="0.25">
      <c r="A15" s="67">
        <v>0</v>
      </c>
      <c r="B15" s="67">
        <v>0</v>
      </c>
      <c r="C15" s="62"/>
      <c r="D15" s="68">
        <v>0</v>
      </c>
      <c r="E15" s="31">
        <f>H15</f>
        <v>281</v>
      </c>
      <c r="F15" s="3">
        <v>0</v>
      </c>
      <c r="G15" s="3">
        <v>0</v>
      </c>
      <c r="H15" s="49">
        <v>281</v>
      </c>
      <c r="I15" s="69">
        <f>F15/E15</f>
        <v>0</v>
      </c>
      <c r="J15" s="29">
        <f>1-I15</f>
        <v>1</v>
      </c>
      <c r="K15" s="29">
        <f>J15</f>
        <v>1</v>
      </c>
      <c r="M15" s="50">
        <f t="shared" ref="M15:M24" si="0">K15^W15</f>
        <v>1</v>
      </c>
      <c r="N15" s="50">
        <f t="shared" ref="N15:N24" si="1">K15^X15</f>
        <v>1</v>
      </c>
      <c r="O15" s="195">
        <f t="shared" ref="O15:O24" si="2">(LN(K15))^2</f>
        <v>0</v>
      </c>
      <c r="P15" s="196">
        <f t="shared" ref="P15:P24" si="3">E15-H15</f>
        <v>0</v>
      </c>
      <c r="Q15" s="196">
        <f t="shared" ref="Q15:Q24" si="4">E15*H15</f>
        <v>78961</v>
      </c>
      <c r="R15" s="197">
        <f t="shared" ref="R15:R24" si="5">P15/Q15</f>
        <v>0</v>
      </c>
      <c r="S15" s="197">
        <f>R15</f>
        <v>0</v>
      </c>
      <c r="T15" s="198">
        <v>0</v>
      </c>
      <c r="U15" s="199">
        <f>-NORMSINV(2.5/100)</f>
        <v>1.9599639845400538</v>
      </c>
      <c r="V15" s="195">
        <f t="shared" ref="V15:V24" si="6">U15*T15</f>
        <v>0</v>
      </c>
      <c r="W15" s="200">
        <f t="shared" ref="W15:W24" si="7">EXP(V15)</f>
        <v>1</v>
      </c>
      <c r="X15" s="200">
        <f t="shared" ref="X15:X24" si="8">EXP(-V15)</f>
        <v>1</v>
      </c>
      <c r="AC15" s="25"/>
      <c r="AG15" s="25"/>
      <c r="AH15" s="62"/>
      <c r="AI15" s="62"/>
      <c r="AJ15" s="62"/>
      <c r="AK15" s="62"/>
      <c r="AL15" s="62"/>
      <c r="AM15" s="62"/>
    </row>
    <row r="16" spans="1:41" x14ac:dyDescent="0.25">
      <c r="A16" s="70">
        <v>0</v>
      </c>
      <c r="B16" s="70">
        <f>B15+F16</f>
        <v>54</v>
      </c>
      <c r="C16" s="71">
        <f>D15</f>
        <v>0</v>
      </c>
      <c r="D16" s="68">
        <v>5</v>
      </c>
      <c r="E16" s="68">
        <f>H15</f>
        <v>281</v>
      </c>
      <c r="F16" s="31">
        <f>E16-H16-G16</f>
        <v>54</v>
      </c>
      <c r="G16" s="68">
        <f>A16-A15</f>
        <v>0</v>
      </c>
      <c r="H16" s="49">
        <v>227</v>
      </c>
      <c r="I16" s="72">
        <f>F16/E16</f>
        <v>0.19217081850533807</v>
      </c>
      <c r="J16" s="29">
        <f>1-I16</f>
        <v>0.80782918149466187</v>
      </c>
      <c r="K16" s="29">
        <f>J16*K15</f>
        <v>0.80782918149466187</v>
      </c>
      <c r="M16" s="50">
        <f t="shared" si="0"/>
        <v>0.75670827705153154</v>
      </c>
      <c r="N16" s="50">
        <f t="shared" si="1"/>
        <v>0.84928399405994004</v>
      </c>
      <c r="O16" s="195">
        <f t="shared" si="2"/>
        <v>4.5541545432219784E-2</v>
      </c>
      <c r="P16" s="196">
        <f t="shared" si="3"/>
        <v>54</v>
      </c>
      <c r="Q16" s="196">
        <f t="shared" si="4"/>
        <v>63787</v>
      </c>
      <c r="R16" s="197">
        <f t="shared" si="5"/>
        <v>8.4656748240237044E-4</v>
      </c>
      <c r="S16" s="197">
        <f t="shared" ref="S16:S24" si="9">S15+R16</f>
        <v>8.4656748240237044E-4</v>
      </c>
      <c r="T16" s="198">
        <f t="shared" ref="T16:T24" si="10">SQRT((1/O16)*S16)</f>
        <v>0.13634113633433523</v>
      </c>
      <c r="U16" s="199">
        <f>-NORMSINV(2.5/100)</f>
        <v>1.9599639845400538</v>
      </c>
      <c r="V16" s="195">
        <f t="shared" si="6"/>
        <v>0.26722371682656237</v>
      </c>
      <c r="W16" s="200">
        <f t="shared" si="7"/>
        <v>1.3063326622402589</v>
      </c>
      <c r="X16" s="200">
        <f t="shared" si="8"/>
        <v>0.76550179667488205</v>
      </c>
      <c r="AC16" s="25"/>
      <c r="AG16" s="25"/>
      <c r="AH16" s="62"/>
      <c r="AI16" s="62"/>
      <c r="AJ16" s="62"/>
      <c r="AK16" s="62"/>
      <c r="AL16" s="62"/>
      <c r="AM16" s="62"/>
    </row>
    <row r="17" spans="1:41" x14ac:dyDescent="0.25">
      <c r="A17" s="67">
        <v>0</v>
      </c>
      <c r="B17" s="70">
        <f t="shared" ref="B17:B24" si="11">B16+F17</f>
        <v>112</v>
      </c>
      <c r="C17" s="71">
        <f t="shared" ref="C17:C24" si="12">D16</f>
        <v>5</v>
      </c>
      <c r="D17" s="68">
        <v>10</v>
      </c>
      <c r="E17" s="68">
        <f t="shared" ref="E17:E24" si="13">H16</f>
        <v>227</v>
      </c>
      <c r="F17" s="31">
        <f t="shared" ref="F17:F24" si="14">E17-H17-G17</f>
        <v>58</v>
      </c>
      <c r="G17" s="68">
        <f t="shared" ref="G17:G24" si="15">A17-A16</f>
        <v>0</v>
      </c>
      <c r="H17" s="49">
        <v>169</v>
      </c>
      <c r="I17" s="72">
        <f t="shared" ref="I17:I24" si="16">F17/E17</f>
        <v>0.25550660792951541</v>
      </c>
      <c r="J17" s="29">
        <f t="shared" ref="J17:J24" si="17">1-I17</f>
        <v>0.74449339207048459</v>
      </c>
      <c r="K17" s="29">
        <f t="shared" ref="K17:K24" si="18">J17*K16</f>
        <v>0.60142348754448394</v>
      </c>
      <c r="M17" s="50">
        <f t="shared" si="0"/>
        <v>0.54165210411765219</v>
      </c>
      <c r="N17" s="50">
        <f t="shared" si="1"/>
        <v>0.65596292263485978</v>
      </c>
      <c r="O17" s="195">
        <f t="shared" si="2"/>
        <v>0.25852745757566775</v>
      </c>
      <c r="P17" s="196">
        <f t="shared" si="3"/>
        <v>58</v>
      </c>
      <c r="Q17" s="196">
        <f t="shared" si="4"/>
        <v>38363</v>
      </c>
      <c r="R17" s="197">
        <f t="shared" si="5"/>
        <v>1.5118734197012748E-3</v>
      </c>
      <c r="S17" s="197">
        <f t="shared" si="9"/>
        <v>2.3584409021036451E-3</v>
      </c>
      <c r="T17" s="198">
        <f t="shared" si="10"/>
        <v>9.5512268805982736E-2</v>
      </c>
      <c r="U17" s="199">
        <f t="shared" ref="U17:U24" si="19">-NORMSINV(2.5/100)</f>
        <v>1.9599639845400538</v>
      </c>
      <c r="V17" s="195">
        <f t="shared" si="6"/>
        <v>0.18720060694143462</v>
      </c>
      <c r="W17" s="200">
        <f t="shared" si="7"/>
        <v>1.2058691665128278</v>
      </c>
      <c r="X17" s="200">
        <f t="shared" si="8"/>
        <v>0.82927736090295179</v>
      </c>
      <c r="AC17" s="25"/>
      <c r="AG17" s="25"/>
      <c r="AH17" s="62"/>
      <c r="AI17" s="62"/>
      <c r="AJ17" s="62"/>
      <c r="AK17" s="62"/>
      <c r="AL17" s="62"/>
      <c r="AM17" s="62"/>
    </row>
    <row r="18" spans="1:41" x14ac:dyDescent="0.25">
      <c r="A18" s="70">
        <v>1</v>
      </c>
      <c r="B18" s="70">
        <f t="shared" si="11"/>
        <v>158</v>
      </c>
      <c r="C18" s="71">
        <f t="shared" si="12"/>
        <v>10</v>
      </c>
      <c r="D18" s="68">
        <v>15</v>
      </c>
      <c r="E18" s="68">
        <f t="shared" si="13"/>
        <v>169</v>
      </c>
      <c r="F18" s="31">
        <f t="shared" si="14"/>
        <v>46</v>
      </c>
      <c r="G18" s="68">
        <f t="shared" si="15"/>
        <v>1</v>
      </c>
      <c r="H18" s="49">
        <v>122</v>
      </c>
      <c r="I18" s="72">
        <f t="shared" si="16"/>
        <v>0.27218934911242604</v>
      </c>
      <c r="J18" s="29">
        <f t="shared" si="17"/>
        <v>0.72781065088757391</v>
      </c>
      <c r="K18" s="29">
        <f t="shared" si="18"/>
        <v>0.43772241992882555</v>
      </c>
      <c r="M18" s="50">
        <f t="shared" si="0"/>
        <v>0.37869007910073738</v>
      </c>
      <c r="N18" s="50">
        <f t="shared" si="1"/>
        <v>0.49513944968625156</v>
      </c>
      <c r="O18" s="195">
        <f t="shared" si="2"/>
        <v>0.68255738767095997</v>
      </c>
      <c r="P18" s="196">
        <f t="shared" si="3"/>
        <v>47</v>
      </c>
      <c r="Q18" s="196">
        <f t="shared" si="4"/>
        <v>20618</v>
      </c>
      <c r="R18" s="197">
        <f t="shared" si="5"/>
        <v>2.2795615481618005E-3</v>
      </c>
      <c r="S18" s="197">
        <f t="shared" si="9"/>
        <v>4.6380024502654452E-3</v>
      </c>
      <c r="T18" s="198">
        <f t="shared" si="10"/>
        <v>8.2432012158398849E-2</v>
      </c>
      <c r="U18" s="199">
        <f t="shared" si="19"/>
        <v>1.9599639845400538</v>
      </c>
      <c r="V18" s="195">
        <f t="shared" si="6"/>
        <v>0.16156377500362956</v>
      </c>
      <c r="W18" s="200">
        <f t="shared" si="7"/>
        <v>1.1753474135537749</v>
      </c>
      <c r="X18" s="200">
        <f t="shared" si="8"/>
        <v>0.85081226917954811</v>
      </c>
      <c r="AC18" s="25"/>
      <c r="AG18" s="25"/>
      <c r="AH18" s="62"/>
      <c r="AI18" s="62"/>
      <c r="AJ18" s="62"/>
      <c r="AK18" s="62"/>
      <c r="AL18" s="62"/>
      <c r="AM18" s="62"/>
    </row>
    <row r="19" spans="1:41" x14ac:dyDescent="0.25">
      <c r="A19" s="67">
        <v>1</v>
      </c>
      <c r="B19" s="70">
        <f t="shared" si="11"/>
        <v>186</v>
      </c>
      <c r="C19" s="71">
        <f t="shared" si="12"/>
        <v>15</v>
      </c>
      <c r="D19" s="68">
        <v>20</v>
      </c>
      <c r="E19" s="68">
        <f t="shared" si="13"/>
        <v>122</v>
      </c>
      <c r="F19" s="31">
        <f t="shared" si="14"/>
        <v>28</v>
      </c>
      <c r="G19" s="68">
        <f t="shared" si="15"/>
        <v>0</v>
      </c>
      <c r="H19" s="49">
        <v>94</v>
      </c>
      <c r="I19" s="72">
        <f t="shared" si="16"/>
        <v>0.22950819672131148</v>
      </c>
      <c r="J19" s="29">
        <f t="shared" si="17"/>
        <v>0.77049180327868849</v>
      </c>
      <c r="K19" s="29">
        <f t="shared" si="18"/>
        <v>0.33726153666647213</v>
      </c>
      <c r="M19" s="50">
        <f t="shared" si="0"/>
        <v>0.28224587068285273</v>
      </c>
      <c r="N19" s="50">
        <f t="shared" si="1"/>
        <v>0.39302340894704207</v>
      </c>
      <c r="O19" s="195">
        <f t="shared" si="2"/>
        <v>1.1813441678434751</v>
      </c>
      <c r="P19" s="196">
        <f t="shared" si="3"/>
        <v>28</v>
      </c>
      <c r="Q19" s="196">
        <f t="shared" si="4"/>
        <v>11468</v>
      </c>
      <c r="R19" s="197">
        <f t="shared" si="5"/>
        <v>2.4415765608650159E-3</v>
      </c>
      <c r="S19" s="197">
        <f t="shared" si="9"/>
        <v>7.079579011130461E-3</v>
      </c>
      <c r="T19" s="198">
        <f t="shared" si="10"/>
        <v>7.7413284782061206E-2</v>
      </c>
      <c r="U19" s="199">
        <f t="shared" si="19"/>
        <v>1.9599639845400538</v>
      </c>
      <c r="V19" s="195">
        <f t="shared" si="6"/>
        <v>0.1517272500977826</v>
      </c>
      <c r="W19" s="200">
        <f t="shared" si="7"/>
        <v>1.163842755139924</v>
      </c>
      <c r="X19" s="200">
        <f t="shared" si="8"/>
        <v>0.85922260166475339</v>
      </c>
      <c r="AC19" s="25"/>
      <c r="AG19" s="25"/>
      <c r="AH19" s="62"/>
      <c r="AI19" s="62"/>
      <c r="AJ19" s="62"/>
      <c r="AK19" s="62"/>
      <c r="AL19" s="62"/>
      <c r="AM19" s="62"/>
    </row>
    <row r="20" spans="1:41" x14ac:dyDescent="0.25">
      <c r="A20" s="70">
        <v>2</v>
      </c>
      <c r="B20" s="70">
        <f t="shared" si="11"/>
        <v>202</v>
      </c>
      <c r="C20" s="71">
        <f t="shared" si="12"/>
        <v>20</v>
      </c>
      <c r="D20" s="68">
        <v>25</v>
      </c>
      <c r="E20" s="68">
        <f t="shared" si="13"/>
        <v>94</v>
      </c>
      <c r="F20" s="31">
        <f t="shared" si="14"/>
        <v>16</v>
      </c>
      <c r="G20" s="68">
        <f t="shared" si="15"/>
        <v>1</v>
      </c>
      <c r="H20" s="49">
        <v>77</v>
      </c>
      <c r="I20" s="72">
        <f t="shared" si="16"/>
        <v>0.1702127659574468</v>
      </c>
      <c r="J20" s="29">
        <f t="shared" si="17"/>
        <v>0.82978723404255317</v>
      </c>
      <c r="K20" s="29">
        <f t="shared" si="18"/>
        <v>0.27985531765941302</v>
      </c>
      <c r="M20" s="50">
        <f t="shared" si="0"/>
        <v>0.22792247591327711</v>
      </c>
      <c r="N20" s="50">
        <f t="shared" si="1"/>
        <v>0.33396845141743164</v>
      </c>
      <c r="O20" s="195">
        <f t="shared" si="2"/>
        <v>1.6217577593218491</v>
      </c>
      <c r="P20" s="196">
        <f t="shared" si="3"/>
        <v>17</v>
      </c>
      <c r="Q20" s="196">
        <f t="shared" si="4"/>
        <v>7238</v>
      </c>
      <c r="R20" s="197">
        <f t="shared" si="5"/>
        <v>2.3487151146725613E-3</v>
      </c>
      <c r="S20" s="197">
        <f t="shared" si="9"/>
        <v>9.4282941258030228E-3</v>
      </c>
      <c r="T20" s="198">
        <f t="shared" si="10"/>
        <v>7.6247141898950876E-2</v>
      </c>
      <c r="U20" s="199">
        <f t="shared" si="19"/>
        <v>1.9599639845400538</v>
      </c>
      <c r="V20" s="195">
        <f t="shared" si="6"/>
        <v>0.14944165204605864</v>
      </c>
      <c r="W20" s="200">
        <f t="shared" si="7"/>
        <v>1.1611857160246641</v>
      </c>
      <c r="X20" s="200">
        <f t="shared" si="8"/>
        <v>0.86118868515151414</v>
      </c>
      <c r="AC20" s="25"/>
      <c r="AG20" s="25"/>
      <c r="AH20" s="62"/>
      <c r="AI20" s="62"/>
      <c r="AJ20" s="62"/>
      <c r="AK20" s="62"/>
      <c r="AL20" s="62"/>
      <c r="AM20" s="62"/>
    </row>
    <row r="21" spans="1:41" x14ac:dyDescent="0.25">
      <c r="A21" s="67">
        <v>18</v>
      </c>
      <c r="B21" s="70">
        <f t="shared" si="11"/>
        <v>208</v>
      </c>
      <c r="C21" s="71">
        <f t="shared" si="12"/>
        <v>25</v>
      </c>
      <c r="D21" s="68">
        <v>30</v>
      </c>
      <c r="E21" s="68">
        <f t="shared" si="13"/>
        <v>77</v>
      </c>
      <c r="F21" s="31">
        <f t="shared" si="14"/>
        <v>6</v>
      </c>
      <c r="G21" s="68">
        <f t="shared" si="15"/>
        <v>16</v>
      </c>
      <c r="H21" s="49">
        <v>55</v>
      </c>
      <c r="I21" s="72">
        <f t="shared" si="16"/>
        <v>7.792207792207792E-2</v>
      </c>
      <c r="J21" s="29">
        <f t="shared" si="17"/>
        <v>0.92207792207792205</v>
      </c>
      <c r="K21" s="29">
        <f t="shared" si="18"/>
        <v>0.25804840978984833</v>
      </c>
      <c r="M21" s="50">
        <f t="shared" si="0"/>
        <v>0.1991658875267984</v>
      </c>
      <c r="N21" s="50">
        <f t="shared" si="1"/>
        <v>0.32072420392275192</v>
      </c>
      <c r="O21" s="195">
        <f t="shared" si="2"/>
        <v>1.8349630417788323</v>
      </c>
      <c r="P21" s="196">
        <f t="shared" si="3"/>
        <v>22</v>
      </c>
      <c r="Q21" s="196">
        <f t="shared" si="4"/>
        <v>4235</v>
      </c>
      <c r="R21" s="197">
        <f t="shared" si="5"/>
        <v>5.1948051948051948E-3</v>
      </c>
      <c r="S21" s="197">
        <f t="shared" si="9"/>
        <v>1.4623099320608218E-2</v>
      </c>
      <c r="T21" s="198">
        <f t="shared" si="10"/>
        <v>8.927010675377535E-2</v>
      </c>
      <c r="U21" s="199">
        <f t="shared" si="19"/>
        <v>1.9599639845400538</v>
      </c>
      <c r="V21" s="195">
        <f t="shared" si="6"/>
        <v>0.1749661941334455</v>
      </c>
      <c r="W21" s="200">
        <f t="shared" si="7"/>
        <v>1.191205946182418</v>
      </c>
      <c r="X21" s="200">
        <f t="shared" si="8"/>
        <v>0.83948539982091619</v>
      </c>
      <c r="AC21" s="25"/>
      <c r="AG21" s="25"/>
      <c r="AH21" s="62"/>
      <c r="AI21" s="62"/>
      <c r="AJ21" s="62"/>
      <c r="AK21" s="62"/>
      <c r="AL21" s="62"/>
      <c r="AM21" s="62"/>
    </row>
    <row r="22" spans="1:41" x14ac:dyDescent="0.25">
      <c r="A22" s="70">
        <v>40</v>
      </c>
      <c r="B22" s="70">
        <f t="shared" si="11"/>
        <v>212</v>
      </c>
      <c r="C22" s="71">
        <f t="shared" si="12"/>
        <v>30</v>
      </c>
      <c r="D22" s="68">
        <v>35</v>
      </c>
      <c r="E22" s="68">
        <f t="shared" si="13"/>
        <v>55</v>
      </c>
      <c r="F22" s="31">
        <f t="shared" si="14"/>
        <v>4</v>
      </c>
      <c r="G22" s="68">
        <f t="shared" si="15"/>
        <v>22</v>
      </c>
      <c r="H22" s="49">
        <v>29</v>
      </c>
      <c r="I22" s="72">
        <f t="shared" si="16"/>
        <v>7.2727272727272724E-2</v>
      </c>
      <c r="J22" s="29">
        <f t="shared" si="17"/>
        <v>0.92727272727272725</v>
      </c>
      <c r="K22" s="29">
        <f t="shared" si="18"/>
        <v>0.23928125271422299</v>
      </c>
      <c r="M22" s="50">
        <f t="shared" si="0"/>
        <v>0.16204838631242507</v>
      </c>
      <c r="N22" s="50">
        <f t="shared" si="1"/>
        <v>0.32502947823401912</v>
      </c>
      <c r="O22" s="195">
        <f t="shared" si="2"/>
        <v>2.0452307132410912</v>
      </c>
      <c r="P22" s="196">
        <f t="shared" si="3"/>
        <v>26</v>
      </c>
      <c r="Q22" s="196">
        <f t="shared" si="4"/>
        <v>1595</v>
      </c>
      <c r="R22" s="197">
        <f t="shared" si="5"/>
        <v>1.6300940438871474E-2</v>
      </c>
      <c r="S22" s="197">
        <f t="shared" si="9"/>
        <v>3.0924039759479691E-2</v>
      </c>
      <c r="T22" s="198">
        <f t="shared" si="10"/>
        <v>0.12296371014973875</v>
      </c>
      <c r="U22" s="199">
        <f t="shared" si="19"/>
        <v>1.9599639845400538</v>
      </c>
      <c r="V22" s="195">
        <f t="shared" si="6"/>
        <v>0.24100444329891021</v>
      </c>
      <c r="W22" s="200">
        <f t="shared" si="7"/>
        <v>1.2725266895121201</v>
      </c>
      <c r="X22" s="200">
        <f t="shared" si="8"/>
        <v>0.78583813466686081</v>
      </c>
      <c r="AC22" s="25"/>
      <c r="AG22" s="25"/>
      <c r="AH22" s="62"/>
      <c r="AI22" s="62"/>
      <c r="AJ22" s="62"/>
      <c r="AK22" s="62"/>
      <c r="AL22" s="62"/>
      <c r="AM22" s="62"/>
    </row>
    <row r="23" spans="1:41" x14ac:dyDescent="0.25">
      <c r="A23" s="67">
        <v>63</v>
      </c>
      <c r="B23" s="70">
        <f t="shared" si="11"/>
        <v>213</v>
      </c>
      <c r="C23" s="71">
        <f t="shared" si="12"/>
        <v>35</v>
      </c>
      <c r="D23" s="68">
        <v>40</v>
      </c>
      <c r="E23" s="68">
        <f t="shared" si="13"/>
        <v>29</v>
      </c>
      <c r="F23" s="31">
        <f t="shared" si="14"/>
        <v>1</v>
      </c>
      <c r="G23" s="68">
        <f t="shared" si="15"/>
        <v>23</v>
      </c>
      <c r="H23" s="49">
        <v>5</v>
      </c>
      <c r="I23" s="72">
        <f t="shared" si="16"/>
        <v>3.4482758620689655E-2</v>
      </c>
      <c r="J23" s="29">
        <f t="shared" si="17"/>
        <v>0.96551724137931039</v>
      </c>
      <c r="K23" s="29">
        <f t="shared" si="18"/>
        <v>0.23103017503442219</v>
      </c>
      <c r="M23" s="50">
        <f t="shared" si="0"/>
        <v>7.0592237336811803E-2</v>
      </c>
      <c r="N23" s="50">
        <f t="shared" si="1"/>
        <v>0.4449159708794419</v>
      </c>
      <c r="O23" s="195">
        <f t="shared" si="2"/>
        <v>2.1468314037987022</v>
      </c>
      <c r="P23" s="196">
        <f t="shared" si="3"/>
        <v>24</v>
      </c>
      <c r="Q23" s="196">
        <f t="shared" si="4"/>
        <v>145</v>
      </c>
      <c r="R23" s="197">
        <f t="shared" si="5"/>
        <v>0.16551724137931034</v>
      </c>
      <c r="S23" s="197">
        <f t="shared" si="9"/>
        <v>0.19644128113879003</v>
      </c>
      <c r="T23" s="198">
        <f t="shared" si="10"/>
        <v>0.30249444880810306</v>
      </c>
      <c r="U23" s="199">
        <f t="shared" si="19"/>
        <v>1.9599639845400538</v>
      </c>
      <c r="V23" s="195">
        <f t="shared" si="6"/>
        <v>0.59287822518717703</v>
      </c>
      <c r="W23" s="200">
        <f t="shared" si="7"/>
        <v>1.809188179749144</v>
      </c>
      <c r="X23" s="200">
        <f t="shared" si="8"/>
        <v>0.55273409985392274</v>
      </c>
      <c r="AC23" s="25"/>
      <c r="AG23" s="25"/>
      <c r="AH23" s="62"/>
      <c r="AI23" s="62"/>
      <c r="AJ23" s="62"/>
      <c r="AK23" s="62"/>
      <c r="AL23" s="62"/>
      <c r="AM23" s="62"/>
    </row>
    <row r="24" spans="1:41" x14ac:dyDescent="0.25">
      <c r="A24" s="70">
        <v>68</v>
      </c>
      <c r="B24" s="70">
        <f t="shared" si="11"/>
        <v>213</v>
      </c>
      <c r="C24" s="71">
        <f t="shared" si="12"/>
        <v>40</v>
      </c>
      <c r="D24" s="68">
        <v>45</v>
      </c>
      <c r="E24" s="68">
        <f t="shared" si="13"/>
        <v>5</v>
      </c>
      <c r="F24" s="31">
        <f t="shared" si="14"/>
        <v>0</v>
      </c>
      <c r="G24" s="68">
        <f t="shared" si="15"/>
        <v>5</v>
      </c>
      <c r="H24" s="49">
        <v>0</v>
      </c>
      <c r="I24" s="72">
        <f t="shared" si="16"/>
        <v>0</v>
      </c>
      <c r="J24" s="29">
        <f t="shared" si="17"/>
        <v>1</v>
      </c>
      <c r="K24" s="29">
        <f t="shared" si="18"/>
        <v>0.23103017503442219</v>
      </c>
      <c r="M24" s="50" t="e">
        <f t="shared" si="0"/>
        <v>#DIV/0!</v>
      </c>
      <c r="N24" s="50" t="e">
        <f t="shared" si="1"/>
        <v>#DIV/0!</v>
      </c>
      <c r="O24" s="195">
        <f t="shared" si="2"/>
        <v>2.1468314037987022</v>
      </c>
      <c r="P24" s="196">
        <f t="shared" si="3"/>
        <v>5</v>
      </c>
      <c r="Q24" s="196">
        <f t="shared" si="4"/>
        <v>0</v>
      </c>
      <c r="R24" s="197" t="e">
        <f t="shared" si="5"/>
        <v>#DIV/0!</v>
      </c>
      <c r="S24" s="197" t="e">
        <f t="shared" si="9"/>
        <v>#DIV/0!</v>
      </c>
      <c r="T24" s="198" t="e">
        <f t="shared" si="10"/>
        <v>#DIV/0!</v>
      </c>
      <c r="U24" s="199">
        <f t="shared" si="19"/>
        <v>1.9599639845400538</v>
      </c>
      <c r="V24" s="195" t="e">
        <f t="shared" si="6"/>
        <v>#DIV/0!</v>
      </c>
      <c r="W24" s="200" t="e">
        <f t="shared" si="7"/>
        <v>#DIV/0!</v>
      </c>
      <c r="X24" s="200" t="e">
        <f t="shared" si="8"/>
        <v>#DIV/0!</v>
      </c>
      <c r="AC24" s="25"/>
      <c r="AG24" s="25"/>
      <c r="AH24" s="62"/>
      <c r="AI24" s="62"/>
      <c r="AJ24" s="62"/>
      <c r="AK24" s="62"/>
      <c r="AL24" s="62"/>
      <c r="AM24" s="62"/>
    </row>
    <row r="25" spans="1:41" ht="10" customHeight="1" x14ac:dyDescent="0.25">
      <c r="D25" s="73"/>
      <c r="E25" s="73"/>
      <c r="F25" s="73"/>
      <c r="G25" s="74"/>
      <c r="H25" s="73"/>
      <c r="I25" s="75"/>
      <c r="J25" s="76"/>
      <c r="K25" s="76"/>
      <c r="L25" s="77"/>
      <c r="M25" s="78"/>
      <c r="N25" s="78"/>
      <c r="O25" s="168"/>
      <c r="P25" s="168"/>
      <c r="Q25" s="201"/>
      <c r="R25" s="202"/>
      <c r="S25" s="202"/>
      <c r="T25" s="202"/>
      <c r="U25" s="202"/>
      <c r="V25" s="202"/>
      <c r="W25" s="202"/>
      <c r="X25" s="202"/>
      <c r="Z25" s="80"/>
      <c r="AA25" s="80"/>
      <c r="AC25" s="25"/>
      <c r="AE25" s="62"/>
      <c r="AF25" s="81"/>
      <c r="AG25" s="62"/>
      <c r="AH25" s="62"/>
      <c r="AI25" s="62"/>
      <c r="AJ25" s="62"/>
      <c r="AK25" s="62"/>
      <c r="AL25" s="62"/>
      <c r="AM25" s="62"/>
      <c r="AN25" s="80"/>
      <c r="AO25" s="80"/>
    </row>
    <row r="26" spans="1:41" ht="15" x14ac:dyDescent="0.25">
      <c r="D26" s="82"/>
      <c r="E26" s="55" t="s">
        <v>0</v>
      </c>
      <c r="F26" s="56">
        <f>SUM(F16:F24)</f>
        <v>213</v>
      </c>
      <c r="G26" s="56">
        <f>SUM(G16:G24)</f>
        <v>68</v>
      </c>
      <c r="H26" s="56">
        <f>H15-F26-G26</f>
        <v>0</v>
      </c>
      <c r="I26" s="75"/>
      <c r="J26" s="83" t="s">
        <v>47</v>
      </c>
      <c r="K26" s="36">
        <f>1-K24</f>
        <v>0.76896982496557786</v>
      </c>
      <c r="L26" s="37" t="s">
        <v>31</v>
      </c>
      <c r="M26" s="77"/>
      <c r="N26" s="77"/>
      <c r="O26" s="168"/>
      <c r="P26" s="168"/>
      <c r="Q26" s="201"/>
      <c r="R26" s="202"/>
      <c r="S26" s="202"/>
      <c r="T26" s="202"/>
      <c r="U26" s="202"/>
      <c r="V26" s="202"/>
      <c r="W26" s="202"/>
      <c r="X26" s="202"/>
      <c r="Z26" s="80"/>
      <c r="AA26" s="80"/>
      <c r="AC26" s="25"/>
      <c r="AE26" s="62"/>
      <c r="AF26" s="62"/>
      <c r="AG26" s="62"/>
      <c r="AH26" s="62"/>
      <c r="AI26" s="62"/>
      <c r="AJ26" s="62"/>
      <c r="AK26" s="62"/>
      <c r="AL26" s="62"/>
      <c r="AM26" s="62"/>
      <c r="AN26" s="80"/>
      <c r="AO26" s="80"/>
    </row>
    <row r="27" spans="1:41" ht="15" customHeight="1" x14ac:dyDescent="0.25">
      <c r="D27" s="82"/>
      <c r="F27" s="11">
        <f>F26/E15</f>
        <v>0.75800711743772242</v>
      </c>
      <c r="G27" s="12">
        <f>G26/E15</f>
        <v>0.24199288256227758</v>
      </c>
      <c r="H27" s="13">
        <f>H26/E15</f>
        <v>0</v>
      </c>
      <c r="I27" s="75"/>
      <c r="J27" s="75"/>
      <c r="K27" s="75"/>
      <c r="L27" s="84"/>
      <c r="M27" s="84"/>
      <c r="N27" s="84"/>
      <c r="O27" s="203"/>
      <c r="P27" s="203"/>
      <c r="Q27" s="203"/>
      <c r="R27" s="202"/>
      <c r="S27" s="202"/>
      <c r="T27" s="202"/>
      <c r="U27" s="202"/>
      <c r="V27" s="202"/>
      <c r="W27" s="202"/>
      <c r="X27" s="202"/>
      <c r="Z27" s="80"/>
      <c r="AA27" s="80"/>
      <c r="AC27" s="25"/>
      <c r="AE27" s="62"/>
      <c r="AF27" s="62"/>
      <c r="AG27" s="62"/>
      <c r="AH27" s="62"/>
      <c r="AI27" s="62"/>
      <c r="AJ27" s="62"/>
      <c r="AK27" s="62"/>
      <c r="AL27" s="62"/>
      <c r="AM27" s="62"/>
      <c r="AN27" s="62"/>
      <c r="AO27" s="62"/>
    </row>
    <row r="28" spans="1:41" ht="15" customHeight="1" x14ac:dyDescent="0.25">
      <c r="D28" s="82"/>
      <c r="F28" s="142" t="s">
        <v>68</v>
      </c>
      <c r="G28" s="143" t="s">
        <v>69</v>
      </c>
      <c r="H28" s="141" t="s">
        <v>70</v>
      </c>
      <c r="I28" s="75"/>
      <c r="J28" s="75"/>
      <c r="K28" s="75"/>
      <c r="L28" s="84"/>
      <c r="M28" s="84"/>
      <c r="N28" s="84"/>
      <c r="O28" s="203"/>
      <c r="P28" s="203"/>
      <c r="Q28" s="203"/>
      <c r="R28" s="202"/>
      <c r="S28" s="202"/>
      <c r="T28" s="202"/>
      <c r="U28" s="202"/>
      <c r="V28" s="202"/>
      <c r="W28" s="202"/>
      <c r="X28" s="202"/>
      <c r="Z28" s="80"/>
      <c r="AA28" s="80"/>
      <c r="AC28" s="25"/>
      <c r="AE28" s="62"/>
      <c r="AF28" s="62"/>
      <c r="AG28" s="62"/>
      <c r="AH28" s="62"/>
      <c r="AI28" s="62"/>
      <c r="AJ28" s="62"/>
      <c r="AK28" s="62"/>
      <c r="AL28" s="62"/>
      <c r="AM28" s="62"/>
      <c r="AN28" s="62"/>
      <c r="AO28" s="62"/>
    </row>
    <row r="29" spans="1:41" ht="27.5" customHeight="1" x14ac:dyDescent="0.25">
      <c r="A29" s="30" t="s">
        <v>100</v>
      </c>
      <c r="E29" s="63"/>
      <c r="F29" s="64"/>
      <c r="H29" s="10"/>
      <c r="J29" s="237" t="s">
        <v>32</v>
      </c>
      <c r="K29" s="238"/>
      <c r="L29" s="87"/>
      <c r="M29" s="65" t="s">
        <v>43</v>
      </c>
      <c r="N29" s="65" t="s">
        <v>44</v>
      </c>
      <c r="O29" s="204"/>
      <c r="P29" s="204"/>
      <c r="Q29" s="205"/>
      <c r="R29" s="202"/>
      <c r="S29" s="202"/>
      <c r="T29" s="202"/>
      <c r="U29" s="202"/>
      <c r="V29" s="202"/>
      <c r="W29" s="202"/>
      <c r="X29" s="202"/>
      <c r="AC29" s="25"/>
      <c r="AE29" s="62"/>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2" t="s">
        <v>86</v>
      </c>
      <c r="P30" s="192" t="s">
        <v>87</v>
      </c>
      <c r="Q30" s="192" t="s">
        <v>88</v>
      </c>
      <c r="R30" s="192" t="s">
        <v>89</v>
      </c>
      <c r="S30" s="192" t="s">
        <v>90</v>
      </c>
      <c r="T30" s="193" t="s">
        <v>85</v>
      </c>
      <c r="U30" s="193" t="s">
        <v>91</v>
      </c>
      <c r="V30" s="194" t="s">
        <v>92</v>
      </c>
      <c r="W30" s="194" t="s">
        <v>93</v>
      </c>
      <c r="X30" s="194" t="s">
        <v>94</v>
      </c>
      <c r="AC30" s="25"/>
      <c r="AG30" s="62"/>
      <c r="AH30" s="62"/>
      <c r="AI30" s="62"/>
      <c r="AJ30" s="62"/>
      <c r="AK30" s="62"/>
      <c r="AL30" s="62"/>
      <c r="AM30" s="62"/>
      <c r="AN30" s="62"/>
      <c r="AO30" s="62"/>
    </row>
    <row r="31" spans="1:41" x14ac:dyDescent="0.25">
      <c r="A31" s="67">
        <v>0</v>
      </c>
      <c r="B31" s="67">
        <v>0</v>
      </c>
      <c r="C31" s="62"/>
      <c r="D31" s="68">
        <v>0</v>
      </c>
      <c r="E31" s="31">
        <f>H31</f>
        <v>301</v>
      </c>
      <c r="F31" s="3">
        <v>0</v>
      </c>
      <c r="G31" s="3">
        <v>0</v>
      </c>
      <c r="H31" s="49">
        <v>301</v>
      </c>
      <c r="I31" s="69">
        <f>F31/E31</f>
        <v>0</v>
      </c>
      <c r="J31" s="29">
        <f>1-I31</f>
        <v>1</v>
      </c>
      <c r="K31" s="29">
        <f>J31</f>
        <v>1</v>
      </c>
      <c r="L31" s="62"/>
      <c r="M31" s="50">
        <f t="shared" ref="M31:M40" si="20">K31^W31</f>
        <v>1</v>
      </c>
      <c r="N31" s="50">
        <f t="shared" ref="N31:N40" si="21">K31^X31</f>
        <v>1</v>
      </c>
      <c r="O31" s="195">
        <f t="shared" ref="O31:O40" si="22">(LN(K31))^2</f>
        <v>0</v>
      </c>
      <c r="P31" s="196">
        <f t="shared" ref="P31:P40" si="23">E31-H31</f>
        <v>0</v>
      </c>
      <c r="Q31" s="196">
        <f t="shared" ref="Q31:Q40" si="24">E31*H31</f>
        <v>90601</v>
      </c>
      <c r="R31" s="197">
        <f t="shared" ref="R31:R40" si="25">P31/Q31</f>
        <v>0</v>
      </c>
      <c r="S31" s="197">
        <f>R31</f>
        <v>0</v>
      </c>
      <c r="T31" s="198">
        <v>0</v>
      </c>
      <c r="U31" s="199">
        <f>-NORMSINV(2.5/100)</f>
        <v>1.9599639845400538</v>
      </c>
      <c r="V31" s="195">
        <f t="shared" ref="V31:V40" si="26">U31*T31</f>
        <v>0</v>
      </c>
      <c r="W31" s="200">
        <f t="shared" ref="W31:W40" si="27">EXP(V31)</f>
        <v>1</v>
      </c>
      <c r="X31" s="200">
        <f t="shared" ref="X31:X40" si="28">EXP(-V31)</f>
        <v>1</v>
      </c>
      <c r="AC31" s="25"/>
      <c r="AG31" s="62"/>
      <c r="AH31" s="62"/>
      <c r="AI31" s="62"/>
      <c r="AJ31" s="62"/>
      <c r="AK31" s="62"/>
      <c r="AL31" s="62"/>
      <c r="AM31" s="62"/>
      <c r="AN31" s="62"/>
      <c r="AO31" s="62"/>
    </row>
    <row r="32" spans="1:41" x14ac:dyDescent="0.25">
      <c r="A32" s="70">
        <v>1</v>
      </c>
      <c r="B32" s="70">
        <f>B31+F32</f>
        <v>74</v>
      </c>
      <c r="C32" s="71">
        <f>D31</f>
        <v>0</v>
      </c>
      <c r="D32" s="68">
        <v>5</v>
      </c>
      <c r="E32" s="68">
        <f>H31</f>
        <v>301</v>
      </c>
      <c r="F32" s="31">
        <f>E32-H32-G32</f>
        <v>74</v>
      </c>
      <c r="G32" s="68">
        <f>A32-A31</f>
        <v>1</v>
      </c>
      <c r="H32" s="49">
        <v>226</v>
      </c>
      <c r="I32" s="72">
        <f>F32/E32</f>
        <v>0.24584717607973422</v>
      </c>
      <c r="J32" s="29">
        <f>1-I32</f>
        <v>0.75415282392026572</v>
      </c>
      <c r="K32" s="29">
        <f>J32*K31</f>
        <v>0.75415282392026572</v>
      </c>
      <c r="L32" s="62"/>
      <c r="M32" s="50">
        <f t="shared" si="20"/>
        <v>0.70092367229617503</v>
      </c>
      <c r="N32" s="50">
        <f t="shared" si="21"/>
        <v>0.79928229927827232</v>
      </c>
      <c r="O32" s="195">
        <f t="shared" si="22"/>
        <v>7.9614405138041577E-2</v>
      </c>
      <c r="P32" s="196">
        <f t="shared" si="23"/>
        <v>75</v>
      </c>
      <c r="Q32" s="196">
        <f t="shared" si="24"/>
        <v>68026</v>
      </c>
      <c r="R32" s="197">
        <f t="shared" si="25"/>
        <v>1.1025196248493224E-3</v>
      </c>
      <c r="S32" s="197">
        <f t="shared" ref="S32:S40" si="29">S31+R32</f>
        <v>1.1025196248493224E-3</v>
      </c>
      <c r="T32" s="198">
        <f t="shared" ref="T32:T40" si="30">SQRT((1/O32)*S32)</f>
        <v>0.11767855774199353</v>
      </c>
      <c r="U32" s="199">
        <f>-NORMSINV(2.5/100)</f>
        <v>1.9599639845400538</v>
      </c>
      <c r="V32" s="195">
        <f t="shared" si="26"/>
        <v>0.23064573492692442</v>
      </c>
      <c r="W32" s="200">
        <f t="shared" si="27"/>
        <v>1.2594129943728924</v>
      </c>
      <c r="X32" s="200">
        <f t="shared" si="28"/>
        <v>0.79402071001969965</v>
      </c>
      <c r="AC32" s="25"/>
      <c r="AG32" s="62"/>
      <c r="AH32" s="62"/>
      <c r="AI32" s="62"/>
      <c r="AJ32" s="62"/>
      <c r="AK32" s="62"/>
      <c r="AL32" s="62"/>
      <c r="AM32" s="62"/>
      <c r="AN32" s="62"/>
      <c r="AO32" s="62"/>
    </row>
    <row r="33" spans="1:41" x14ac:dyDescent="0.25">
      <c r="A33" s="67">
        <v>1</v>
      </c>
      <c r="B33" s="70">
        <f t="shared" ref="B33:B40" si="31">B32+F33</f>
        <v>128</v>
      </c>
      <c r="C33" s="71">
        <f t="shared" ref="C33:C40" si="32">D32</f>
        <v>5</v>
      </c>
      <c r="D33" s="68">
        <v>10</v>
      </c>
      <c r="E33" s="68">
        <f t="shared" ref="E33:E40" si="33">H32</f>
        <v>226</v>
      </c>
      <c r="F33" s="31">
        <f t="shared" ref="F33:F40" si="34">E33-H33-G33</f>
        <v>54</v>
      </c>
      <c r="G33" s="68">
        <f t="shared" ref="G33:G40" si="35">A33-A32</f>
        <v>0</v>
      </c>
      <c r="H33" s="49">
        <v>172</v>
      </c>
      <c r="I33" s="72">
        <f t="shared" ref="I33:I40" si="36">F33/E33</f>
        <v>0.23893805309734514</v>
      </c>
      <c r="J33" s="29">
        <f t="shared" ref="J33:J40" si="37">1-I33</f>
        <v>0.76106194690265483</v>
      </c>
      <c r="K33" s="29">
        <f t="shared" ref="K33:K40" si="38">J33*K32</f>
        <v>0.5739570164348925</v>
      </c>
      <c r="L33" s="62"/>
      <c r="M33" s="50">
        <f t="shared" si="20"/>
        <v>0.51572295571238169</v>
      </c>
      <c r="N33" s="50">
        <f t="shared" si="21"/>
        <v>0.62782062872599109</v>
      </c>
      <c r="O33" s="195">
        <f t="shared" si="22"/>
        <v>0.30824789470468261</v>
      </c>
      <c r="P33" s="196">
        <f t="shared" si="23"/>
        <v>54</v>
      </c>
      <c r="Q33" s="196">
        <f t="shared" si="24"/>
        <v>38872</v>
      </c>
      <c r="R33" s="197">
        <f t="shared" si="25"/>
        <v>1.3891747273101461E-3</v>
      </c>
      <c r="S33" s="197">
        <f t="shared" si="29"/>
        <v>2.4916943521594683E-3</v>
      </c>
      <c r="T33" s="198">
        <f t="shared" si="30"/>
        <v>8.9907790379300731E-2</v>
      </c>
      <c r="U33" s="199">
        <f t="shared" ref="U33:U40" si="39">-NORMSINV(2.5/100)</f>
        <v>1.9599639845400538</v>
      </c>
      <c r="V33" s="195">
        <f t="shared" si="26"/>
        <v>0.17621603107300618</v>
      </c>
      <c r="W33" s="200">
        <f t="shared" si="27"/>
        <v>1.192695690151176</v>
      </c>
      <c r="X33" s="200">
        <f t="shared" si="28"/>
        <v>0.8384368353617917</v>
      </c>
      <c r="AC33" s="25"/>
      <c r="AG33" s="62"/>
      <c r="AH33" s="62"/>
      <c r="AI33" s="62"/>
      <c r="AJ33" s="62"/>
      <c r="AK33" s="62"/>
      <c r="AL33" s="62"/>
      <c r="AM33" s="62"/>
      <c r="AN33" s="62"/>
      <c r="AO33" s="62"/>
    </row>
    <row r="34" spans="1:41" x14ac:dyDescent="0.25">
      <c r="A34" s="70">
        <v>1</v>
      </c>
      <c r="B34" s="70">
        <f t="shared" si="31"/>
        <v>175</v>
      </c>
      <c r="C34" s="71">
        <f t="shared" si="32"/>
        <v>10</v>
      </c>
      <c r="D34" s="68">
        <v>15</v>
      </c>
      <c r="E34" s="68">
        <f t="shared" si="33"/>
        <v>172</v>
      </c>
      <c r="F34" s="31">
        <f t="shared" si="34"/>
        <v>47</v>
      </c>
      <c r="G34" s="68">
        <f t="shared" si="35"/>
        <v>0</v>
      </c>
      <c r="H34" s="49">
        <v>125</v>
      </c>
      <c r="I34" s="72">
        <f t="shared" si="36"/>
        <v>0.27325581395348836</v>
      </c>
      <c r="J34" s="29">
        <f t="shared" si="37"/>
        <v>0.72674418604651159</v>
      </c>
      <c r="K34" s="29">
        <f t="shared" si="38"/>
        <v>0.4171199247346602</v>
      </c>
      <c r="L34" s="62"/>
      <c r="M34" s="50">
        <f t="shared" si="20"/>
        <v>0.36086453702855642</v>
      </c>
      <c r="N34" s="50">
        <f t="shared" si="21"/>
        <v>0.47231856664852101</v>
      </c>
      <c r="O34" s="195">
        <f t="shared" si="22"/>
        <v>0.76454302369637495</v>
      </c>
      <c r="P34" s="196">
        <f t="shared" si="23"/>
        <v>47</v>
      </c>
      <c r="Q34" s="196">
        <f t="shared" si="24"/>
        <v>21500</v>
      </c>
      <c r="R34" s="197">
        <f t="shared" si="25"/>
        <v>2.1860465116279068E-3</v>
      </c>
      <c r="S34" s="197">
        <f t="shared" si="29"/>
        <v>4.6777408637873746E-3</v>
      </c>
      <c r="T34" s="198">
        <f t="shared" si="30"/>
        <v>7.8219874479870111E-2</v>
      </c>
      <c r="U34" s="199">
        <f t="shared" si="39"/>
        <v>1.9599639845400538</v>
      </c>
      <c r="V34" s="195">
        <f t="shared" si="26"/>
        <v>0.15330813685578909</v>
      </c>
      <c r="W34" s="200">
        <f t="shared" si="27"/>
        <v>1.1656841138462302</v>
      </c>
      <c r="X34" s="200">
        <f t="shared" si="28"/>
        <v>0.85786534115186008</v>
      </c>
      <c r="AC34" s="25"/>
      <c r="AG34" s="62"/>
      <c r="AH34" s="62"/>
      <c r="AI34" s="62"/>
      <c r="AJ34" s="62"/>
      <c r="AK34" s="62"/>
      <c r="AL34" s="62"/>
      <c r="AM34" s="62"/>
      <c r="AN34" s="62"/>
      <c r="AO34" s="62"/>
    </row>
    <row r="35" spans="1:41" x14ac:dyDescent="0.25">
      <c r="A35" s="67">
        <v>1</v>
      </c>
      <c r="B35" s="70">
        <f t="shared" si="31"/>
        <v>201</v>
      </c>
      <c r="C35" s="71">
        <f t="shared" si="32"/>
        <v>15</v>
      </c>
      <c r="D35" s="68">
        <v>20</v>
      </c>
      <c r="E35" s="68">
        <f t="shared" si="33"/>
        <v>125</v>
      </c>
      <c r="F35" s="31">
        <f t="shared" si="34"/>
        <v>26</v>
      </c>
      <c r="G35" s="68">
        <f t="shared" si="35"/>
        <v>0</v>
      </c>
      <c r="H35" s="49">
        <v>99</v>
      </c>
      <c r="I35" s="72">
        <f t="shared" si="36"/>
        <v>0.20799999999999999</v>
      </c>
      <c r="J35" s="29">
        <f t="shared" si="37"/>
        <v>0.79200000000000004</v>
      </c>
      <c r="K35" s="29">
        <f t="shared" si="38"/>
        <v>0.3303589803898509</v>
      </c>
      <c r="L35" s="62"/>
      <c r="M35" s="50">
        <f t="shared" si="20"/>
        <v>0.27767794300985521</v>
      </c>
      <c r="N35" s="50">
        <f t="shared" si="21"/>
        <v>0.38388579625275088</v>
      </c>
      <c r="O35" s="195">
        <f t="shared" si="22"/>
        <v>1.2267232587220676</v>
      </c>
      <c r="P35" s="196">
        <f t="shared" si="23"/>
        <v>26</v>
      </c>
      <c r="Q35" s="196">
        <f t="shared" si="24"/>
        <v>12375</v>
      </c>
      <c r="R35" s="197">
        <f t="shared" si="25"/>
        <v>2.1010101010101008E-3</v>
      </c>
      <c r="S35" s="197">
        <f t="shared" si="29"/>
        <v>6.7787509647974755E-3</v>
      </c>
      <c r="T35" s="198">
        <f t="shared" si="30"/>
        <v>7.4336402531633441E-2</v>
      </c>
      <c r="U35" s="199">
        <f t="shared" si="39"/>
        <v>1.9599639845400538</v>
      </c>
      <c r="V35" s="195">
        <f t="shared" si="26"/>
        <v>0.14569667170227363</v>
      </c>
      <c r="W35" s="200">
        <f t="shared" si="27"/>
        <v>1.1568452309312431</v>
      </c>
      <c r="X35" s="200">
        <f t="shared" si="28"/>
        <v>0.86441986642847202</v>
      </c>
      <c r="AC35" s="25"/>
      <c r="AG35" s="62"/>
      <c r="AH35" s="62"/>
      <c r="AI35" s="62"/>
      <c r="AJ35" s="62"/>
      <c r="AK35" s="62"/>
      <c r="AL35" s="62"/>
      <c r="AM35" s="62"/>
      <c r="AN35" s="62"/>
      <c r="AO35" s="62"/>
    </row>
    <row r="36" spans="1:41" x14ac:dyDescent="0.25">
      <c r="A36" s="70">
        <v>4</v>
      </c>
      <c r="B36" s="70">
        <f t="shared" si="31"/>
        <v>222</v>
      </c>
      <c r="C36" s="71">
        <f t="shared" si="32"/>
        <v>20</v>
      </c>
      <c r="D36" s="68">
        <v>25</v>
      </c>
      <c r="E36" s="68">
        <f t="shared" si="33"/>
        <v>99</v>
      </c>
      <c r="F36" s="31">
        <f t="shared" si="34"/>
        <v>21</v>
      </c>
      <c r="G36" s="68">
        <f t="shared" si="35"/>
        <v>3</v>
      </c>
      <c r="H36" s="49">
        <v>75</v>
      </c>
      <c r="I36" s="72">
        <f t="shared" si="36"/>
        <v>0.21212121212121213</v>
      </c>
      <c r="J36" s="29">
        <f t="shared" si="37"/>
        <v>0.78787878787878785</v>
      </c>
      <c r="K36" s="29">
        <f t="shared" si="38"/>
        <v>0.26028283303442795</v>
      </c>
      <c r="L36" s="62"/>
      <c r="M36" s="50">
        <f t="shared" si="20"/>
        <v>0.21074698468719361</v>
      </c>
      <c r="N36" s="50">
        <f t="shared" si="21"/>
        <v>0.31239147995481387</v>
      </c>
      <c r="O36" s="195">
        <f t="shared" si="22"/>
        <v>1.8116794424210712</v>
      </c>
      <c r="P36" s="196">
        <f t="shared" si="23"/>
        <v>24</v>
      </c>
      <c r="Q36" s="196">
        <f t="shared" si="24"/>
        <v>7425</v>
      </c>
      <c r="R36" s="197">
        <f t="shared" si="25"/>
        <v>3.2323232323232323E-3</v>
      </c>
      <c r="S36" s="197">
        <f t="shared" si="29"/>
        <v>1.0011074197120707E-2</v>
      </c>
      <c r="T36" s="198">
        <f t="shared" si="30"/>
        <v>7.4336081099164147E-2</v>
      </c>
      <c r="U36" s="199">
        <f t="shared" si="39"/>
        <v>1.9599639845400538</v>
      </c>
      <c r="V36" s="195">
        <f t="shared" si="26"/>
        <v>0.14569604170621034</v>
      </c>
      <c r="W36" s="200">
        <f t="shared" si="27"/>
        <v>1.1568445021235314</v>
      </c>
      <c r="X36" s="200">
        <f t="shared" si="28"/>
        <v>0.86442041100975642</v>
      </c>
      <c r="AC36" s="25"/>
      <c r="AG36" s="62"/>
      <c r="AH36" s="62"/>
      <c r="AI36" s="62"/>
      <c r="AJ36" s="62"/>
      <c r="AK36" s="62"/>
      <c r="AL36" s="62"/>
      <c r="AM36" s="62"/>
      <c r="AN36" s="62"/>
      <c r="AO36" s="62"/>
    </row>
    <row r="37" spans="1:41" x14ac:dyDescent="0.25">
      <c r="A37" s="67">
        <v>23</v>
      </c>
      <c r="B37" s="70">
        <f t="shared" si="31"/>
        <v>232</v>
      </c>
      <c r="C37" s="71">
        <f t="shared" si="32"/>
        <v>25</v>
      </c>
      <c r="D37" s="68">
        <v>30</v>
      </c>
      <c r="E37" s="68">
        <f t="shared" si="33"/>
        <v>75</v>
      </c>
      <c r="F37" s="31">
        <f t="shared" si="34"/>
        <v>10</v>
      </c>
      <c r="G37" s="68">
        <f t="shared" si="35"/>
        <v>19</v>
      </c>
      <c r="H37" s="49">
        <v>46</v>
      </c>
      <c r="I37" s="72">
        <f t="shared" si="36"/>
        <v>0.13333333333333333</v>
      </c>
      <c r="J37" s="29">
        <f t="shared" si="37"/>
        <v>0.8666666666666667</v>
      </c>
      <c r="K37" s="29">
        <f t="shared" si="38"/>
        <v>0.22557845529650422</v>
      </c>
      <c r="L37" s="62"/>
      <c r="M37" s="50">
        <f t="shared" si="20"/>
        <v>0.16858640887709669</v>
      </c>
      <c r="N37" s="50">
        <f t="shared" si="21"/>
        <v>0.28779556746710794</v>
      </c>
      <c r="O37" s="195">
        <f t="shared" si="22"/>
        <v>2.2173808782906406</v>
      </c>
      <c r="P37" s="196">
        <f t="shared" si="23"/>
        <v>29</v>
      </c>
      <c r="Q37" s="196">
        <f t="shared" si="24"/>
        <v>3450</v>
      </c>
      <c r="R37" s="197">
        <f t="shared" si="25"/>
        <v>8.4057971014492756E-3</v>
      </c>
      <c r="S37" s="197">
        <f t="shared" si="29"/>
        <v>1.8416871298569983E-2</v>
      </c>
      <c r="T37" s="198">
        <f t="shared" si="30"/>
        <v>9.1135541329571898E-2</v>
      </c>
      <c r="U37" s="199">
        <f t="shared" si="39"/>
        <v>1.9599639845400538</v>
      </c>
      <c r="V37" s="195">
        <f t="shared" si="26"/>
        <v>0.17862237871752248</v>
      </c>
      <c r="W37" s="200">
        <f t="shared" si="27"/>
        <v>1.1955691865448514</v>
      </c>
      <c r="X37" s="200">
        <f t="shared" si="28"/>
        <v>0.83642169040000203</v>
      </c>
      <c r="AC37" s="25"/>
      <c r="AG37" s="62"/>
      <c r="AH37" s="62"/>
      <c r="AI37" s="62"/>
      <c r="AJ37" s="62"/>
      <c r="AK37" s="62"/>
      <c r="AL37" s="62"/>
      <c r="AM37" s="62"/>
      <c r="AN37" s="62"/>
      <c r="AO37" s="62"/>
    </row>
    <row r="38" spans="1:41" x14ac:dyDescent="0.25">
      <c r="A38" s="70">
        <v>44</v>
      </c>
      <c r="B38" s="70">
        <f t="shared" si="31"/>
        <v>235</v>
      </c>
      <c r="C38" s="71">
        <f t="shared" si="32"/>
        <v>30</v>
      </c>
      <c r="D38" s="68">
        <v>35</v>
      </c>
      <c r="E38" s="68">
        <f t="shared" si="33"/>
        <v>46</v>
      </c>
      <c r="F38" s="31">
        <f t="shared" si="34"/>
        <v>3</v>
      </c>
      <c r="G38" s="68">
        <f t="shared" si="35"/>
        <v>21</v>
      </c>
      <c r="H38" s="49">
        <v>22</v>
      </c>
      <c r="I38" s="72">
        <f t="shared" si="36"/>
        <v>6.5217391304347824E-2</v>
      </c>
      <c r="J38" s="29">
        <f t="shared" si="37"/>
        <v>0.93478260869565222</v>
      </c>
      <c r="K38" s="29">
        <f t="shared" si="38"/>
        <v>0.21086681690760178</v>
      </c>
      <c r="L38" s="62"/>
      <c r="M38" s="50">
        <f t="shared" si="20"/>
        <v>0.13323930407557164</v>
      </c>
      <c r="N38" s="50">
        <f t="shared" si="21"/>
        <v>0.30058948673409752</v>
      </c>
      <c r="O38" s="195">
        <f t="shared" si="22"/>
        <v>2.4227811091782563</v>
      </c>
      <c r="P38" s="196">
        <f t="shared" si="23"/>
        <v>24</v>
      </c>
      <c r="Q38" s="196">
        <f t="shared" si="24"/>
        <v>1012</v>
      </c>
      <c r="R38" s="197">
        <f t="shared" si="25"/>
        <v>2.3715415019762844E-2</v>
      </c>
      <c r="S38" s="197">
        <f t="shared" si="29"/>
        <v>4.2132286318332823E-2</v>
      </c>
      <c r="T38" s="198">
        <f t="shared" si="30"/>
        <v>0.13187134145757745</v>
      </c>
      <c r="U38" s="199">
        <f t="shared" si="39"/>
        <v>1.9599639845400538</v>
      </c>
      <c r="V38" s="195">
        <f t="shared" si="26"/>
        <v>0.25846307984983546</v>
      </c>
      <c r="W38" s="200">
        <f t="shared" si="27"/>
        <v>1.2949383396523426</v>
      </c>
      <c r="X38" s="200">
        <f t="shared" si="28"/>
        <v>0.77223754164887415</v>
      </c>
      <c r="AC38" s="25"/>
      <c r="AG38" s="62"/>
      <c r="AH38" s="62"/>
      <c r="AI38" s="62"/>
      <c r="AJ38" s="62"/>
      <c r="AK38" s="62"/>
      <c r="AL38" s="62"/>
      <c r="AM38" s="62"/>
      <c r="AN38" s="62"/>
      <c r="AO38" s="62"/>
    </row>
    <row r="39" spans="1:41" x14ac:dyDescent="0.25">
      <c r="A39" s="67">
        <v>52</v>
      </c>
      <c r="B39" s="70">
        <f t="shared" si="31"/>
        <v>236</v>
      </c>
      <c r="C39" s="71">
        <f t="shared" si="32"/>
        <v>35</v>
      </c>
      <c r="D39" s="68">
        <v>40</v>
      </c>
      <c r="E39" s="68">
        <f t="shared" si="33"/>
        <v>22</v>
      </c>
      <c r="F39" s="31">
        <f t="shared" si="34"/>
        <v>1</v>
      </c>
      <c r="G39" s="68">
        <f t="shared" si="35"/>
        <v>8</v>
      </c>
      <c r="H39" s="49">
        <v>13</v>
      </c>
      <c r="I39" s="72">
        <f t="shared" si="36"/>
        <v>4.5454545454545456E-2</v>
      </c>
      <c r="J39" s="29">
        <f t="shared" si="37"/>
        <v>0.95454545454545459</v>
      </c>
      <c r="K39" s="29">
        <f t="shared" si="38"/>
        <v>0.20128196159361988</v>
      </c>
      <c r="L39" s="62"/>
      <c r="M39" s="50">
        <f t="shared" si="20"/>
        <v>0.10714431136628295</v>
      </c>
      <c r="N39" s="50">
        <f t="shared" si="21"/>
        <v>0.31647389272526383</v>
      </c>
      <c r="O39" s="195">
        <f t="shared" si="22"/>
        <v>2.5697646854656448</v>
      </c>
      <c r="P39" s="196">
        <f t="shared" si="23"/>
        <v>9</v>
      </c>
      <c r="Q39" s="196">
        <f t="shared" si="24"/>
        <v>286</v>
      </c>
      <c r="R39" s="197">
        <f t="shared" si="25"/>
        <v>3.1468531468531472E-2</v>
      </c>
      <c r="S39" s="197">
        <f t="shared" si="29"/>
        <v>7.3600817786864295E-2</v>
      </c>
      <c r="T39" s="198">
        <f t="shared" si="30"/>
        <v>0.16923673636894448</v>
      </c>
      <c r="U39" s="199">
        <f t="shared" si="39"/>
        <v>1.9599639845400538</v>
      </c>
      <c r="V39" s="195">
        <f t="shared" si="26"/>
        <v>0.33169790814423106</v>
      </c>
      <c r="W39" s="200">
        <f t="shared" si="27"/>
        <v>1.3933318707182092</v>
      </c>
      <c r="X39" s="200">
        <f t="shared" si="28"/>
        <v>0.71770410267335538</v>
      </c>
      <c r="AC39" s="25"/>
      <c r="AG39" s="62"/>
      <c r="AH39" s="62"/>
      <c r="AI39" s="62"/>
      <c r="AJ39" s="62"/>
      <c r="AK39" s="62"/>
      <c r="AL39" s="62"/>
      <c r="AM39" s="62"/>
      <c r="AN39" s="62"/>
      <c r="AO39" s="62"/>
    </row>
    <row r="40" spans="1:41" x14ac:dyDescent="0.25">
      <c r="A40" s="70">
        <v>63</v>
      </c>
      <c r="B40" s="70">
        <f t="shared" si="31"/>
        <v>237</v>
      </c>
      <c r="C40" s="71">
        <f t="shared" si="32"/>
        <v>40</v>
      </c>
      <c r="D40" s="68">
        <v>45</v>
      </c>
      <c r="E40" s="68">
        <f t="shared" si="33"/>
        <v>13</v>
      </c>
      <c r="F40" s="31">
        <f t="shared" si="34"/>
        <v>1</v>
      </c>
      <c r="G40" s="68">
        <f t="shared" si="35"/>
        <v>11</v>
      </c>
      <c r="H40" s="49">
        <v>1</v>
      </c>
      <c r="I40" s="72">
        <f t="shared" si="36"/>
        <v>7.6923076923076927E-2</v>
      </c>
      <c r="J40" s="29">
        <f t="shared" si="37"/>
        <v>0.92307692307692313</v>
      </c>
      <c r="K40" s="29">
        <f t="shared" si="38"/>
        <v>0.18579873377872605</v>
      </c>
      <c r="L40" s="62"/>
      <c r="M40" s="50">
        <f t="shared" si="20"/>
        <v>4.5951864904378737E-3</v>
      </c>
      <c r="N40" s="50">
        <f t="shared" si="21"/>
        <v>0.59080253427637164</v>
      </c>
      <c r="O40" s="195">
        <f t="shared" si="22"/>
        <v>2.8327962150538797</v>
      </c>
      <c r="P40" s="196">
        <f t="shared" si="23"/>
        <v>12</v>
      </c>
      <c r="Q40" s="196">
        <f t="shared" si="24"/>
        <v>13</v>
      </c>
      <c r="R40" s="197">
        <f t="shared" si="25"/>
        <v>0.92307692307692313</v>
      </c>
      <c r="S40" s="197">
        <f t="shared" si="29"/>
        <v>0.99667774086378746</v>
      </c>
      <c r="T40" s="198">
        <f t="shared" si="30"/>
        <v>0.59315707215702118</v>
      </c>
      <c r="U40" s="199">
        <f t="shared" si="39"/>
        <v>1.9599639845400538</v>
      </c>
      <c r="V40" s="195">
        <f t="shared" si="26"/>
        <v>1.1625664986029876</v>
      </c>
      <c r="W40" s="200">
        <f t="shared" si="27"/>
        <v>3.1981307503163299</v>
      </c>
      <c r="X40" s="200">
        <f t="shared" si="28"/>
        <v>0.31268265060804318</v>
      </c>
      <c r="AC40" s="25"/>
      <c r="AG40" s="62"/>
      <c r="AH40" s="62"/>
      <c r="AI40" s="62"/>
      <c r="AJ40" s="62"/>
      <c r="AK40" s="62"/>
      <c r="AL40" s="62"/>
      <c r="AM40" s="62"/>
      <c r="AN40" s="62"/>
      <c r="AO40" s="62"/>
    </row>
    <row r="41" spans="1:41" ht="10" customHeight="1" x14ac:dyDescent="0.25">
      <c r="D41" s="73"/>
      <c r="E41" s="73"/>
      <c r="F41" s="74"/>
      <c r="G41" s="74"/>
      <c r="H41" s="73"/>
      <c r="I41" s="75"/>
      <c r="J41" s="76"/>
      <c r="K41" s="76"/>
      <c r="L41" s="76"/>
      <c r="M41" s="88"/>
      <c r="N41" s="88"/>
      <c r="O41" s="88"/>
      <c r="P41" s="88"/>
      <c r="Q41" s="76"/>
      <c r="AC41" s="25"/>
    </row>
    <row r="42" spans="1:41" ht="15" x14ac:dyDescent="0.25">
      <c r="D42" s="82"/>
      <c r="E42" s="55" t="s">
        <v>0</v>
      </c>
      <c r="F42" s="56">
        <f>SUM(F32:F40)</f>
        <v>237</v>
      </c>
      <c r="G42" s="56">
        <f>SUM(G32:G40)</f>
        <v>63</v>
      </c>
      <c r="H42" s="56">
        <f>H31-F42-G42</f>
        <v>1</v>
      </c>
      <c r="I42" s="75"/>
      <c r="J42" s="83" t="s">
        <v>47</v>
      </c>
      <c r="K42" s="36">
        <f>1-K40</f>
        <v>0.81420126622127398</v>
      </c>
      <c r="L42" s="37" t="s">
        <v>31</v>
      </c>
      <c r="M42" s="88"/>
      <c r="N42" s="88"/>
      <c r="O42" s="88"/>
      <c r="P42" s="89"/>
      <c r="Q42" s="76"/>
      <c r="AA42" s="59"/>
      <c r="AB42" s="59"/>
      <c r="AC42" s="25"/>
    </row>
    <row r="43" spans="1:41" ht="15" customHeight="1" x14ac:dyDescent="0.25">
      <c r="D43" s="82"/>
      <c r="F43" s="11">
        <f>F42/E31</f>
        <v>0.78737541528239208</v>
      </c>
      <c r="G43" s="12">
        <f>G42/E31</f>
        <v>0.20930232558139536</v>
      </c>
      <c r="H43" s="13">
        <f>H42/E31</f>
        <v>3.3222591362126247E-3</v>
      </c>
      <c r="I43" s="75"/>
      <c r="J43" s="75"/>
      <c r="K43" s="75"/>
      <c r="L43" s="84"/>
      <c r="M43" s="84"/>
      <c r="N43" s="84"/>
      <c r="O43" s="84"/>
      <c r="P43" s="84"/>
      <c r="Q43" s="84"/>
      <c r="R43" s="79"/>
      <c r="S43" s="79"/>
      <c r="T43" s="79"/>
      <c r="U43" s="79"/>
      <c r="Z43" s="80"/>
      <c r="AA43" s="80"/>
      <c r="AC43" s="25"/>
      <c r="AE43" s="62"/>
      <c r="AF43" s="62"/>
      <c r="AG43" s="62"/>
      <c r="AH43" s="62"/>
      <c r="AI43" s="62"/>
      <c r="AJ43" s="62"/>
      <c r="AK43" s="62"/>
      <c r="AL43" s="62"/>
      <c r="AM43" s="62"/>
      <c r="AN43" s="62"/>
      <c r="AO43" s="62"/>
    </row>
    <row r="44" spans="1:41" ht="15" customHeight="1" x14ac:dyDescent="0.25">
      <c r="D44" s="82"/>
      <c r="F44" s="142" t="s">
        <v>68</v>
      </c>
      <c r="G44" s="143" t="s">
        <v>69</v>
      </c>
      <c r="H44" s="141" t="s">
        <v>70</v>
      </c>
      <c r="I44" s="75"/>
      <c r="J44" s="75"/>
      <c r="K44" s="75"/>
      <c r="L44" s="84"/>
      <c r="M44" s="84"/>
      <c r="N44" s="84"/>
      <c r="O44" s="84"/>
      <c r="P44" s="84"/>
      <c r="Q44" s="84"/>
      <c r="R44" s="79"/>
      <c r="S44" s="79"/>
      <c r="T44" s="79"/>
      <c r="U44" s="79"/>
      <c r="Z44" s="80"/>
      <c r="AA44" s="80"/>
      <c r="AC44" s="25"/>
      <c r="AE44" s="62"/>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c r="AC45" s="25"/>
    </row>
    <row r="46" spans="1:41" ht="15.5" customHeight="1" x14ac:dyDescent="0.25">
      <c r="B46" s="239" t="s">
        <v>6</v>
      </c>
      <c r="C46" s="240"/>
      <c r="D46" s="240"/>
      <c r="E46" s="240"/>
      <c r="F46" s="240"/>
      <c r="G46" s="240"/>
      <c r="H46" s="240"/>
      <c r="I46" s="240"/>
      <c r="J46" s="240"/>
      <c r="K46" s="241"/>
      <c r="L46" s="75"/>
      <c r="P46" s="25"/>
      <c r="Q46" s="229" t="s">
        <v>49</v>
      </c>
      <c r="AC46" s="25"/>
    </row>
    <row r="47" spans="1:41" ht="36" customHeight="1" x14ac:dyDescent="0.25">
      <c r="B47" s="221" t="s">
        <v>62</v>
      </c>
      <c r="C47" s="224" t="s">
        <v>63</v>
      </c>
      <c r="D47" s="231"/>
      <c r="E47" s="225"/>
      <c r="F47" s="224" t="s">
        <v>65</v>
      </c>
      <c r="G47" s="231"/>
      <c r="H47" s="225"/>
      <c r="I47" s="224" t="s">
        <v>64</v>
      </c>
      <c r="J47" s="231"/>
      <c r="K47" s="225"/>
      <c r="M47" s="9" t="s">
        <v>9</v>
      </c>
      <c r="N47" s="232" t="s">
        <v>48</v>
      </c>
      <c r="O47" s="233"/>
      <c r="P47" s="24" t="s">
        <v>9</v>
      </c>
      <c r="Q47" s="230"/>
      <c r="R47" s="33"/>
      <c r="S47" s="59"/>
      <c r="T47" s="59"/>
      <c r="AC47" s="25"/>
    </row>
    <row r="48" spans="1:41" ht="44" customHeight="1" x14ac:dyDescent="0.25">
      <c r="B48" s="222"/>
      <c r="C48" s="224" t="s">
        <v>66</v>
      </c>
      <c r="D48" s="225"/>
      <c r="E48" s="91"/>
      <c r="F48" s="224" t="s">
        <v>66</v>
      </c>
      <c r="G48" s="225"/>
      <c r="H48" s="92"/>
      <c r="I48" s="224" t="s">
        <v>66</v>
      </c>
      <c r="J48" s="225"/>
      <c r="K48" s="91"/>
      <c r="N48" s="43" t="s">
        <v>80</v>
      </c>
      <c r="O48" s="43" t="s">
        <v>83</v>
      </c>
      <c r="P48" s="20"/>
      <c r="Q48" s="185" t="s">
        <v>74</v>
      </c>
      <c r="R48" s="186" t="s">
        <v>16</v>
      </c>
      <c r="S48" s="187" t="s">
        <v>10</v>
      </c>
      <c r="T48" s="23"/>
      <c r="U48" s="206" t="s">
        <v>19</v>
      </c>
      <c r="V48" s="176" t="s">
        <v>74</v>
      </c>
      <c r="W48" s="188" t="s">
        <v>75</v>
      </c>
      <c r="X48" s="189" t="s">
        <v>76</v>
      </c>
      <c r="AC48" s="25"/>
    </row>
    <row r="49" spans="1:29" ht="13" customHeight="1" x14ac:dyDescent="0.25">
      <c r="A49" s="276" t="s">
        <v>116</v>
      </c>
      <c r="B49" s="223"/>
      <c r="C49" s="93" t="s">
        <v>1</v>
      </c>
      <c r="D49" s="93" t="s">
        <v>2</v>
      </c>
      <c r="E49" s="93" t="s">
        <v>3</v>
      </c>
      <c r="F49" s="93" t="s">
        <v>1</v>
      </c>
      <c r="G49" s="93" t="s">
        <v>2</v>
      </c>
      <c r="H49" s="93" t="s">
        <v>3</v>
      </c>
      <c r="I49" s="94" t="s">
        <v>1</v>
      </c>
      <c r="J49" s="94" t="s">
        <v>2</v>
      </c>
      <c r="K49" s="93" t="s">
        <v>3</v>
      </c>
      <c r="M49" s="58">
        <f t="shared" ref="M49:M58" si="40">D15</f>
        <v>0</v>
      </c>
      <c r="N49" s="95">
        <f t="shared" ref="N49:N58" si="41">K31</f>
        <v>1</v>
      </c>
      <c r="O49" s="29">
        <f t="shared" ref="O49:O58" si="42">K15</f>
        <v>1</v>
      </c>
      <c r="P49" s="90">
        <f t="shared" ref="P49:P58" si="43">D31</f>
        <v>0</v>
      </c>
      <c r="Q49" s="34">
        <f t="shared" ref="Q49:Q58" si="44">(IF(N49=O49,1,LOG(O49,N49)))</f>
        <v>1</v>
      </c>
      <c r="R49" s="96"/>
      <c r="S49" s="22"/>
      <c r="T49" s="23" t="s">
        <v>117</v>
      </c>
      <c r="U49" s="204"/>
      <c r="V49" s="62"/>
      <c r="W49" s="67"/>
      <c r="X49" s="67"/>
      <c r="AC49" s="25"/>
    </row>
    <row r="50" spans="1:29" x14ac:dyDescent="0.3">
      <c r="A50" s="183" t="s">
        <v>71</v>
      </c>
      <c r="B50" s="68">
        <f t="shared" ref="B50:B58" si="45">D16</f>
        <v>5</v>
      </c>
      <c r="C50" s="97">
        <f t="shared" ref="C50:C58" si="46">E16</f>
        <v>281</v>
      </c>
      <c r="D50" s="97">
        <f t="shared" ref="D50:D58" si="47">E32</f>
        <v>301</v>
      </c>
      <c r="E50" s="97">
        <f>C50+D50</f>
        <v>582</v>
      </c>
      <c r="F50" s="97">
        <f t="shared" ref="F50:F58" si="48">F16</f>
        <v>54</v>
      </c>
      <c r="G50" s="97">
        <f t="shared" ref="G50:G58" si="49">F32</f>
        <v>74</v>
      </c>
      <c r="H50" s="97">
        <f t="shared" ref="H50:H58" si="50">F50+G50</f>
        <v>128</v>
      </c>
      <c r="I50" s="98">
        <f t="shared" ref="I50:I58" si="51">H50*C50/E50</f>
        <v>61.800687285223368</v>
      </c>
      <c r="J50" s="98">
        <f t="shared" ref="J50:J58" si="52">H50*D50/E50</f>
        <v>66.199312714776639</v>
      </c>
      <c r="K50" s="99">
        <f t="shared" ref="K50:K58" si="53">I50+J50</f>
        <v>128</v>
      </c>
      <c r="M50" s="58">
        <f t="shared" si="40"/>
        <v>5</v>
      </c>
      <c r="N50" s="95">
        <f t="shared" si="41"/>
        <v>0.75415282392026572</v>
      </c>
      <c r="O50" s="29">
        <f t="shared" si="42"/>
        <v>0.80782918149466187</v>
      </c>
      <c r="P50" s="90">
        <f t="shared" si="43"/>
        <v>5</v>
      </c>
      <c r="Q50" s="21">
        <f t="shared" si="44"/>
        <v>0.75632430124023353</v>
      </c>
      <c r="R50" s="96">
        <f t="shared" ref="R50:R58" si="54">O50-N50</f>
        <v>5.367635757439615E-2</v>
      </c>
      <c r="S50" s="22">
        <f t="shared" ref="S50:S58" si="55">1/(O50-N50)</f>
        <v>18.63017621145374</v>
      </c>
      <c r="T50" s="183" t="s">
        <v>71</v>
      </c>
      <c r="U50" s="207">
        <f>SQRT((1/(SUM(I50:I50)))+(1/(SUM(J50:J50))))</f>
        <v>0.1768811658488004</v>
      </c>
      <c r="V50" s="100">
        <f t="shared" ref="V50:V58" si="56">Q50</f>
        <v>0.75632430124023353</v>
      </c>
      <c r="W50" s="38">
        <f t="shared" ref="W50:W58" si="57">EXP(LN(Q50)-(1.96*U50))</f>
        <v>0.53474134838533904</v>
      </c>
      <c r="X50" s="38">
        <f t="shared" ref="X50:X58" si="58">EXP(LN(Q50)+(1.96*U50))</f>
        <v>1.0697254857395477</v>
      </c>
      <c r="AC50" s="25"/>
    </row>
    <row r="51" spans="1:29" x14ac:dyDescent="0.3">
      <c r="A51" s="183" t="s">
        <v>71</v>
      </c>
      <c r="B51" s="68">
        <f t="shared" si="45"/>
        <v>10</v>
      </c>
      <c r="C51" s="97">
        <f t="shared" si="46"/>
        <v>227</v>
      </c>
      <c r="D51" s="97">
        <f t="shared" si="47"/>
        <v>226</v>
      </c>
      <c r="E51" s="97">
        <f t="shared" ref="E51:E58" si="59">C51+D51</f>
        <v>453</v>
      </c>
      <c r="F51" s="97">
        <f t="shared" si="48"/>
        <v>58</v>
      </c>
      <c r="G51" s="97">
        <f t="shared" si="49"/>
        <v>54</v>
      </c>
      <c r="H51" s="97">
        <f t="shared" si="50"/>
        <v>112</v>
      </c>
      <c r="I51" s="98">
        <f t="shared" si="51"/>
        <v>56.123620309050771</v>
      </c>
      <c r="J51" s="98">
        <f t="shared" si="52"/>
        <v>55.876379690949229</v>
      </c>
      <c r="K51" s="99">
        <f t="shared" si="53"/>
        <v>112</v>
      </c>
      <c r="M51" s="58">
        <f t="shared" si="40"/>
        <v>10</v>
      </c>
      <c r="N51" s="95">
        <f t="shared" si="41"/>
        <v>0.5739570164348925</v>
      </c>
      <c r="O51" s="29">
        <f t="shared" si="42"/>
        <v>0.60142348754448394</v>
      </c>
      <c r="P51" s="90">
        <f t="shared" si="43"/>
        <v>10</v>
      </c>
      <c r="Q51" s="21">
        <f t="shared" si="44"/>
        <v>0.91580556464524165</v>
      </c>
      <c r="R51" s="96">
        <f t="shared" si="54"/>
        <v>2.7466471109591439E-2</v>
      </c>
      <c r="S51" s="22">
        <f t="shared" si="55"/>
        <v>36.408026208026214</v>
      </c>
      <c r="T51" s="183" t="s">
        <v>71</v>
      </c>
      <c r="U51" s="207">
        <f>SQRT((1/(SUM(I50:I51)))+(1/(SUM(J50:J51))))</f>
        <v>0.12911876257055677</v>
      </c>
      <c r="V51" s="100">
        <f t="shared" si="56"/>
        <v>0.91580556464524165</v>
      </c>
      <c r="W51" s="38">
        <f t="shared" si="57"/>
        <v>0.71104185924542929</v>
      </c>
      <c r="X51" s="38">
        <f t="shared" si="58"/>
        <v>1.1795365087580547</v>
      </c>
      <c r="AC51" s="25"/>
    </row>
    <row r="52" spans="1:29" x14ac:dyDescent="0.3">
      <c r="A52" s="183" t="s">
        <v>71</v>
      </c>
      <c r="B52" s="68">
        <f t="shared" si="45"/>
        <v>15</v>
      </c>
      <c r="C52" s="97">
        <f t="shared" si="46"/>
        <v>169</v>
      </c>
      <c r="D52" s="97">
        <f t="shared" si="47"/>
        <v>172</v>
      </c>
      <c r="E52" s="97">
        <f t="shared" si="59"/>
        <v>341</v>
      </c>
      <c r="F52" s="97">
        <f t="shared" si="48"/>
        <v>46</v>
      </c>
      <c r="G52" s="97">
        <f t="shared" si="49"/>
        <v>47</v>
      </c>
      <c r="H52" s="97">
        <f t="shared" si="50"/>
        <v>93</v>
      </c>
      <c r="I52" s="98">
        <f t="shared" si="51"/>
        <v>46.090909090909093</v>
      </c>
      <c r="J52" s="98">
        <f t="shared" si="52"/>
        <v>46.909090909090907</v>
      </c>
      <c r="K52" s="99">
        <f t="shared" si="53"/>
        <v>93</v>
      </c>
      <c r="M52" s="58">
        <f t="shared" si="40"/>
        <v>15</v>
      </c>
      <c r="N52" s="95">
        <f t="shared" si="41"/>
        <v>0.4171199247346602</v>
      </c>
      <c r="O52" s="29">
        <f t="shared" si="42"/>
        <v>0.43772241992882555</v>
      </c>
      <c r="P52" s="90">
        <f t="shared" si="43"/>
        <v>15</v>
      </c>
      <c r="Q52" s="21">
        <f t="shared" si="44"/>
        <v>0.94486251737165139</v>
      </c>
      <c r="R52" s="96">
        <f t="shared" si="54"/>
        <v>2.0602495194165349E-2</v>
      </c>
      <c r="S52" s="22">
        <f t="shared" si="55"/>
        <v>48.537810132978514</v>
      </c>
      <c r="T52" s="183" t="s">
        <v>71</v>
      </c>
      <c r="U52" s="207">
        <f>SQRT((1/(SUM(I50:I52)))+(1/(SUM(J50:J52))))</f>
        <v>0.10961153159077899</v>
      </c>
      <c r="V52" s="100">
        <f t="shared" si="56"/>
        <v>0.94486251737165139</v>
      </c>
      <c r="W52" s="38">
        <f t="shared" si="57"/>
        <v>0.76219378221833556</v>
      </c>
      <c r="X52" s="38">
        <f t="shared" si="58"/>
        <v>1.1713099707210095</v>
      </c>
      <c r="AC52" s="25"/>
    </row>
    <row r="53" spans="1:29" x14ac:dyDescent="0.3">
      <c r="A53" s="183" t="s">
        <v>71</v>
      </c>
      <c r="B53" s="68">
        <f t="shared" si="45"/>
        <v>20</v>
      </c>
      <c r="C53" s="97">
        <f t="shared" si="46"/>
        <v>122</v>
      </c>
      <c r="D53" s="97">
        <f t="shared" si="47"/>
        <v>125</v>
      </c>
      <c r="E53" s="97">
        <f t="shared" si="59"/>
        <v>247</v>
      </c>
      <c r="F53" s="97">
        <f t="shared" si="48"/>
        <v>28</v>
      </c>
      <c r="G53" s="97">
        <f t="shared" si="49"/>
        <v>26</v>
      </c>
      <c r="H53" s="97">
        <f t="shared" si="50"/>
        <v>54</v>
      </c>
      <c r="I53" s="98">
        <f t="shared" si="51"/>
        <v>26.672064777327936</v>
      </c>
      <c r="J53" s="98">
        <f t="shared" si="52"/>
        <v>27.327935222672064</v>
      </c>
      <c r="K53" s="99">
        <f t="shared" si="53"/>
        <v>54</v>
      </c>
      <c r="M53" s="58">
        <f t="shared" si="40"/>
        <v>20</v>
      </c>
      <c r="N53" s="95">
        <f t="shared" si="41"/>
        <v>0.3303589803898509</v>
      </c>
      <c r="O53" s="29">
        <f t="shared" si="42"/>
        <v>0.33726153666647213</v>
      </c>
      <c r="P53" s="90">
        <f t="shared" si="43"/>
        <v>20</v>
      </c>
      <c r="Q53" s="21">
        <f t="shared" si="44"/>
        <v>0.98132965029044084</v>
      </c>
      <c r="R53" s="96">
        <f t="shared" si="54"/>
        <v>6.9025562766212301E-3</v>
      </c>
      <c r="S53" s="22">
        <f t="shared" si="55"/>
        <v>144.8738641055304</v>
      </c>
      <c r="T53" s="183" t="s">
        <v>71</v>
      </c>
      <c r="U53" s="207">
        <f>SQRT((1/(SUM(I50:I53)))+(1/(SUM(J50:J53))))</f>
        <v>0.10167645602037595</v>
      </c>
      <c r="V53" s="100">
        <f t="shared" si="56"/>
        <v>0.98132965029044084</v>
      </c>
      <c r="W53" s="38">
        <f t="shared" si="57"/>
        <v>0.80401874555405206</v>
      </c>
      <c r="X53" s="38">
        <f t="shared" si="58"/>
        <v>1.1977430723652431</v>
      </c>
      <c r="AC53" s="25"/>
    </row>
    <row r="54" spans="1:29" x14ac:dyDescent="0.3">
      <c r="A54" s="183" t="s">
        <v>71</v>
      </c>
      <c r="B54" s="68">
        <f t="shared" si="45"/>
        <v>25</v>
      </c>
      <c r="C54" s="97">
        <f t="shared" si="46"/>
        <v>94</v>
      </c>
      <c r="D54" s="97">
        <f t="shared" si="47"/>
        <v>99</v>
      </c>
      <c r="E54" s="97">
        <f t="shared" si="59"/>
        <v>193</v>
      </c>
      <c r="F54" s="97">
        <f t="shared" si="48"/>
        <v>16</v>
      </c>
      <c r="G54" s="97">
        <f t="shared" si="49"/>
        <v>21</v>
      </c>
      <c r="H54" s="97">
        <f t="shared" si="50"/>
        <v>37</v>
      </c>
      <c r="I54" s="98">
        <f t="shared" si="51"/>
        <v>18.020725388601036</v>
      </c>
      <c r="J54" s="98">
        <f t="shared" si="52"/>
        <v>18.979274611398964</v>
      </c>
      <c r="K54" s="99">
        <f t="shared" si="53"/>
        <v>37</v>
      </c>
      <c r="M54" s="58">
        <f t="shared" si="40"/>
        <v>25</v>
      </c>
      <c r="N54" s="95">
        <f t="shared" si="41"/>
        <v>0.26028283303442795</v>
      </c>
      <c r="O54" s="29">
        <f t="shared" si="42"/>
        <v>0.27985531765941302</v>
      </c>
      <c r="P54" s="90">
        <f t="shared" si="43"/>
        <v>25</v>
      </c>
      <c r="Q54" s="21">
        <f t="shared" si="44"/>
        <v>0.94613326941794473</v>
      </c>
      <c r="R54" s="96">
        <f t="shared" si="54"/>
        <v>1.9572484624985065E-2</v>
      </c>
      <c r="S54" s="22">
        <f t="shared" si="55"/>
        <v>51.092133633532647</v>
      </c>
      <c r="T54" s="183" t="s">
        <v>71</v>
      </c>
      <c r="U54" s="207">
        <f>SQRT((1/(SUM(I50:I54)))+(1/(SUM(J50:J54))))</f>
        <v>9.7140298523757176E-2</v>
      </c>
      <c r="V54" s="100">
        <f t="shared" si="56"/>
        <v>0.94613326941794473</v>
      </c>
      <c r="W54" s="38">
        <f t="shared" si="57"/>
        <v>0.78210456839920695</v>
      </c>
      <c r="X54" s="38">
        <f t="shared" si="58"/>
        <v>1.1445632715478162</v>
      </c>
      <c r="AC54" s="25"/>
    </row>
    <row r="55" spans="1:29" x14ac:dyDescent="0.3">
      <c r="A55" s="183" t="s">
        <v>71</v>
      </c>
      <c r="B55" s="68">
        <f t="shared" si="45"/>
        <v>30</v>
      </c>
      <c r="C55" s="97">
        <f t="shared" si="46"/>
        <v>77</v>
      </c>
      <c r="D55" s="97">
        <f t="shared" si="47"/>
        <v>75</v>
      </c>
      <c r="E55" s="97">
        <f t="shared" si="59"/>
        <v>152</v>
      </c>
      <c r="F55" s="97">
        <f t="shared" si="48"/>
        <v>6</v>
      </c>
      <c r="G55" s="97">
        <f t="shared" si="49"/>
        <v>10</v>
      </c>
      <c r="H55" s="97">
        <f t="shared" si="50"/>
        <v>16</v>
      </c>
      <c r="I55" s="98">
        <f t="shared" si="51"/>
        <v>8.1052631578947363</v>
      </c>
      <c r="J55" s="98">
        <f t="shared" si="52"/>
        <v>7.8947368421052628</v>
      </c>
      <c r="K55" s="99">
        <f t="shared" si="53"/>
        <v>16</v>
      </c>
      <c r="M55" s="58">
        <f t="shared" si="40"/>
        <v>30</v>
      </c>
      <c r="N55" s="95">
        <f t="shared" si="41"/>
        <v>0.22557845529650422</v>
      </c>
      <c r="O55" s="29">
        <f t="shared" si="42"/>
        <v>0.25804840978984833</v>
      </c>
      <c r="P55" s="90">
        <f t="shared" si="43"/>
        <v>30</v>
      </c>
      <c r="Q55" s="21">
        <f t="shared" si="44"/>
        <v>0.90969019078289504</v>
      </c>
      <c r="R55" s="96">
        <f t="shared" si="54"/>
        <v>3.2469954493344111E-2</v>
      </c>
      <c r="S55" s="22">
        <f t="shared" si="55"/>
        <v>30.797702540820811</v>
      </c>
      <c r="T55" s="183" t="s">
        <v>71</v>
      </c>
      <c r="U55" s="207">
        <f>SQRT((1/(SUM(I50:I55)))+(1/(SUM(J50:J55))))</f>
        <v>9.5356263235568423E-2</v>
      </c>
      <c r="V55" s="100">
        <f t="shared" si="56"/>
        <v>0.90969019078289504</v>
      </c>
      <c r="W55" s="38">
        <f t="shared" si="57"/>
        <v>0.75461358924869459</v>
      </c>
      <c r="X55" s="38">
        <f t="shared" si="58"/>
        <v>1.0966357550365986</v>
      </c>
      <c r="AC55" s="25"/>
    </row>
    <row r="56" spans="1:29" x14ac:dyDescent="0.3">
      <c r="A56" s="183" t="s">
        <v>71</v>
      </c>
      <c r="B56" s="68">
        <f t="shared" si="45"/>
        <v>35</v>
      </c>
      <c r="C56" s="97">
        <f t="shared" si="46"/>
        <v>55</v>
      </c>
      <c r="D56" s="97">
        <f t="shared" si="47"/>
        <v>46</v>
      </c>
      <c r="E56" s="97">
        <f t="shared" si="59"/>
        <v>101</v>
      </c>
      <c r="F56" s="97">
        <f t="shared" si="48"/>
        <v>4</v>
      </c>
      <c r="G56" s="97">
        <f t="shared" si="49"/>
        <v>3</v>
      </c>
      <c r="H56" s="97">
        <f t="shared" si="50"/>
        <v>7</v>
      </c>
      <c r="I56" s="98">
        <f t="shared" si="51"/>
        <v>3.8118811881188117</v>
      </c>
      <c r="J56" s="98">
        <f t="shared" si="52"/>
        <v>3.1881188118811883</v>
      </c>
      <c r="K56" s="99">
        <f t="shared" si="53"/>
        <v>7</v>
      </c>
      <c r="M56" s="58">
        <f t="shared" si="40"/>
        <v>35</v>
      </c>
      <c r="N56" s="95">
        <f t="shared" si="41"/>
        <v>0.21086681690760178</v>
      </c>
      <c r="O56" s="29">
        <f t="shared" si="42"/>
        <v>0.23928125271422299</v>
      </c>
      <c r="P56" s="90">
        <f t="shared" si="43"/>
        <v>35</v>
      </c>
      <c r="Q56" s="21">
        <f t="shared" si="44"/>
        <v>0.91878535384082971</v>
      </c>
      <c r="R56" s="96">
        <f t="shared" si="54"/>
        <v>2.8414435806621202E-2</v>
      </c>
      <c r="S56" s="22">
        <f t="shared" si="55"/>
        <v>35.193378703897316</v>
      </c>
      <c r="T56" s="183" t="s">
        <v>71</v>
      </c>
      <c r="U56" s="207">
        <f>SQRT((1/(SUM(I50:I56)))+(1/(SUM(J50:J56))))</f>
        <v>9.4604580603367183E-2</v>
      </c>
      <c r="V56" s="100">
        <f t="shared" si="56"/>
        <v>0.91878535384082971</v>
      </c>
      <c r="W56" s="38">
        <f t="shared" si="57"/>
        <v>0.76328199653813289</v>
      </c>
      <c r="X56" s="38">
        <f t="shared" si="58"/>
        <v>1.1059693930436427</v>
      </c>
      <c r="AC56" s="25"/>
    </row>
    <row r="57" spans="1:29" x14ac:dyDescent="0.3">
      <c r="A57" s="183" t="s">
        <v>71</v>
      </c>
      <c r="B57" s="68">
        <f t="shared" si="45"/>
        <v>40</v>
      </c>
      <c r="C57" s="97">
        <f t="shared" si="46"/>
        <v>29</v>
      </c>
      <c r="D57" s="97">
        <f t="shared" si="47"/>
        <v>22</v>
      </c>
      <c r="E57" s="97">
        <f t="shared" si="59"/>
        <v>51</v>
      </c>
      <c r="F57" s="97">
        <f t="shared" si="48"/>
        <v>1</v>
      </c>
      <c r="G57" s="97">
        <f t="shared" si="49"/>
        <v>1</v>
      </c>
      <c r="H57" s="97">
        <f t="shared" si="50"/>
        <v>2</v>
      </c>
      <c r="I57" s="98">
        <f t="shared" si="51"/>
        <v>1.1372549019607843</v>
      </c>
      <c r="J57" s="98">
        <f t="shared" si="52"/>
        <v>0.86274509803921573</v>
      </c>
      <c r="K57" s="99">
        <f t="shared" si="53"/>
        <v>2</v>
      </c>
      <c r="M57" s="58">
        <f t="shared" si="40"/>
        <v>40</v>
      </c>
      <c r="N57" s="95">
        <f t="shared" si="41"/>
        <v>0.20128196159361988</v>
      </c>
      <c r="O57" s="29">
        <f t="shared" si="42"/>
        <v>0.23103017503442219</v>
      </c>
      <c r="P57" s="90">
        <f t="shared" si="43"/>
        <v>40</v>
      </c>
      <c r="Q57" s="21">
        <f t="shared" si="44"/>
        <v>0.91401282891189584</v>
      </c>
      <c r="R57" s="96">
        <f t="shared" si="54"/>
        <v>2.9748213440802307E-2</v>
      </c>
      <c r="S57" s="22">
        <f t="shared" si="55"/>
        <v>33.615464067782014</v>
      </c>
      <c r="T57" s="183" t="s">
        <v>71</v>
      </c>
      <c r="U57" s="207">
        <f>SQRT((1/(SUM(I50:I57)))+(1/(SUM(J50:J57))))</f>
        <v>9.4392853915546429E-2</v>
      </c>
      <c r="V57" s="100">
        <f t="shared" si="56"/>
        <v>0.91401282891189584</v>
      </c>
      <c r="W57" s="38">
        <f t="shared" si="57"/>
        <v>0.75963238604775918</v>
      </c>
      <c r="X57" s="38">
        <f t="shared" si="58"/>
        <v>1.0997680809293491</v>
      </c>
      <c r="AC57" s="25"/>
    </row>
    <row r="58" spans="1:29" x14ac:dyDescent="0.3">
      <c r="A58" s="183" t="s">
        <v>71</v>
      </c>
      <c r="B58" s="68">
        <f t="shared" si="45"/>
        <v>45</v>
      </c>
      <c r="C58" s="97">
        <f t="shared" si="46"/>
        <v>5</v>
      </c>
      <c r="D58" s="97">
        <f t="shared" si="47"/>
        <v>13</v>
      </c>
      <c r="E58" s="97">
        <f t="shared" si="59"/>
        <v>18</v>
      </c>
      <c r="F58" s="97">
        <f t="shared" si="48"/>
        <v>0</v>
      </c>
      <c r="G58" s="97">
        <f t="shared" si="49"/>
        <v>1</v>
      </c>
      <c r="H58" s="97">
        <f t="shared" si="50"/>
        <v>1</v>
      </c>
      <c r="I58" s="98">
        <f t="shared" si="51"/>
        <v>0.27777777777777779</v>
      </c>
      <c r="J58" s="98">
        <f t="shared" si="52"/>
        <v>0.72222222222222221</v>
      </c>
      <c r="K58" s="99">
        <f t="shared" si="53"/>
        <v>1</v>
      </c>
      <c r="M58" s="58">
        <f t="shared" si="40"/>
        <v>45</v>
      </c>
      <c r="N58" s="95">
        <f t="shared" si="41"/>
        <v>0.18579873377872605</v>
      </c>
      <c r="O58" s="29">
        <f t="shared" si="42"/>
        <v>0.23103017503442219</v>
      </c>
      <c r="P58" s="90">
        <f t="shared" si="43"/>
        <v>45</v>
      </c>
      <c r="Q58" s="21">
        <f t="shared" si="44"/>
        <v>0.87054515542143485</v>
      </c>
      <c r="R58" s="96">
        <f t="shared" si="54"/>
        <v>4.5231441255696142E-2</v>
      </c>
      <c r="S58" s="22">
        <f t="shared" si="55"/>
        <v>22.108515055864306</v>
      </c>
      <c r="T58" s="183" t="s">
        <v>71</v>
      </c>
      <c r="U58" s="207">
        <f>SQRT((1/(SUM(I50:I58)))+(1/(SUM(J50:J58))))</f>
        <v>9.4289062737515195E-2</v>
      </c>
      <c r="V58" s="100">
        <f t="shared" si="56"/>
        <v>0.87054515542143485</v>
      </c>
      <c r="W58" s="38">
        <f t="shared" si="57"/>
        <v>0.72365377585993018</v>
      </c>
      <c r="X58" s="38">
        <f t="shared" si="58"/>
        <v>1.0472533867831553</v>
      </c>
      <c r="AC58" s="25"/>
    </row>
    <row r="59" spans="1:29" x14ac:dyDescent="0.25">
      <c r="B59" s="101"/>
      <c r="C59" s="102"/>
      <c r="D59" s="102"/>
      <c r="E59" s="102"/>
      <c r="F59" s="103">
        <f>SUM(F50:F58)</f>
        <v>213</v>
      </c>
      <c r="G59" s="103">
        <f>SUM(G50:G58)</f>
        <v>237</v>
      </c>
      <c r="H59" s="103">
        <f>SUM(H50:H58)</f>
        <v>450</v>
      </c>
      <c r="I59" s="104">
        <f>SUM(I50:I58)</f>
        <v>222.04018387686429</v>
      </c>
      <c r="J59" s="104">
        <f>SUM(J50:J58)</f>
        <v>227.95981612313571</v>
      </c>
      <c r="K59" s="105">
        <f>I59+J59</f>
        <v>450</v>
      </c>
      <c r="M59" s="106"/>
      <c r="N59" s="106"/>
      <c r="O59" s="106"/>
      <c r="P59" s="25"/>
      <c r="Q59" s="25"/>
      <c r="AC59" s="25"/>
    </row>
    <row r="60" spans="1:29" x14ac:dyDescent="0.25">
      <c r="B60" s="106"/>
      <c r="C60" s="106"/>
      <c r="D60" s="106"/>
      <c r="E60" s="106"/>
      <c r="F60" s="106"/>
      <c r="G60" s="106"/>
      <c r="H60" s="106"/>
      <c r="I60" s="107"/>
      <c r="J60" s="106"/>
      <c r="K60" s="106"/>
      <c r="M60" s="106"/>
      <c r="N60" s="106"/>
      <c r="O60" s="106"/>
      <c r="P60" s="25"/>
      <c r="Q60" s="25"/>
    </row>
    <row r="61" spans="1:29" x14ac:dyDescent="0.25">
      <c r="B61" s="108" t="s">
        <v>4</v>
      </c>
      <c r="C61" s="109">
        <f>((F59-I59)^2)/I59</f>
        <v>0.36806366802884138</v>
      </c>
      <c r="D61" s="110"/>
      <c r="E61" s="111">
        <f>((G59-J59)^2)/J59</f>
        <v>0.35850583632411864</v>
      </c>
      <c r="F61" s="110"/>
      <c r="G61" s="112">
        <f>C61+E61</f>
        <v>0.72656950435296008</v>
      </c>
      <c r="H61" s="57" t="s">
        <v>7</v>
      </c>
      <c r="I61" s="110"/>
      <c r="J61" s="113" t="s">
        <v>8</v>
      </c>
      <c r="K61" s="7">
        <f>CHIDIST(G61,1)</f>
        <v>0.39399741068756217</v>
      </c>
      <c r="N61" s="106"/>
      <c r="O61" s="106"/>
      <c r="P61" s="25"/>
      <c r="Q61" s="25"/>
    </row>
    <row r="62" spans="1:29" x14ac:dyDescent="0.25">
      <c r="B62" s="106"/>
      <c r="C62" s="106"/>
      <c r="D62" s="106"/>
      <c r="E62" s="106"/>
      <c r="F62" s="106"/>
      <c r="G62" s="106"/>
      <c r="H62" s="114"/>
      <c r="I62" s="106"/>
      <c r="J62" s="106"/>
      <c r="K62" s="106"/>
      <c r="L62" s="277" t="s">
        <v>118</v>
      </c>
      <c r="N62" s="106"/>
      <c r="O62" s="106"/>
      <c r="P62" s="25"/>
      <c r="Q62" s="25"/>
    </row>
    <row r="63" spans="1:29" x14ac:dyDescent="0.25">
      <c r="B63" s="106"/>
      <c r="C63" s="106"/>
      <c r="D63" s="106"/>
      <c r="E63" s="106"/>
      <c r="F63" s="106"/>
      <c r="G63" s="106"/>
      <c r="H63" s="115"/>
      <c r="I63" s="5" t="s">
        <v>5</v>
      </c>
      <c r="J63" s="6">
        <f>(F59/I59)/(G59/J59)</f>
        <v>0.92269459610594196</v>
      </c>
      <c r="M63" s="106"/>
      <c r="O63" s="106"/>
      <c r="P63" s="25"/>
      <c r="Q63" s="25"/>
    </row>
    <row r="65" spans="1:47" x14ac:dyDescent="0.25">
      <c r="I65" s="106"/>
      <c r="J65" s="106"/>
    </row>
    <row r="66" spans="1:47" x14ac:dyDescent="0.25">
      <c r="I66" s="106"/>
      <c r="J66" s="106"/>
      <c r="K66" s="106"/>
      <c r="L66" s="106"/>
      <c r="M66" s="106"/>
    </row>
    <row r="67" spans="1:47" x14ac:dyDescent="0.25">
      <c r="I67" s="106"/>
      <c r="J67" s="106"/>
      <c r="K67" s="106"/>
    </row>
    <row r="68" spans="1:47" x14ac:dyDescent="0.25">
      <c r="B68" s="4"/>
      <c r="I68" s="106"/>
      <c r="J68" s="106"/>
      <c r="K68" s="106"/>
      <c r="L68" s="106"/>
    </row>
    <row r="70" spans="1:47" x14ac:dyDescent="0.25">
      <c r="B70" s="81"/>
      <c r="I70" s="106"/>
      <c r="J70" s="106"/>
      <c r="K70" s="106"/>
      <c r="L70" s="106"/>
      <c r="M70" s="106"/>
      <c r="N70" s="106"/>
      <c r="O70" s="106"/>
    </row>
    <row r="71" spans="1:47" x14ac:dyDescent="0.25">
      <c r="B71" s="81"/>
      <c r="I71" s="106"/>
      <c r="J71" s="106"/>
      <c r="K71" s="106"/>
      <c r="L71" s="106"/>
      <c r="M71" s="106"/>
      <c r="N71" s="106"/>
      <c r="O71" s="106"/>
    </row>
    <row r="72" spans="1:47" x14ac:dyDescent="0.25">
      <c r="B72" s="81"/>
      <c r="I72" s="106"/>
      <c r="J72" s="106"/>
      <c r="K72" s="106"/>
      <c r="L72" s="106"/>
      <c r="M72" s="106"/>
      <c r="R72" s="117"/>
      <c r="S72" s="117"/>
    </row>
    <row r="73" spans="1:47" x14ac:dyDescent="0.25">
      <c r="B73" s="81"/>
      <c r="I73" s="106"/>
      <c r="J73" s="106"/>
      <c r="K73" s="106"/>
      <c r="L73" s="106"/>
      <c r="M73" s="106"/>
      <c r="R73" s="117"/>
      <c r="S73" s="117"/>
    </row>
    <row r="74" spans="1:47" x14ac:dyDescent="0.25">
      <c r="B74" s="81"/>
      <c r="I74" s="106"/>
      <c r="J74" s="106"/>
      <c r="K74" s="106"/>
      <c r="L74" s="106"/>
      <c r="M74" s="106"/>
      <c r="R74" s="117"/>
      <c r="S74" s="117"/>
    </row>
    <row r="75" spans="1:47" x14ac:dyDescent="0.25">
      <c r="B75" s="81"/>
      <c r="I75" s="106"/>
      <c r="J75" s="106"/>
      <c r="K75" s="106"/>
      <c r="L75" s="106"/>
      <c r="M75" s="106"/>
      <c r="N75" s="106"/>
      <c r="O75" s="106"/>
      <c r="P75" s="106"/>
      <c r="Q75" s="106"/>
      <c r="R75" s="117"/>
      <c r="S75" s="117"/>
    </row>
    <row r="76" spans="1:47" x14ac:dyDescent="0.25">
      <c r="B76" s="81"/>
      <c r="I76" s="106"/>
      <c r="J76" s="106"/>
      <c r="K76" s="106"/>
      <c r="L76" s="106"/>
      <c r="M76" s="106"/>
      <c r="N76" s="106"/>
      <c r="O76" s="106"/>
      <c r="P76" s="106"/>
      <c r="Q76" s="106"/>
      <c r="R76" s="117"/>
      <c r="S76" s="117"/>
    </row>
    <row r="77" spans="1:47" x14ac:dyDescent="0.25">
      <c r="B77" s="81"/>
      <c r="I77" s="106"/>
      <c r="J77" s="106"/>
      <c r="K77" s="106"/>
      <c r="L77" s="106"/>
      <c r="M77" s="106"/>
      <c r="N77" s="106"/>
      <c r="O77" s="106"/>
      <c r="P77" s="106"/>
      <c r="Q77" s="106"/>
      <c r="R77" s="117"/>
      <c r="S77" s="117"/>
    </row>
    <row r="78" spans="1:47" ht="14.5" x14ac:dyDescent="0.25">
      <c r="A78" s="60"/>
      <c r="D78" s="54"/>
      <c r="I78" s="106"/>
      <c r="J78" s="106"/>
      <c r="K78" s="106"/>
      <c r="L78" s="106"/>
      <c r="M78" s="106"/>
      <c r="N78" s="106"/>
      <c r="O78" s="106"/>
      <c r="P78" s="106"/>
      <c r="Q78" s="106"/>
      <c r="R78" s="117"/>
      <c r="S78" s="117"/>
    </row>
    <row r="79" spans="1:47" ht="13.5" thickBot="1" x14ac:dyDescent="0.3">
      <c r="A79" s="61"/>
      <c r="D79" s="54"/>
      <c r="I79" s="106"/>
      <c r="J79" s="106"/>
      <c r="K79" s="106"/>
      <c r="L79" s="106"/>
      <c r="M79" s="106"/>
      <c r="N79" s="106"/>
      <c r="O79" s="106"/>
      <c r="P79" s="106"/>
      <c r="Q79" s="106"/>
    </row>
    <row r="80" spans="1:47" ht="62.5" customHeight="1" thickBot="1" x14ac:dyDescent="0.3">
      <c r="A80" s="234" t="s">
        <v>108</v>
      </c>
      <c r="B80" s="235"/>
      <c r="C80" s="235"/>
      <c r="D80" s="235"/>
      <c r="E80" s="235"/>
      <c r="F80" s="235"/>
      <c r="G80" s="235"/>
      <c r="H80" s="235"/>
      <c r="I80" s="235"/>
      <c r="J80" s="235"/>
      <c r="K80" s="235"/>
      <c r="L80" s="235"/>
      <c r="M80" s="235"/>
      <c r="N80" s="235"/>
      <c r="O80" s="235"/>
      <c r="P80" s="235"/>
      <c r="Q80" s="235"/>
      <c r="R80" s="235"/>
      <c r="S80" s="236"/>
      <c r="U80" s="242" t="s">
        <v>54</v>
      </c>
      <c r="V80" s="243"/>
      <c r="X80" s="255" t="s">
        <v>109</v>
      </c>
      <c r="Y80" s="256"/>
      <c r="Z80" s="256"/>
      <c r="AA80" s="256"/>
      <c r="AB80" s="256"/>
      <c r="AC80" s="256"/>
      <c r="AD80" s="256"/>
      <c r="AE80" s="256"/>
      <c r="AF80" s="256"/>
      <c r="AG80" s="256"/>
      <c r="AH80" s="256"/>
      <c r="AI80" s="256"/>
      <c r="AJ80" s="256"/>
      <c r="AK80" s="256"/>
      <c r="AL80" s="256"/>
      <c r="AM80" s="256"/>
      <c r="AN80" s="256"/>
      <c r="AO80" s="256"/>
      <c r="AP80" s="256"/>
      <c r="AQ80" s="256"/>
      <c r="AR80" s="257"/>
      <c r="AT80" s="244" t="s">
        <v>40</v>
      </c>
      <c r="AU80" s="245"/>
    </row>
    <row r="81" spans="1:47" ht="42" customHeight="1" x14ac:dyDescent="0.25">
      <c r="A81" s="30" t="s">
        <v>99</v>
      </c>
      <c r="E81" s="63"/>
      <c r="F81" s="64"/>
      <c r="H81" s="10"/>
      <c r="J81" s="237" t="s">
        <v>32</v>
      </c>
      <c r="K81" s="238"/>
      <c r="M81" s="246" t="s">
        <v>56</v>
      </c>
      <c r="N81" s="247"/>
      <c r="O81" s="30"/>
      <c r="P81" s="190" t="s">
        <v>84</v>
      </c>
      <c r="Q81" s="30"/>
      <c r="R81" s="248" t="s">
        <v>50</v>
      </c>
      <c r="S81" s="249"/>
      <c r="T81" s="59"/>
      <c r="U81" s="250" t="s">
        <v>59</v>
      </c>
      <c r="V81" s="252" t="s">
        <v>53</v>
      </c>
      <c r="W81" s="59"/>
      <c r="Y81" s="119" t="s">
        <v>17</v>
      </c>
      <c r="Z81" s="120" t="s">
        <v>18</v>
      </c>
      <c r="AT81" s="250" t="s">
        <v>42</v>
      </c>
      <c r="AU81" s="254" t="s">
        <v>41</v>
      </c>
    </row>
    <row r="82" spans="1:47" ht="76"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08" t="s">
        <v>9</v>
      </c>
      <c r="P82" s="53" t="s">
        <v>60</v>
      </c>
      <c r="Q82" s="30"/>
      <c r="R82" s="53" t="s">
        <v>52</v>
      </c>
      <c r="S82" s="53" t="s">
        <v>51</v>
      </c>
      <c r="T82" s="208" t="s">
        <v>9</v>
      </c>
      <c r="U82" s="251"/>
      <c r="V82" s="253"/>
      <c r="W82" s="59"/>
      <c r="X82" s="15" t="s">
        <v>9</v>
      </c>
      <c r="Y82" s="44" t="s">
        <v>81</v>
      </c>
      <c r="Z82" s="45" t="s">
        <v>82</v>
      </c>
      <c r="AG82" s="258" t="s">
        <v>55</v>
      </c>
      <c r="AH82" s="259"/>
      <c r="AI82" s="259"/>
      <c r="AJ82" s="259"/>
      <c r="AK82" s="259"/>
      <c r="AL82" s="259"/>
      <c r="AM82" s="259"/>
      <c r="AN82" s="260"/>
      <c r="AQ82" s="176" t="s">
        <v>77</v>
      </c>
      <c r="AR82" s="177" t="s">
        <v>78</v>
      </c>
      <c r="AT82" s="251"/>
      <c r="AU82" s="252"/>
    </row>
    <row r="83" spans="1:47" x14ac:dyDescent="0.25">
      <c r="A83" s="67">
        <v>0</v>
      </c>
      <c r="B83" s="67">
        <v>0</v>
      </c>
      <c r="C83" s="62"/>
      <c r="D83" s="68">
        <v>0</v>
      </c>
      <c r="E83" s="31">
        <f>H83</f>
        <v>281</v>
      </c>
      <c r="F83" s="3">
        <v>0</v>
      </c>
      <c r="G83" s="3">
        <v>0</v>
      </c>
      <c r="H83" s="49">
        <v>281</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0.60142348754448394</v>
      </c>
      <c r="AI83" s="156">
        <f>Z86</f>
        <v>0.43772241992882555</v>
      </c>
      <c r="AJ83" s="171">
        <f>AH83-AI83</f>
        <v>0.16370106761565839</v>
      </c>
      <c r="AK83" s="172">
        <f>X84-X83</f>
        <v>5</v>
      </c>
      <c r="AL83" s="157"/>
      <c r="AM83" s="32" t="s">
        <v>28</v>
      </c>
      <c r="AN83" s="166">
        <f>X85</f>
        <v>10</v>
      </c>
      <c r="AP83" s="14" t="s">
        <v>29</v>
      </c>
      <c r="AQ83" s="46">
        <f>AN84</f>
        <v>13.09782608695652</v>
      </c>
      <c r="AR83" s="47">
        <f>AN88</f>
        <v>13.031914893617021</v>
      </c>
      <c r="AT83" s="46">
        <f>AQ83-AQ102</f>
        <v>0.74006059815719638</v>
      </c>
      <c r="AU83" s="47">
        <f>AR83-AR102</f>
        <v>0.74468085106382986</v>
      </c>
    </row>
    <row r="84" spans="1:47" x14ac:dyDescent="0.3">
      <c r="A84" s="70">
        <v>0</v>
      </c>
      <c r="B84" s="70">
        <f>B83+F84</f>
        <v>54</v>
      </c>
      <c r="C84" s="71">
        <f>D83</f>
        <v>0</v>
      </c>
      <c r="D84" s="68">
        <v>5</v>
      </c>
      <c r="E84" s="68">
        <f>H83</f>
        <v>281</v>
      </c>
      <c r="F84" s="31">
        <f>E84-H84-G84</f>
        <v>54</v>
      </c>
      <c r="G84" s="68">
        <f>A84-A83</f>
        <v>0</v>
      </c>
      <c r="H84" s="49">
        <v>227</v>
      </c>
      <c r="I84" s="72">
        <f>F84/E84</f>
        <v>0.19217081850533807</v>
      </c>
      <c r="J84" s="29">
        <f>1-I84</f>
        <v>0.80782918149466187</v>
      </c>
      <c r="K84" s="29">
        <f>J84*K83</f>
        <v>0.80782918149466187</v>
      </c>
      <c r="L84" s="62"/>
      <c r="M84" s="124">
        <f t="shared" ref="M84:M92" si="63">AVERAGE(K83:K84)*(D84-D83)</f>
        <v>4.5195729537366542</v>
      </c>
      <c r="N84" s="46">
        <f>M84</f>
        <v>4.5195729537366542</v>
      </c>
      <c r="O84" s="125">
        <f t="shared" ref="O84:O92" si="64">D84</f>
        <v>5</v>
      </c>
      <c r="P84" s="123">
        <f>H84/H83</f>
        <v>0.80782918149466187</v>
      </c>
      <c r="Q84" s="30"/>
      <c r="R84" s="126">
        <f t="shared" ref="R84:R92" si="65">AVERAGE(P83:P84)*(D84-D83)</f>
        <v>4.5195729537366542</v>
      </c>
      <c r="S84" s="126">
        <f>R84</f>
        <v>4.5195729537366542</v>
      </c>
      <c r="T84" s="127">
        <f t="shared" ref="T84:T92" si="66">D84</f>
        <v>5</v>
      </c>
      <c r="U84" s="46">
        <f t="shared" ref="U84:U92" si="67">N84-N103</f>
        <v>0.13419089393599037</v>
      </c>
      <c r="V84" s="128">
        <f t="shared" ref="V84:V92" si="68">S84-S103</f>
        <v>0.14249654177652094</v>
      </c>
      <c r="W84" s="184" t="s">
        <v>71</v>
      </c>
      <c r="X84" s="81">
        <f t="shared" si="60"/>
        <v>5</v>
      </c>
      <c r="Y84" s="16">
        <f t="shared" si="61"/>
        <v>0.80782918149466187</v>
      </c>
      <c r="Z84" s="17">
        <f t="shared" si="62"/>
        <v>0.80782918149466187</v>
      </c>
      <c r="AB84" s="129"/>
      <c r="AC84" s="25"/>
      <c r="AD84" s="25"/>
      <c r="AG84" s="158"/>
      <c r="AH84" s="175">
        <f>AH83</f>
        <v>0.60142348754448394</v>
      </c>
      <c r="AI84" s="175">
        <v>0.5</v>
      </c>
      <c r="AJ84" s="173">
        <f>AH84-AI84</f>
        <v>0.10142348754448394</v>
      </c>
      <c r="AK84" s="174">
        <f>AJ84*AK83/AJ83</f>
        <v>3.0978260869565197</v>
      </c>
      <c r="AL84" s="159"/>
      <c r="AM84" s="160" t="s">
        <v>11</v>
      </c>
      <c r="AN84" s="161">
        <f>AN83+AK84</f>
        <v>13.09782608695652</v>
      </c>
      <c r="AP84" s="14" t="s">
        <v>12</v>
      </c>
      <c r="AQ84" s="48">
        <f t="shared" ref="AQ84:AQ85" si="69">AN85</f>
        <v>139.88043478260872</v>
      </c>
      <c r="AR84" s="49">
        <f t="shared" ref="AR84:AR85" si="70">AN89</f>
        <v>140.5</v>
      </c>
      <c r="AU84" s="81"/>
    </row>
    <row r="85" spans="1:47" x14ac:dyDescent="0.3">
      <c r="A85" s="67">
        <v>0</v>
      </c>
      <c r="B85" s="70">
        <f t="shared" ref="B85:B92" si="71">B84+F85</f>
        <v>112</v>
      </c>
      <c r="C85" s="71">
        <f t="shared" ref="C85:C92" si="72">D84</f>
        <v>5</v>
      </c>
      <c r="D85" s="68">
        <v>10</v>
      </c>
      <c r="E85" s="68">
        <f t="shared" ref="E85:E92" si="73">H84</f>
        <v>227</v>
      </c>
      <c r="F85" s="31">
        <f t="shared" ref="F85:F92" si="74">E85-H85-G85</f>
        <v>58</v>
      </c>
      <c r="G85" s="68">
        <f t="shared" ref="G85:G92" si="75">A85-A84</f>
        <v>0</v>
      </c>
      <c r="H85" s="49">
        <v>169</v>
      </c>
      <c r="I85" s="72">
        <f t="shared" ref="I85:I92" si="76">F85/E85</f>
        <v>0.25550660792951541</v>
      </c>
      <c r="J85" s="29">
        <f t="shared" ref="J85:J92" si="77">1-I85</f>
        <v>0.74449339207048459</v>
      </c>
      <c r="K85" s="29">
        <f t="shared" ref="K85:K92" si="78">J85*K84</f>
        <v>0.60142348754448394</v>
      </c>
      <c r="L85" s="62"/>
      <c r="M85" s="124">
        <f t="shared" si="63"/>
        <v>3.5231316725978647</v>
      </c>
      <c r="N85" s="46">
        <f t="shared" ref="N85:N92" si="79">M85+N84</f>
        <v>8.042704626334519</v>
      </c>
      <c r="O85" s="125">
        <f t="shared" si="64"/>
        <v>10</v>
      </c>
      <c r="P85" s="123">
        <f>H85/H83</f>
        <v>0.60142348754448394</v>
      </c>
      <c r="Q85" s="30"/>
      <c r="R85" s="126">
        <f t="shared" si="65"/>
        <v>3.5231316725978647</v>
      </c>
      <c r="S85" s="126">
        <f>R85+S84</f>
        <v>8.042704626334519</v>
      </c>
      <c r="T85" s="127">
        <f t="shared" si="66"/>
        <v>10</v>
      </c>
      <c r="U85" s="46">
        <f t="shared" si="67"/>
        <v>0.33704796564595974</v>
      </c>
      <c r="V85" s="128">
        <f t="shared" si="68"/>
        <v>0.35998037384282444</v>
      </c>
      <c r="W85" s="184" t="s">
        <v>71</v>
      </c>
      <c r="X85" s="81">
        <f t="shared" si="60"/>
        <v>10</v>
      </c>
      <c r="Y85" s="16">
        <f t="shared" si="61"/>
        <v>0.60142348754448394</v>
      </c>
      <c r="Z85" s="17">
        <f t="shared" si="62"/>
        <v>0.60142348754448394</v>
      </c>
      <c r="AC85" s="25"/>
      <c r="AD85" s="25"/>
      <c r="AG85" s="147" t="s">
        <v>15</v>
      </c>
      <c r="AH85" s="181">
        <f>H85</f>
        <v>169</v>
      </c>
      <c r="AI85" s="181">
        <f>H86</f>
        <v>122</v>
      </c>
      <c r="AJ85" s="167">
        <f>AH85-AI85</f>
        <v>47</v>
      </c>
      <c r="AK85" s="168">
        <f>AK83</f>
        <v>5</v>
      </c>
      <c r="AL85" s="159"/>
      <c r="AM85" s="160" t="s">
        <v>12</v>
      </c>
      <c r="AN85" s="162">
        <f>AH85-AJ86</f>
        <v>139.88043478260872</v>
      </c>
      <c r="AP85" s="14" t="s">
        <v>13</v>
      </c>
      <c r="AQ85" s="50">
        <f t="shared" si="69"/>
        <v>0.49779514157512</v>
      </c>
      <c r="AR85" s="51">
        <f t="shared" si="70"/>
        <v>0.5</v>
      </c>
      <c r="AU85" s="81"/>
    </row>
    <row r="86" spans="1:47" x14ac:dyDescent="0.3">
      <c r="A86" s="70">
        <v>1</v>
      </c>
      <c r="B86" s="70">
        <f t="shared" si="71"/>
        <v>158</v>
      </c>
      <c r="C86" s="71">
        <f t="shared" si="72"/>
        <v>10</v>
      </c>
      <c r="D86" s="68">
        <v>15</v>
      </c>
      <c r="E86" s="68">
        <f t="shared" si="73"/>
        <v>169</v>
      </c>
      <c r="F86" s="31">
        <f t="shared" si="74"/>
        <v>46</v>
      </c>
      <c r="G86" s="68">
        <f t="shared" si="75"/>
        <v>1</v>
      </c>
      <c r="H86" s="49">
        <v>122</v>
      </c>
      <c r="I86" s="72">
        <f t="shared" si="76"/>
        <v>0.27218934911242604</v>
      </c>
      <c r="J86" s="29">
        <f t="shared" si="77"/>
        <v>0.72781065088757391</v>
      </c>
      <c r="K86" s="29">
        <f t="shared" si="78"/>
        <v>0.43772241992882555</v>
      </c>
      <c r="L86" s="62"/>
      <c r="M86" s="124">
        <f t="shared" si="63"/>
        <v>2.5978647686832734</v>
      </c>
      <c r="N86" s="46">
        <f t="shared" si="79"/>
        <v>10.640569395017792</v>
      </c>
      <c r="O86" s="125">
        <f t="shared" si="64"/>
        <v>15</v>
      </c>
      <c r="P86" s="123">
        <f>H86/H83</f>
        <v>0.43416370106761565</v>
      </c>
      <c r="Q86" s="30"/>
      <c r="R86" s="126">
        <f t="shared" si="65"/>
        <v>2.5889679715302489</v>
      </c>
      <c r="S86" s="126">
        <f t="shared" ref="S86:S92" si="80">R86+S85</f>
        <v>10.631672597864767</v>
      </c>
      <c r="T86" s="127">
        <f t="shared" si="66"/>
        <v>15</v>
      </c>
      <c r="U86" s="46">
        <f t="shared" si="67"/>
        <v>0.45722038140535126</v>
      </c>
      <c r="V86" s="128">
        <f t="shared" si="68"/>
        <v>0.48217093673519962</v>
      </c>
      <c r="W86" s="184" t="s">
        <v>71</v>
      </c>
      <c r="X86" s="81">
        <f t="shared" si="60"/>
        <v>15</v>
      </c>
      <c r="Y86" s="16">
        <f t="shared" si="61"/>
        <v>0.43416370106761565</v>
      </c>
      <c r="Z86" s="17">
        <f t="shared" si="62"/>
        <v>0.43772241992882555</v>
      </c>
      <c r="AC86" s="25"/>
      <c r="AD86" s="25"/>
      <c r="AG86" s="18"/>
      <c r="AH86" s="19"/>
      <c r="AI86" s="19"/>
      <c r="AJ86" s="169">
        <f>AJ85*AK86/AK85</f>
        <v>29.119565217391283</v>
      </c>
      <c r="AK86" s="170">
        <f>AK84</f>
        <v>3.0978260869565197</v>
      </c>
      <c r="AL86" s="163"/>
      <c r="AM86" s="164" t="s">
        <v>13</v>
      </c>
      <c r="AN86" s="165">
        <f>AN85/H83</f>
        <v>0.49779514157512</v>
      </c>
      <c r="AU86" s="81"/>
    </row>
    <row r="87" spans="1:47" x14ac:dyDescent="0.3">
      <c r="A87" s="67">
        <v>1</v>
      </c>
      <c r="B87" s="70">
        <f t="shared" si="71"/>
        <v>186</v>
      </c>
      <c r="C87" s="71">
        <f t="shared" si="72"/>
        <v>15</v>
      </c>
      <c r="D87" s="68">
        <v>20</v>
      </c>
      <c r="E87" s="68">
        <f t="shared" si="73"/>
        <v>122</v>
      </c>
      <c r="F87" s="31">
        <f t="shared" si="74"/>
        <v>28</v>
      </c>
      <c r="G87" s="68">
        <f t="shared" si="75"/>
        <v>0</v>
      </c>
      <c r="H87" s="49">
        <v>94</v>
      </c>
      <c r="I87" s="72">
        <f t="shared" si="76"/>
        <v>0.22950819672131148</v>
      </c>
      <c r="J87" s="29">
        <f t="shared" si="77"/>
        <v>0.77049180327868849</v>
      </c>
      <c r="K87" s="29">
        <f t="shared" si="78"/>
        <v>0.33726153666647213</v>
      </c>
      <c r="L87" s="62"/>
      <c r="M87" s="124">
        <f t="shared" si="63"/>
        <v>1.9374598914882442</v>
      </c>
      <c r="N87" s="46">
        <f t="shared" si="79"/>
        <v>12.578029286506036</v>
      </c>
      <c r="O87" s="125">
        <f t="shared" si="64"/>
        <v>20</v>
      </c>
      <c r="P87" s="123">
        <f>H87/H83</f>
        <v>0.33451957295373663</v>
      </c>
      <c r="Q87" s="30"/>
      <c r="R87" s="126">
        <f t="shared" si="65"/>
        <v>1.9217081850533808</v>
      </c>
      <c r="S87" s="126">
        <f t="shared" si="80"/>
        <v>12.553380782918149</v>
      </c>
      <c r="T87" s="127">
        <f t="shared" si="66"/>
        <v>20</v>
      </c>
      <c r="U87" s="46">
        <f t="shared" si="67"/>
        <v>0.52598301008231729</v>
      </c>
      <c r="V87" s="128">
        <f t="shared" si="68"/>
        <v>0.54341400550951136</v>
      </c>
      <c r="W87" s="184" t="s">
        <v>71</v>
      </c>
      <c r="X87" s="81">
        <f t="shared" si="60"/>
        <v>20</v>
      </c>
      <c r="Y87" s="16">
        <f t="shared" si="61"/>
        <v>0.33451957295373663</v>
      </c>
      <c r="Z87" s="17">
        <f t="shared" si="62"/>
        <v>0.33726153666647213</v>
      </c>
      <c r="AC87" s="25"/>
      <c r="AD87" s="25"/>
      <c r="AG87" s="144" t="s">
        <v>14</v>
      </c>
      <c r="AH87" s="145">
        <f>Y85</f>
        <v>0.60142348754448394</v>
      </c>
      <c r="AI87" s="145">
        <f>Y86</f>
        <v>0.43416370106761565</v>
      </c>
      <c r="AJ87" s="171">
        <f>AH87-AI87</f>
        <v>0.16725978647686829</v>
      </c>
      <c r="AK87" s="172">
        <f>X88-X87</f>
        <v>5</v>
      </c>
      <c r="AL87" s="146"/>
      <c r="AM87" s="32" t="s">
        <v>28</v>
      </c>
      <c r="AN87" s="166">
        <f>X85</f>
        <v>10</v>
      </c>
      <c r="AU87" s="81"/>
    </row>
    <row r="88" spans="1:47" x14ac:dyDescent="0.3">
      <c r="A88" s="70">
        <v>2</v>
      </c>
      <c r="B88" s="70">
        <f t="shared" si="71"/>
        <v>202</v>
      </c>
      <c r="C88" s="71">
        <f t="shared" si="72"/>
        <v>20</v>
      </c>
      <c r="D88" s="68">
        <v>25</v>
      </c>
      <c r="E88" s="68">
        <f t="shared" si="73"/>
        <v>94</v>
      </c>
      <c r="F88" s="31">
        <f t="shared" si="74"/>
        <v>16</v>
      </c>
      <c r="G88" s="68">
        <f t="shared" si="75"/>
        <v>1</v>
      </c>
      <c r="H88" s="49">
        <v>77</v>
      </c>
      <c r="I88" s="72">
        <f t="shared" si="76"/>
        <v>0.1702127659574468</v>
      </c>
      <c r="J88" s="29">
        <f t="shared" si="77"/>
        <v>0.82978723404255317</v>
      </c>
      <c r="K88" s="29">
        <f t="shared" si="78"/>
        <v>0.27985531765941302</v>
      </c>
      <c r="L88" s="62"/>
      <c r="M88" s="124">
        <f t="shared" si="63"/>
        <v>1.5427921358147128</v>
      </c>
      <c r="N88" s="46">
        <f t="shared" si="79"/>
        <v>14.120821422320748</v>
      </c>
      <c r="O88" s="125">
        <f t="shared" si="64"/>
        <v>25</v>
      </c>
      <c r="P88" s="123">
        <f>H88/H83</f>
        <v>0.27402135231316727</v>
      </c>
      <c r="Q88" s="30"/>
      <c r="R88" s="126">
        <f t="shared" si="65"/>
        <v>1.5213523131672595</v>
      </c>
      <c r="S88" s="126">
        <f t="shared" si="80"/>
        <v>14.074733096085408</v>
      </c>
      <c r="T88" s="127">
        <f t="shared" si="66"/>
        <v>25</v>
      </c>
      <c r="U88" s="46">
        <f t="shared" si="67"/>
        <v>0.59217061233633217</v>
      </c>
      <c r="V88" s="128">
        <f t="shared" si="68"/>
        <v>0.61958359442427913</v>
      </c>
      <c r="W88" s="184" t="s">
        <v>71</v>
      </c>
      <c r="X88" s="81">
        <f t="shared" si="60"/>
        <v>25</v>
      </c>
      <c r="Y88" s="16">
        <f t="shared" si="61"/>
        <v>0.27402135231316727</v>
      </c>
      <c r="Z88" s="17">
        <f t="shared" si="62"/>
        <v>0.27985531765941302</v>
      </c>
      <c r="AG88" s="147"/>
      <c r="AH88" s="175">
        <f>AH87</f>
        <v>0.60142348754448394</v>
      </c>
      <c r="AI88" s="175">
        <v>0.5</v>
      </c>
      <c r="AJ88" s="173">
        <f>AH88-AI88</f>
        <v>0.10142348754448394</v>
      </c>
      <c r="AK88" s="174">
        <f>AJ88*AK87/AJ87</f>
        <v>3.0319148936170204</v>
      </c>
      <c r="AL88" s="148"/>
      <c r="AM88" s="149" t="s">
        <v>11</v>
      </c>
      <c r="AN88" s="150">
        <f>AN87+AK88</f>
        <v>13.031914893617021</v>
      </c>
      <c r="AU88" s="81"/>
    </row>
    <row r="89" spans="1:47" x14ac:dyDescent="0.3">
      <c r="A89" s="67">
        <v>18</v>
      </c>
      <c r="B89" s="70">
        <f t="shared" si="71"/>
        <v>208</v>
      </c>
      <c r="C89" s="71">
        <f t="shared" si="72"/>
        <v>25</v>
      </c>
      <c r="D89" s="68">
        <v>30</v>
      </c>
      <c r="E89" s="68">
        <f t="shared" si="73"/>
        <v>77</v>
      </c>
      <c r="F89" s="31">
        <f t="shared" si="74"/>
        <v>6</v>
      </c>
      <c r="G89" s="68">
        <f t="shared" si="75"/>
        <v>16</v>
      </c>
      <c r="H89" s="49">
        <v>55</v>
      </c>
      <c r="I89" s="72">
        <f t="shared" si="76"/>
        <v>7.792207792207792E-2</v>
      </c>
      <c r="J89" s="29">
        <f t="shared" si="77"/>
        <v>0.92207792207792205</v>
      </c>
      <c r="K89" s="29">
        <f t="shared" si="78"/>
        <v>0.25804840978984833</v>
      </c>
      <c r="L89" s="62"/>
      <c r="M89" s="124">
        <f t="shared" si="63"/>
        <v>1.3447593186231532</v>
      </c>
      <c r="N89" s="46">
        <f t="shared" si="79"/>
        <v>15.465580740943901</v>
      </c>
      <c r="O89" s="125">
        <f t="shared" si="64"/>
        <v>30</v>
      </c>
      <c r="P89" s="123">
        <f>H89/H83</f>
        <v>0.19572953736654805</v>
      </c>
      <c r="Q89" s="30"/>
      <c r="R89" s="126">
        <f t="shared" si="65"/>
        <v>1.1743772241992882</v>
      </c>
      <c r="S89" s="126">
        <f t="shared" si="80"/>
        <v>15.249110320284696</v>
      </c>
      <c r="T89" s="127">
        <f t="shared" si="66"/>
        <v>30</v>
      </c>
      <c r="U89" s="46">
        <f t="shared" si="67"/>
        <v>0.72227671013215478</v>
      </c>
      <c r="V89" s="128">
        <f t="shared" si="68"/>
        <v>0.7889774299192478</v>
      </c>
      <c r="W89" s="184" t="s">
        <v>71</v>
      </c>
      <c r="X89" s="81">
        <f t="shared" si="60"/>
        <v>30</v>
      </c>
      <c r="Y89" s="16">
        <f t="shared" si="61"/>
        <v>0.19572953736654805</v>
      </c>
      <c r="Z89" s="17">
        <f t="shared" si="62"/>
        <v>0.25804840978984833</v>
      </c>
      <c r="AG89" s="147" t="s">
        <v>15</v>
      </c>
      <c r="AH89" s="181">
        <f>H85</f>
        <v>169</v>
      </c>
      <c r="AI89" s="181">
        <f>H86</f>
        <v>122</v>
      </c>
      <c r="AJ89" s="167">
        <f>AH89-AI89</f>
        <v>47</v>
      </c>
      <c r="AK89" s="168">
        <f>AK87</f>
        <v>5</v>
      </c>
      <c r="AL89" s="148"/>
      <c r="AM89" s="149" t="s">
        <v>12</v>
      </c>
      <c r="AN89" s="151">
        <f>AH89-AJ90</f>
        <v>140.5</v>
      </c>
      <c r="AU89" s="81"/>
    </row>
    <row r="90" spans="1:47" x14ac:dyDescent="0.3">
      <c r="A90" s="70">
        <v>40</v>
      </c>
      <c r="B90" s="70">
        <f t="shared" si="71"/>
        <v>212</v>
      </c>
      <c r="C90" s="71">
        <f t="shared" si="72"/>
        <v>30</v>
      </c>
      <c r="D90" s="68">
        <v>35</v>
      </c>
      <c r="E90" s="68">
        <f t="shared" si="73"/>
        <v>55</v>
      </c>
      <c r="F90" s="31">
        <f t="shared" si="74"/>
        <v>4</v>
      </c>
      <c r="G90" s="68">
        <f t="shared" si="75"/>
        <v>22</v>
      </c>
      <c r="H90" s="49">
        <v>29</v>
      </c>
      <c r="I90" s="72">
        <f t="shared" si="76"/>
        <v>7.2727272727272724E-2</v>
      </c>
      <c r="J90" s="29">
        <f t="shared" si="77"/>
        <v>0.92727272727272725</v>
      </c>
      <c r="K90" s="29">
        <f t="shared" si="78"/>
        <v>0.23928125271422299</v>
      </c>
      <c r="L90" s="62"/>
      <c r="M90" s="124">
        <f t="shared" si="63"/>
        <v>1.2433241562601782</v>
      </c>
      <c r="N90" s="46">
        <f t="shared" si="79"/>
        <v>16.708904897204079</v>
      </c>
      <c r="O90" s="125">
        <f t="shared" si="64"/>
        <v>35</v>
      </c>
      <c r="P90" s="123">
        <f>H90/H83</f>
        <v>0.10320284697508897</v>
      </c>
      <c r="Q90" s="30"/>
      <c r="R90" s="126">
        <f t="shared" si="65"/>
        <v>0.74733096085409256</v>
      </c>
      <c r="S90" s="126">
        <f t="shared" si="80"/>
        <v>15.996441281138789</v>
      </c>
      <c r="T90" s="127">
        <f t="shared" si="66"/>
        <v>35</v>
      </c>
      <c r="U90" s="46">
        <f t="shared" si="67"/>
        <v>0.87448768588206782</v>
      </c>
      <c r="V90" s="128">
        <f t="shared" si="68"/>
        <v>0.97152433761719514</v>
      </c>
      <c r="W90" s="184" t="s">
        <v>71</v>
      </c>
      <c r="X90" s="81">
        <f t="shared" si="60"/>
        <v>35</v>
      </c>
      <c r="Y90" s="16">
        <f t="shared" si="61"/>
        <v>0.10320284697508897</v>
      </c>
      <c r="Z90" s="17">
        <f t="shared" si="62"/>
        <v>0.23928125271422299</v>
      </c>
      <c r="AG90" s="18"/>
      <c r="AH90" s="19"/>
      <c r="AI90" s="19"/>
      <c r="AJ90" s="169">
        <f>AJ89*AK90/AK89</f>
        <v>28.499999999999993</v>
      </c>
      <c r="AK90" s="170">
        <f>AK88</f>
        <v>3.0319148936170204</v>
      </c>
      <c r="AL90" s="152"/>
      <c r="AM90" s="153" t="s">
        <v>13</v>
      </c>
      <c r="AN90" s="154">
        <f>AN89/H83</f>
        <v>0.5</v>
      </c>
      <c r="AU90" s="81"/>
    </row>
    <row r="91" spans="1:47" x14ac:dyDescent="0.3">
      <c r="A91" s="67">
        <v>63</v>
      </c>
      <c r="B91" s="70">
        <f t="shared" si="71"/>
        <v>213</v>
      </c>
      <c r="C91" s="71">
        <f t="shared" si="72"/>
        <v>35</v>
      </c>
      <c r="D91" s="68">
        <v>40</v>
      </c>
      <c r="E91" s="68">
        <f t="shared" si="73"/>
        <v>29</v>
      </c>
      <c r="F91" s="31">
        <f t="shared" si="74"/>
        <v>1</v>
      </c>
      <c r="G91" s="68">
        <f t="shared" si="75"/>
        <v>23</v>
      </c>
      <c r="H91" s="49">
        <v>5</v>
      </c>
      <c r="I91" s="72">
        <f t="shared" si="76"/>
        <v>3.4482758620689655E-2</v>
      </c>
      <c r="J91" s="29">
        <f t="shared" si="77"/>
        <v>0.96551724137931039</v>
      </c>
      <c r="K91" s="29">
        <f t="shared" si="78"/>
        <v>0.23103017503442219</v>
      </c>
      <c r="L91" s="62"/>
      <c r="M91" s="124">
        <f t="shared" si="63"/>
        <v>1.175778569371613</v>
      </c>
      <c r="N91" s="46">
        <f t="shared" si="79"/>
        <v>17.884683466575691</v>
      </c>
      <c r="O91" s="125">
        <f t="shared" si="64"/>
        <v>40</v>
      </c>
      <c r="P91" s="123">
        <f>H91/H83</f>
        <v>1.7793594306049824E-2</v>
      </c>
      <c r="Q91" s="30"/>
      <c r="R91" s="126">
        <f t="shared" si="65"/>
        <v>0.302491103202847</v>
      </c>
      <c r="S91" s="126">
        <f t="shared" si="80"/>
        <v>16.298932384341636</v>
      </c>
      <c r="T91" s="127">
        <f t="shared" si="66"/>
        <v>40</v>
      </c>
      <c r="U91" s="46">
        <f t="shared" si="67"/>
        <v>1.0198943090006267</v>
      </c>
      <c r="V91" s="128">
        <f t="shared" si="68"/>
        <v>0.98331776640143786</v>
      </c>
      <c r="W91" s="184" t="s">
        <v>71</v>
      </c>
      <c r="X91" s="81">
        <f t="shared" si="60"/>
        <v>40</v>
      </c>
      <c r="Y91" s="16">
        <f t="shared" si="61"/>
        <v>1.7793594306049824E-2</v>
      </c>
      <c r="Z91" s="17">
        <f t="shared" si="62"/>
        <v>0.23103017503442219</v>
      </c>
      <c r="AU91" s="81"/>
    </row>
    <row r="92" spans="1:47" x14ac:dyDescent="0.3">
      <c r="A92" s="70">
        <v>68</v>
      </c>
      <c r="B92" s="70">
        <f t="shared" si="71"/>
        <v>213</v>
      </c>
      <c r="C92" s="71">
        <f t="shared" si="72"/>
        <v>40</v>
      </c>
      <c r="D92" s="68">
        <v>45</v>
      </c>
      <c r="E92" s="68">
        <f t="shared" si="73"/>
        <v>5</v>
      </c>
      <c r="F92" s="31">
        <f t="shared" si="74"/>
        <v>0</v>
      </c>
      <c r="G92" s="68">
        <f t="shared" si="75"/>
        <v>5</v>
      </c>
      <c r="H92" s="49">
        <v>0</v>
      </c>
      <c r="I92" s="72">
        <f t="shared" si="76"/>
        <v>0</v>
      </c>
      <c r="J92" s="29">
        <f t="shared" si="77"/>
        <v>1</v>
      </c>
      <c r="K92" s="29">
        <f t="shared" si="78"/>
        <v>0.23103017503442219</v>
      </c>
      <c r="L92" s="62"/>
      <c r="M92" s="124">
        <f t="shared" si="63"/>
        <v>1.1551508751721109</v>
      </c>
      <c r="N92" s="46">
        <f t="shared" si="79"/>
        <v>19.039834341747802</v>
      </c>
      <c r="O92" s="125">
        <f t="shared" si="64"/>
        <v>45</v>
      </c>
      <c r="P92" s="123">
        <f>H92/H83</f>
        <v>0</v>
      </c>
      <c r="Q92" s="30"/>
      <c r="R92" s="126">
        <f t="shared" si="65"/>
        <v>4.4483985765124558E-2</v>
      </c>
      <c r="S92" s="126">
        <f t="shared" si="80"/>
        <v>16.343416370106763</v>
      </c>
      <c r="T92" s="127">
        <f t="shared" si="66"/>
        <v>45</v>
      </c>
      <c r="U92" s="46">
        <f t="shared" si="67"/>
        <v>1.2073434457418735</v>
      </c>
      <c r="V92" s="128">
        <f t="shared" si="68"/>
        <v>0.91152268239912182</v>
      </c>
      <c r="W92" s="184" t="s">
        <v>71</v>
      </c>
      <c r="X92" s="81">
        <f t="shared" si="60"/>
        <v>45</v>
      </c>
      <c r="Y92" s="16">
        <f t="shared" si="61"/>
        <v>0</v>
      </c>
      <c r="Z92" s="17">
        <f t="shared" si="62"/>
        <v>0.23103017503442219</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213</v>
      </c>
      <c r="G94" s="56">
        <f>SUM(G84:G92)</f>
        <v>68</v>
      </c>
      <c r="H94" s="56">
        <f>H83-F94-G94</f>
        <v>0</v>
      </c>
      <c r="I94" s="75"/>
      <c r="J94" s="75"/>
      <c r="K94" s="75"/>
      <c r="L94" s="75"/>
      <c r="M94" s="75"/>
      <c r="N94" s="75"/>
      <c r="O94" s="75"/>
      <c r="P94" s="261" t="s">
        <v>67</v>
      </c>
      <c r="Q94" s="262"/>
      <c r="R94" s="262"/>
      <c r="S94" s="263"/>
      <c r="T94" s="75"/>
      <c r="U94" s="75"/>
      <c r="V94" s="75"/>
      <c r="W94" s="75"/>
      <c r="X94" s="75"/>
      <c r="Y94" s="75"/>
      <c r="AC94" s="25"/>
      <c r="AD94" s="25"/>
    </row>
    <row r="95" spans="1:47" x14ac:dyDescent="0.25">
      <c r="D95" s="82"/>
      <c r="F95" s="11">
        <f>F94/E83</f>
        <v>0.75800711743772242</v>
      </c>
      <c r="G95" s="12">
        <f>G94/E83</f>
        <v>0.24199288256227758</v>
      </c>
      <c r="H95" s="13">
        <f>H94/E83</f>
        <v>0</v>
      </c>
      <c r="I95" s="75"/>
      <c r="J95" s="75"/>
      <c r="K95" s="75"/>
      <c r="L95" s="75"/>
      <c r="M95" s="75"/>
      <c r="N95" s="75"/>
      <c r="O95" s="75"/>
      <c r="P95" s="264"/>
      <c r="Q95" s="265"/>
      <c r="R95" s="265"/>
      <c r="S95" s="266"/>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67"/>
      <c r="Q96" s="268"/>
      <c r="R96" s="268"/>
      <c r="S96" s="269"/>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9.5" customHeight="1" x14ac:dyDescent="0.25">
      <c r="D99" s="131"/>
      <c r="E99" s="62"/>
      <c r="F99" s="8"/>
      <c r="G99" s="8"/>
      <c r="H99" s="62"/>
      <c r="I99" s="118"/>
      <c r="J99" s="118"/>
      <c r="K99" s="118"/>
      <c r="L99" s="118"/>
      <c r="M99" s="118"/>
      <c r="N99" s="118"/>
      <c r="O99" s="118"/>
      <c r="Q99" s="30"/>
      <c r="R99" s="118"/>
      <c r="S99" s="130"/>
      <c r="T99" s="130"/>
      <c r="U99" s="130"/>
      <c r="V99" s="130"/>
      <c r="W99" s="130"/>
      <c r="X99" s="130"/>
      <c r="Y99" s="130"/>
      <c r="Z99" s="130"/>
      <c r="AC99" s="25"/>
      <c r="AD99" s="25"/>
    </row>
    <row r="100" spans="1:44" ht="40" customHeight="1" x14ac:dyDescent="0.25">
      <c r="A100" s="30" t="s">
        <v>100</v>
      </c>
      <c r="E100" s="63"/>
      <c r="F100" s="64"/>
      <c r="H100" s="10"/>
      <c r="J100" s="272" t="s">
        <v>32</v>
      </c>
      <c r="K100" s="272"/>
      <c r="M100" s="246" t="s">
        <v>56</v>
      </c>
      <c r="N100" s="247"/>
      <c r="O100" s="30"/>
      <c r="P100" s="190" t="s">
        <v>84</v>
      </c>
      <c r="Q100" s="30"/>
      <c r="R100" s="248" t="s">
        <v>50</v>
      </c>
      <c r="S100" s="249"/>
      <c r="T100" s="59"/>
      <c r="U100" s="59"/>
      <c r="V100" s="59"/>
      <c r="W100" s="59"/>
      <c r="X100" s="130"/>
      <c r="Y100" s="119" t="s">
        <v>17</v>
      </c>
      <c r="Z100" s="120" t="s">
        <v>18</v>
      </c>
    </row>
    <row r="101" spans="1:44" ht="76" customHeight="1" x14ac:dyDescent="0.25">
      <c r="A101" s="39" t="s">
        <v>22</v>
      </c>
      <c r="B101" s="4" t="s">
        <v>23</v>
      </c>
      <c r="C101" s="1" t="s">
        <v>21</v>
      </c>
      <c r="D101" s="40" t="s">
        <v>24</v>
      </c>
      <c r="E101" s="1" t="s">
        <v>30</v>
      </c>
      <c r="F101" s="2" t="s">
        <v>25</v>
      </c>
      <c r="G101" s="2" t="s">
        <v>26</v>
      </c>
      <c r="H101" s="27" t="s">
        <v>72</v>
      </c>
      <c r="I101" s="2" t="s">
        <v>27</v>
      </c>
      <c r="J101" s="35" t="s">
        <v>33</v>
      </c>
      <c r="K101" s="41" t="s">
        <v>34</v>
      </c>
      <c r="M101" s="42" t="s">
        <v>58</v>
      </c>
      <c r="N101" s="42" t="s">
        <v>57</v>
      </c>
      <c r="O101" s="208" t="s">
        <v>9</v>
      </c>
      <c r="P101" s="53" t="s">
        <v>60</v>
      </c>
      <c r="Q101" s="30"/>
      <c r="R101" s="53" t="s">
        <v>52</v>
      </c>
      <c r="S101" s="53" t="s">
        <v>51</v>
      </c>
      <c r="T101" s="59"/>
      <c r="U101" s="59"/>
      <c r="V101" s="59"/>
      <c r="W101" s="59"/>
      <c r="X101" s="15" t="s">
        <v>9</v>
      </c>
      <c r="Y101" s="44" t="s">
        <v>79</v>
      </c>
      <c r="Z101" s="211" t="s">
        <v>80</v>
      </c>
      <c r="AG101" s="258" t="s">
        <v>55</v>
      </c>
      <c r="AH101" s="259"/>
      <c r="AI101" s="259"/>
      <c r="AJ101" s="259"/>
      <c r="AK101" s="259"/>
      <c r="AL101" s="259"/>
      <c r="AM101" s="259"/>
      <c r="AN101" s="260"/>
      <c r="AQ101" s="176" t="s">
        <v>38</v>
      </c>
      <c r="AR101" s="177" t="s">
        <v>39</v>
      </c>
    </row>
    <row r="102" spans="1:44" x14ac:dyDescent="0.25">
      <c r="A102" s="67">
        <v>0</v>
      </c>
      <c r="B102" s="67">
        <v>0</v>
      </c>
      <c r="C102" s="62"/>
      <c r="D102" s="68">
        <v>0</v>
      </c>
      <c r="E102" s="31">
        <f>H102</f>
        <v>301</v>
      </c>
      <c r="F102" s="3">
        <v>0</v>
      </c>
      <c r="G102" s="3">
        <v>0</v>
      </c>
      <c r="H102" s="49">
        <v>301</v>
      </c>
      <c r="I102" s="69">
        <f>F102/E102</f>
        <v>0</v>
      </c>
      <c r="J102" s="29">
        <f>1-I102</f>
        <v>1</v>
      </c>
      <c r="K102" s="29">
        <f>J102</f>
        <v>1</v>
      </c>
      <c r="L102" s="62"/>
      <c r="M102" s="121"/>
      <c r="N102" s="122"/>
      <c r="P102" s="123">
        <f>H102/H102</f>
        <v>1</v>
      </c>
      <c r="Q102" s="30"/>
      <c r="S102" s="59"/>
      <c r="T102" s="59"/>
      <c r="U102" s="59"/>
      <c r="V102" s="59"/>
      <c r="W102" s="59"/>
      <c r="X102" s="81">
        <f t="shared" ref="X102:X111" si="81">D102</f>
        <v>0</v>
      </c>
      <c r="Y102" s="28">
        <f t="shared" ref="Y102:Y111" si="82">P102</f>
        <v>1</v>
      </c>
      <c r="Z102" s="139">
        <f t="shared" ref="Z102:Z111" si="83">K102</f>
        <v>1</v>
      </c>
      <c r="AG102" s="155" t="s">
        <v>14</v>
      </c>
      <c r="AH102" s="156">
        <f>Z104</f>
        <v>0.5739570164348925</v>
      </c>
      <c r="AI102" s="156">
        <f>Z105</f>
        <v>0.4171199247346602</v>
      </c>
      <c r="AJ102" s="171">
        <f>AH102-AI102</f>
        <v>0.1568370917002323</v>
      </c>
      <c r="AK102" s="172">
        <f>X103-X102</f>
        <v>5</v>
      </c>
      <c r="AL102" s="157"/>
      <c r="AM102" s="32" t="s">
        <v>28</v>
      </c>
      <c r="AN102" s="166">
        <f>X104</f>
        <v>10</v>
      </c>
      <c r="AP102" s="14" t="s">
        <v>29</v>
      </c>
      <c r="AQ102" s="46">
        <f>AN103</f>
        <v>12.357765488799323</v>
      </c>
      <c r="AR102" s="47">
        <f>AN107</f>
        <v>12.287234042553191</v>
      </c>
    </row>
    <row r="103" spans="1:44" x14ac:dyDescent="0.25">
      <c r="A103" s="70">
        <v>1</v>
      </c>
      <c r="B103" s="70">
        <f>B102+F103</f>
        <v>74</v>
      </c>
      <c r="C103" s="71">
        <f>D102</f>
        <v>0</v>
      </c>
      <c r="D103" s="68">
        <v>5</v>
      </c>
      <c r="E103" s="68">
        <f>H102</f>
        <v>301</v>
      </c>
      <c r="F103" s="31">
        <f>E103-H103-G103</f>
        <v>74</v>
      </c>
      <c r="G103" s="68">
        <f>A103-A102</f>
        <v>1</v>
      </c>
      <c r="H103" s="49">
        <v>226</v>
      </c>
      <c r="I103" s="72">
        <f>F103/E103</f>
        <v>0.24584717607973422</v>
      </c>
      <c r="J103" s="29">
        <f>1-I103</f>
        <v>0.75415282392026572</v>
      </c>
      <c r="K103" s="29">
        <f>J103*K102</f>
        <v>0.75415282392026572</v>
      </c>
      <c r="L103" s="62"/>
      <c r="M103" s="124">
        <f t="shared" ref="M103:M111" si="84">AVERAGE(K102:K103)*(D103-D102)</f>
        <v>4.3853820598006639</v>
      </c>
      <c r="N103" s="46">
        <f>M103</f>
        <v>4.3853820598006639</v>
      </c>
      <c r="O103" s="125">
        <f t="shared" ref="O103:O111" si="85">D103</f>
        <v>5</v>
      </c>
      <c r="P103" s="123">
        <f>H103/H102</f>
        <v>0.75083056478405319</v>
      </c>
      <c r="Q103" s="30"/>
      <c r="R103" s="126">
        <f t="shared" ref="R103:R111" si="86">AVERAGE(P102:P103)*(D103-D102)</f>
        <v>4.3770764119601333</v>
      </c>
      <c r="S103" s="126">
        <f>R103</f>
        <v>4.3770764119601333</v>
      </c>
      <c r="T103" s="59"/>
      <c r="U103" s="59"/>
      <c r="V103" s="59"/>
      <c r="W103" s="59"/>
      <c r="X103" s="81">
        <f t="shared" si="81"/>
        <v>5</v>
      </c>
      <c r="Y103" s="28">
        <f t="shared" si="82"/>
        <v>0.75083056478405319</v>
      </c>
      <c r="Z103" s="139">
        <f t="shared" si="83"/>
        <v>0.75415282392026572</v>
      </c>
      <c r="AG103" s="158"/>
      <c r="AH103" s="175">
        <f>AH102</f>
        <v>0.5739570164348925</v>
      </c>
      <c r="AI103" s="175">
        <v>0.5</v>
      </c>
      <c r="AJ103" s="173">
        <f>AH103-AI103</f>
        <v>7.3957016434892497E-2</v>
      </c>
      <c r="AK103" s="174">
        <f>AJ103*AK102/AJ102</f>
        <v>2.3577654887993234</v>
      </c>
      <c r="AL103" s="159"/>
      <c r="AM103" s="160" t="s">
        <v>11</v>
      </c>
      <c r="AN103" s="161">
        <f>AN102+AK103</f>
        <v>12.357765488799323</v>
      </c>
      <c r="AP103" s="14" t="s">
        <v>12</v>
      </c>
      <c r="AQ103" s="48">
        <f t="shared" ref="AQ103:AQ104" si="87">AN104</f>
        <v>172</v>
      </c>
      <c r="AR103" s="49">
        <f t="shared" ref="AR103:AR104" si="88">AN108</f>
        <v>150.5</v>
      </c>
    </row>
    <row r="104" spans="1:44" x14ac:dyDescent="0.25">
      <c r="A104" s="67">
        <v>1</v>
      </c>
      <c r="B104" s="70">
        <f t="shared" ref="B104:B111" si="89">B103+F104</f>
        <v>128</v>
      </c>
      <c r="C104" s="71">
        <f t="shared" ref="C104:C111" si="90">D103</f>
        <v>5</v>
      </c>
      <c r="D104" s="68">
        <v>10</v>
      </c>
      <c r="E104" s="68">
        <f t="shared" ref="E104:E111" si="91">H103</f>
        <v>226</v>
      </c>
      <c r="F104" s="31">
        <f t="shared" ref="F104:F111" si="92">E104-H104-G104</f>
        <v>54</v>
      </c>
      <c r="G104" s="68">
        <f t="shared" ref="G104:G111" si="93">A104-A103</f>
        <v>0</v>
      </c>
      <c r="H104" s="49">
        <v>172</v>
      </c>
      <c r="I104" s="72">
        <f t="shared" ref="I104:I111" si="94">F104/E104</f>
        <v>0.23893805309734514</v>
      </c>
      <c r="J104" s="29">
        <f t="shared" ref="J104:J111" si="95">1-I104</f>
        <v>0.76106194690265483</v>
      </c>
      <c r="K104" s="29">
        <f t="shared" ref="K104:K111" si="96">J104*K103</f>
        <v>0.5739570164348925</v>
      </c>
      <c r="L104" s="62"/>
      <c r="M104" s="124">
        <f t="shared" si="84"/>
        <v>3.3202746008878958</v>
      </c>
      <c r="N104" s="46">
        <f t="shared" ref="N104:N111" si="97">M104+N103</f>
        <v>7.7056566606885593</v>
      </c>
      <c r="O104" s="125">
        <f t="shared" si="85"/>
        <v>10</v>
      </c>
      <c r="P104" s="123">
        <f>H104/H102</f>
        <v>0.5714285714285714</v>
      </c>
      <c r="Q104" s="30"/>
      <c r="R104" s="126">
        <f t="shared" si="86"/>
        <v>3.3056478405315612</v>
      </c>
      <c r="S104" s="126">
        <f>R104+S103</f>
        <v>7.6827242524916945</v>
      </c>
      <c r="T104" s="59"/>
      <c r="U104" s="59"/>
      <c r="V104" s="59"/>
      <c r="W104" s="59"/>
      <c r="X104" s="81">
        <f t="shared" si="81"/>
        <v>10</v>
      </c>
      <c r="Y104" s="28">
        <f t="shared" si="82"/>
        <v>0.5714285714285714</v>
      </c>
      <c r="Z104" s="139">
        <f t="shared" si="83"/>
        <v>0.5739570164348925</v>
      </c>
      <c r="AG104" s="147" t="s">
        <v>15</v>
      </c>
      <c r="AH104" s="181">
        <f>H104</f>
        <v>172</v>
      </c>
      <c r="AI104" s="181">
        <f>H104</f>
        <v>172</v>
      </c>
      <c r="AJ104" s="167">
        <f>AH104-AI104</f>
        <v>0</v>
      </c>
      <c r="AK104" s="168">
        <f>AK102</f>
        <v>5</v>
      </c>
      <c r="AL104" s="159"/>
      <c r="AM104" s="160" t="s">
        <v>12</v>
      </c>
      <c r="AN104" s="162">
        <f>AH104-AJ105</f>
        <v>172</v>
      </c>
      <c r="AP104" s="14" t="s">
        <v>13</v>
      </c>
      <c r="AQ104" s="50">
        <f t="shared" si="87"/>
        <v>0.5714285714285714</v>
      </c>
      <c r="AR104" s="51">
        <f t="shared" si="88"/>
        <v>0.5</v>
      </c>
    </row>
    <row r="105" spans="1:44" x14ac:dyDescent="0.25">
      <c r="A105" s="70">
        <v>1</v>
      </c>
      <c r="B105" s="70">
        <f t="shared" si="89"/>
        <v>175</v>
      </c>
      <c r="C105" s="71">
        <f t="shared" si="90"/>
        <v>10</v>
      </c>
      <c r="D105" s="68">
        <v>15</v>
      </c>
      <c r="E105" s="68">
        <f t="shared" si="91"/>
        <v>172</v>
      </c>
      <c r="F105" s="31">
        <f t="shared" si="92"/>
        <v>47</v>
      </c>
      <c r="G105" s="68">
        <f t="shared" si="93"/>
        <v>0</v>
      </c>
      <c r="H105" s="49">
        <v>125</v>
      </c>
      <c r="I105" s="72">
        <f t="shared" si="94"/>
        <v>0.27325581395348836</v>
      </c>
      <c r="J105" s="29">
        <f t="shared" si="95"/>
        <v>0.72674418604651159</v>
      </c>
      <c r="K105" s="29">
        <f t="shared" si="96"/>
        <v>0.4171199247346602</v>
      </c>
      <c r="L105" s="62"/>
      <c r="M105" s="124">
        <f t="shared" si="84"/>
        <v>2.4776923529238819</v>
      </c>
      <c r="N105" s="46">
        <f t="shared" si="97"/>
        <v>10.183349013612441</v>
      </c>
      <c r="O105" s="125">
        <f t="shared" si="85"/>
        <v>15</v>
      </c>
      <c r="P105" s="123">
        <f>H105/H102</f>
        <v>0.41528239202657807</v>
      </c>
      <c r="Q105" s="30"/>
      <c r="R105" s="126">
        <f t="shared" si="86"/>
        <v>2.4667774086378733</v>
      </c>
      <c r="S105" s="126">
        <f t="shared" ref="S105:S111" si="98">R105+S104</f>
        <v>10.149501661129568</v>
      </c>
      <c r="T105" s="59"/>
      <c r="U105" s="59"/>
      <c r="V105" s="59"/>
      <c r="W105" s="59"/>
      <c r="X105" s="81">
        <f t="shared" si="81"/>
        <v>15</v>
      </c>
      <c r="Y105" s="28">
        <f t="shared" si="82"/>
        <v>0.41528239202657807</v>
      </c>
      <c r="Z105" s="139">
        <f t="shared" si="83"/>
        <v>0.4171199247346602</v>
      </c>
      <c r="AG105" s="18"/>
      <c r="AH105" s="19"/>
      <c r="AI105" s="19"/>
      <c r="AJ105" s="169">
        <f>AJ104*AK105/AK104</f>
        <v>0</v>
      </c>
      <c r="AK105" s="170">
        <f>AK103</f>
        <v>2.3577654887993234</v>
      </c>
      <c r="AL105" s="163"/>
      <c r="AM105" s="164" t="s">
        <v>13</v>
      </c>
      <c r="AN105" s="165">
        <f>AN104/H102</f>
        <v>0.5714285714285714</v>
      </c>
    </row>
    <row r="106" spans="1:44" x14ac:dyDescent="0.25">
      <c r="A106" s="67">
        <v>1</v>
      </c>
      <c r="B106" s="70">
        <f t="shared" si="89"/>
        <v>201</v>
      </c>
      <c r="C106" s="71">
        <f t="shared" si="90"/>
        <v>15</v>
      </c>
      <c r="D106" s="68">
        <v>20</v>
      </c>
      <c r="E106" s="68">
        <f t="shared" si="91"/>
        <v>125</v>
      </c>
      <c r="F106" s="31">
        <f t="shared" si="92"/>
        <v>26</v>
      </c>
      <c r="G106" s="68">
        <f t="shared" si="93"/>
        <v>0</v>
      </c>
      <c r="H106" s="49">
        <v>99</v>
      </c>
      <c r="I106" s="72">
        <f t="shared" si="94"/>
        <v>0.20799999999999999</v>
      </c>
      <c r="J106" s="29">
        <f t="shared" si="95"/>
        <v>0.79200000000000004</v>
      </c>
      <c r="K106" s="29">
        <f t="shared" si="96"/>
        <v>0.3303589803898509</v>
      </c>
      <c r="L106" s="62"/>
      <c r="M106" s="124">
        <f t="shared" si="84"/>
        <v>1.8686972628112777</v>
      </c>
      <c r="N106" s="46">
        <f t="shared" si="97"/>
        <v>12.052046276423718</v>
      </c>
      <c r="O106" s="125">
        <f t="shared" si="85"/>
        <v>20</v>
      </c>
      <c r="P106" s="123">
        <f>H106/H102</f>
        <v>0.32890365448504982</v>
      </c>
      <c r="Q106" s="30"/>
      <c r="R106" s="126">
        <f t="shared" si="86"/>
        <v>1.8604651162790697</v>
      </c>
      <c r="S106" s="126">
        <f t="shared" si="98"/>
        <v>12.009966777408637</v>
      </c>
      <c r="T106" s="59"/>
      <c r="U106" s="59"/>
      <c r="V106" s="59"/>
      <c r="W106" s="59"/>
      <c r="X106" s="81">
        <f t="shared" si="81"/>
        <v>20</v>
      </c>
      <c r="Y106" s="28">
        <f t="shared" si="82"/>
        <v>0.32890365448504982</v>
      </c>
      <c r="Z106" s="139">
        <f t="shared" si="83"/>
        <v>0.3303589803898509</v>
      </c>
      <c r="AG106" s="144" t="s">
        <v>14</v>
      </c>
      <c r="AH106" s="145">
        <f>Y104</f>
        <v>0.5714285714285714</v>
      </c>
      <c r="AI106" s="145">
        <f>Y105</f>
        <v>0.41528239202657807</v>
      </c>
      <c r="AJ106" s="171">
        <f>AH106-AI106</f>
        <v>0.15614617940199332</v>
      </c>
      <c r="AK106" s="172">
        <f>X107-X106</f>
        <v>5</v>
      </c>
      <c r="AL106" s="146"/>
      <c r="AM106" s="32" t="s">
        <v>28</v>
      </c>
      <c r="AN106" s="166">
        <f>X104</f>
        <v>10</v>
      </c>
    </row>
    <row r="107" spans="1:44" x14ac:dyDescent="0.25">
      <c r="A107" s="70">
        <v>4</v>
      </c>
      <c r="B107" s="70">
        <f t="shared" si="89"/>
        <v>222</v>
      </c>
      <c r="C107" s="71">
        <f t="shared" si="90"/>
        <v>20</v>
      </c>
      <c r="D107" s="68">
        <v>25</v>
      </c>
      <c r="E107" s="68">
        <f t="shared" si="91"/>
        <v>99</v>
      </c>
      <c r="F107" s="31">
        <f t="shared" si="92"/>
        <v>21</v>
      </c>
      <c r="G107" s="68">
        <f t="shared" si="93"/>
        <v>3</v>
      </c>
      <c r="H107" s="49">
        <v>75</v>
      </c>
      <c r="I107" s="72">
        <f t="shared" si="94"/>
        <v>0.21212121212121213</v>
      </c>
      <c r="J107" s="29">
        <f t="shared" si="95"/>
        <v>0.78787878787878785</v>
      </c>
      <c r="K107" s="29">
        <f t="shared" si="96"/>
        <v>0.26028283303442795</v>
      </c>
      <c r="L107" s="62"/>
      <c r="M107" s="124">
        <f t="shared" si="84"/>
        <v>1.476604533560697</v>
      </c>
      <c r="N107" s="46">
        <f t="shared" si="97"/>
        <v>13.528650809984416</v>
      </c>
      <c r="O107" s="125">
        <f t="shared" si="85"/>
        <v>25</v>
      </c>
      <c r="P107" s="123">
        <f>H107/H102</f>
        <v>0.24916943521594684</v>
      </c>
      <c r="Q107" s="30"/>
      <c r="R107" s="126">
        <f t="shared" si="86"/>
        <v>1.4451827242524917</v>
      </c>
      <c r="S107" s="126">
        <f t="shared" si="98"/>
        <v>13.455149501661129</v>
      </c>
      <c r="T107" s="59"/>
      <c r="U107" s="59"/>
      <c r="V107" s="59"/>
      <c r="W107" s="59"/>
      <c r="X107" s="81">
        <f t="shared" si="81"/>
        <v>25</v>
      </c>
      <c r="Y107" s="28">
        <f t="shared" si="82"/>
        <v>0.24916943521594684</v>
      </c>
      <c r="Z107" s="139">
        <f t="shared" si="83"/>
        <v>0.26028283303442795</v>
      </c>
      <c r="AG107" s="147"/>
      <c r="AH107" s="175">
        <f>AH106</f>
        <v>0.5714285714285714</v>
      </c>
      <c r="AI107" s="175">
        <v>0.5</v>
      </c>
      <c r="AJ107" s="173">
        <f>AH107-AI107</f>
        <v>7.1428571428571397E-2</v>
      </c>
      <c r="AK107" s="174">
        <f>AJ107*AK106/AJ106</f>
        <v>2.287234042553191</v>
      </c>
      <c r="AL107" s="148"/>
      <c r="AM107" s="149" t="s">
        <v>11</v>
      </c>
      <c r="AN107" s="150">
        <f>AN106+AK107</f>
        <v>12.287234042553191</v>
      </c>
    </row>
    <row r="108" spans="1:44" x14ac:dyDescent="0.25">
      <c r="A108" s="67">
        <v>23</v>
      </c>
      <c r="B108" s="70">
        <f t="shared" si="89"/>
        <v>232</v>
      </c>
      <c r="C108" s="71">
        <f t="shared" si="90"/>
        <v>25</v>
      </c>
      <c r="D108" s="68">
        <v>30</v>
      </c>
      <c r="E108" s="68">
        <f t="shared" si="91"/>
        <v>75</v>
      </c>
      <c r="F108" s="31">
        <f t="shared" si="92"/>
        <v>10</v>
      </c>
      <c r="G108" s="68">
        <f t="shared" si="93"/>
        <v>19</v>
      </c>
      <c r="H108" s="49">
        <v>46</v>
      </c>
      <c r="I108" s="72">
        <f t="shared" si="94"/>
        <v>0.13333333333333333</v>
      </c>
      <c r="J108" s="29">
        <f t="shared" si="95"/>
        <v>0.8666666666666667</v>
      </c>
      <c r="K108" s="29">
        <f t="shared" si="96"/>
        <v>0.22557845529650422</v>
      </c>
      <c r="L108" s="62"/>
      <c r="M108" s="124">
        <f t="shared" si="84"/>
        <v>1.2146532208273304</v>
      </c>
      <c r="N108" s="46">
        <f t="shared" si="97"/>
        <v>14.743304030811746</v>
      </c>
      <c r="O108" s="125">
        <f t="shared" si="85"/>
        <v>30</v>
      </c>
      <c r="P108" s="123">
        <f>H108/H102</f>
        <v>0.15282392026578073</v>
      </c>
      <c r="Q108" s="30"/>
      <c r="R108" s="126">
        <f t="shared" si="86"/>
        <v>1.0049833887043189</v>
      </c>
      <c r="S108" s="126">
        <f t="shared" si="98"/>
        <v>14.460132890365449</v>
      </c>
      <c r="T108" s="59"/>
      <c r="U108" s="59"/>
      <c r="V108" s="59"/>
      <c r="W108" s="59"/>
      <c r="X108" s="81">
        <f t="shared" si="81"/>
        <v>30</v>
      </c>
      <c r="Y108" s="28">
        <f t="shared" si="82"/>
        <v>0.15282392026578073</v>
      </c>
      <c r="Z108" s="139">
        <f t="shared" si="83"/>
        <v>0.22557845529650422</v>
      </c>
      <c r="AG108" s="147" t="s">
        <v>15</v>
      </c>
      <c r="AH108" s="181">
        <f>H104</f>
        <v>172</v>
      </c>
      <c r="AI108" s="181">
        <f>H105</f>
        <v>125</v>
      </c>
      <c r="AJ108" s="167">
        <f>AH108-AI108</f>
        <v>47</v>
      </c>
      <c r="AK108" s="168">
        <f>AK106</f>
        <v>5</v>
      </c>
      <c r="AL108" s="148"/>
      <c r="AM108" s="149" t="s">
        <v>12</v>
      </c>
      <c r="AN108" s="151">
        <f>AH108-AJ109</f>
        <v>150.5</v>
      </c>
    </row>
    <row r="109" spans="1:44" x14ac:dyDescent="0.25">
      <c r="A109" s="70">
        <v>44</v>
      </c>
      <c r="B109" s="70">
        <f t="shared" si="89"/>
        <v>235</v>
      </c>
      <c r="C109" s="71">
        <f t="shared" si="90"/>
        <v>30</v>
      </c>
      <c r="D109" s="68">
        <v>35</v>
      </c>
      <c r="E109" s="68">
        <f t="shared" si="91"/>
        <v>46</v>
      </c>
      <c r="F109" s="31">
        <f t="shared" si="92"/>
        <v>3</v>
      </c>
      <c r="G109" s="68">
        <f t="shared" si="93"/>
        <v>21</v>
      </c>
      <c r="H109" s="49">
        <v>22</v>
      </c>
      <c r="I109" s="72">
        <f t="shared" si="94"/>
        <v>6.5217391304347824E-2</v>
      </c>
      <c r="J109" s="29">
        <f t="shared" si="95"/>
        <v>0.93478260869565222</v>
      </c>
      <c r="K109" s="29">
        <f t="shared" si="96"/>
        <v>0.21086681690760178</v>
      </c>
      <c r="L109" s="62"/>
      <c r="M109" s="124">
        <f t="shared" si="84"/>
        <v>1.091113180510265</v>
      </c>
      <c r="N109" s="46">
        <f t="shared" si="97"/>
        <v>15.834417211322011</v>
      </c>
      <c r="O109" s="125">
        <f t="shared" si="85"/>
        <v>35</v>
      </c>
      <c r="P109" s="123">
        <f>H109/H102</f>
        <v>7.3089700996677748E-2</v>
      </c>
      <c r="Q109" s="30"/>
      <c r="R109" s="126">
        <f t="shared" si="86"/>
        <v>0.56478405315614622</v>
      </c>
      <c r="S109" s="126">
        <f t="shared" si="98"/>
        <v>15.024916943521594</v>
      </c>
      <c r="T109" s="59"/>
      <c r="U109" s="59"/>
      <c r="V109" s="59"/>
      <c r="W109" s="59"/>
      <c r="X109" s="81">
        <f t="shared" si="81"/>
        <v>35</v>
      </c>
      <c r="Y109" s="28">
        <f t="shared" si="82"/>
        <v>7.3089700996677748E-2</v>
      </c>
      <c r="Z109" s="139">
        <f t="shared" si="83"/>
        <v>0.21086681690760178</v>
      </c>
      <c r="AG109" s="18"/>
      <c r="AH109" s="19"/>
      <c r="AI109" s="19"/>
      <c r="AJ109" s="169">
        <f>AJ108*AK109/AK108</f>
        <v>21.499999999999993</v>
      </c>
      <c r="AK109" s="170">
        <f>AK107</f>
        <v>2.287234042553191</v>
      </c>
      <c r="AL109" s="152"/>
      <c r="AM109" s="153" t="s">
        <v>13</v>
      </c>
      <c r="AN109" s="154">
        <f>AN108/H102</f>
        <v>0.5</v>
      </c>
    </row>
    <row r="110" spans="1:44" x14ac:dyDescent="0.25">
      <c r="A110" s="67">
        <v>52</v>
      </c>
      <c r="B110" s="70">
        <f t="shared" si="89"/>
        <v>236</v>
      </c>
      <c r="C110" s="71">
        <f t="shared" si="90"/>
        <v>35</v>
      </c>
      <c r="D110" s="68">
        <v>40</v>
      </c>
      <c r="E110" s="68">
        <f t="shared" si="91"/>
        <v>22</v>
      </c>
      <c r="F110" s="31">
        <f t="shared" si="92"/>
        <v>1</v>
      </c>
      <c r="G110" s="68">
        <f t="shared" si="93"/>
        <v>8</v>
      </c>
      <c r="H110" s="49">
        <v>13</v>
      </c>
      <c r="I110" s="72">
        <f t="shared" si="94"/>
        <v>4.5454545454545456E-2</v>
      </c>
      <c r="J110" s="29">
        <f t="shared" si="95"/>
        <v>0.95454545454545459</v>
      </c>
      <c r="K110" s="29">
        <f t="shared" si="96"/>
        <v>0.20128196159361988</v>
      </c>
      <c r="L110" s="62"/>
      <c r="M110" s="124">
        <f t="shared" si="84"/>
        <v>1.0303719462530543</v>
      </c>
      <c r="N110" s="46">
        <f t="shared" si="97"/>
        <v>16.864789157575064</v>
      </c>
      <c r="O110" s="125">
        <f t="shared" si="85"/>
        <v>40</v>
      </c>
      <c r="P110" s="123">
        <f>H110/H102</f>
        <v>4.3189368770764118E-2</v>
      </c>
      <c r="Q110" s="30"/>
      <c r="R110" s="126">
        <f t="shared" si="86"/>
        <v>0.29069767441860467</v>
      </c>
      <c r="S110" s="126">
        <f t="shared" si="98"/>
        <v>15.315614617940199</v>
      </c>
      <c r="T110" s="59"/>
      <c r="U110" s="59"/>
      <c r="V110" s="59"/>
      <c r="W110" s="59"/>
      <c r="X110" s="81">
        <f t="shared" si="81"/>
        <v>40</v>
      </c>
      <c r="Y110" s="28">
        <f t="shared" si="82"/>
        <v>4.3189368770764118E-2</v>
      </c>
      <c r="Z110" s="139">
        <f t="shared" si="83"/>
        <v>0.20128196159361988</v>
      </c>
    </row>
    <row r="111" spans="1:44" x14ac:dyDescent="0.25">
      <c r="A111" s="70">
        <v>63</v>
      </c>
      <c r="B111" s="70">
        <f t="shared" si="89"/>
        <v>237</v>
      </c>
      <c r="C111" s="71">
        <f t="shared" si="90"/>
        <v>40</v>
      </c>
      <c r="D111" s="68">
        <v>45</v>
      </c>
      <c r="E111" s="68">
        <f t="shared" si="91"/>
        <v>13</v>
      </c>
      <c r="F111" s="31">
        <f t="shared" si="92"/>
        <v>1</v>
      </c>
      <c r="G111" s="68">
        <f t="shared" si="93"/>
        <v>11</v>
      </c>
      <c r="H111" s="49">
        <v>1</v>
      </c>
      <c r="I111" s="72">
        <f t="shared" si="94"/>
        <v>7.6923076923076927E-2</v>
      </c>
      <c r="J111" s="29">
        <f t="shared" si="95"/>
        <v>0.92307692307692313</v>
      </c>
      <c r="K111" s="29">
        <f t="shared" si="96"/>
        <v>0.18579873377872605</v>
      </c>
      <c r="L111" s="62"/>
      <c r="M111" s="124">
        <f t="shared" si="84"/>
        <v>0.96770173843086482</v>
      </c>
      <c r="N111" s="46">
        <f t="shared" si="97"/>
        <v>17.832490896005929</v>
      </c>
      <c r="O111" s="125">
        <f t="shared" si="85"/>
        <v>45</v>
      </c>
      <c r="P111" s="123">
        <f>H111/H102</f>
        <v>3.3222591362126247E-3</v>
      </c>
      <c r="Q111" s="30"/>
      <c r="R111" s="126">
        <f t="shared" si="86"/>
        <v>0.11627906976744186</v>
      </c>
      <c r="S111" s="126">
        <f t="shared" si="98"/>
        <v>15.431893687707641</v>
      </c>
      <c r="T111" s="59"/>
      <c r="U111" s="59"/>
      <c r="V111" s="59"/>
      <c r="W111" s="59"/>
      <c r="X111" s="81">
        <f t="shared" si="81"/>
        <v>45</v>
      </c>
      <c r="Y111" s="28">
        <f t="shared" si="82"/>
        <v>3.3222591362126247E-3</v>
      </c>
      <c r="Z111" s="139">
        <f t="shared" si="83"/>
        <v>0.18579873377872605</v>
      </c>
    </row>
    <row r="112" spans="1:44" x14ac:dyDescent="0.25">
      <c r="D112" s="82"/>
      <c r="I112" s="75"/>
      <c r="J112" s="75"/>
      <c r="K112" s="75"/>
      <c r="L112" s="75"/>
      <c r="M112" s="75"/>
      <c r="N112" s="75"/>
      <c r="O112" s="75"/>
      <c r="Q112" s="30"/>
      <c r="R112" s="30"/>
      <c r="S112" s="58"/>
      <c r="T112" s="75"/>
      <c r="U112" s="75"/>
      <c r="V112" s="75"/>
      <c r="W112" s="75"/>
      <c r="X112" s="75"/>
      <c r="Y112" s="75"/>
      <c r="Z112" s="59"/>
      <c r="AC112" s="25"/>
      <c r="AD112" s="25"/>
    </row>
    <row r="113" spans="1:30" ht="13" customHeight="1" x14ac:dyDescent="0.25">
      <c r="D113" s="82"/>
      <c r="E113" s="55" t="s">
        <v>0</v>
      </c>
      <c r="F113" s="56">
        <f>SUM(F103:F111)</f>
        <v>237</v>
      </c>
      <c r="G113" s="56">
        <f>SUM(G103:G111)</f>
        <v>63</v>
      </c>
      <c r="H113" s="56">
        <f>H102-F113-G113</f>
        <v>1</v>
      </c>
      <c r="I113" s="75"/>
      <c r="J113" s="75"/>
      <c r="K113" s="75"/>
      <c r="L113" s="75"/>
      <c r="M113" s="75"/>
      <c r="N113" s="75"/>
      <c r="O113" s="75"/>
      <c r="P113" s="261" t="s">
        <v>67</v>
      </c>
      <c r="Q113" s="262"/>
      <c r="R113" s="262"/>
      <c r="S113" s="263"/>
      <c r="T113" s="75"/>
      <c r="U113" s="75"/>
      <c r="V113" s="75"/>
      <c r="W113" s="75"/>
      <c r="X113" s="75"/>
      <c r="Y113" s="75"/>
      <c r="Z113" s="59"/>
      <c r="AC113" s="25"/>
      <c r="AD113" s="25"/>
    </row>
    <row r="114" spans="1:30" x14ac:dyDescent="0.25">
      <c r="A114" s="62"/>
      <c r="B114" s="62"/>
      <c r="C114" s="62"/>
      <c r="D114" s="131"/>
      <c r="E114" s="26"/>
      <c r="F114" s="11">
        <f>F113/E102</f>
        <v>0.78737541528239208</v>
      </c>
      <c r="G114" s="12">
        <f>G113/E102</f>
        <v>0.20930232558139536</v>
      </c>
      <c r="H114" s="13">
        <f>H113/E102</f>
        <v>3.3222591362126247E-3</v>
      </c>
      <c r="I114" s="75"/>
      <c r="J114" s="75"/>
      <c r="K114" s="75"/>
      <c r="L114" s="75"/>
      <c r="M114" s="75"/>
      <c r="N114" s="75"/>
      <c r="O114" s="75"/>
      <c r="P114" s="264"/>
      <c r="Q114" s="265"/>
      <c r="R114" s="265"/>
      <c r="S114" s="266"/>
      <c r="T114" s="75"/>
      <c r="U114" s="75"/>
      <c r="V114" s="75"/>
      <c r="W114" s="75"/>
      <c r="X114" s="75"/>
      <c r="Y114" s="75"/>
      <c r="Z114" s="62"/>
      <c r="AA114" s="130"/>
      <c r="AB114" s="130"/>
      <c r="AC114" s="130"/>
      <c r="AD114" s="130"/>
    </row>
    <row r="115" spans="1:30" x14ac:dyDescent="0.25">
      <c r="D115" s="131"/>
      <c r="E115" s="138"/>
      <c r="F115" s="142" t="s">
        <v>68</v>
      </c>
      <c r="G115" s="143" t="s">
        <v>69</v>
      </c>
      <c r="H115" s="141" t="s">
        <v>70</v>
      </c>
      <c r="I115" s="75"/>
      <c r="J115" s="75"/>
      <c r="K115" s="75"/>
      <c r="L115" s="75"/>
      <c r="M115" s="75"/>
      <c r="N115" s="75"/>
      <c r="O115" s="75"/>
      <c r="P115" s="267"/>
      <c r="Q115" s="268"/>
      <c r="R115" s="268"/>
      <c r="S115" s="269"/>
      <c r="T115" s="75"/>
      <c r="U115" s="75"/>
      <c r="V115" s="75"/>
      <c r="W115" s="75"/>
      <c r="X115" s="75"/>
      <c r="Y115" s="75"/>
      <c r="Z115" s="59"/>
      <c r="AC115" s="25"/>
      <c r="AD115" s="25"/>
    </row>
    <row r="116" spans="1:30" x14ac:dyDescent="0.25">
      <c r="D116" s="131"/>
      <c r="I116" s="75"/>
      <c r="J116" s="75"/>
      <c r="K116" s="75"/>
      <c r="L116" s="75"/>
      <c r="M116" s="75"/>
      <c r="N116" s="75"/>
      <c r="O116" s="75"/>
      <c r="Q116" s="75"/>
      <c r="R116" s="75"/>
      <c r="S116" s="75"/>
      <c r="T116" s="75"/>
      <c r="U116" s="75"/>
      <c r="V116" s="75"/>
      <c r="W116" s="75"/>
      <c r="X116" s="75"/>
      <c r="Y116" s="75"/>
      <c r="Z116" s="59"/>
      <c r="AC116" s="25"/>
      <c r="AD116" s="25"/>
    </row>
    <row r="117" spans="1:30" ht="25" customHeight="1" x14ac:dyDescent="0.25">
      <c r="A117" s="270" t="s">
        <v>37</v>
      </c>
      <c r="B117" s="270"/>
      <c r="C117" s="270"/>
      <c r="D117" s="270"/>
      <c r="E117" s="270"/>
      <c r="F117" s="270"/>
      <c r="G117" s="270"/>
      <c r="H117" s="270"/>
      <c r="I117" s="270"/>
      <c r="J117" s="270"/>
      <c r="K117" s="270"/>
      <c r="L117" s="270"/>
      <c r="M117" s="270"/>
      <c r="N117" s="270"/>
      <c r="O117" s="270"/>
      <c r="P117" s="270"/>
      <c r="Q117" s="270"/>
      <c r="R117" s="75"/>
      <c r="S117" s="75"/>
      <c r="T117" s="75"/>
      <c r="U117" s="75"/>
      <c r="V117" s="75"/>
      <c r="W117" s="75"/>
      <c r="X117" s="75"/>
      <c r="Y117" s="75"/>
      <c r="Z117" s="59"/>
      <c r="AC117" s="25"/>
      <c r="AD117" s="25"/>
    </row>
    <row r="118" spans="1:30" ht="7.5" customHeight="1" x14ac:dyDescent="0.25">
      <c r="A118" s="132"/>
      <c r="B118" s="132"/>
      <c r="C118" s="132"/>
      <c r="D118" s="133"/>
      <c r="E118" s="132"/>
      <c r="F118" s="132"/>
      <c r="G118" s="132"/>
      <c r="H118" s="134"/>
      <c r="I118" s="134"/>
      <c r="J118" s="134"/>
      <c r="K118" s="134"/>
      <c r="L118" s="134"/>
      <c r="M118" s="134"/>
      <c r="N118" s="134"/>
      <c r="O118" s="134"/>
      <c r="P118" s="134"/>
      <c r="Q118" s="134"/>
      <c r="R118" s="75"/>
      <c r="S118" s="75"/>
      <c r="T118" s="75"/>
      <c r="U118" s="75"/>
      <c r="V118" s="75"/>
      <c r="W118" s="75"/>
      <c r="X118" s="75"/>
      <c r="Y118" s="75"/>
      <c r="Z118" s="59"/>
      <c r="AC118" s="25"/>
      <c r="AD118" s="25"/>
    </row>
    <row r="119" spans="1:30" ht="65" customHeight="1" x14ac:dyDescent="0.25">
      <c r="A119" s="271" t="s">
        <v>73</v>
      </c>
      <c r="B119" s="271"/>
      <c r="C119" s="271"/>
      <c r="D119" s="271"/>
      <c r="E119" s="271"/>
      <c r="F119" s="271"/>
      <c r="G119" s="271"/>
      <c r="H119" s="271"/>
      <c r="I119" s="271"/>
      <c r="J119" s="271"/>
      <c r="K119" s="271"/>
      <c r="L119" s="271"/>
      <c r="M119" s="271"/>
      <c r="N119" s="271"/>
      <c r="O119" s="271"/>
      <c r="P119" s="271"/>
      <c r="Q119" s="271"/>
      <c r="R119" s="75"/>
      <c r="S119" s="75"/>
      <c r="T119" s="75"/>
      <c r="U119" s="75"/>
      <c r="V119" s="75"/>
      <c r="W119" s="75"/>
      <c r="X119" s="75"/>
      <c r="Y119" s="75"/>
      <c r="Z119" s="59"/>
      <c r="AC119" s="25"/>
      <c r="AD119" s="25"/>
    </row>
    <row r="120" spans="1:30" ht="120.5" customHeight="1" x14ac:dyDescent="0.25">
      <c r="A120" s="271" t="s">
        <v>61</v>
      </c>
      <c r="B120" s="271"/>
      <c r="C120" s="271"/>
      <c r="D120" s="271"/>
      <c r="E120" s="271"/>
      <c r="F120" s="271"/>
      <c r="G120" s="271"/>
      <c r="H120" s="271"/>
      <c r="I120" s="271"/>
      <c r="J120" s="271"/>
      <c r="K120" s="271"/>
      <c r="L120" s="271"/>
      <c r="M120" s="271"/>
      <c r="N120" s="271"/>
      <c r="O120" s="271"/>
      <c r="P120" s="271"/>
      <c r="Q120" s="271"/>
      <c r="R120" s="75"/>
      <c r="S120" s="75"/>
      <c r="T120" s="75"/>
      <c r="U120" s="75"/>
      <c r="V120" s="75"/>
      <c r="W120" s="75"/>
      <c r="X120" s="75"/>
      <c r="Y120" s="75"/>
      <c r="Z120" s="59"/>
      <c r="AC120" s="25"/>
      <c r="AD120" s="25"/>
    </row>
    <row r="121" spans="1:30" ht="13" customHeight="1" x14ac:dyDescent="0.25">
      <c r="D121" s="131"/>
      <c r="H121" s="118"/>
      <c r="R121" s="59"/>
      <c r="S121" s="59"/>
      <c r="T121" s="59"/>
      <c r="U121" s="59"/>
      <c r="V121" s="59"/>
      <c r="W121" s="59"/>
      <c r="Z121" s="59"/>
      <c r="AA121" s="59"/>
    </row>
    <row r="122" spans="1:30" x14ac:dyDescent="0.25">
      <c r="D122" s="131"/>
      <c r="H122" s="118"/>
      <c r="L122" s="118"/>
      <c r="M122" s="118"/>
      <c r="N122" s="118"/>
      <c r="R122" s="59"/>
      <c r="S122" s="59"/>
      <c r="T122" s="59"/>
      <c r="U122" s="59"/>
      <c r="V122" s="59"/>
      <c r="W122" s="59"/>
      <c r="Z122" s="59"/>
      <c r="AA122" s="59"/>
    </row>
    <row r="123" spans="1:30" x14ac:dyDescent="0.25">
      <c r="D123" s="131"/>
      <c r="H123" s="118"/>
      <c r="L123" s="118"/>
      <c r="M123" s="118"/>
      <c r="N123" s="118"/>
      <c r="O123" s="118"/>
      <c r="P123" s="118"/>
      <c r="Q123" s="118"/>
      <c r="R123" s="59"/>
      <c r="S123" s="59"/>
      <c r="T123" s="59"/>
      <c r="U123" s="59"/>
      <c r="V123" s="59"/>
      <c r="W123" s="59"/>
      <c r="Z123" s="59"/>
      <c r="AA123" s="59"/>
    </row>
    <row r="124" spans="1:30" x14ac:dyDescent="0.25">
      <c r="D124" s="131"/>
      <c r="H124" s="118"/>
      <c r="L124" s="118"/>
      <c r="M124" s="118"/>
      <c r="N124" s="118"/>
      <c r="O124" s="118"/>
      <c r="P124" s="118"/>
      <c r="Q124" s="118"/>
      <c r="R124" s="59"/>
      <c r="S124" s="59"/>
      <c r="T124" s="59"/>
      <c r="U124" s="59"/>
      <c r="V124" s="59"/>
      <c r="W124" s="59"/>
      <c r="Z124" s="59"/>
      <c r="AA124" s="59"/>
    </row>
    <row r="125" spans="1:30" x14ac:dyDescent="0.25">
      <c r="D125" s="131"/>
      <c r="H125" s="118"/>
      <c r="L125" s="118"/>
      <c r="M125" s="118"/>
      <c r="N125" s="118"/>
      <c r="O125" s="118"/>
      <c r="P125" s="89"/>
      <c r="Q125" s="76"/>
      <c r="Z125" s="59"/>
      <c r="AA125" s="59"/>
    </row>
    <row r="126" spans="1:30" x14ac:dyDescent="0.25">
      <c r="D126" s="131"/>
      <c r="H126" s="118"/>
      <c r="L126" s="118"/>
      <c r="M126" s="118"/>
      <c r="N126" s="118"/>
      <c r="O126" s="118"/>
      <c r="P126" s="89"/>
      <c r="Q126" s="76"/>
      <c r="Z126" s="59"/>
      <c r="AA126" s="59"/>
    </row>
    <row r="127" spans="1:30" x14ac:dyDescent="0.25">
      <c r="D127" s="131"/>
      <c r="H127" s="118"/>
      <c r="L127" s="118"/>
      <c r="M127" s="118"/>
      <c r="N127" s="118"/>
      <c r="O127" s="118"/>
      <c r="P127" s="89"/>
      <c r="Q127" s="76"/>
      <c r="Z127" s="59"/>
      <c r="AA127" s="59"/>
    </row>
    <row r="128" spans="1:30" x14ac:dyDescent="0.25">
      <c r="D128" s="131"/>
      <c r="H128" s="118"/>
      <c r="L128" s="118"/>
      <c r="M128" s="118"/>
      <c r="N128" s="118"/>
      <c r="O128" s="118"/>
      <c r="P128" s="89"/>
      <c r="Q128" s="76"/>
      <c r="Z128" s="59"/>
      <c r="AA128" s="59"/>
    </row>
    <row r="129" spans="4:30" x14ac:dyDescent="0.25">
      <c r="D129" s="131"/>
      <c r="H129" s="118"/>
      <c r="L129" s="118"/>
      <c r="M129" s="88"/>
      <c r="N129" s="88"/>
      <c r="O129" s="88"/>
      <c r="P129" s="89"/>
      <c r="Q129" s="76"/>
      <c r="Z129" s="59"/>
      <c r="AA129" s="59"/>
    </row>
    <row r="130" spans="4:30" x14ac:dyDescent="0.25">
      <c r="D130" s="131"/>
      <c r="E130" s="62"/>
      <c r="F130" s="8"/>
      <c r="G130" s="8"/>
      <c r="H130" s="62"/>
      <c r="I130" s="118"/>
      <c r="L130" s="118"/>
      <c r="M130" s="88"/>
      <c r="N130" s="88"/>
      <c r="O130" s="88"/>
      <c r="P130" s="89"/>
      <c r="Q130" s="89"/>
      <c r="R130" s="89"/>
      <c r="S130" s="89"/>
      <c r="T130" s="89"/>
      <c r="U130" s="89"/>
      <c r="V130" s="89"/>
      <c r="W130" s="89"/>
      <c r="X130" s="89"/>
      <c r="Y130" s="89"/>
      <c r="Z130" s="89"/>
      <c r="AA130" s="89"/>
      <c r="AB130" s="89"/>
      <c r="AC130" s="89"/>
      <c r="AD130" s="89"/>
    </row>
    <row r="131" spans="4:30" x14ac:dyDescent="0.25">
      <c r="D131" s="82"/>
      <c r="E131" s="26"/>
      <c r="F131" s="135"/>
      <c r="G131" s="8"/>
      <c r="H131" s="136"/>
      <c r="I131" s="75"/>
      <c r="J131" s="76"/>
      <c r="K131" s="76"/>
      <c r="L131" s="76"/>
      <c r="M131" s="88"/>
      <c r="N131" s="88"/>
      <c r="O131" s="88"/>
      <c r="P131" s="89"/>
      <c r="Q131" s="89"/>
      <c r="R131" s="89"/>
      <c r="S131" s="89"/>
      <c r="T131" s="89"/>
      <c r="U131" s="89"/>
      <c r="V131" s="89"/>
      <c r="W131" s="89"/>
      <c r="X131" s="89"/>
      <c r="Y131" s="89"/>
      <c r="Z131" s="89"/>
      <c r="AA131" s="89"/>
      <c r="AB131" s="89"/>
      <c r="AC131" s="89"/>
      <c r="AD131" s="89"/>
    </row>
    <row r="132" spans="4:30" x14ac:dyDescent="0.25">
      <c r="D132" s="82"/>
      <c r="E132" s="26"/>
      <c r="F132" s="135"/>
      <c r="G132" s="8"/>
      <c r="H132" s="137"/>
      <c r="I132" s="75"/>
      <c r="J132" s="76"/>
      <c r="K132" s="76"/>
      <c r="L132" s="76"/>
      <c r="M132" s="88"/>
      <c r="N132" s="88"/>
      <c r="O132" s="88"/>
      <c r="P132" s="89"/>
      <c r="Q132" s="89"/>
      <c r="R132" s="89"/>
      <c r="S132" s="89"/>
      <c r="T132" s="89"/>
      <c r="U132" s="89"/>
      <c r="V132" s="89"/>
      <c r="W132" s="89"/>
      <c r="X132" s="89"/>
      <c r="Y132" s="89"/>
      <c r="Z132" s="89"/>
      <c r="AA132" s="89"/>
      <c r="AB132" s="89"/>
      <c r="AC132" s="89"/>
      <c r="AD132" s="89"/>
    </row>
  </sheetData>
  <mergeCells count="40">
    <mergeCell ref="AG101:AN101"/>
    <mergeCell ref="P94:S96"/>
    <mergeCell ref="A117:Q117"/>
    <mergeCell ref="A119:Q119"/>
    <mergeCell ref="A120:Q120"/>
    <mergeCell ref="J100:K100"/>
    <mergeCell ref="M100:N100"/>
    <mergeCell ref="R100:S100"/>
    <mergeCell ref="P113:S115"/>
    <mergeCell ref="A80:S80"/>
    <mergeCell ref="U80:V80"/>
    <mergeCell ref="AT80:AU80"/>
    <mergeCell ref="J81:K81"/>
    <mergeCell ref="M81:N81"/>
    <mergeCell ref="R81:S81"/>
    <mergeCell ref="U81:U82"/>
    <mergeCell ref="V81:V82"/>
    <mergeCell ref="AT81:AT82"/>
    <mergeCell ref="AU81:AU82"/>
    <mergeCell ref="X80:AR80"/>
    <mergeCell ref="AG82:AN82"/>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2:Q2"/>
    <mergeCell ref="A4:Q4"/>
    <mergeCell ref="A5:Q5"/>
    <mergeCell ref="A6:Q6"/>
    <mergeCell ref="A7:Q7"/>
  </mergeCells>
  <pageMargins left="0.7" right="0.7" top="0.75" bottom="0.75" header="0.3" footer="0.3"/>
  <ignoredErrors>
    <ignoredError sqref="M24:X41" evalError="1"/>
    <ignoredError sqref="R102:S102 R99:S99 S84:S92 S103:S111 R97:S97" formulaRange="1"/>
    <ignoredError sqref="AJ105 AJ86"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EC649-0B7C-48FF-917B-801A4704CF0E}">
  <dimension ref="A1:AU131"/>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4" style="59" customWidth="1"/>
    <col min="14" max="14" width="13.453125" style="59" customWidth="1"/>
    <col min="15" max="15" width="14.63281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3.453125" style="59" customWidth="1"/>
    <col min="33" max="33" width="11.81640625" style="59" customWidth="1"/>
    <col min="34" max="34" width="7.1796875" style="59" customWidth="1"/>
    <col min="35" max="35" width="7.81640625" style="59" customWidth="1"/>
    <col min="36" max="36" width="5.1796875" style="59" customWidth="1"/>
    <col min="37" max="37" width="7.54296875" style="59" customWidth="1"/>
    <col min="38" max="38" width="2.26953125" style="59" customWidth="1"/>
    <col min="39" max="39" width="12.36328125" style="59" customWidth="1"/>
    <col min="40" max="40" width="6.54296875" style="59" customWidth="1"/>
    <col min="41" max="41" width="3.453125" style="59" customWidth="1"/>
    <col min="42" max="42" width="13.08984375" style="59" customWidth="1"/>
    <col min="43" max="44" width="11" style="59" customWidth="1"/>
    <col min="45" max="45" width="3.6328125" style="59" customWidth="1"/>
    <col min="46" max="16384" width="11.453125" style="59"/>
  </cols>
  <sheetData>
    <row r="1" spans="1:41" ht="6" customHeight="1" thickBot="1" x14ac:dyDescent="0.3"/>
    <row r="2" spans="1:41" ht="26" customHeight="1" thickBot="1" x14ac:dyDescent="0.3">
      <c r="A2" s="212" t="s">
        <v>20</v>
      </c>
      <c r="B2" s="213"/>
      <c r="C2" s="213"/>
      <c r="D2" s="213"/>
      <c r="E2" s="213"/>
      <c r="F2" s="213"/>
      <c r="G2" s="213"/>
      <c r="H2" s="213"/>
      <c r="I2" s="213"/>
      <c r="J2" s="213"/>
      <c r="K2" s="213"/>
      <c r="L2" s="213"/>
      <c r="M2" s="213"/>
      <c r="N2" s="213"/>
      <c r="O2" s="213"/>
      <c r="P2" s="213"/>
      <c r="Q2" s="214"/>
    </row>
    <row r="3" spans="1:41" ht="4" customHeight="1" x14ac:dyDescent="0.25">
      <c r="A3" s="30"/>
    </row>
    <row r="4" spans="1:41" ht="41.5" customHeight="1" x14ac:dyDescent="0.25">
      <c r="A4" s="215" t="s">
        <v>35</v>
      </c>
      <c r="B4" s="216"/>
      <c r="C4" s="216"/>
      <c r="D4" s="216"/>
      <c r="E4" s="216"/>
      <c r="F4" s="216"/>
      <c r="G4" s="216"/>
      <c r="H4" s="216"/>
      <c r="I4" s="216"/>
      <c r="J4" s="216"/>
      <c r="K4" s="216"/>
      <c r="L4" s="216"/>
      <c r="M4" s="216"/>
      <c r="N4" s="216"/>
      <c r="O4" s="216"/>
      <c r="P4" s="216"/>
      <c r="Q4" s="217"/>
    </row>
    <row r="5" spans="1:41" ht="45.5" customHeight="1" x14ac:dyDescent="0.25">
      <c r="A5" s="218" t="s">
        <v>95</v>
      </c>
      <c r="B5" s="219"/>
      <c r="C5" s="219"/>
      <c r="D5" s="219"/>
      <c r="E5" s="219"/>
      <c r="F5" s="219"/>
      <c r="G5" s="219"/>
      <c r="H5" s="219"/>
      <c r="I5" s="219"/>
      <c r="J5" s="219"/>
      <c r="K5" s="219"/>
      <c r="L5" s="219"/>
      <c r="M5" s="219"/>
      <c r="N5" s="219"/>
      <c r="O5" s="219"/>
      <c r="P5" s="219"/>
      <c r="Q5" s="220"/>
      <c r="AC5" s="25"/>
      <c r="AD5" s="25"/>
      <c r="AE5" s="25"/>
      <c r="AF5" s="25"/>
      <c r="AG5" s="25"/>
      <c r="AH5" s="25"/>
      <c r="AI5" s="25"/>
      <c r="AJ5" s="25"/>
    </row>
    <row r="6" spans="1:41" ht="30.5" customHeight="1" x14ac:dyDescent="0.25">
      <c r="A6" s="218" t="s">
        <v>96</v>
      </c>
      <c r="B6" s="219"/>
      <c r="C6" s="219"/>
      <c r="D6" s="219"/>
      <c r="E6" s="219"/>
      <c r="F6" s="219"/>
      <c r="G6" s="219"/>
      <c r="H6" s="219"/>
      <c r="I6" s="219"/>
      <c r="J6" s="219"/>
      <c r="K6" s="219"/>
      <c r="L6" s="219"/>
      <c r="M6" s="219"/>
      <c r="N6" s="219"/>
      <c r="O6" s="219"/>
      <c r="P6" s="219"/>
      <c r="Q6" s="220"/>
      <c r="AC6" s="25"/>
    </row>
    <row r="7" spans="1:41" ht="29.25" customHeight="1" x14ac:dyDescent="0.25">
      <c r="A7" s="218" t="s">
        <v>97</v>
      </c>
      <c r="B7" s="219"/>
      <c r="C7" s="219"/>
      <c r="D7" s="219"/>
      <c r="E7" s="219"/>
      <c r="F7" s="219"/>
      <c r="G7" s="219"/>
      <c r="H7" s="219"/>
      <c r="I7" s="219"/>
      <c r="J7" s="219"/>
      <c r="K7" s="219"/>
      <c r="L7" s="219"/>
      <c r="M7" s="219"/>
      <c r="N7" s="219"/>
      <c r="O7" s="219"/>
      <c r="P7" s="219"/>
      <c r="Q7" s="220"/>
      <c r="AC7" s="25"/>
    </row>
    <row r="8" spans="1:41" ht="26.5" customHeight="1" x14ac:dyDescent="0.25">
      <c r="A8" s="226" t="s">
        <v>36</v>
      </c>
      <c r="B8" s="227"/>
      <c r="C8" s="227"/>
      <c r="D8" s="227"/>
      <c r="E8" s="227"/>
      <c r="F8" s="227"/>
      <c r="G8" s="227"/>
      <c r="H8" s="227"/>
      <c r="I8" s="227"/>
      <c r="J8" s="227"/>
      <c r="K8" s="227"/>
      <c r="L8" s="227"/>
      <c r="M8" s="227"/>
      <c r="N8" s="227"/>
      <c r="O8" s="227"/>
      <c r="P8" s="227"/>
      <c r="Q8" s="228"/>
      <c r="AC8" s="25"/>
    </row>
    <row r="9" spans="1:41" ht="12.5" customHeight="1" x14ac:dyDescent="0.25">
      <c r="A9" s="60"/>
      <c r="D9" s="54"/>
      <c r="E9" s="54"/>
      <c r="F9" s="54"/>
      <c r="G9" s="54"/>
      <c r="H9" s="30"/>
      <c r="I9" s="54"/>
      <c r="J9" s="54"/>
      <c r="K9" s="54"/>
      <c r="L9" s="54"/>
      <c r="M9" s="54"/>
      <c r="N9" s="54"/>
    </row>
    <row r="10" spans="1:41" ht="18" customHeight="1" x14ac:dyDescent="0.25">
      <c r="A10" s="210" t="s">
        <v>98</v>
      </c>
      <c r="D10" s="209"/>
      <c r="E10" s="209"/>
      <c r="F10" s="209"/>
      <c r="G10" s="209"/>
      <c r="H10" s="30"/>
      <c r="I10" s="209"/>
      <c r="J10" s="209"/>
      <c r="K10" s="209"/>
      <c r="L10" s="209"/>
      <c r="M10" s="209"/>
      <c r="N10" s="209"/>
    </row>
    <row r="11" spans="1:41" ht="13.5" thickBot="1" x14ac:dyDescent="0.35">
      <c r="A11" s="178" t="s">
        <v>115</v>
      </c>
      <c r="D11" s="209"/>
      <c r="E11" s="209"/>
      <c r="F11" s="209"/>
      <c r="G11" s="209"/>
      <c r="H11" s="209"/>
      <c r="I11" s="209"/>
      <c r="J11" s="209"/>
      <c r="K11" s="209"/>
      <c r="L11" s="209"/>
      <c r="M11" s="209"/>
      <c r="N11" s="209"/>
    </row>
    <row r="12" spans="1:41" ht="39.5" customHeight="1" thickBot="1" x14ac:dyDescent="0.3">
      <c r="A12" s="273" t="s">
        <v>110</v>
      </c>
      <c r="B12" s="274"/>
      <c r="C12" s="274"/>
      <c r="D12" s="274"/>
      <c r="E12" s="274"/>
      <c r="F12" s="274"/>
      <c r="G12" s="274"/>
      <c r="H12" s="274"/>
      <c r="I12" s="274"/>
      <c r="J12" s="274"/>
      <c r="K12" s="274"/>
      <c r="L12" s="274"/>
      <c r="M12" s="274"/>
      <c r="N12" s="274"/>
      <c r="O12" s="274"/>
      <c r="P12" s="274"/>
      <c r="Q12" s="274"/>
      <c r="R12" s="274"/>
      <c r="S12" s="274"/>
      <c r="T12" s="274"/>
      <c r="U12" s="274"/>
      <c r="V12" s="274"/>
      <c r="W12" s="274"/>
      <c r="X12" s="275"/>
      <c r="AE12" s="62"/>
      <c r="AF12" s="62"/>
      <c r="AG12" s="62"/>
      <c r="AH12" s="62"/>
      <c r="AI12" s="62"/>
      <c r="AJ12" s="62"/>
      <c r="AK12" s="62"/>
      <c r="AL12" s="62"/>
      <c r="AM12" s="62"/>
      <c r="AN12" s="62"/>
      <c r="AO12" s="62"/>
    </row>
    <row r="13" spans="1:41" ht="38.5" customHeight="1" x14ac:dyDescent="0.25">
      <c r="A13" s="30" t="s">
        <v>104</v>
      </c>
      <c r="E13" s="63"/>
      <c r="F13" s="64"/>
      <c r="H13" s="10"/>
      <c r="J13" s="237" t="s">
        <v>32</v>
      </c>
      <c r="K13" s="238"/>
      <c r="M13" s="191" t="s">
        <v>43</v>
      </c>
      <c r="N13" s="191" t="s">
        <v>44</v>
      </c>
      <c r="U13" s="58"/>
      <c r="V13" s="58"/>
      <c r="W13" s="66"/>
      <c r="AC13" s="25"/>
      <c r="AD13" s="25"/>
      <c r="AE13" s="25"/>
      <c r="AF13" s="25"/>
      <c r="AG13" s="25"/>
      <c r="AH13" s="62"/>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2" t="s">
        <v>86</v>
      </c>
      <c r="P14" s="192" t="s">
        <v>87</v>
      </c>
      <c r="Q14" s="192" t="s">
        <v>88</v>
      </c>
      <c r="R14" s="192" t="s">
        <v>89</v>
      </c>
      <c r="S14" s="192" t="s">
        <v>90</v>
      </c>
      <c r="T14" s="193" t="s">
        <v>85</v>
      </c>
      <c r="U14" s="193" t="s">
        <v>91</v>
      </c>
      <c r="V14" s="194" t="s">
        <v>92</v>
      </c>
      <c r="W14" s="194" t="s">
        <v>93</v>
      </c>
      <c r="X14" s="194" t="s">
        <v>94</v>
      </c>
      <c r="AC14" s="25"/>
      <c r="AG14" s="25"/>
      <c r="AH14" s="62"/>
      <c r="AI14" s="62"/>
      <c r="AJ14" s="62"/>
      <c r="AK14" s="62"/>
      <c r="AL14" s="62"/>
      <c r="AM14" s="62"/>
    </row>
    <row r="15" spans="1:41" x14ac:dyDescent="0.25">
      <c r="A15" s="67">
        <v>0</v>
      </c>
      <c r="B15" s="67">
        <v>0</v>
      </c>
      <c r="C15" s="62"/>
      <c r="D15" s="68">
        <v>0</v>
      </c>
      <c r="E15" s="31">
        <f>H15</f>
        <v>242</v>
      </c>
      <c r="F15" s="3">
        <v>0</v>
      </c>
      <c r="G15" s="3">
        <v>0</v>
      </c>
      <c r="H15" s="49">
        <v>242</v>
      </c>
      <c r="I15" s="69">
        <f>F15/E15</f>
        <v>0</v>
      </c>
      <c r="J15" s="29">
        <f>1-I15</f>
        <v>1</v>
      </c>
      <c r="K15" s="29">
        <f>J15</f>
        <v>1</v>
      </c>
      <c r="L15" s="62"/>
      <c r="M15" s="50">
        <f t="shared" ref="M15:M24" si="0">K15^W15</f>
        <v>1</v>
      </c>
      <c r="N15" s="50">
        <f t="shared" ref="N15:N24" si="1">K15^X15</f>
        <v>1</v>
      </c>
      <c r="O15" s="195">
        <f t="shared" ref="O15:O24" si="2">(LN(K15))^2</f>
        <v>0</v>
      </c>
      <c r="P15" s="196">
        <f t="shared" ref="P15:P24" si="3">E15-H15</f>
        <v>0</v>
      </c>
      <c r="Q15" s="196">
        <f t="shared" ref="Q15:Q24" si="4">E15*H15</f>
        <v>58564</v>
      </c>
      <c r="R15" s="197">
        <f t="shared" ref="R15:R24" si="5">P15/Q15</f>
        <v>0</v>
      </c>
      <c r="S15" s="197">
        <f>R15</f>
        <v>0</v>
      </c>
      <c r="T15" s="198">
        <v>0</v>
      </c>
      <c r="U15" s="199">
        <f>-NORMSINV(2.5/100)</f>
        <v>1.9599639845400538</v>
      </c>
      <c r="V15" s="195">
        <f t="shared" ref="V15:V24" si="6">U15*T15</f>
        <v>0</v>
      </c>
      <c r="W15" s="200">
        <f t="shared" ref="W15:W24" si="7">EXP(V15)</f>
        <v>1</v>
      </c>
      <c r="X15" s="200">
        <f t="shared" ref="X15:X24" si="8">EXP(-V15)</f>
        <v>1</v>
      </c>
      <c r="AC15" s="25"/>
      <c r="AG15" s="25"/>
      <c r="AH15" s="62"/>
      <c r="AI15" s="62"/>
      <c r="AJ15" s="62"/>
      <c r="AK15" s="62"/>
      <c r="AL15" s="62"/>
      <c r="AM15" s="62"/>
    </row>
    <row r="16" spans="1:41" x14ac:dyDescent="0.25">
      <c r="A16" s="70">
        <v>0</v>
      </c>
      <c r="B16" s="70">
        <f>B15+F16</f>
        <v>45</v>
      </c>
      <c r="C16" s="71">
        <f>D15</f>
        <v>0</v>
      </c>
      <c r="D16" s="68">
        <v>5</v>
      </c>
      <c r="E16" s="68">
        <f>H15</f>
        <v>242</v>
      </c>
      <c r="F16" s="31">
        <f>E16-H16-G16</f>
        <v>45</v>
      </c>
      <c r="G16" s="68">
        <f>A16-A15</f>
        <v>0</v>
      </c>
      <c r="H16" s="49">
        <v>197</v>
      </c>
      <c r="I16" s="72">
        <f>F16/E16</f>
        <v>0.18595041322314049</v>
      </c>
      <c r="J16" s="29">
        <f>1-I16</f>
        <v>0.81404958677685957</v>
      </c>
      <c r="K16" s="29">
        <f>J16*K15</f>
        <v>0.81404958677685957</v>
      </c>
      <c r="L16" s="62"/>
      <c r="M16" s="50">
        <f t="shared" si="0"/>
        <v>0.75904888020103622</v>
      </c>
      <c r="N16" s="50">
        <f t="shared" si="1"/>
        <v>0.8576752521718598</v>
      </c>
      <c r="O16" s="195">
        <f t="shared" si="2"/>
        <v>4.2326477693876756E-2</v>
      </c>
      <c r="P16" s="196">
        <f t="shared" si="3"/>
        <v>45</v>
      </c>
      <c r="Q16" s="196">
        <f t="shared" si="4"/>
        <v>47674</v>
      </c>
      <c r="R16" s="197">
        <f t="shared" si="5"/>
        <v>9.4391072702101778E-4</v>
      </c>
      <c r="S16" s="197">
        <f t="shared" ref="S16:S24" si="9">S15+R16</f>
        <v>9.4391072702101778E-4</v>
      </c>
      <c r="T16" s="198">
        <f t="shared" ref="T16:T24" si="10">SQRT((1/O16)*S16)</f>
        <v>0.14933424007997287</v>
      </c>
      <c r="U16" s="199">
        <f>-NORMSINV(2.5/100)</f>
        <v>1.9599639845400538</v>
      </c>
      <c r="V16" s="195">
        <f t="shared" si="6"/>
        <v>0.29268973221540462</v>
      </c>
      <c r="W16" s="200">
        <f t="shared" si="7"/>
        <v>1.3400269587296438</v>
      </c>
      <c r="X16" s="200">
        <f t="shared" si="8"/>
        <v>0.74625364324610899</v>
      </c>
      <c r="AC16" s="25"/>
      <c r="AG16" s="25"/>
      <c r="AH16" s="62"/>
      <c r="AI16" s="62"/>
      <c r="AJ16" s="62"/>
      <c r="AK16" s="62"/>
      <c r="AL16" s="62"/>
      <c r="AM16" s="62"/>
    </row>
    <row r="17" spans="1:41" x14ac:dyDescent="0.25">
      <c r="A17" s="67">
        <v>0</v>
      </c>
      <c r="B17" s="70">
        <f t="shared" ref="B17:B24" si="11">B16+F17</f>
        <v>98</v>
      </c>
      <c r="C17" s="71">
        <f t="shared" ref="C17:C24" si="12">D16</f>
        <v>5</v>
      </c>
      <c r="D17" s="68">
        <v>10</v>
      </c>
      <c r="E17" s="68">
        <f t="shared" ref="E17:E24" si="13">H16</f>
        <v>197</v>
      </c>
      <c r="F17" s="31">
        <f t="shared" ref="F17:F24" si="14">E17-H17-G17</f>
        <v>53</v>
      </c>
      <c r="G17" s="68">
        <f t="shared" ref="G17:G24" si="15">A17-A16</f>
        <v>0</v>
      </c>
      <c r="H17" s="49">
        <v>144</v>
      </c>
      <c r="I17" s="72">
        <f t="shared" ref="I17:I24" si="16">F17/E17</f>
        <v>0.26903553299492383</v>
      </c>
      <c r="J17" s="29">
        <f t="shared" ref="J17:J24" si="17">1-I17</f>
        <v>0.73096446700507611</v>
      </c>
      <c r="K17" s="29">
        <f t="shared" ref="K17:K24" si="18">J17*K16</f>
        <v>0.5950413223140496</v>
      </c>
      <c r="L17" s="62"/>
      <c r="M17" s="50">
        <f t="shared" si="0"/>
        <v>0.53036090584903672</v>
      </c>
      <c r="N17" s="50">
        <f t="shared" si="1"/>
        <v>0.65381492642961803</v>
      </c>
      <c r="O17" s="195">
        <f t="shared" si="2"/>
        <v>0.2694901702727257</v>
      </c>
      <c r="P17" s="196">
        <f t="shared" si="3"/>
        <v>53</v>
      </c>
      <c r="Q17" s="196">
        <f t="shared" si="4"/>
        <v>28368</v>
      </c>
      <c r="R17" s="197">
        <f t="shared" si="5"/>
        <v>1.868302312464749E-3</v>
      </c>
      <c r="S17" s="197">
        <f t="shared" si="9"/>
        <v>2.8122130394857667E-3</v>
      </c>
      <c r="T17" s="198">
        <f t="shared" si="10"/>
        <v>0.10215335729739683</v>
      </c>
      <c r="U17" s="199">
        <f t="shared" ref="U17:U24" si="19">-NORMSINV(2.5/100)</f>
        <v>1.9599639845400538</v>
      </c>
      <c r="V17" s="195">
        <f t="shared" si="6"/>
        <v>0.20021690120274968</v>
      </c>
      <c r="W17" s="200">
        <f t="shared" si="7"/>
        <v>1.2216677106206715</v>
      </c>
      <c r="X17" s="200">
        <f t="shared" si="8"/>
        <v>0.81855318865057614</v>
      </c>
      <c r="AC17" s="25"/>
      <c r="AG17" s="25"/>
      <c r="AH17" s="62"/>
      <c r="AI17" s="62"/>
      <c r="AJ17" s="62"/>
      <c r="AK17" s="62"/>
      <c r="AL17" s="62"/>
      <c r="AM17" s="62"/>
    </row>
    <row r="18" spans="1:41" x14ac:dyDescent="0.25">
      <c r="A18" s="70">
        <v>1</v>
      </c>
      <c r="B18" s="70">
        <f t="shared" si="11"/>
        <v>132</v>
      </c>
      <c r="C18" s="71">
        <f t="shared" si="12"/>
        <v>10</v>
      </c>
      <c r="D18" s="68">
        <v>15</v>
      </c>
      <c r="E18" s="68">
        <f t="shared" si="13"/>
        <v>144</v>
      </c>
      <c r="F18" s="31">
        <f t="shared" si="14"/>
        <v>34</v>
      </c>
      <c r="G18" s="68">
        <f t="shared" si="15"/>
        <v>1</v>
      </c>
      <c r="H18" s="49">
        <v>109</v>
      </c>
      <c r="I18" s="72">
        <f t="shared" si="16"/>
        <v>0.2361111111111111</v>
      </c>
      <c r="J18" s="29">
        <f t="shared" si="17"/>
        <v>0.76388888888888884</v>
      </c>
      <c r="K18" s="29">
        <f t="shared" si="18"/>
        <v>0.45454545454545453</v>
      </c>
      <c r="L18" s="62"/>
      <c r="M18" s="50">
        <f t="shared" si="0"/>
        <v>0.39036687914984192</v>
      </c>
      <c r="N18" s="50">
        <f t="shared" si="1"/>
        <v>0.51639881052062808</v>
      </c>
      <c r="O18" s="195">
        <f t="shared" si="2"/>
        <v>0.62166500911259259</v>
      </c>
      <c r="P18" s="196">
        <f t="shared" si="3"/>
        <v>35</v>
      </c>
      <c r="Q18" s="196">
        <f t="shared" si="4"/>
        <v>15696</v>
      </c>
      <c r="R18" s="197">
        <f t="shared" si="5"/>
        <v>2.2298674821610602E-3</v>
      </c>
      <c r="S18" s="197">
        <f t="shared" si="9"/>
        <v>5.0420805216468273E-3</v>
      </c>
      <c r="T18" s="198">
        <f t="shared" si="10"/>
        <v>9.0058908026240614E-2</v>
      </c>
      <c r="U18" s="199">
        <f t="shared" si="19"/>
        <v>1.9599639845400538</v>
      </c>
      <c r="V18" s="195">
        <f t="shared" si="6"/>
        <v>0.1765122162184368</v>
      </c>
      <c r="W18" s="200">
        <f t="shared" si="7"/>
        <v>1.1930490012177799</v>
      </c>
      <c r="X18" s="200">
        <f t="shared" si="8"/>
        <v>0.83818853959834916</v>
      </c>
      <c r="AC18" s="25"/>
      <c r="AG18" s="25"/>
      <c r="AH18" s="62"/>
      <c r="AI18" s="62"/>
      <c r="AJ18" s="62"/>
      <c r="AK18" s="62"/>
      <c r="AL18" s="62"/>
      <c r="AM18" s="62"/>
    </row>
    <row r="19" spans="1:41" x14ac:dyDescent="0.25">
      <c r="A19" s="67">
        <v>1</v>
      </c>
      <c r="B19" s="70">
        <f t="shared" si="11"/>
        <v>157</v>
      </c>
      <c r="C19" s="71">
        <f t="shared" si="12"/>
        <v>15</v>
      </c>
      <c r="D19" s="68">
        <v>20</v>
      </c>
      <c r="E19" s="68">
        <f t="shared" si="13"/>
        <v>109</v>
      </c>
      <c r="F19" s="31">
        <f t="shared" si="14"/>
        <v>25</v>
      </c>
      <c r="G19" s="68">
        <f t="shared" si="15"/>
        <v>0</v>
      </c>
      <c r="H19" s="49">
        <v>84</v>
      </c>
      <c r="I19" s="72">
        <f t="shared" si="16"/>
        <v>0.22935779816513763</v>
      </c>
      <c r="J19" s="29">
        <f t="shared" si="17"/>
        <v>0.77064220183486243</v>
      </c>
      <c r="K19" s="29">
        <f t="shared" si="18"/>
        <v>0.35029190992493747</v>
      </c>
      <c r="L19" s="62"/>
      <c r="M19" s="50">
        <f t="shared" si="0"/>
        <v>0.29030326830519637</v>
      </c>
      <c r="N19" s="50">
        <f t="shared" si="1"/>
        <v>0.41078897803104164</v>
      </c>
      <c r="O19" s="195">
        <f t="shared" si="2"/>
        <v>1.1003767551212573</v>
      </c>
      <c r="P19" s="196">
        <f t="shared" si="3"/>
        <v>25</v>
      </c>
      <c r="Q19" s="196">
        <f t="shared" si="4"/>
        <v>9156</v>
      </c>
      <c r="R19" s="197">
        <f t="shared" si="5"/>
        <v>2.7304499781564003E-3</v>
      </c>
      <c r="S19" s="197">
        <f t="shared" si="9"/>
        <v>7.772530499803228E-3</v>
      </c>
      <c r="T19" s="198">
        <f t="shared" si="10"/>
        <v>8.4044735292362296E-2</v>
      </c>
      <c r="U19" s="199">
        <f t="shared" si="19"/>
        <v>1.9599639845400538</v>
      </c>
      <c r="V19" s="195">
        <f t="shared" si="6"/>
        <v>0.16472465426323249</v>
      </c>
      <c r="W19" s="200">
        <f t="shared" si="7"/>
        <v>1.1790684225480841</v>
      </c>
      <c r="X19" s="200">
        <f t="shared" si="8"/>
        <v>0.84812720014916576</v>
      </c>
      <c r="AC19" s="25"/>
      <c r="AG19" s="25"/>
      <c r="AH19" s="62"/>
      <c r="AI19" s="62"/>
      <c r="AJ19" s="62"/>
      <c r="AK19" s="62"/>
      <c r="AL19" s="62"/>
      <c r="AM19" s="62"/>
    </row>
    <row r="20" spans="1:41" x14ac:dyDescent="0.25">
      <c r="A20" s="70">
        <v>2</v>
      </c>
      <c r="B20" s="70">
        <f t="shared" si="11"/>
        <v>170</v>
      </c>
      <c r="C20" s="71">
        <f t="shared" si="12"/>
        <v>20</v>
      </c>
      <c r="D20" s="68">
        <v>25</v>
      </c>
      <c r="E20" s="68">
        <f t="shared" si="13"/>
        <v>84</v>
      </c>
      <c r="F20" s="31">
        <f t="shared" si="14"/>
        <v>13</v>
      </c>
      <c r="G20" s="68">
        <f t="shared" si="15"/>
        <v>1</v>
      </c>
      <c r="H20" s="49">
        <v>70</v>
      </c>
      <c r="I20" s="72">
        <f t="shared" si="16"/>
        <v>0.15476190476190477</v>
      </c>
      <c r="J20" s="29">
        <f t="shared" si="17"/>
        <v>0.84523809523809523</v>
      </c>
      <c r="K20" s="29">
        <f t="shared" si="18"/>
        <v>0.29608006672226855</v>
      </c>
      <c r="L20" s="62"/>
      <c r="M20" s="50">
        <f t="shared" si="0"/>
        <v>0.23893918887106447</v>
      </c>
      <c r="N20" s="50">
        <f t="shared" si="1"/>
        <v>0.35528995080214404</v>
      </c>
      <c r="O20" s="195">
        <f t="shared" si="2"/>
        <v>1.4813941554703292</v>
      </c>
      <c r="P20" s="196">
        <f t="shared" si="3"/>
        <v>14</v>
      </c>
      <c r="Q20" s="196">
        <f t="shared" si="4"/>
        <v>5880</v>
      </c>
      <c r="R20" s="197">
        <f t="shared" si="5"/>
        <v>2.3809523809523812E-3</v>
      </c>
      <c r="S20" s="197">
        <f t="shared" si="9"/>
        <v>1.0153482880755609E-2</v>
      </c>
      <c r="T20" s="198">
        <f t="shared" si="10"/>
        <v>8.2788918064112663E-2</v>
      </c>
      <c r="U20" s="199">
        <f t="shared" si="19"/>
        <v>1.9599639845400538</v>
      </c>
      <c r="V20" s="195">
        <f t="shared" si="6"/>
        <v>0.1622632977246983</v>
      </c>
      <c r="W20" s="200">
        <f t="shared" si="7"/>
        <v>1.1761698834093426</v>
      </c>
      <c r="X20" s="200">
        <f t="shared" si="8"/>
        <v>0.8502173147822133</v>
      </c>
      <c r="AC20" s="25"/>
      <c r="AG20" s="25"/>
      <c r="AH20" s="62"/>
      <c r="AI20" s="62"/>
      <c r="AJ20" s="62"/>
      <c r="AK20" s="62"/>
      <c r="AL20" s="62"/>
      <c r="AM20" s="62"/>
    </row>
    <row r="21" spans="1:41" x14ac:dyDescent="0.25">
      <c r="A21" s="67">
        <v>17</v>
      </c>
      <c r="B21" s="70">
        <f t="shared" si="11"/>
        <v>173</v>
      </c>
      <c r="C21" s="71">
        <f t="shared" si="12"/>
        <v>25</v>
      </c>
      <c r="D21" s="68">
        <v>30</v>
      </c>
      <c r="E21" s="68">
        <f t="shared" si="13"/>
        <v>70</v>
      </c>
      <c r="F21" s="31">
        <f t="shared" si="14"/>
        <v>3</v>
      </c>
      <c r="G21" s="68">
        <f t="shared" si="15"/>
        <v>15</v>
      </c>
      <c r="H21" s="49">
        <v>52</v>
      </c>
      <c r="I21" s="72">
        <f t="shared" si="16"/>
        <v>4.2857142857142858E-2</v>
      </c>
      <c r="J21" s="29">
        <f t="shared" si="17"/>
        <v>0.95714285714285718</v>
      </c>
      <c r="K21" s="29">
        <f t="shared" si="18"/>
        <v>0.28339092100559993</v>
      </c>
      <c r="L21" s="62"/>
      <c r="M21" s="50">
        <f t="shared" si="0"/>
        <v>0.21733903870049825</v>
      </c>
      <c r="N21" s="50">
        <f t="shared" si="1"/>
        <v>0.35285522975695466</v>
      </c>
      <c r="O21" s="195">
        <f t="shared" si="2"/>
        <v>1.589939391452557</v>
      </c>
      <c r="P21" s="196">
        <f t="shared" si="3"/>
        <v>18</v>
      </c>
      <c r="Q21" s="196">
        <f t="shared" si="4"/>
        <v>3640</v>
      </c>
      <c r="R21" s="197">
        <f t="shared" si="5"/>
        <v>4.9450549450549448E-3</v>
      </c>
      <c r="S21" s="197">
        <f t="shared" si="9"/>
        <v>1.5098537825810554E-2</v>
      </c>
      <c r="T21" s="198">
        <f t="shared" si="10"/>
        <v>9.7448949326913406E-2</v>
      </c>
      <c r="U21" s="199">
        <f t="shared" si="19"/>
        <v>1.9599639845400538</v>
      </c>
      <c r="V21" s="195">
        <f t="shared" si="6"/>
        <v>0.19099643101201899</v>
      </c>
      <c r="W21" s="200">
        <f t="shared" si="7"/>
        <v>1.2104551319737729</v>
      </c>
      <c r="X21" s="200">
        <f t="shared" si="8"/>
        <v>0.82613553661373318</v>
      </c>
      <c r="AC21" s="25"/>
      <c r="AG21" s="25"/>
      <c r="AH21" s="62"/>
      <c r="AI21" s="62"/>
      <c r="AJ21" s="62"/>
      <c r="AK21" s="62"/>
      <c r="AL21" s="62"/>
      <c r="AM21" s="62"/>
    </row>
    <row r="22" spans="1:41" x14ac:dyDescent="0.25">
      <c r="A22" s="70">
        <v>37</v>
      </c>
      <c r="B22" s="70">
        <f t="shared" si="11"/>
        <v>176</v>
      </c>
      <c r="C22" s="71">
        <f t="shared" si="12"/>
        <v>30</v>
      </c>
      <c r="D22" s="68">
        <v>35</v>
      </c>
      <c r="E22" s="68">
        <f t="shared" si="13"/>
        <v>52</v>
      </c>
      <c r="F22" s="31">
        <f t="shared" si="14"/>
        <v>3</v>
      </c>
      <c r="G22" s="68">
        <f t="shared" si="15"/>
        <v>20</v>
      </c>
      <c r="H22" s="49">
        <v>29</v>
      </c>
      <c r="I22" s="72">
        <f t="shared" si="16"/>
        <v>5.7692307692307696E-2</v>
      </c>
      <c r="J22" s="29">
        <f t="shared" si="17"/>
        <v>0.94230769230769229</v>
      </c>
      <c r="K22" s="29">
        <f t="shared" si="18"/>
        <v>0.26704144479373837</v>
      </c>
      <c r="L22" s="62"/>
      <c r="M22" s="50">
        <f t="shared" si="0"/>
        <v>0.1808619625472036</v>
      </c>
      <c r="N22" s="50">
        <f t="shared" si="1"/>
        <v>0.36078345756131897</v>
      </c>
      <c r="O22" s="195">
        <f t="shared" si="2"/>
        <v>1.7433278424066727</v>
      </c>
      <c r="P22" s="196">
        <f t="shared" si="3"/>
        <v>23</v>
      </c>
      <c r="Q22" s="196">
        <f t="shared" si="4"/>
        <v>1508</v>
      </c>
      <c r="R22" s="197">
        <f t="shared" si="5"/>
        <v>1.5251989389920425E-2</v>
      </c>
      <c r="S22" s="197">
        <f t="shared" si="9"/>
        <v>3.0350527215730977E-2</v>
      </c>
      <c r="T22" s="198">
        <f t="shared" si="10"/>
        <v>0.1319451972327107</v>
      </c>
      <c r="U22" s="199">
        <f t="shared" si="19"/>
        <v>1.9599639845400538</v>
      </c>
      <c r="V22" s="195">
        <f t="shared" si="6"/>
        <v>0.25860783450914693</v>
      </c>
      <c r="W22" s="200">
        <f t="shared" si="7"/>
        <v>1.2951258015781948</v>
      </c>
      <c r="X22" s="200">
        <f t="shared" si="8"/>
        <v>0.7721257647569334</v>
      </c>
      <c r="AC22" s="25"/>
      <c r="AG22" s="25"/>
      <c r="AH22" s="62"/>
      <c r="AI22" s="62"/>
      <c r="AJ22" s="62"/>
      <c r="AK22" s="62"/>
      <c r="AL22" s="62"/>
      <c r="AM22" s="62"/>
    </row>
    <row r="23" spans="1:41" x14ac:dyDescent="0.25">
      <c r="A23" s="67">
        <v>60</v>
      </c>
      <c r="B23" s="70">
        <f t="shared" si="11"/>
        <v>177</v>
      </c>
      <c r="C23" s="71">
        <f t="shared" si="12"/>
        <v>35</v>
      </c>
      <c r="D23" s="68">
        <v>40</v>
      </c>
      <c r="E23" s="68">
        <f t="shared" si="13"/>
        <v>29</v>
      </c>
      <c r="F23" s="31">
        <f t="shared" si="14"/>
        <v>1</v>
      </c>
      <c r="G23" s="68">
        <f t="shared" si="15"/>
        <v>23</v>
      </c>
      <c r="H23" s="49">
        <v>5</v>
      </c>
      <c r="I23" s="72">
        <f t="shared" si="16"/>
        <v>3.4482758620689655E-2</v>
      </c>
      <c r="J23" s="29">
        <f t="shared" si="17"/>
        <v>0.96551724137931039</v>
      </c>
      <c r="K23" s="29">
        <f t="shared" si="18"/>
        <v>0.25783311911119566</v>
      </c>
      <c r="L23" s="62"/>
      <c r="M23" s="50">
        <f t="shared" si="0"/>
        <v>7.6500986408570407E-2</v>
      </c>
      <c r="N23" s="50">
        <f t="shared" si="1"/>
        <v>0.48931543827891677</v>
      </c>
      <c r="O23" s="195">
        <f t="shared" si="2"/>
        <v>1.8372249902233619</v>
      </c>
      <c r="P23" s="196">
        <f t="shared" si="3"/>
        <v>24</v>
      </c>
      <c r="Q23" s="196">
        <f t="shared" si="4"/>
        <v>145</v>
      </c>
      <c r="R23" s="197">
        <f t="shared" si="5"/>
        <v>0.16551724137931034</v>
      </c>
      <c r="S23" s="197">
        <f t="shared" si="9"/>
        <v>0.19586776859504132</v>
      </c>
      <c r="T23" s="198">
        <f t="shared" si="10"/>
        <v>0.32651287861490569</v>
      </c>
      <c r="U23" s="199">
        <f t="shared" si="19"/>
        <v>1.9599639845400538</v>
      </c>
      <c r="V23" s="195">
        <f t="shared" si="6"/>
        <v>0.63995348257371354</v>
      </c>
      <c r="W23" s="200">
        <f t="shared" si="7"/>
        <v>1.8963926619472826</v>
      </c>
      <c r="X23" s="200">
        <f t="shared" si="8"/>
        <v>0.52731695290002056</v>
      </c>
      <c r="AC23" s="25"/>
      <c r="AG23" s="25"/>
      <c r="AH23" s="62"/>
      <c r="AI23" s="62"/>
      <c r="AJ23" s="62"/>
      <c r="AK23" s="62"/>
      <c r="AL23" s="62"/>
      <c r="AM23" s="62"/>
    </row>
    <row r="24" spans="1:41" x14ac:dyDescent="0.25">
      <c r="A24" s="70">
        <v>65</v>
      </c>
      <c r="B24" s="70">
        <f t="shared" si="11"/>
        <v>177</v>
      </c>
      <c r="C24" s="71">
        <f t="shared" si="12"/>
        <v>40</v>
      </c>
      <c r="D24" s="68">
        <v>45</v>
      </c>
      <c r="E24" s="68">
        <f t="shared" si="13"/>
        <v>5</v>
      </c>
      <c r="F24" s="31">
        <f t="shared" si="14"/>
        <v>0</v>
      </c>
      <c r="G24" s="68">
        <f t="shared" si="15"/>
        <v>5</v>
      </c>
      <c r="H24" s="49">
        <v>0</v>
      </c>
      <c r="I24" s="72">
        <f t="shared" si="16"/>
        <v>0</v>
      </c>
      <c r="J24" s="29">
        <f t="shared" si="17"/>
        <v>1</v>
      </c>
      <c r="K24" s="29">
        <f t="shared" si="18"/>
        <v>0.25783311911119566</v>
      </c>
      <c r="L24" s="62"/>
      <c r="M24" s="50" t="e">
        <f t="shared" si="0"/>
        <v>#DIV/0!</v>
      </c>
      <c r="N24" s="50" t="e">
        <f t="shared" si="1"/>
        <v>#DIV/0!</v>
      </c>
      <c r="O24" s="195">
        <f t="shared" si="2"/>
        <v>1.8372249902233619</v>
      </c>
      <c r="P24" s="196">
        <f t="shared" si="3"/>
        <v>5</v>
      </c>
      <c r="Q24" s="196">
        <f t="shared" si="4"/>
        <v>0</v>
      </c>
      <c r="R24" s="197" t="e">
        <f t="shared" si="5"/>
        <v>#DIV/0!</v>
      </c>
      <c r="S24" s="197" t="e">
        <f t="shared" si="9"/>
        <v>#DIV/0!</v>
      </c>
      <c r="T24" s="198" t="e">
        <f t="shared" si="10"/>
        <v>#DIV/0!</v>
      </c>
      <c r="U24" s="199">
        <f t="shared" si="19"/>
        <v>1.9599639845400538</v>
      </c>
      <c r="V24" s="195" t="e">
        <f t="shared" si="6"/>
        <v>#DIV/0!</v>
      </c>
      <c r="W24" s="200" t="e">
        <f t="shared" si="7"/>
        <v>#DIV/0!</v>
      </c>
      <c r="X24" s="200" t="e">
        <f t="shared" si="8"/>
        <v>#DIV/0!</v>
      </c>
      <c r="AC24" s="25"/>
      <c r="AG24" s="25"/>
      <c r="AH24" s="62"/>
      <c r="AI24" s="62"/>
      <c r="AJ24" s="62"/>
      <c r="AK24" s="62"/>
      <c r="AL24" s="62"/>
      <c r="AM24" s="62"/>
    </row>
    <row r="25" spans="1:41" ht="10" customHeight="1" x14ac:dyDescent="0.25">
      <c r="D25" s="73"/>
      <c r="E25" s="73"/>
      <c r="F25" s="73"/>
      <c r="G25" s="74"/>
      <c r="H25" s="73"/>
      <c r="I25" s="75"/>
      <c r="J25" s="76"/>
      <c r="K25" s="76"/>
      <c r="L25" s="77"/>
      <c r="M25" s="78"/>
      <c r="N25" s="78"/>
      <c r="O25" s="168"/>
      <c r="P25" s="168"/>
      <c r="Q25" s="201"/>
      <c r="R25" s="202"/>
      <c r="S25" s="202"/>
      <c r="T25" s="202"/>
      <c r="U25" s="202"/>
      <c r="V25" s="202"/>
      <c r="W25" s="202"/>
      <c r="X25" s="202"/>
      <c r="Z25" s="80"/>
      <c r="AA25" s="80"/>
      <c r="AC25" s="25"/>
      <c r="AE25" s="80"/>
      <c r="AF25" s="81"/>
      <c r="AG25" s="62"/>
      <c r="AH25" s="62"/>
      <c r="AI25" s="62"/>
      <c r="AJ25" s="62"/>
      <c r="AK25" s="62"/>
      <c r="AL25" s="62"/>
      <c r="AM25" s="62"/>
      <c r="AN25" s="80"/>
      <c r="AO25" s="80"/>
    </row>
    <row r="26" spans="1:41" ht="15" x14ac:dyDescent="0.25">
      <c r="D26" s="82"/>
      <c r="E26" s="55" t="s">
        <v>0</v>
      </c>
      <c r="F26" s="56">
        <f>SUM(F16:F24)</f>
        <v>177</v>
      </c>
      <c r="G26" s="56">
        <f>SUM(G16:G24)</f>
        <v>65</v>
      </c>
      <c r="H26" s="140">
        <f>H15-F26-G26</f>
        <v>0</v>
      </c>
      <c r="I26" s="75"/>
      <c r="J26" s="83" t="s">
        <v>47</v>
      </c>
      <c r="K26" s="36">
        <f>1-K24</f>
        <v>0.74216688088880434</v>
      </c>
      <c r="L26" s="37" t="s">
        <v>31</v>
      </c>
      <c r="M26" s="77"/>
      <c r="N26" s="77"/>
      <c r="O26" s="168"/>
      <c r="P26" s="168"/>
      <c r="Q26" s="201"/>
      <c r="R26" s="202"/>
      <c r="S26" s="202"/>
      <c r="T26" s="202"/>
      <c r="U26" s="202"/>
      <c r="V26" s="202"/>
      <c r="W26" s="202"/>
      <c r="X26" s="202"/>
      <c r="Z26" s="80"/>
      <c r="AA26" s="80"/>
      <c r="AC26" s="25"/>
      <c r="AE26" s="80"/>
      <c r="AF26" s="62"/>
      <c r="AG26" s="62"/>
      <c r="AH26" s="62"/>
      <c r="AI26" s="62"/>
      <c r="AJ26" s="62"/>
      <c r="AK26" s="62"/>
      <c r="AL26" s="62"/>
      <c r="AM26" s="62"/>
      <c r="AN26" s="80"/>
      <c r="AO26" s="80"/>
    </row>
    <row r="27" spans="1:41" ht="15" customHeight="1" x14ac:dyDescent="0.25">
      <c r="D27" s="82"/>
      <c r="F27" s="11">
        <f>F26/E15</f>
        <v>0.73140495867768596</v>
      </c>
      <c r="G27" s="12">
        <f>G26/E15</f>
        <v>0.26859504132231404</v>
      </c>
      <c r="H27" s="13">
        <f>H26/E15</f>
        <v>0</v>
      </c>
      <c r="I27" s="75"/>
      <c r="J27" s="75"/>
      <c r="K27" s="75"/>
      <c r="L27" s="84"/>
      <c r="M27" s="84"/>
      <c r="N27" s="84"/>
      <c r="O27" s="203"/>
      <c r="P27" s="203"/>
      <c r="Q27" s="203"/>
      <c r="R27" s="202"/>
      <c r="S27" s="202"/>
      <c r="T27" s="202"/>
      <c r="U27" s="202"/>
      <c r="V27" s="202"/>
      <c r="W27" s="202"/>
      <c r="X27" s="202"/>
      <c r="Z27" s="80"/>
      <c r="AA27" s="80"/>
      <c r="AC27" s="25"/>
      <c r="AE27" s="85"/>
      <c r="AF27" s="62"/>
      <c r="AG27" s="62"/>
      <c r="AH27" s="62"/>
      <c r="AI27" s="62"/>
      <c r="AJ27" s="62"/>
      <c r="AK27" s="62"/>
      <c r="AL27" s="62"/>
      <c r="AM27" s="62"/>
      <c r="AN27" s="62"/>
      <c r="AO27" s="62"/>
    </row>
    <row r="28" spans="1:41" ht="15" customHeight="1" x14ac:dyDescent="0.25">
      <c r="D28" s="82"/>
      <c r="F28" s="11" t="s">
        <v>68</v>
      </c>
      <c r="G28" s="12" t="s">
        <v>69</v>
      </c>
      <c r="H28" s="13" t="s">
        <v>70</v>
      </c>
      <c r="I28" s="75"/>
      <c r="J28" s="75"/>
      <c r="K28" s="75"/>
      <c r="L28" s="84"/>
      <c r="M28" s="84"/>
      <c r="N28" s="84"/>
      <c r="O28" s="203"/>
      <c r="P28" s="203"/>
      <c r="Q28" s="203"/>
      <c r="R28" s="202"/>
      <c r="S28" s="202"/>
      <c r="T28" s="202"/>
      <c r="U28" s="202"/>
      <c r="V28" s="202"/>
      <c r="W28" s="202"/>
      <c r="X28" s="202"/>
      <c r="Z28" s="80"/>
      <c r="AA28" s="80"/>
      <c r="AC28" s="25"/>
      <c r="AE28" s="85"/>
      <c r="AF28" s="62"/>
      <c r="AG28" s="62"/>
      <c r="AH28" s="62"/>
      <c r="AI28" s="62"/>
      <c r="AJ28" s="62"/>
      <c r="AK28" s="62"/>
      <c r="AL28" s="62"/>
      <c r="AM28" s="62"/>
      <c r="AN28" s="62"/>
      <c r="AO28" s="62"/>
    </row>
    <row r="29" spans="1:41" ht="27.5" customHeight="1" x14ac:dyDescent="0.25">
      <c r="A29" s="30" t="s">
        <v>105</v>
      </c>
      <c r="E29" s="63"/>
      <c r="F29" s="64"/>
      <c r="H29" s="10"/>
      <c r="J29" s="237" t="s">
        <v>32</v>
      </c>
      <c r="K29" s="238"/>
      <c r="L29" s="87"/>
      <c r="M29" s="65" t="s">
        <v>43</v>
      </c>
      <c r="N29" s="65" t="s">
        <v>44</v>
      </c>
      <c r="O29" s="204"/>
      <c r="P29" s="204"/>
      <c r="Q29" s="205"/>
      <c r="R29" s="202"/>
      <c r="S29" s="202"/>
      <c r="T29" s="202"/>
      <c r="U29" s="202"/>
      <c r="V29" s="202"/>
      <c r="W29" s="202"/>
      <c r="X29" s="202"/>
      <c r="AC29" s="25"/>
      <c r="AE29" s="30"/>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2" t="s">
        <v>86</v>
      </c>
      <c r="P30" s="192" t="s">
        <v>87</v>
      </c>
      <c r="Q30" s="192" t="s">
        <v>88</v>
      </c>
      <c r="R30" s="192" t="s">
        <v>89</v>
      </c>
      <c r="S30" s="192" t="s">
        <v>90</v>
      </c>
      <c r="T30" s="193" t="s">
        <v>85</v>
      </c>
      <c r="U30" s="193" t="s">
        <v>91</v>
      </c>
      <c r="V30" s="194" t="s">
        <v>92</v>
      </c>
      <c r="W30" s="194" t="s">
        <v>93</v>
      </c>
      <c r="X30" s="194" t="s">
        <v>94</v>
      </c>
      <c r="AC30" s="25"/>
      <c r="AG30" s="62"/>
      <c r="AH30" s="62"/>
      <c r="AI30" s="62"/>
      <c r="AJ30" s="62"/>
      <c r="AK30" s="62"/>
      <c r="AL30" s="62"/>
      <c r="AM30" s="62"/>
      <c r="AN30" s="62"/>
      <c r="AO30" s="62"/>
    </row>
    <row r="31" spans="1:41" x14ac:dyDescent="0.25">
      <c r="A31" s="67">
        <v>0</v>
      </c>
      <c r="B31" s="67">
        <v>0</v>
      </c>
      <c r="C31" s="62"/>
      <c r="D31" s="68">
        <v>0</v>
      </c>
      <c r="E31" s="31">
        <f>H31</f>
        <v>257</v>
      </c>
      <c r="F31" s="3">
        <v>0</v>
      </c>
      <c r="G31" s="3">
        <v>0</v>
      </c>
      <c r="H31" s="49">
        <v>257</v>
      </c>
      <c r="I31" s="69">
        <f>F31/E31</f>
        <v>0</v>
      </c>
      <c r="J31" s="29">
        <f>1-I31</f>
        <v>1</v>
      </c>
      <c r="K31" s="29">
        <f>J31</f>
        <v>1</v>
      </c>
      <c r="L31" s="62"/>
      <c r="M31" s="50">
        <f t="shared" ref="M31:M40" si="20">K31^W31</f>
        <v>1</v>
      </c>
      <c r="N31" s="50">
        <f t="shared" ref="N31:N40" si="21">K31^X31</f>
        <v>1</v>
      </c>
      <c r="O31" s="195">
        <f t="shared" ref="O31:O40" si="22">(LN(K31))^2</f>
        <v>0</v>
      </c>
      <c r="P31" s="196">
        <f t="shared" ref="P31:P40" si="23">E31-H31</f>
        <v>0</v>
      </c>
      <c r="Q31" s="196">
        <f t="shared" ref="Q31:Q40" si="24">E31*H31</f>
        <v>66049</v>
      </c>
      <c r="R31" s="197">
        <f t="shared" ref="R31:R40" si="25">P31/Q31</f>
        <v>0</v>
      </c>
      <c r="S31" s="197">
        <f>R31</f>
        <v>0</v>
      </c>
      <c r="T31" s="198">
        <v>0</v>
      </c>
      <c r="U31" s="199">
        <f>-NORMSINV(2.5/100)</f>
        <v>1.9599639845400538</v>
      </c>
      <c r="V31" s="195">
        <f t="shared" ref="V31:V40" si="26">U31*T31</f>
        <v>0</v>
      </c>
      <c r="W31" s="200">
        <f t="shared" ref="W31:W40" si="27">EXP(V31)</f>
        <v>1</v>
      </c>
      <c r="X31" s="200">
        <f t="shared" ref="X31:X40" si="28">EXP(-V31)</f>
        <v>1</v>
      </c>
      <c r="AC31" s="25"/>
      <c r="AG31" s="62"/>
      <c r="AH31" s="62"/>
      <c r="AI31" s="62"/>
      <c r="AJ31" s="62"/>
      <c r="AK31" s="62"/>
      <c r="AL31" s="62"/>
      <c r="AM31" s="62"/>
      <c r="AN31" s="62"/>
      <c r="AO31" s="62"/>
    </row>
    <row r="32" spans="1:41" x14ac:dyDescent="0.25">
      <c r="A32" s="70">
        <v>1</v>
      </c>
      <c r="B32" s="70">
        <f>B31+F32</f>
        <v>59</v>
      </c>
      <c r="C32" s="71">
        <f>D31</f>
        <v>0</v>
      </c>
      <c r="D32" s="68">
        <v>5</v>
      </c>
      <c r="E32" s="68">
        <f>H31</f>
        <v>257</v>
      </c>
      <c r="F32" s="31">
        <f>E32-H32-G32</f>
        <v>59</v>
      </c>
      <c r="G32" s="68">
        <f>A32-A31</f>
        <v>1</v>
      </c>
      <c r="H32" s="49">
        <v>197</v>
      </c>
      <c r="I32" s="72">
        <f>F32/E32</f>
        <v>0.22957198443579765</v>
      </c>
      <c r="J32" s="29">
        <f>1-I32</f>
        <v>0.77042801556420237</v>
      </c>
      <c r="K32" s="29">
        <f>J32*K31</f>
        <v>0.77042801556420237</v>
      </c>
      <c r="L32" s="62"/>
      <c r="M32" s="50">
        <f t="shared" si="20"/>
        <v>0.71332890734388776</v>
      </c>
      <c r="N32" s="50">
        <f t="shared" si="21"/>
        <v>0.81761947697568826</v>
      </c>
      <c r="O32" s="195">
        <f t="shared" si="22"/>
        <v>6.8021362753055592E-2</v>
      </c>
      <c r="P32" s="196">
        <f t="shared" si="23"/>
        <v>60</v>
      </c>
      <c r="Q32" s="196">
        <f t="shared" si="24"/>
        <v>50629</v>
      </c>
      <c r="R32" s="197">
        <f t="shared" si="25"/>
        <v>1.1850915483221079E-3</v>
      </c>
      <c r="S32" s="197">
        <f t="shared" ref="S32:S40" si="29">S31+R32</f>
        <v>1.1850915483221079E-3</v>
      </c>
      <c r="T32" s="198">
        <f t="shared" ref="T32:T40" si="30">SQRT((1/O32)*S32)</f>
        <v>0.13199372529092179</v>
      </c>
      <c r="U32" s="199">
        <f>-NORMSINV(2.5/100)</f>
        <v>1.9599639845400538</v>
      </c>
      <c r="V32" s="195">
        <f t="shared" si="26"/>
        <v>0.25870294775548036</v>
      </c>
      <c r="W32" s="200">
        <f t="shared" si="27"/>
        <v>1.2952489910559757</v>
      </c>
      <c r="X32" s="200">
        <f t="shared" si="28"/>
        <v>0.77205232886128827</v>
      </c>
      <c r="AC32" s="25"/>
      <c r="AG32" s="62"/>
      <c r="AH32" s="62"/>
      <c r="AI32" s="62"/>
      <c r="AJ32" s="62"/>
      <c r="AK32" s="62"/>
      <c r="AL32" s="62"/>
      <c r="AM32" s="62"/>
      <c r="AN32" s="62"/>
      <c r="AO32" s="62"/>
    </row>
    <row r="33" spans="1:41" x14ac:dyDescent="0.25">
      <c r="A33" s="67">
        <v>1</v>
      </c>
      <c r="B33" s="70">
        <f t="shared" ref="B33:B40" si="31">B32+F33</f>
        <v>104</v>
      </c>
      <c r="C33" s="71">
        <f t="shared" ref="C33:C40" si="32">D32</f>
        <v>5</v>
      </c>
      <c r="D33" s="68">
        <v>10</v>
      </c>
      <c r="E33" s="68">
        <f t="shared" ref="E33:E40" si="33">H32</f>
        <v>197</v>
      </c>
      <c r="F33" s="31">
        <f t="shared" ref="F33:F40" si="34">E33-H33-G33</f>
        <v>45</v>
      </c>
      <c r="G33" s="68">
        <f t="shared" ref="G33:G40" si="35">A33-A32</f>
        <v>0</v>
      </c>
      <c r="H33" s="49">
        <v>152</v>
      </c>
      <c r="I33" s="72">
        <f t="shared" ref="I33:I40" si="36">F33/E33</f>
        <v>0.22842639593908629</v>
      </c>
      <c r="J33" s="29">
        <f t="shared" ref="J33:J40" si="37">1-I33</f>
        <v>0.77157360406091369</v>
      </c>
      <c r="K33" s="29">
        <f t="shared" ref="K33:K40" si="38">J33*K32</f>
        <v>0.59444192063836931</v>
      </c>
      <c r="L33" s="62"/>
      <c r="M33" s="50">
        <f t="shared" si="20"/>
        <v>0.53134090161224579</v>
      </c>
      <c r="N33" s="50">
        <f t="shared" si="21"/>
        <v>0.65192363112934737</v>
      </c>
      <c r="O33" s="195">
        <f t="shared" si="22"/>
        <v>0.27053757006935369</v>
      </c>
      <c r="P33" s="196">
        <f t="shared" si="23"/>
        <v>45</v>
      </c>
      <c r="Q33" s="196">
        <f t="shared" si="24"/>
        <v>29944</v>
      </c>
      <c r="R33" s="197">
        <f t="shared" si="25"/>
        <v>1.5028052364413572E-3</v>
      </c>
      <c r="S33" s="197">
        <f t="shared" si="29"/>
        <v>2.6878967847634651E-3</v>
      </c>
      <c r="T33" s="198">
        <f t="shared" si="30"/>
        <v>9.967643607723306E-2</v>
      </c>
      <c r="U33" s="199">
        <f t="shared" ref="U33:U40" si="39">-NORMSINV(2.5/100)</f>
        <v>1.9599639845400538</v>
      </c>
      <c r="V33" s="195">
        <f t="shared" si="26"/>
        <v>0.19536222481868568</v>
      </c>
      <c r="W33" s="200">
        <f t="shared" si="27"/>
        <v>1.2157512820296306</v>
      </c>
      <c r="X33" s="200">
        <f t="shared" si="28"/>
        <v>0.82253666089543775</v>
      </c>
      <c r="AC33" s="25"/>
      <c r="AG33" s="62"/>
      <c r="AH33" s="62"/>
      <c r="AI33" s="62"/>
      <c r="AJ33" s="62"/>
      <c r="AK33" s="62"/>
      <c r="AL33" s="62"/>
      <c r="AM33" s="62"/>
      <c r="AN33" s="62"/>
      <c r="AO33" s="62"/>
    </row>
    <row r="34" spans="1:41" x14ac:dyDescent="0.25">
      <c r="A34" s="70">
        <v>1</v>
      </c>
      <c r="B34" s="70">
        <f t="shared" si="31"/>
        <v>146</v>
      </c>
      <c r="C34" s="71">
        <f t="shared" si="32"/>
        <v>10</v>
      </c>
      <c r="D34" s="68">
        <v>15</v>
      </c>
      <c r="E34" s="68">
        <f t="shared" si="33"/>
        <v>152</v>
      </c>
      <c r="F34" s="31">
        <f t="shared" si="34"/>
        <v>42</v>
      </c>
      <c r="G34" s="68">
        <f t="shared" si="35"/>
        <v>0</v>
      </c>
      <c r="H34" s="49">
        <v>110</v>
      </c>
      <c r="I34" s="72">
        <f t="shared" si="36"/>
        <v>0.27631578947368424</v>
      </c>
      <c r="J34" s="29">
        <f t="shared" si="37"/>
        <v>0.72368421052631571</v>
      </c>
      <c r="K34" s="29">
        <f t="shared" si="38"/>
        <v>0.4301882320409251</v>
      </c>
      <c r="L34" s="62"/>
      <c r="M34" s="50">
        <f t="shared" si="20"/>
        <v>0.36883881621287423</v>
      </c>
      <c r="N34" s="50">
        <f t="shared" si="21"/>
        <v>0.48997300977379071</v>
      </c>
      <c r="O34" s="195">
        <f t="shared" si="22"/>
        <v>0.7115469387766068</v>
      </c>
      <c r="P34" s="196">
        <f t="shared" si="23"/>
        <v>42</v>
      </c>
      <c r="Q34" s="196">
        <f t="shared" si="24"/>
        <v>16720</v>
      </c>
      <c r="R34" s="197">
        <f t="shared" si="25"/>
        <v>2.5119617224880382E-3</v>
      </c>
      <c r="S34" s="197">
        <f t="shared" si="29"/>
        <v>5.1998585072515029E-3</v>
      </c>
      <c r="T34" s="198">
        <f t="shared" si="30"/>
        <v>8.5485801092112693E-2</v>
      </c>
      <c r="U34" s="199">
        <f t="shared" si="39"/>
        <v>1.9599639845400538</v>
      </c>
      <c r="V34" s="195">
        <f t="shared" si="26"/>
        <v>0.16754909133009568</v>
      </c>
      <c r="W34" s="200">
        <f t="shared" si="27"/>
        <v>1.1824033345125744</v>
      </c>
      <c r="X34" s="200">
        <f t="shared" si="28"/>
        <v>0.84573509800886426</v>
      </c>
      <c r="AC34" s="25"/>
      <c r="AG34" s="62"/>
      <c r="AH34" s="62"/>
      <c r="AI34" s="62"/>
      <c r="AJ34" s="62"/>
      <c r="AK34" s="62"/>
      <c r="AL34" s="62"/>
      <c r="AM34" s="62"/>
      <c r="AN34" s="62"/>
      <c r="AO34" s="62"/>
    </row>
    <row r="35" spans="1:41" x14ac:dyDescent="0.25">
      <c r="A35" s="67">
        <v>1</v>
      </c>
      <c r="B35" s="70">
        <f t="shared" si="31"/>
        <v>165</v>
      </c>
      <c r="C35" s="71">
        <f t="shared" si="32"/>
        <v>15</v>
      </c>
      <c r="D35" s="68">
        <v>20</v>
      </c>
      <c r="E35" s="68">
        <f t="shared" si="33"/>
        <v>110</v>
      </c>
      <c r="F35" s="31">
        <f t="shared" si="34"/>
        <v>19</v>
      </c>
      <c r="G35" s="68">
        <f t="shared" si="35"/>
        <v>0</v>
      </c>
      <c r="H35" s="49">
        <v>91</v>
      </c>
      <c r="I35" s="72">
        <f t="shared" si="36"/>
        <v>0.17272727272727273</v>
      </c>
      <c r="J35" s="29">
        <f t="shared" si="37"/>
        <v>0.82727272727272727</v>
      </c>
      <c r="K35" s="29">
        <f t="shared" si="38"/>
        <v>0.35588299196112894</v>
      </c>
      <c r="L35" s="62"/>
      <c r="M35" s="50">
        <f t="shared" si="20"/>
        <v>0.29753992570354093</v>
      </c>
      <c r="N35" s="50">
        <f t="shared" si="21"/>
        <v>0.41455588927436166</v>
      </c>
      <c r="O35" s="195">
        <f t="shared" si="22"/>
        <v>1.0674056925811481</v>
      </c>
      <c r="P35" s="196">
        <f t="shared" si="23"/>
        <v>19</v>
      </c>
      <c r="Q35" s="196">
        <f t="shared" si="24"/>
        <v>10010</v>
      </c>
      <c r="R35" s="197">
        <f t="shared" si="25"/>
        <v>1.8981018981018981E-3</v>
      </c>
      <c r="S35" s="197">
        <f t="shared" si="29"/>
        <v>7.0979604053534005E-3</v>
      </c>
      <c r="T35" s="198">
        <f t="shared" si="30"/>
        <v>8.1545880962270806E-2</v>
      </c>
      <c r="U35" s="199">
        <f t="shared" si="39"/>
        <v>1.9599639845400538</v>
      </c>
      <c r="V35" s="195">
        <f t="shared" si="26"/>
        <v>0.15982698977364121</v>
      </c>
      <c r="W35" s="200">
        <f t="shared" si="27"/>
        <v>1.1733078591724522</v>
      </c>
      <c r="X35" s="200">
        <f t="shared" si="28"/>
        <v>0.85229123131017948</v>
      </c>
      <c r="AC35" s="25"/>
      <c r="AG35" s="62"/>
      <c r="AH35" s="62"/>
      <c r="AI35" s="62"/>
      <c r="AJ35" s="62"/>
      <c r="AK35" s="62"/>
      <c r="AL35" s="62"/>
      <c r="AM35" s="62"/>
      <c r="AN35" s="62"/>
      <c r="AO35" s="62"/>
    </row>
    <row r="36" spans="1:41" x14ac:dyDescent="0.25">
      <c r="A36" s="70">
        <v>3</v>
      </c>
      <c r="B36" s="70">
        <f t="shared" si="31"/>
        <v>184</v>
      </c>
      <c r="C36" s="71">
        <f t="shared" si="32"/>
        <v>20</v>
      </c>
      <c r="D36" s="68">
        <v>25</v>
      </c>
      <c r="E36" s="68">
        <f t="shared" si="33"/>
        <v>91</v>
      </c>
      <c r="F36" s="31">
        <f t="shared" si="34"/>
        <v>19</v>
      </c>
      <c r="G36" s="68">
        <f t="shared" si="35"/>
        <v>2</v>
      </c>
      <c r="H36" s="49">
        <v>70</v>
      </c>
      <c r="I36" s="72">
        <f t="shared" si="36"/>
        <v>0.2087912087912088</v>
      </c>
      <c r="J36" s="29">
        <f t="shared" si="37"/>
        <v>0.79120879120879117</v>
      </c>
      <c r="K36" s="29">
        <f t="shared" si="38"/>
        <v>0.28157775188133277</v>
      </c>
      <c r="L36" s="62"/>
      <c r="M36" s="50">
        <f t="shared" si="20"/>
        <v>0.22677689390712055</v>
      </c>
      <c r="N36" s="50">
        <f t="shared" si="21"/>
        <v>0.33875526429309538</v>
      </c>
      <c r="O36" s="195">
        <f t="shared" si="22"/>
        <v>1.6061675665557895</v>
      </c>
      <c r="P36" s="196">
        <f t="shared" si="23"/>
        <v>21</v>
      </c>
      <c r="Q36" s="196">
        <f t="shared" si="24"/>
        <v>6370</v>
      </c>
      <c r="R36" s="197">
        <f t="shared" si="25"/>
        <v>3.2967032967032967E-3</v>
      </c>
      <c r="S36" s="197">
        <f t="shared" si="29"/>
        <v>1.0394663702056698E-2</v>
      </c>
      <c r="T36" s="198">
        <f t="shared" si="30"/>
        <v>8.0446989339188646E-2</v>
      </c>
      <c r="U36" s="199">
        <f t="shared" si="39"/>
        <v>1.9599639845400538</v>
      </c>
      <c r="V36" s="195">
        <f t="shared" si="26"/>
        <v>0.1576732017694874</v>
      </c>
      <c r="W36" s="200">
        <f t="shared" si="27"/>
        <v>1.1707835221993579</v>
      </c>
      <c r="X36" s="200">
        <f t="shared" si="28"/>
        <v>0.85412886416565292</v>
      </c>
      <c r="AC36" s="25"/>
      <c r="AG36" s="62"/>
      <c r="AH36" s="62"/>
      <c r="AI36" s="62"/>
      <c r="AJ36" s="62"/>
      <c r="AK36" s="62"/>
      <c r="AL36" s="62"/>
      <c r="AM36" s="62"/>
      <c r="AN36" s="62"/>
      <c r="AO36" s="62"/>
    </row>
    <row r="37" spans="1:41" x14ac:dyDescent="0.25">
      <c r="A37" s="67">
        <v>21</v>
      </c>
      <c r="B37" s="70">
        <f t="shared" si="31"/>
        <v>193</v>
      </c>
      <c r="C37" s="71">
        <f t="shared" si="32"/>
        <v>25</v>
      </c>
      <c r="D37" s="68">
        <v>30</v>
      </c>
      <c r="E37" s="68">
        <f t="shared" si="33"/>
        <v>70</v>
      </c>
      <c r="F37" s="31">
        <f t="shared" si="34"/>
        <v>9</v>
      </c>
      <c r="G37" s="68">
        <f t="shared" si="35"/>
        <v>18</v>
      </c>
      <c r="H37" s="49">
        <v>43</v>
      </c>
      <c r="I37" s="72">
        <f t="shared" si="36"/>
        <v>0.12857142857142856</v>
      </c>
      <c r="J37" s="29">
        <f t="shared" si="37"/>
        <v>0.87142857142857144</v>
      </c>
      <c r="K37" s="29">
        <f t="shared" si="38"/>
        <v>0.24537489806801857</v>
      </c>
      <c r="L37" s="62"/>
      <c r="M37" s="50">
        <f t="shared" si="20"/>
        <v>0.18159352012944879</v>
      </c>
      <c r="N37" s="50">
        <f t="shared" si="21"/>
        <v>0.31440756863745967</v>
      </c>
      <c r="O37" s="195">
        <f t="shared" si="22"/>
        <v>1.9739351984755771</v>
      </c>
      <c r="P37" s="196">
        <f t="shared" si="23"/>
        <v>27</v>
      </c>
      <c r="Q37" s="196">
        <f t="shared" si="24"/>
        <v>3010</v>
      </c>
      <c r="R37" s="197">
        <f t="shared" si="25"/>
        <v>8.9700996677740865E-3</v>
      </c>
      <c r="S37" s="197">
        <f t="shared" si="29"/>
        <v>1.9364763369830784E-2</v>
      </c>
      <c r="T37" s="198">
        <f t="shared" si="30"/>
        <v>9.9046618151772264E-2</v>
      </c>
      <c r="U37" s="199">
        <f t="shared" si="39"/>
        <v>1.9599639845400538</v>
      </c>
      <c r="V37" s="195">
        <f t="shared" si="26"/>
        <v>0.19412780436796478</v>
      </c>
      <c r="W37" s="200">
        <f t="shared" si="27"/>
        <v>1.2142514596802449</v>
      </c>
      <c r="X37" s="200">
        <f t="shared" si="28"/>
        <v>0.82355264391721217</v>
      </c>
      <c r="AC37" s="25"/>
      <c r="AG37" s="62"/>
      <c r="AH37" s="62"/>
      <c r="AI37" s="62"/>
      <c r="AJ37" s="62"/>
      <c r="AK37" s="62"/>
      <c r="AL37" s="62"/>
      <c r="AM37" s="62"/>
      <c r="AN37" s="62"/>
      <c r="AO37" s="62"/>
    </row>
    <row r="38" spans="1:41" x14ac:dyDescent="0.25">
      <c r="A38" s="70">
        <v>41</v>
      </c>
      <c r="B38" s="70">
        <f t="shared" si="31"/>
        <v>195</v>
      </c>
      <c r="C38" s="71">
        <f t="shared" si="32"/>
        <v>30</v>
      </c>
      <c r="D38" s="68">
        <v>35</v>
      </c>
      <c r="E38" s="68">
        <f t="shared" si="33"/>
        <v>43</v>
      </c>
      <c r="F38" s="31">
        <f t="shared" si="34"/>
        <v>2</v>
      </c>
      <c r="G38" s="68">
        <f t="shared" si="35"/>
        <v>20</v>
      </c>
      <c r="H38" s="49">
        <v>21</v>
      </c>
      <c r="I38" s="72">
        <f t="shared" si="36"/>
        <v>4.6511627906976744E-2</v>
      </c>
      <c r="J38" s="29">
        <f t="shared" si="37"/>
        <v>0.95348837209302328</v>
      </c>
      <c r="K38" s="29">
        <f t="shared" si="38"/>
        <v>0.23396211211136655</v>
      </c>
      <c r="L38" s="62"/>
      <c r="M38" s="50">
        <f t="shared" si="20"/>
        <v>0.14571340265767049</v>
      </c>
      <c r="N38" s="50">
        <f t="shared" si="21"/>
        <v>0.33437620269349</v>
      </c>
      <c r="O38" s="195">
        <f t="shared" si="22"/>
        <v>2.1100354029723478</v>
      </c>
      <c r="P38" s="196">
        <f t="shared" si="23"/>
        <v>22</v>
      </c>
      <c r="Q38" s="196">
        <f t="shared" si="24"/>
        <v>903</v>
      </c>
      <c r="R38" s="197">
        <f t="shared" si="25"/>
        <v>2.4363233665559248E-2</v>
      </c>
      <c r="S38" s="197">
        <f t="shared" si="29"/>
        <v>4.3727997035390029E-2</v>
      </c>
      <c r="T38" s="198">
        <f t="shared" si="30"/>
        <v>0.14395770730715693</v>
      </c>
      <c r="U38" s="199">
        <f t="shared" si="39"/>
        <v>1.9599639845400538</v>
      </c>
      <c r="V38" s="195">
        <f t="shared" si="26"/>
        <v>0.28215192161898611</v>
      </c>
      <c r="W38" s="200">
        <f t="shared" si="27"/>
        <v>1.3259801497367292</v>
      </c>
      <c r="X38" s="200">
        <f t="shared" si="28"/>
        <v>0.7541591027577208</v>
      </c>
      <c r="AC38" s="25"/>
      <c r="AG38" s="62"/>
      <c r="AH38" s="62"/>
      <c r="AI38" s="62"/>
      <c r="AJ38" s="62"/>
      <c r="AK38" s="62"/>
      <c r="AL38" s="62"/>
      <c r="AM38" s="62"/>
      <c r="AN38" s="62"/>
      <c r="AO38" s="62"/>
    </row>
    <row r="39" spans="1:41" x14ac:dyDescent="0.25">
      <c r="A39" s="67">
        <v>48</v>
      </c>
      <c r="B39" s="70">
        <f t="shared" si="31"/>
        <v>196</v>
      </c>
      <c r="C39" s="71">
        <f t="shared" si="32"/>
        <v>35</v>
      </c>
      <c r="D39" s="68">
        <v>40</v>
      </c>
      <c r="E39" s="68">
        <f t="shared" si="33"/>
        <v>21</v>
      </c>
      <c r="F39" s="31">
        <f t="shared" si="34"/>
        <v>1</v>
      </c>
      <c r="G39" s="68">
        <f t="shared" si="35"/>
        <v>7</v>
      </c>
      <c r="H39" s="49">
        <v>13</v>
      </c>
      <c r="I39" s="72">
        <f t="shared" si="36"/>
        <v>4.7619047619047616E-2</v>
      </c>
      <c r="J39" s="29">
        <f t="shared" si="37"/>
        <v>0.95238095238095233</v>
      </c>
      <c r="K39" s="29">
        <f t="shared" si="38"/>
        <v>0.22282105915368242</v>
      </c>
      <c r="L39" s="62"/>
      <c r="M39" s="50">
        <f t="shared" si="20"/>
        <v>0.1180656718733356</v>
      </c>
      <c r="N39" s="50">
        <f t="shared" si="21"/>
        <v>0.34816991606410752</v>
      </c>
      <c r="O39" s="195">
        <f t="shared" si="22"/>
        <v>2.2541606865748633</v>
      </c>
      <c r="P39" s="196">
        <f t="shared" si="23"/>
        <v>8</v>
      </c>
      <c r="Q39" s="196">
        <f t="shared" si="24"/>
        <v>273</v>
      </c>
      <c r="R39" s="197">
        <f t="shared" si="25"/>
        <v>2.9304029304029304E-2</v>
      </c>
      <c r="S39" s="197">
        <f t="shared" si="29"/>
        <v>7.3032026339419326E-2</v>
      </c>
      <c r="T39" s="198">
        <f t="shared" si="30"/>
        <v>0.17999657431985905</v>
      </c>
      <c r="U39" s="199">
        <f t="shared" si="39"/>
        <v>1.9599639845400538</v>
      </c>
      <c r="V39" s="195">
        <f t="shared" si="26"/>
        <v>0.35278680300751086</v>
      </c>
      <c r="W39" s="200">
        <f t="shared" si="27"/>
        <v>1.4230277258595121</v>
      </c>
      <c r="X39" s="200">
        <f t="shared" si="28"/>
        <v>0.70272699669010152</v>
      </c>
      <c r="AC39" s="25"/>
      <c r="AG39" s="62"/>
      <c r="AH39" s="62"/>
      <c r="AI39" s="62"/>
      <c r="AJ39" s="62"/>
      <c r="AK39" s="62"/>
      <c r="AL39" s="62"/>
      <c r="AM39" s="62"/>
      <c r="AN39" s="62"/>
      <c r="AO39" s="62"/>
    </row>
    <row r="40" spans="1:41" x14ac:dyDescent="0.25">
      <c r="A40" s="70">
        <v>59</v>
      </c>
      <c r="B40" s="70">
        <f t="shared" si="31"/>
        <v>197</v>
      </c>
      <c r="C40" s="71">
        <f t="shared" si="32"/>
        <v>40</v>
      </c>
      <c r="D40" s="68">
        <v>45</v>
      </c>
      <c r="E40" s="68">
        <f t="shared" si="33"/>
        <v>13</v>
      </c>
      <c r="F40" s="31">
        <f t="shared" si="34"/>
        <v>1</v>
      </c>
      <c r="G40" s="68">
        <f t="shared" si="35"/>
        <v>11</v>
      </c>
      <c r="H40" s="49">
        <v>1</v>
      </c>
      <c r="I40" s="72">
        <f t="shared" si="36"/>
        <v>7.6923076923076927E-2</v>
      </c>
      <c r="J40" s="29">
        <f t="shared" si="37"/>
        <v>0.92307692307692313</v>
      </c>
      <c r="K40" s="29">
        <f t="shared" si="38"/>
        <v>0.20568097768032223</v>
      </c>
      <c r="L40" s="62"/>
      <c r="M40" s="50">
        <f t="shared" si="20"/>
        <v>4.3042173289505039E-3</v>
      </c>
      <c r="N40" s="50">
        <f t="shared" si="21"/>
        <v>0.63189063980570825</v>
      </c>
      <c r="O40" s="195">
        <f t="shared" si="22"/>
        <v>2.5009175638478092</v>
      </c>
      <c r="P40" s="196">
        <f t="shared" si="23"/>
        <v>12</v>
      </c>
      <c r="Q40" s="196">
        <f t="shared" si="24"/>
        <v>13</v>
      </c>
      <c r="R40" s="197">
        <f t="shared" si="25"/>
        <v>0.92307692307692313</v>
      </c>
      <c r="S40" s="197">
        <f t="shared" si="29"/>
        <v>0.99610894941634243</v>
      </c>
      <c r="T40" s="198">
        <f t="shared" si="30"/>
        <v>0.63110806875733039</v>
      </c>
      <c r="U40" s="199">
        <f t="shared" si="39"/>
        <v>1.9599639845400538</v>
      </c>
      <c r="V40" s="195">
        <f t="shared" si="26"/>
        <v>1.2369490851169955</v>
      </c>
      <c r="W40" s="200">
        <f t="shared" si="27"/>
        <v>3.4450867484361685</v>
      </c>
      <c r="X40" s="200">
        <f t="shared" si="28"/>
        <v>0.29026845273313678</v>
      </c>
      <c r="AC40" s="25"/>
      <c r="AG40" s="62"/>
      <c r="AH40" s="62"/>
      <c r="AI40" s="62"/>
      <c r="AJ40" s="62"/>
      <c r="AK40" s="62"/>
      <c r="AL40" s="62"/>
      <c r="AM40" s="62"/>
      <c r="AN40" s="62"/>
      <c r="AO40" s="62"/>
    </row>
    <row r="41" spans="1:41" ht="10" customHeight="1" x14ac:dyDescent="0.25">
      <c r="D41" s="73"/>
      <c r="E41" s="73"/>
      <c r="F41" s="74"/>
      <c r="G41" s="74"/>
      <c r="H41" s="73"/>
      <c r="I41" s="75"/>
      <c r="J41" s="76"/>
      <c r="K41" s="76"/>
      <c r="L41" s="76"/>
      <c r="M41" s="88"/>
      <c r="N41" s="88"/>
      <c r="O41" s="88"/>
      <c r="P41" s="88"/>
      <c r="Q41" s="76"/>
      <c r="AC41" s="25"/>
    </row>
    <row r="42" spans="1:41" ht="15" x14ac:dyDescent="0.25">
      <c r="D42" s="82"/>
      <c r="E42" s="55" t="s">
        <v>0</v>
      </c>
      <c r="F42" s="56">
        <f>SUM(F32:F40)</f>
        <v>197</v>
      </c>
      <c r="G42" s="56">
        <f>SUM(G32:G40)</f>
        <v>59</v>
      </c>
      <c r="H42" s="140">
        <f>H31-F42-G42</f>
        <v>1</v>
      </c>
      <c r="I42" s="75"/>
      <c r="J42" s="83" t="s">
        <v>47</v>
      </c>
      <c r="K42" s="36">
        <f>1-K40</f>
        <v>0.79431902231967777</v>
      </c>
      <c r="L42" s="37" t="s">
        <v>31</v>
      </c>
      <c r="M42" s="88"/>
      <c r="N42" s="88"/>
      <c r="O42" s="88"/>
      <c r="P42" s="89"/>
      <c r="Q42" s="76"/>
      <c r="AA42" s="59"/>
      <c r="AB42" s="59"/>
      <c r="AC42" s="25"/>
    </row>
    <row r="43" spans="1:41" ht="15" customHeight="1" x14ac:dyDescent="0.25">
      <c r="D43" s="82"/>
      <c r="F43" s="11">
        <f>F42/E31</f>
        <v>0.7665369649805448</v>
      </c>
      <c r="G43" s="12">
        <f>G42/E31</f>
        <v>0.22957198443579765</v>
      </c>
      <c r="H43" s="13">
        <f>H42/E31</f>
        <v>3.8910505836575876E-3</v>
      </c>
      <c r="I43" s="75"/>
      <c r="J43" s="75"/>
      <c r="K43" s="75"/>
      <c r="L43" s="84"/>
      <c r="M43" s="84"/>
      <c r="N43" s="84"/>
      <c r="O43" s="84"/>
      <c r="P43" s="84"/>
      <c r="Q43" s="84"/>
      <c r="R43" s="79"/>
      <c r="S43" s="79"/>
      <c r="T43" s="79"/>
      <c r="U43" s="79"/>
      <c r="Z43" s="80"/>
      <c r="AA43" s="80"/>
      <c r="AC43" s="25"/>
      <c r="AE43" s="85"/>
      <c r="AF43" s="62"/>
      <c r="AG43" s="62"/>
      <c r="AH43" s="62"/>
      <c r="AI43" s="62"/>
      <c r="AJ43" s="62"/>
      <c r="AK43" s="62"/>
      <c r="AL43" s="62"/>
      <c r="AM43" s="62"/>
      <c r="AN43" s="62"/>
      <c r="AO43" s="62"/>
    </row>
    <row r="44" spans="1:41" ht="15" customHeight="1" x14ac:dyDescent="0.25">
      <c r="D44" s="82"/>
      <c r="F44" s="11" t="s">
        <v>68</v>
      </c>
      <c r="G44" s="12" t="s">
        <v>69</v>
      </c>
      <c r="H44" s="13" t="s">
        <v>70</v>
      </c>
      <c r="I44" s="75"/>
      <c r="J44" s="75"/>
      <c r="K44" s="75"/>
      <c r="L44" s="84"/>
      <c r="M44" s="84"/>
      <c r="N44" s="84"/>
      <c r="O44" s="84"/>
      <c r="P44" s="84"/>
      <c r="Q44" s="84"/>
      <c r="R44" s="79"/>
      <c r="S44" s="79"/>
      <c r="T44" s="79"/>
      <c r="U44" s="79"/>
      <c r="Z44" s="80"/>
      <c r="AA44" s="80"/>
      <c r="AC44" s="25"/>
      <c r="AE44" s="85"/>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c r="AC45" s="25"/>
    </row>
    <row r="46" spans="1:41" ht="15.5" customHeight="1" x14ac:dyDescent="0.25">
      <c r="B46" s="239" t="s">
        <v>6</v>
      </c>
      <c r="C46" s="240"/>
      <c r="D46" s="240"/>
      <c r="E46" s="240"/>
      <c r="F46" s="240"/>
      <c r="G46" s="240"/>
      <c r="H46" s="240"/>
      <c r="I46" s="240"/>
      <c r="J46" s="240"/>
      <c r="K46" s="241"/>
      <c r="L46" s="75"/>
      <c r="P46" s="25"/>
      <c r="Q46" s="229" t="s">
        <v>49</v>
      </c>
      <c r="AC46" s="25"/>
    </row>
    <row r="47" spans="1:41" ht="36" customHeight="1" x14ac:dyDescent="0.25">
      <c r="B47" s="221" t="s">
        <v>62</v>
      </c>
      <c r="C47" s="224" t="s">
        <v>63</v>
      </c>
      <c r="D47" s="231"/>
      <c r="E47" s="225"/>
      <c r="F47" s="224" t="s">
        <v>65</v>
      </c>
      <c r="G47" s="231"/>
      <c r="H47" s="225"/>
      <c r="I47" s="224" t="s">
        <v>64</v>
      </c>
      <c r="J47" s="231"/>
      <c r="K47" s="225"/>
      <c r="M47" s="9" t="s">
        <v>9</v>
      </c>
      <c r="N47" s="232" t="s">
        <v>48</v>
      </c>
      <c r="O47" s="233"/>
      <c r="P47" s="24" t="s">
        <v>9</v>
      </c>
      <c r="Q47" s="230"/>
      <c r="R47" s="33"/>
      <c r="S47" s="59"/>
      <c r="T47" s="59"/>
      <c r="AC47" s="25"/>
    </row>
    <row r="48" spans="1:41" ht="44.5" customHeight="1" x14ac:dyDescent="0.25">
      <c r="B48" s="222"/>
      <c r="C48" s="224" t="s">
        <v>66</v>
      </c>
      <c r="D48" s="225"/>
      <c r="E48" s="91"/>
      <c r="F48" s="224" t="s">
        <v>66</v>
      </c>
      <c r="G48" s="225"/>
      <c r="H48" s="92"/>
      <c r="I48" s="224" t="s">
        <v>66</v>
      </c>
      <c r="J48" s="225"/>
      <c r="K48" s="91"/>
      <c r="N48" s="43" t="s">
        <v>80</v>
      </c>
      <c r="O48" s="43" t="s">
        <v>83</v>
      </c>
      <c r="P48" s="20"/>
      <c r="Q48" s="185" t="s">
        <v>74</v>
      </c>
      <c r="R48" s="186" t="s">
        <v>16</v>
      </c>
      <c r="S48" s="187" t="s">
        <v>10</v>
      </c>
      <c r="T48" s="23"/>
      <c r="U48" s="206" t="s">
        <v>19</v>
      </c>
      <c r="V48" s="176" t="s">
        <v>74</v>
      </c>
      <c r="W48" s="188" t="s">
        <v>75</v>
      </c>
      <c r="X48" s="189" t="s">
        <v>76</v>
      </c>
      <c r="AC48" s="25"/>
    </row>
    <row r="49" spans="1:29" ht="13" customHeight="1" x14ac:dyDescent="0.25">
      <c r="A49" s="276" t="s">
        <v>116</v>
      </c>
      <c r="B49" s="223"/>
      <c r="C49" s="93" t="s">
        <v>1</v>
      </c>
      <c r="D49" s="93" t="s">
        <v>2</v>
      </c>
      <c r="E49" s="93" t="s">
        <v>3</v>
      </c>
      <c r="F49" s="93" t="s">
        <v>1</v>
      </c>
      <c r="G49" s="93" t="s">
        <v>2</v>
      </c>
      <c r="H49" s="93" t="s">
        <v>3</v>
      </c>
      <c r="I49" s="94" t="s">
        <v>1</v>
      </c>
      <c r="J49" s="94" t="s">
        <v>2</v>
      </c>
      <c r="K49" s="93" t="s">
        <v>3</v>
      </c>
      <c r="M49" s="58">
        <f t="shared" ref="M49:M58" si="40">D15</f>
        <v>0</v>
      </c>
      <c r="N49" s="139">
        <f t="shared" ref="N49:N58" si="41">K31</f>
        <v>1</v>
      </c>
      <c r="O49" s="29">
        <f t="shared" ref="O49:O58" si="42">K15</f>
        <v>1</v>
      </c>
      <c r="P49" s="90">
        <f t="shared" ref="P49:P58" si="43">D31</f>
        <v>0</v>
      </c>
      <c r="Q49" s="34">
        <f t="shared" ref="Q49:Q58" si="44">(IF(N49=O49,1,LOG(O49,N49)))</f>
        <v>1</v>
      </c>
      <c r="R49" s="96"/>
      <c r="S49" s="22"/>
      <c r="T49" s="23" t="s">
        <v>117</v>
      </c>
      <c r="U49" s="204"/>
      <c r="V49" s="62"/>
      <c r="W49" s="67"/>
      <c r="X49" s="67"/>
      <c r="AC49" s="25"/>
    </row>
    <row r="50" spans="1:29" x14ac:dyDescent="0.3">
      <c r="A50" s="183" t="s">
        <v>71</v>
      </c>
      <c r="B50" s="68">
        <f t="shared" ref="B50:B58" si="45">D16</f>
        <v>5</v>
      </c>
      <c r="C50" s="97">
        <f t="shared" ref="C50:C58" si="46">E16</f>
        <v>242</v>
      </c>
      <c r="D50" s="97">
        <f t="shared" ref="D50:D58" si="47">E32</f>
        <v>257</v>
      </c>
      <c r="E50" s="97">
        <f>C50+D50</f>
        <v>499</v>
      </c>
      <c r="F50" s="97">
        <f t="shared" ref="F50:F58" si="48">F16</f>
        <v>45</v>
      </c>
      <c r="G50" s="97">
        <f t="shared" ref="G50:G58" si="49">F32</f>
        <v>59</v>
      </c>
      <c r="H50" s="97">
        <f t="shared" ref="H50:H58" si="50">F50+G50</f>
        <v>104</v>
      </c>
      <c r="I50" s="98">
        <f t="shared" ref="I50:I58" si="51">H50*C50/E50</f>
        <v>50.436873747494992</v>
      </c>
      <c r="J50" s="98">
        <f t="shared" ref="J50:J58" si="52">H50*D50/E50</f>
        <v>53.563126252505008</v>
      </c>
      <c r="K50" s="99">
        <f t="shared" ref="K50:K58" si="53">I50+J50</f>
        <v>104</v>
      </c>
      <c r="M50" s="58">
        <f t="shared" si="40"/>
        <v>5</v>
      </c>
      <c r="N50" s="139">
        <f t="shared" si="41"/>
        <v>0.77042801556420237</v>
      </c>
      <c r="O50" s="29">
        <f t="shared" si="42"/>
        <v>0.81404958677685957</v>
      </c>
      <c r="P50" s="90">
        <f t="shared" si="43"/>
        <v>5</v>
      </c>
      <c r="Q50" s="21">
        <f t="shared" si="44"/>
        <v>0.7888299662341931</v>
      </c>
      <c r="R50" s="96">
        <f t="shared" ref="R50:R58" si="54">O50-N50</f>
        <v>4.3621571212657195E-2</v>
      </c>
      <c r="S50" s="22">
        <f t="shared" ref="S50:S58" si="55">1/(O50-N50)</f>
        <v>22.924437891632866</v>
      </c>
      <c r="T50" s="183" t="s">
        <v>71</v>
      </c>
      <c r="U50" s="207">
        <f>SQRT((1/(SUM(I50:I50)))+(1/(SUM(J50:J50))))</f>
        <v>0.19620480156438175</v>
      </c>
      <c r="V50" s="100">
        <f t="shared" ref="V50:V58" si="56">Q50</f>
        <v>0.7888299662341931</v>
      </c>
      <c r="W50" s="38">
        <f t="shared" ref="W50:W58" si="57">EXP(LN(Q50)-(1.96*U50))</f>
        <v>0.53699532094584768</v>
      </c>
      <c r="X50" s="38">
        <f t="shared" ref="X50:X58" si="58">EXP(LN(Q50)+(1.96*U50))</f>
        <v>1.1587674814987599</v>
      </c>
      <c r="AC50" s="25"/>
    </row>
    <row r="51" spans="1:29" x14ac:dyDescent="0.3">
      <c r="A51" s="183" t="s">
        <v>71</v>
      </c>
      <c r="B51" s="68">
        <f t="shared" si="45"/>
        <v>10</v>
      </c>
      <c r="C51" s="97">
        <f t="shared" si="46"/>
        <v>197</v>
      </c>
      <c r="D51" s="97">
        <f t="shared" si="47"/>
        <v>197</v>
      </c>
      <c r="E51" s="97">
        <f t="shared" ref="E51:E58" si="59">C51+D51</f>
        <v>394</v>
      </c>
      <c r="F51" s="97">
        <f t="shared" si="48"/>
        <v>53</v>
      </c>
      <c r="G51" s="97">
        <f t="shared" si="49"/>
        <v>45</v>
      </c>
      <c r="H51" s="97">
        <f t="shared" si="50"/>
        <v>98</v>
      </c>
      <c r="I51" s="98">
        <f t="shared" si="51"/>
        <v>49</v>
      </c>
      <c r="J51" s="98">
        <f t="shared" si="52"/>
        <v>49</v>
      </c>
      <c r="K51" s="99">
        <f t="shared" si="53"/>
        <v>98</v>
      </c>
      <c r="M51" s="58">
        <f t="shared" si="40"/>
        <v>10</v>
      </c>
      <c r="N51" s="139">
        <f t="shared" si="41"/>
        <v>0.59444192063836931</v>
      </c>
      <c r="O51" s="29">
        <f t="shared" si="42"/>
        <v>0.5950413223140496</v>
      </c>
      <c r="P51" s="90">
        <f t="shared" si="43"/>
        <v>10</v>
      </c>
      <c r="Q51" s="21">
        <f t="shared" si="44"/>
        <v>0.99806234762739643</v>
      </c>
      <c r="R51" s="96">
        <f t="shared" si="54"/>
        <v>5.994016756802889E-4</v>
      </c>
      <c r="S51" s="22">
        <f t="shared" si="55"/>
        <v>1668.3303376905869</v>
      </c>
      <c r="T51" s="183" t="s">
        <v>71</v>
      </c>
      <c r="U51" s="207">
        <f>SQRT((1/(SUM(I50:I51)))+(1/(SUM(J50:J51))))</f>
        <v>0.14073636468155862</v>
      </c>
      <c r="V51" s="100">
        <f t="shared" si="56"/>
        <v>0.99806234762739643</v>
      </c>
      <c r="W51" s="38">
        <f t="shared" si="57"/>
        <v>0.75746131907840553</v>
      </c>
      <c r="X51" s="38">
        <f t="shared" si="58"/>
        <v>1.3150882093404954</v>
      </c>
      <c r="AC51" s="25"/>
    </row>
    <row r="52" spans="1:29" x14ac:dyDescent="0.3">
      <c r="A52" s="183" t="s">
        <v>71</v>
      </c>
      <c r="B52" s="68">
        <f t="shared" si="45"/>
        <v>15</v>
      </c>
      <c r="C52" s="97">
        <f t="shared" si="46"/>
        <v>144</v>
      </c>
      <c r="D52" s="97">
        <f t="shared" si="47"/>
        <v>152</v>
      </c>
      <c r="E52" s="97">
        <f t="shared" si="59"/>
        <v>296</v>
      </c>
      <c r="F52" s="97">
        <f t="shared" si="48"/>
        <v>34</v>
      </c>
      <c r="G52" s="97">
        <f t="shared" si="49"/>
        <v>42</v>
      </c>
      <c r="H52" s="97">
        <f t="shared" si="50"/>
        <v>76</v>
      </c>
      <c r="I52" s="98">
        <f t="shared" si="51"/>
        <v>36.972972972972975</v>
      </c>
      <c r="J52" s="98">
        <f t="shared" si="52"/>
        <v>39.027027027027025</v>
      </c>
      <c r="K52" s="99">
        <f t="shared" si="53"/>
        <v>76</v>
      </c>
      <c r="M52" s="58">
        <f t="shared" si="40"/>
        <v>15</v>
      </c>
      <c r="N52" s="139">
        <f t="shared" si="41"/>
        <v>0.4301882320409251</v>
      </c>
      <c r="O52" s="29">
        <f t="shared" si="42"/>
        <v>0.45454545454545453</v>
      </c>
      <c r="P52" s="90">
        <f t="shared" si="43"/>
        <v>15</v>
      </c>
      <c r="Q52" s="21">
        <f t="shared" si="44"/>
        <v>0.93470902165406944</v>
      </c>
      <c r="R52" s="96">
        <f t="shared" si="54"/>
        <v>2.435722250452943E-2</v>
      </c>
      <c r="S52" s="22">
        <f t="shared" si="55"/>
        <v>41.055584224106077</v>
      </c>
      <c r="T52" s="183" t="s">
        <v>71</v>
      </c>
      <c r="U52" s="207">
        <f>SQRT((1/(SUM(I50:I52)))+(1/(SUM(J50:J52))))</f>
        <v>0.1199728598735107</v>
      </c>
      <c r="V52" s="100">
        <f t="shared" si="56"/>
        <v>0.93470902165406944</v>
      </c>
      <c r="W52" s="38">
        <f t="shared" si="57"/>
        <v>0.73884523100831412</v>
      </c>
      <c r="X52" s="38">
        <f t="shared" si="58"/>
        <v>1.1824952215894808</v>
      </c>
      <c r="AC52" s="25"/>
    </row>
    <row r="53" spans="1:29" x14ac:dyDescent="0.3">
      <c r="A53" s="183" t="s">
        <v>71</v>
      </c>
      <c r="B53" s="68">
        <f t="shared" si="45"/>
        <v>20</v>
      </c>
      <c r="C53" s="97">
        <f t="shared" si="46"/>
        <v>109</v>
      </c>
      <c r="D53" s="97">
        <f t="shared" si="47"/>
        <v>110</v>
      </c>
      <c r="E53" s="97">
        <f t="shared" si="59"/>
        <v>219</v>
      </c>
      <c r="F53" s="97">
        <f t="shared" si="48"/>
        <v>25</v>
      </c>
      <c r="G53" s="97">
        <f t="shared" si="49"/>
        <v>19</v>
      </c>
      <c r="H53" s="97">
        <f t="shared" si="50"/>
        <v>44</v>
      </c>
      <c r="I53" s="98">
        <f t="shared" si="51"/>
        <v>21.899543378995435</v>
      </c>
      <c r="J53" s="98">
        <f t="shared" si="52"/>
        <v>22.100456621004565</v>
      </c>
      <c r="K53" s="99">
        <f t="shared" si="53"/>
        <v>44</v>
      </c>
      <c r="M53" s="58">
        <f t="shared" si="40"/>
        <v>20</v>
      </c>
      <c r="N53" s="139">
        <f t="shared" si="41"/>
        <v>0.35588299196112894</v>
      </c>
      <c r="O53" s="29">
        <f t="shared" si="42"/>
        <v>0.35029190992493747</v>
      </c>
      <c r="P53" s="90">
        <f t="shared" si="43"/>
        <v>20</v>
      </c>
      <c r="Q53" s="21">
        <f t="shared" si="44"/>
        <v>1.0153270261922025</v>
      </c>
      <c r="R53" s="96">
        <f t="shared" si="54"/>
        <v>-5.5910820361914637E-3</v>
      </c>
      <c r="S53" s="22">
        <f t="shared" si="55"/>
        <v>-178.85625600320839</v>
      </c>
      <c r="T53" s="183" t="s">
        <v>71</v>
      </c>
      <c r="U53" s="207">
        <f>SQRT((1/(SUM(I50:I53)))+(1/(SUM(J50:J53))))</f>
        <v>0.11147120979607662</v>
      </c>
      <c r="V53" s="100">
        <f t="shared" si="56"/>
        <v>1.0153270261922025</v>
      </c>
      <c r="W53" s="38">
        <f t="shared" si="57"/>
        <v>0.81605557696887387</v>
      </c>
      <c r="X53" s="38">
        <f t="shared" si="58"/>
        <v>1.2632582868257536</v>
      </c>
      <c r="AC53" s="25"/>
    </row>
    <row r="54" spans="1:29" x14ac:dyDescent="0.3">
      <c r="A54" s="183" t="s">
        <v>71</v>
      </c>
      <c r="B54" s="68">
        <f t="shared" si="45"/>
        <v>25</v>
      </c>
      <c r="C54" s="97">
        <f t="shared" si="46"/>
        <v>84</v>
      </c>
      <c r="D54" s="97">
        <f t="shared" si="47"/>
        <v>91</v>
      </c>
      <c r="E54" s="97">
        <f t="shared" si="59"/>
        <v>175</v>
      </c>
      <c r="F54" s="97">
        <f t="shared" si="48"/>
        <v>13</v>
      </c>
      <c r="G54" s="97">
        <f t="shared" si="49"/>
        <v>19</v>
      </c>
      <c r="H54" s="97">
        <f t="shared" si="50"/>
        <v>32</v>
      </c>
      <c r="I54" s="98">
        <f t="shared" si="51"/>
        <v>15.36</v>
      </c>
      <c r="J54" s="98">
        <f t="shared" si="52"/>
        <v>16.64</v>
      </c>
      <c r="K54" s="99">
        <f t="shared" si="53"/>
        <v>32</v>
      </c>
      <c r="M54" s="58">
        <f t="shared" si="40"/>
        <v>25</v>
      </c>
      <c r="N54" s="139">
        <f t="shared" si="41"/>
        <v>0.28157775188133277</v>
      </c>
      <c r="O54" s="29">
        <f t="shared" si="42"/>
        <v>0.29608006672226855</v>
      </c>
      <c r="P54" s="90">
        <f t="shared" si="43"/>
        <v>25</v>
      </c>
      <c r="Q54" s="21">
        <f t="shared" si="44"/>
        <v>0.96037287997028564</v>
      </c>
      <c r="R54" s="96">
        <f t="shared" si="54"/>
        <v>1.4502314840935782E-2</v>
      </c>
      <c r="S54" s="22">
        <f t="shared" si="55"/>
        <v>68.954509053774871</v>
      </c>
      <c r="T54" s="183" t="s">
        <v>71</v>
      </c>
      <c r="U54" s="207">
        <f>SQRT((1/(SUM(I50:I54)))+(1/(SUM(J50:J54))))</f>
        <v>0.10631762481231519</v>
      </c>
      <c r="V54" s="100">
        <f t="shared" si="56"/>
        <v>0.96037287997028564</v>
      </c>
      <c r="W54" s="38">
        <f t="shared" si="57"/>
        <v>0.77972327496600324</v>
      </c>
      <c r="X54" s="38">
        <f t="shared" si="58"/>
        <v>1.1828761538798935</v>
      </c>
      <c r="AC54" s="25"/>
    </row>
    <row r="55" spans="1:29" x14ac:dyDescent="0.3">
      <c r="A55" s="183" t="s">
        <v>71</v>
      </c>
      <c r="B55" s="68">
        <f t="shared" si="45"/>
        <v>30</v>
      </c>
      <c r="C55" s="97">
        <f t="shared" si="46"/>
        <v>70</v>
      </c>
      <c r="D55" s="97">
        <f t="shared" si="47"/>
        <v>70</v>
      </c>
      <c r="E55" s="97">
        <f t="shared" si="59"/>
        <v>140</v>
      </c>
      <c r="F55" s="97">
        <f t="shared" si="48"/>
        <v>3</v>
      </c>
      <c r="G55" s="97">
        <f t="shared" si="49"/>
        <v>9</v>
      </c>
      <c r="H55" s="97">
        <f t="shared" si="50"/>
        <v>12</v>
      </c>
      <c r="I55" s="98">
        <f t="shared" si="51"/>
        <v>6</v>
      </c>
      <c r="J55" s="98">
        <f t="shared" si="52"/>
        <v>6</v>
      </c>
      <c r="K55" s="99">
        <f t="shared" si="53"/>
        <v>12</v>
      </c>
      <c r="M55" s="58">
        <f t="shared" si="40"/>
        <v>30</v>
      </c>
      <c r="N55" s="139">
        <f t="shared" si="41"/>
        <v>0.24537489806801857</v>
      </c>
      <c r="O55" s="29">
        <f t="shared" si="42"/>
        <v>0.28339092100559993</v>
      </c>
      <c r="P55" s="90">
        <f t="shared" si="43"/>
        <v>30</v>
      </c>
      <c r="Q55" s="21">
        <f t="shared" si="44"/>
        <v>0.89747805693589189</v>
      </c>
      <c r="R55" s="96">
        <f t="shared" si="54"/>
        <v>3.8016022937581356E-2</v>
      </c>
      <c r="S55" s="22">
        <f t="shared" si="55"/>
        <v>26.304697933339938</v>
      </c>
      <c r="T55" s="183" t="s">
        <v>71</v>
      </c>
      <c r="U55" s="207">
        <f>SQRT((1/(SUM(I50:I55)))+(1/(SUM(J50:J55))))</f>
        <v>0.10455899329556682</v>
      </c>
      <c r="V55" s="100">
        <f t="shared" si="56"/>
        <v>0.89747805693589189</v>
      </c>
      <c r="W55" s="38">
        <f t="shared" si="57"/>
        <v>0.73117515714728809</v>
      </c>
      <c r="X55" s="38">
        <f t="shared" si="58"/>
        <v>1.101605894029535</v>
      </c>
      <c r="AC55" s="25"/>
    </row>
    <row r="56" spans="1:29" x14ac:dyDescent="0.3">
      <c r="A56" s="183" t="s">
        <v>71</v>
      </c>
      <c r="B56" s="68">
        <f t="shared" si="45"/>
        <v>35</v>
      </c>
      <c r="C56" s="97">
        <f t="shared" si="46"/>
        <v>52</v>
      </c>
      <c r="D56" s="97">
        <f t="shared" si="47"/>
        <v>43</v>
      </c>
      <c r="E56" s="97">
        <f t="shared" si="59"/>
        <v>95</v>
      </c>
      <c r="F56" s="97">
        <f t="shared" si="48"/>
        <v>3</v>
      </c>
      <c r="G56" s="97">
        <f t="shared" si="49"/>
        <v>2</v>
      </c>
      <c r="H56" s="97">
        <f t="shared" si="50"/>
        <v>5</v>
      </c>
      <c r="I56" s="98">
        <f t="shared" si="51"/>
        <v>2.736842105263158</v>
      </c>
      <c r="J56" s="98">
        <f t="shared" si="52"/>
        <v>2.263157894736842</v>
      </c>
      <c r="K56" s="99">
        <f t="shared" si="53"/>
        <v>5</v>
      </c>
      <c r="M56" s="58">
        <f t="shared" si="40"/>
        <v>35</v>
      </c>
      <c r="N56" s="139">
        <f t="shared" si="41"/>
        <v>0.23396211211136655</v>
      </c>
      <c r="O56" s="29">
        <f t="shared" si="42"/>
        <v>0.26704144479373837</v>
      </c>
      <c r="P56" s="90">
        <f t="shared" si="43"/>
        <v>35</v>
      </c>
      <c r="Q56" s="21">
        <f t="shared" si="44"/>
        <v>0.90895977006595441</v>
      </c>
      <c r="R56" s="96">
        <f t="shared" si="54"/>
        <v>3.3079332682371815E-2</v>
      </c>
      <c r="S56" s="22">
        <f t="shared" si="55"/>
        <v>30.230355902339781</v>
      </c>
      <c r="T56" s="183" t="s">
        <v>71</v>
      </c>
      <c r="U56" s="207">
        <f>SQRT((1/(SUM(I50:I56)))+(1/(SUM(J50:J56))))</f>
        <v>0.10384927045591084</v>
      </c>
      <c r="V56" s="100">
        <f t="shared" si="56"/>
        <v>0.90895977006595441</v>
      </c>
      <c r="W56" s="38">
        <f t="shared" si="57"/>
        <v>0.74156014118334601</v>
      </c>
      <c r="X56" s="38">
        <f t="shared" si="58"/>
        <v>1.114148155643762</v>
      </c>
      <c r="AC56" s="25"/>
    </row>
    <row r="57" spans="1:29" x14ac:dyDescent="0.3">
      <c r="A57" s="183" t="s">
        <v>71</v>
      </c>
      <c r="B57" s="68">
        <f t="shared" si="45"/>
        <v>40</v>
      </c>
      <c r="C57" s="97">
        <f t="shared" si="46"/>
        <v>29</v>
      </c>
      <c r="D57" s="97">
        <f t="shared" si="47"/>
        <v>21</v>
      </c>
      <c r="E57" s="97">
        <f t="shared" si="59"/>
        <v>50</v>
      </c>
      <c r="F57" s="97">
        <f t="shared" si="48"/>
        <v>1</v>
      </c>
      <c r="G57" s="97">
        <f t="shared" si="49"/>
        <v>1</v>
      </c>
      <c r="H57" s="97">
        <f t="shared" si="50"/>
        <v>2</v>
      </c>
      <c r="I57" s="98">
        <f t="shared" si="51"/>
        <v>1.1599999999999999</v>
      </c>
      <c r="J57" s="98">
        <f t="shared" si="52"/>
        <v>0.84</v>
      </c>
      <c r="K57" s="99">
        <f t="shared" si="53"/>
        <v>2</v>
      </c>
      <c r="M57" s="58">
        <f t="shared" si="40"/>
        <v>40</v>
      </c>
      <c r="N57" s="139">
        <f t="shared" si="41"/>
        <v>0.22282105915368242</v>
      </c>
      <c r="O57" s="29">
        <f t="shared" si="42"/>
        <v>0.25783311911119566</v>
      </c>
      <c r="P57" s="90">
        <f t="shared" si="43"/>
        <v>40</v>
      </c>
      <c r="Q57" s="21">
        <f t="shared" si="44"/>
        <v>0.90279415041738509</v>
      </c>
      <c r="R57" s="96">
        <f t="shared" si="54"/>
        <v>3.5012059957513247E-2</v>
      </c>
      <c r="S57" s="22">
        <f t="shared" si="55"/>
        <v>28.561587099230639</v>
      </c>
      <c r="T57" s="183" t="s">
        <v>71</v>
      </c>
      <c r="U57" s="207">
        <f>SQRT((1/(SUM(I50:I57)))+(1/(SUM(J50:J57))))</f>
        <v>0.10356888965656881</v>
      </c>
      <c r="V57" s="100">
        <f t="shared" si="56"/>
        <v>0.90279415041738509</v>
      </c>
      <c r="W57" s="38">
        <f t="shared" si="57"/>
        <v>0.73693488865218759</v>
      </c>
      <c r="X57" s="38">
        <f t="shared" si="58"/>
        <v>1.1059827544852781</v>
      </c>
      <c r="AC57" s="25"/>
    </row>
    <row r="58" spans="1:29" x14ac:dyDescent="0.3">
      <c r="A58" s="183" t="s">
        <v>71</v>
      </c>
      <c r="B58" s="68">
        <f t="shared" si="45"/>
        <v>45</v>
      </c>
      <c r="C58" s="97">
        <f t="shared" si="46"/>
        <v>5</v>
      </c>
      <c r="D58" s="97">
        <f t="shared" si="47"/>
        <v>13</v>
      </c>
      <c r="E58" s="97">
        <f t="shared" si="59"/>
        <v>18</v>
      </c>
      <c r="F58" s="97">
        <f t="shared" si="48"/>
        <v>0</v>
      </c>
      <c r="G58" s="97">
        <f t="shared" si="49"/>
        <v>1</v>
      </c>
      <c r="H58" s="97">
        <f t="shared" si="50"/>
        <v>1</v>
      </c>
      <c r="I58" s="98">
        <f t="shared" si="51"/>
        <v>0.27777777777777779</v>
      </c>
      <c r="J58" s="98">
        <f t="shared" si="52"/>
        <v>0.72222222222222221</v>
      </c>
      <c r="K58" s="99">
        <f t="shared" si="53"/>
        <v>1</v>
      </c>
      <c r="M58" s="58">
        <f t="shared" si="40"/>
        <v>45</v>
      </c>
      <c r="N58" s="139">
        <f t="shared" si="41"/>
        <v>0.20568097768032223</v>
      </c>
      <c r="O58" s="29">
        <f t="shared" si="42"/>
        <v>0.25783311911119566</v>
      </c>
      <c r="P58" s="90">
        <f t="shared" si="43"/>
        <v>45</v>
      </c>
      <c r="Q58" s="21">
        <f t="shared" si="44"/>
        <v>0.85709997762885759</v>
      </c>
      <c r="R58" s="96">
        <f t="shared" si="54"/>
        <v>5.2152141430873433E-2</v>
      </c>
      <c r="S58" s="22">
        <f t="shared" si="55"/>
        <v>19.174668049354771</v>
      </c>
      <c r="T58" s="183" t="s">
        <v>71</v>
      </c>
      <c r="U58" s="207">
        <f>SQRT((1/(SUM(I50:I58)))+(1/(SUM(J50:J58))))</f>
        <v>0.10343226943269304</v>
      </c>
      <c r="V58" s="100">
        <f t="shared" si="56"/>
        <v>0.85709997762885759</v>
      </c>
      <c r="W58" s="38">
        <f t="shared" si="57"/>
        <v>0.69982291447393452</v>
      </c>
      <c r="X58" s="38">
        <f t="shared" si="58"/>
        <v>1.0497232320602297</v>
      </c>
      <c r="AC58" s="25"/>
    </row>
    <row r="59" spans="1:29" x14ac:dyDescent="0.25">
      <c r="B59" s="101"/>
      <c r="C59" s="102"/>
      <c r="D59" s="102"/>
      <c r="E59" s="102"/>
      <c r="F59" s="103">
        <f>SUM(F50:F58)</f>
        <v>177</v>
      </c>
      <c r="G59" s="103">
        <f>SUM(G50:G58)</f>
        <v>197</v>
      </c>
      <c r="H59" s="103">
        <f>SUM(H50:H58)</f>
        <v>374</v>
      </c>
      <c r="I59" s="104">
        <f>SUM(I50:I58)</f>
        <v>183.8440099825043</v>
      </c>
      <c r="J59" s="104">
        <f>SUM(J50:J58)</f>
        <v>190.1559900174957</v>
      </c>
      <c r="K59" s="105">
        <f>I59+J59</f>
        <v>374</v>
      </c>
      <c r="M59" s="106"/>
      <c r="N59" s="106"/>
      <c r="O59" s="106"/>
      <c r="P59" s="25"/>
      <c r="Q59" s="25"/>
      <c r="AC59" s="25"/>
    </row>
    <row r="60" spans="1:29" x14ac:dyDescent="0.25">
      <c r="B60" s="106"/>
      <c r="C60" s="106"/>
      <c r="D60" s="106"/>
      <c r="E60" s="106"/>
      <c r="F60" s="106"/>
      <c r="G60" s="106"/>
      <c r="H60" s="106"/>
      <c r="I60" s="107"/>
      <c r="J60" s="106"/>
      <c r="K60" s="106"/>
      <c r="M60" s="106"/>
      <c r="N60" s="106"/>
      <c r="O60" s="106"/>
      <c r="P60" s="25"/>
      <c r="Q60" s="25"/>
    </row>
    <row r="61" spans="1:29" x14ac:dyDescent="0.25">
      <c r="B61" s="108" t="s">
        <v>4</v>
      </c>
      <c r="C61" s="109">
        <f>((F59-I59)^2)/I59</f>
        <v>0.25478378460672274</v>
      </c>
      <c r="D61" s="110"/>
      <c r="E61" s="111">
        <f>((G59-J59)^2)/J59</f>
        <v>0.24632656923565174</v>
      </c>
      <c r="F61" s="110"/>
      <c r="G61" s="112">
        <f>C61+E61</f>
        <v>0.50111035384237446</v>
      </c>
      <c r="H61" s="57" t="s">
        <v>7</v>
      </c>
      <c r="I61" s="110"/>
      <c r="J61" s="113" t="s">
        <v>8</v>
      </c>
      <c r="K61" s="7">
        <f>CHIDIST(G61,1)</f>
        <v>0.47901264824430417</v>
      </c>
      <c r="N61" s="106"/>
      <c r="O61" s="106"/>
      <c r="P61" s="25"/>
      <c r="Q61" s="25"/>
    </row>
    <row r="62" spans="1:29" x14ac:dyDescent="0.25">
      <c r="B62" s="106"/>
      <c r="C62" s="106"/>
      <c r="D62" s="106"/>
      <c r="E62" s="106"/>
      <c r="F62" s="106"/>
      <c r="G62" s="106"/>
      <c r="H62" s="114"/>
      <c r="I62" s="106"/>
      <c r="J62" s="106"/>
      <c r="K62" s="106"/>
      <c r="L62" s="277" t="s">
        <v>118</v>
      </c>
      <c r="N62" s="106"/>
      <c r="O62" s="106"/>
      <c r="P62" s="25"/>
      <c r="Q62" s="25"/>
    </row>
    <row r="63" spans="1:29" x14ac:dyDescent="0.25">
      <c r="B63" s="106"/>
      <c r="C63" s="106"/>
      <c r="D63" s="106"/>
      <c r="E63" s="106"/>
      <c r="F63" s="106"/>
      <c r="G63" s="106"/>
      <c r="H63" s="115"/>
      <c r="I63" s="5" t="s">
        <v>5</v>
      </c>
      <c r="J63" s="6">
        <f>(F59/I59)/(G59/J59)</f>
        <v>0.92932488462491902</v>
      </c>
      <c r="L63" s="116"/>
      <c r="M63" s="106"/>
      <c r="O63" s="106"/>
      <c r="P63" s="25"/>
      <c r="Q63" s="25"/>
    </row>
    <row r="65" spans="1:47" x14ac:dyDescent="0.25">
      <c r="I65" s="106"/>
      <c r="J65" s="106"/>
    </row>
    <row r="66" spans="1:47" x14ac:dyDescent="0.25">
      <c r="I66" s="106"/>
      <c r="J66" s="106"/>
      <c r="K66" s="106"/>
      <c r="L66" s="106"/>
      <c r="M66" s="106"/>
    </row>
    <row r="67" spans="1:47" x14ac:dyDescent="0.25">
      <c r="I67" s="106"/>
      <c r="J67" s="106"/>
      <c r="K67" s="106"/>
    </row>
    <row r="68" spans="1:47" x14ac:dyDescent="0.25">
      <c r="B68" s="4"/>
      <c r="I68" s="106"/>
      <c r="J68" s="106"/>
      <c r="K68" s="106"/>
      <c r="L68" s="106"/>
    </row>
    <row r="70" spans="1:47" x14ac:dyDescent="0.25">
      <c r="B70" s="81"/>
      <c r="I70" s="106"/>
      <c r="J70" s="106"/>
      <c r="K70" s="106"/>
      <c r="L70" s="106"/>
      <c r="M70" s="106"/>
      <c r="N70" s="106"/>
      <c r="O70" s="106"/>
    </row>
    <row r="71" spans="1:47" x14ac:dyDescent="0.25">
      <c r="B71" s="81"/>
      <c r="I71" s="106"/>
      <c r="J71" s="106"/>
      <c r="K71" s="106"/>
      <c r="L71" s="106"/>
      <c r="M71" s="106"/>
      <c r="N71" s="106"/>
      <c r="O71" s="106"/>
    </row>
    <row r="72" spans="1:47" x14ac:dyDescent="0.25">
      <c r="B72" s="81"/>
      <c r="I72" s="106"/>
      <c r="J72" s="106"/>
      <c r="K72" s="106"/>
      <c r="L72" s="106"/>
      <c r="M72" s="106"/>
      <c r="R72" s="117"/>
      <c r="S72" s="117"/>
    </row>
    <row r="73" spans="1:47" x14ac:dyDescent="0.25">
      <c r="B73" s="81"/>
      <c r="I73" s="106"/>
      <c r="J73" s="106"/>
      <c r="K73" s="106"/>
      <c r="L73" s="106"/>
      <c r="M73" s="106"/>
      <c r="R73" s="117"/>
      <c r="S73" s="117"/>
    </row>
    <row r="74" spans="1:47" x14ac:dyDescent="0.25">
      <c r="B74" s="81"/>
      <c r="I74" s="106"/>
      <c r="J74" s="106"/>
      <c r="K74" s="106"/>
      <c r="L74" s="106"/>
      <c r="M74" s="106"/>
      <c r="R74" s="117"/>
      <c r="S74" s="117"/>
    </row>
    <row r="75" spans="1:47" x14ac:dyDescent="0.25">
      <c r="B75" s="81"/>
      <c r="I75" s="106"/>
      <c r="J75" s="106"/>
      <c r="K75" s="106"/>
      <c r="L75" s="106"/>
      <c r="M75" s="106"/>
      <c r="N75" s="106"/>
      <c r="O75" s="106"/>
      <c r="P75" s="106"/>
      <c r="Q75" s="106"/>
      <c r="R75" s="117"/>
      <c r="S75" s="117"/>
    </row>
    <row r="76" spans="1:47" x14ac:dyDescent="0.25">
      <c r="B76" s="81"/>
      <c r="I76" s="106"/>
      <c r="J76" s="106"/>
      <c r="K76" s="106"/>
      <c r="L76" s="106"/>
      <c r="M76" s="106"/>
      <c r="N76" s="106"/>
      <c r="O76" s="106"/>
      <c r="P76" s="106"/>
      <c r="Q76" s="106"/>
      <c r="R76" s="117"/>
      <c r="S76" s="117"/>
    </row>
    <row r="77" spans="1:47" x14ac:dyDescent="0.25">
      <c r="B77" s="81"/>
      <c r="I77" s="106"/>
      <c r="J77" s="106"/>
      <c r="K77" s="106"/>
      <c r="L77" s="106"/>
      <c r="M77" s="106"/>
      <c r="N77" s="106"/>
      <c r="O77" s="106"/>
      <c r="P77" s="106"/>
      <c r="Q77" s="106"/>
      <c r="R77" s="117"/>
      <c r="S77" s="117"/>
    </row>
    <row r="78" spans="1:47" ht="14.5" x14ac:dyDescent="0.25">
      <c r="A78" s="60"/>
      <c r="D78" s="54"/>
      <c r="I78" s="106"/>
      <c r="J78" s="106"/>
      <c r="K78" s="106"/>
      <c r="L78" s="106"/>
      <c r="M78" s="106"/>
      <c r="N78" s="106"/>
      <c r="O78" s="106"/>
      <c r="P78" s="106"/>
      <c r="Q78" s="106"/>
      <c r="R78" s="117"/>
      <c r="S78" s="117"/>
    </row>
    <row r="79" spans="1:47" ht="13.5" thickBot="1" x14ac:dyDescent="0.3">
      <c r="A79" s="61"/>
      <c r="D79" s="54"/>
      <c r="I79" s="106"/>
      <c r="J79" s="106"/>
      <c r="K79" s="106"/>
      <c r="L79" s="106"/>
      <c r="M79" s="106"/>
      <c r="N79" s="106"/>
      <c r="O79" s="106"/>
      <c r="P79" s="106"/>
      <c r="Q79" s="106"/>
    </row>
    <row r="80" spans="1:47" ht="60.5" customHeight="1" thickBot="1" x14ac:dyDescent="0.3">
      <c r="A80" s="234" t="s">
        <v>111</v>
      </c>
      <c r="B80" s="235"/>
      <c r="C80" s="235"/>
      <c r="D80" s="235"/>
      <c r="E80" s="235"/>
      <c r="F80" s="235"/>
      <c r="G80" s="235"/>
      <c r="H80" s="235"/>
      <c r="I80" s="235"/>
      <c r="J80" s="235"/>
      <c r="K80" s="235"/>
      <c r="L80" s="235"/>
      <c r="M80" s="235"/>
      <c r="N80" s="235"/>
      <c r="O80" s="235"/>
      <c r="P80" s="235"/>
      <c r="Q80" s="235"/>
      <c r="R80" s="235"/>
      <c r="S80" s="236"/>
      <c r="U80" s="242" t="s">
        <v>54</v>
      </c>
      <c r="V80" s="243"/>
      <c r="X80" s="255" t="s">
        <v>112</v>
      </c>
      <c r="Y80" s="256"/>
      <c r="Z80" s="256"/>
      <c r="AA80" s="256"/>
      <c r="AB80" s="256"/>
      <c r="AC80" s="256"/>
      <c r="AD80" s="256"/>
      <c r="AE80" s="256"/>
      <c r="AF80" s="256"/>
      <c r="AG80" s="256"/>
      <c r="AH80" s="256"/>
      <c r="AI80" s="256"/>
      <c r="AJ80" s="256"/>
      <c r="AK80" s="256"/>
      <c r="AL80" s="256"/>
      <c r="AM80" s="256"/>
      <c r="AN80" s="256"/>
      <c r="AO80" s="256"/>
      <c r="AP80" s="256"/>
      <c r="AQ80" s="256"/>
      <c r="AR80" s="257"/>
      <c r="AT80" s="244" t="s">
        <v>40</v>
      </c>
      <c r="AU80" s="245"/>
    </row>
    <row r="81" spans="1:47" ht="42" customHeight="1" x14ac:dyDescent="0.25">
      <c r="A81" s="30" t="s">
        <v>106</v>
      </c>
      <c r="E81" s="63"/>
      <c r="F81" s="64"/>
      <c r="H81" s="10"/>
      <c r="J81" s="237" t="s">
        <v>32</v>
      </c>
      <c r="K81" s="238"/>
      <c r="M81" s="246" t="s">
        <v>56</v>
      </c>
      <c r="N81" s="247"/>
      <c r="O81" s="30"/>
      <c r="P81" s="190" t="s">
        <v>84</v>
      </c>
      <c r="Q81" s="30"/>
      <c r="R81" s="248" t="s">
        <v>50</v>
      </c>
      <c r="S81" s="249"/>
      <c r="T81" s="59"/>
      <c r="U81" s="250" t="s">
        <v>59</v>
      </c>
      <c r="V81" s="252" t="s">
        <v>53</v>
      </c>
      <c r="W81" s="59"/>
      <c r="Y81" s="119" t="s">
        <v>17</v>
      </c>
      <c r="Z81" s="120" t="s">
        <v>18</v>
      </c>
      <c r="AT81" s="250" t="s">
        <v>42</v>
      </c>
      <c r="AU81" s="254" t="s">
        <v>41</v>
      </c>
    </row>
    <row r="82" spans="1:47" ht="73"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08" t="s">
        <v>9</v>
      </c>
      <c r="P82" s="53" t="s">
        <v>60</v>
      </c>
      <c r="Q82" s="30"/>
      <c r="R82" s="53" t="s">
        <v>52</v>
      </c>
      <c r="S82" s="53" t="s">
        <v>51</v>
      </c>
      <c r="T82" s="208" t="s">
        <v>9</v>
      </c>
      <c r="U82" s="251"/>
      <c r="V82" s="253"/>
      <c r="W82" s="59"/>
      <c r="X82" s="15" t="s">
        <v>9</v>
      </c>
      <c r="Y82" s="44" t="s">
        <v>81</v>
      </c>
      <c r="Z82" s="45" t="s">
        <v>82</v>
      </c>
      <c r="AG82" s="258" t="s">
        <v>55</v>
      </c>
      <c r="AH82" s="259"/>
      <c r="AI82" s="259"/>
      <c r="AJ82" s="259"/>
      <c r="AK82" s="259"/>
      <c r="AL82" s="259"/>
      <c r="AM82" s="259"/>
      <c r="AN82" s="260"/>
      <c r="AQ82" s="176" t="s">
        <v>77</v>
      </c>
      <c r="AR82" s="177" t="s">
        <v>78</v>
      </c>
      <c r="AT82" s="251"/>
      <c r="AU82" s="252"/>
    </row>
    <row r="83" spans="1:47" x14ac:dyDescent="0.25">
      <c r="A83" s="67">
        <v>0</v>
      </c>
      <c r="B83" s="67">
        <v>0</v>
      </c>
      <c r="C83" s="62"/>
      <c r="D83" s="68">
        <v>0</v>
      </c>
      <c r="E83" s="31">
        <f>H83</f>
        <v>242</v>
      </c>
      <c r="F83" s="3">
        <v>0</v>
      </c>
      <c r="G83" s="3">
        <v>0</v>
      </c>
      <c r="H83" s="49">
        <v>242</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0.5950413223140496</v>
      </c>
      <c r="AI83" s="156">
        <f>Z86</f>
        <v>0.45454545454545453</v>
      </c>
      <c r="AJ83" s="171">
        <f>AH83-AI83</f>
        <v>0.14049586776859507</v>
      </c>
      <c r="AK83" s="172">
        <f>X84-X83</f>
        <v>5</v>
      </c>
      <c r="AL83" s="157"/>
      <c r="AM83" s="32" t="s">
        <v>28</v>
      </c>
      <c r="AN83" s="166">
        <f>X85</f>
        <v>10</v>
      </c>
      <c r="AP83" s="14" t="s">
        <v>29</v>
      </c>
      <c r="AQ83" s="46">
        <f>AN84</f>
        <v>13.382352941176471</v>
      </c>
      <c r="AR83" s="47">
        <f>AN88</f>
        <v>13.285714285714286</v>
      </c>
      <c r="AT83" s="46">
        <f>AQ83-AQ101</f>
        <v>0.50747319129672164</v>
      </c>
      <c r="AU83" s="47">
        <f>AR83-AR101</f>
        <v>0.48809523809523903</v>
      </c>
    </row>
    <row r="84" spans="1:47" x14ac:dyDescent="0.3">
      <c r="A84" s="70">
        <v>0</v>
      </c>
      <c r="B84" s="70">
        <f>B83+F84</f>
        <v>45</v>
      </c>
      <c r="C84" s="71">
        <f>D83</f>
        <v>0</v>
      </c>
      <c r="D84" s="68">
        <v>5</v>
      </c>
      <c r="E84" s="68">
        <f>H83</f>
        <v>242</v>
      </c>
      <c r="F84" s="31">
        <f>E84-H84-G84</f>
        <v>45</v>
      </c>
      <c r="G84" s="68">
        <f>A84-A83</f>
        <v>0</v>
      </c>
      <c r="H84" s="49">
        <v>197</v>
      </c>
      <c r="I84" s="72">
        <f>F84/E84</f>
        <v>0.18595041322314049</v>
      </c>
      <c r="J84" s="29">
        <f>1-I84</f>
        <v>0.81404958677685957</v>
      </c>
      <c r="K84" s="29">
        <f>J84*K83</f>
        <v>0.81404958677685957</v>
      </c>
      <c r="L84" s="62"/>
      <c r="M84" s="124">
        <f t="shared" ref="M84:M92" si="63">AVERAGE(K83:K84)*(D84-D83)</f>
        <v>4.535123966942149</v>
      </c>
      <c r="N84" s="46">
        <f>M84</f>
        <v>4.535123966942149</v>
      </c>
      <c r="O84" s="125">
        <f t="shared" ref="O84:O92" si="64">D84</f>
        <v>5</v>
      </c>
      <c r="P84" s="123">
        <f>H84/H83</f>
        <v>0.81404958677685946</v>
      </c>
      <c r="Q84" s="30"/>
      <c r="R84" s="126">
        <f t="shared" ref="R84:R92" si="65">AVERAGE(P83:P84)*(D84-D83)</f>
        <v>4.5351239669421481</v>
      </c>
      <c r="S84" s="126">
        <f>R84</f>
        <v>4.5351239669421481</v>
      </c>
      <c r="T84" s="127">
        <f t="shared" ref="T84:T92" si="66">D84</f>
        <v>5</v>
      </c>
      <c r="U84" s="46">
        <f t="shared" ref="U84:U92" si="67">N84-N102</f>
        <v>0.10905392803164293</v>
      </c>
      <c r="V84" s="128">
        <f t="shared" ref="V84:V92" si="68">S84-S102</f>
        <v>0.11878155449078598</v>
      </c>
      <c r="W84" s="184" t="s">
        <v>71</v>
      </c>
      <c r="X84" s="81">
        <f t="shared" si="60"/>
        <v>5</v>
      </c>
      <c r="Y84" s="16">
        <f t="shared" si="61"/>
        <v>0.81404958677685946</v>
      </c>
      <c r="Z84" s="17">
        <f t="shared" si="62"/>
        <v>0.81404958677685957</v>
      </c>
      <c r="AB84" s="129"/>
      <c r="AC84" s="25"/>
      <c r="AD84" s="25"/>
      <c r="AG84" s="158"/>
      <c r="AH84" s="175">
        <f>AH83</f>
        <v>0.5950413223140496</v>
      </c>
      <c r="AI84" s="175">
        <v>0.5</v>
      </c>
      <c r="AJ84" s="173">
        <f>AH84-AI84</f>
        <v>9.5041322314049603E-2</v>
      </c>
      <c r="AK84" s="174">
        <f>AJ84*AK83/AJ83</f>
        <v>3.3823529411764706</v>
      </c>
      <c r="AL84" s="159"/>
      <c r="AM84" s="160" t="s">
        <v>11</v>
      </c>
      <c r="AN84" s="161">
        <f>AN83+AK84</f>
        <v>13.382352941176471</v>
      </c>
      <c r="AP84" s="14" t="s">
        <v>12</v>
      </c>
      <c r="AQ84" s="48">
        <f t="shared" ref="AQ84:AQ85" si="69">AN85</f>
        <v>120.32352941176471</v>
      </c>
      <c r="AR84" s="49">
        <f t="shared" ref="AR84:AR85" si="70">AN89</f>
        <v>121</v>
      </c>
      <c r="AU84" s="81"/>
    </row>
    <row r="85" spans="1:47" x14ac:dyDescent="0.3">
      <c r="A85" s="67">
        <v>0</v>
      </c>
      <c r="B85" s="70">
        <f t="shared" ref="B85:B92" si="71">B84+F85</f>
        <v>98</v>
      </c>
      <c r="C85" s="71">
        <f t="shared" ref="C85:C92" si="72">D84</f>
        <v>5</v>
      </c>
      <c r="D85" s="68">
        <v>10</v>
      </c>
      <c r="E85" s="68">
        <f t="shared" ref="E85:E92" si="73">H84</f>
        <v>197</v>
      </c>
      <c r="F85" s="31">
        <f t="shared" ref="F85:F92" si="74">E85-H85-G85</f>
        <v>53</v>
      </c>
      <c r="G85" s="68">
        <f t="shared" ref="G85:G92" si="75">A85-A84</f>
        <v>0</v>
      </c>
      <c r="H85" s="49">
        <v>144</v>
      </c>
      <c r="I85" s="72">
        <f t="shared" ref="I85:I92" si="76">F85/E85</f>
        <v>0.26903553299492383</v>
      </c>
      <c r="J85" s="29">
        <f t="shared" ref="J85:J92" si="77">1-I85</f>
        <v>0.73096446700507611</v>
      </c>
      <c r="K85" s="29">
        <f t="shared" ref="K85:K92" si="78">J85*K84</f>
        <v>0.5950413223140496</v>
      </c>
      <c r="L85" s="62"/>
      <c r="M85" s="124">
        <f t="shared" si="63"/>
        <v>3.5227272727272729</v>
      </c>
      <c r="N85" s="46">
        <f t="shared" ref="N85:N92" si="79">M85+N84</f>
        <v>8.0578512396694215</v>
      </c>
      <c r="O85" s="125">
        <f t="shared" si="64"/>
        <v>10</v>
      </c>
      <c r="P85" s="123">
        <f>H85/H83</f>
        <v>0.5950413223140496</v>
      </c>
      <c r="Q85" s="30"/>
      <c r="R85" s="126">
        <f t="shared" si="65"/>
        <v>3.5227272727272729</v>
      </c>
      <c r="S85" s="126">
        <f>R85+S84</f>
        <v>8.0578512396694215</v>
      </c>
      <c r="T85" s="127">
        <f t="shared" si="66"/>
        <v>10</v>
      </c>
      <c r="U85" s="46">
        <f t="shared" si="67"/>
        <v>0.21960636025248625</v>
      </c>
      <c r="V85" s="128">
        <f t="shared" si="68"/>
        <v>0.24656719297681384</v>
      </c>
      <c r="W85" s="184" t="s">
        <v>71</v>
      </c>
      <c r="X85" s="81">
        <f t="shared" si="60"/>
        <v>10</v>
      </c>
      <c r="Y85" s="16">
        <f t="shared" si="61"/>
        <v>0.5950413223140496</v>
      </c>
      <c r="Z85" s="17">
        <f t="shared" si="62"/>
        <v>0.5950413223140496</v>
      </c>
      <c r="AC85" s="25"/>
      <c r="AD85" s="25"/>
      <c r="AG85" s="147" t="s">
        <v>15</v>
      </c>
      <c r="AH85" s="181">
        <f>H85</f>
        <v>144</v>
      </c>
      <c r="AI85" s="181">
        <f>H86</f>
        <v>109</v>
      </c>
      <c r="AJ85" s="167">
        <f>AH85-AI85</f>
        <v>35</v>
      </c>
      <c r="AK85" s="168">
        <f>AK83</f>
        <v>5</v>
      </c>
      <c r="AL85" s="159"/>
      <c r="AM85" s="160" t="s">
        <v>12</v>
      </c>
      <c r="AN85" s="162">
        <f>AH85-AJ86</f>
        <v>120.32352941176471</v>
      </c>
      <c r="AP85" s="14" t="s">
        <v>13</v>
      </c>
      <c r="AQ85" s="50">
        <f t="shared" si="69"/>
        <v>0.49720466699076327</v>
      </c>
      <c r="AR85" s="51">
        <f t="shared" si="70"/>
        <v>0.5</v>
      </c>
      <c r="AU85" s="81"/>
    </row>
    <row r="86" spans="1:47" x14ac:dyDescent="0.3">
      <c r="A86" s="70">
        <v>1</v>
      </c>
      <c r="B86" s="70">
        <f t="shared" si="71"/>
        <v>132</v>
      </c>
      <c r="C86" s="71">
        <f t="shared" si="72"/>
        <v>10</v>
      </c>
      <c r="D86" s="68">
        <v>15</v>
      </c>
      <c r="E86" s="68">
        <f t="shared" si="73"/>
        <v>144</v>
      </c>
      <c r="F86" s="31">
        <f t="shared" si="74"/>
        <v>34</v>
      </c>
      <c r="G86" s="68">
        <f t="shared" si="75"/>
        <v>1</v>
      </c>
      <c r="H86" s="49">
        <v>109</v>
      </c>
      <c r="I86" s="72">
        <f t="shared" si="76"/>
        <v>0.2361111111111111</v>
      </c>
      <c r="J86" s="29">
        <f t="shared" si="77"/>
        <v>0.76388888888888884</v>
      </c>
      <c r="K86" s="29">
        <f t="shared" si="78"/>
        <v>0.45454545454545453</v>
      </c>
      <c r="L86" s="62"/>
      <c r="M86" s="124">
        <f t="shared" si="63"/>
        <v>2.6239669421487606</v>
      </c>
      <c r="N86" s="46">
        <f t="shared" si="79"/>
        <v>10.681818181818182</v>
      </c>
      <c r="O86" s="125">
        <f t="shared" si="64"/>
        <v>15</v>
      </c>
      <c r="P86" s="123">
        <f>H86/H83</f>
        <v>0.45041322314049587</v>
      </c>
      <c r="Q86" s="30"/>
      <c r="R86" s="126">
        <f t="shared" si="65"/>
        <v>2.6136363636363633</v>
      </c>
      <c r="S86" s="126">
        <f t="shared" ref="S86:S92" si="80">R86+S85</f>
        <v>10.671487603305785</v>
      </c>
      <c r="T86" s="127">
        <f t="shared" si="66"/>
        <v>15</v>
      </c>
      <c r="U86" s="46">
        <f t="shared" si="67"/>
        <v>0.28199792070301122</v>
      </c>
      <c r="V86" s="128">
        <f t="shared" si="68"/>
        <v>0.31156542431745748</v>
      </c>
      <c r="W86" s="184" t="s">
        <v>71</v>
      </c>
      <c r="X86" s="81">
        <f t="shared" si="60"/>
        <v>15</v>
      </c>
      <c r="Y86" s="16">
        <f t="shared" si="61"/>
        <v>0.45041322314049587</v>
      </c>
      <c r="Z86" s="17">
        <f t="shared" si="62"/>
        <v>0.45454545454545453</v>
      </c>
      <c r="AC86" s="25"/>
      <c r="AD86" s="25"/>
      <c r="AG86" s="18"/>
      <c r="AH86" s="19"/>
      <c r="AI86" s="19"/>
      <c r="AJ86" s="169">
        <f>AJ85*AK86/AK85</f>
        <v>23.676470588235293</v>
      </c>
      <c r="AK86" s="170">
        <f>AK84</f>
        <v>3.3823529411764706</v>
      </c>
      <c r="AL86" s="163"/>
      <c r="AM86" s="164" t="s">
        <v>13</v>
      </c>
      <c r="AN86" s="165">
        <f>AN85/H83</f>
        <v>0.49720466699076327</v>
      </c>
      <c r="AU86" s="81"/>
    </row>
    <row r="87" spans="1:47" x14ac:dyDescent="0.3">
      <c r="A87" s="67">
        <v>1</v>
      </c>
      <c r="B87" s="70">
        <f t="shared" si="71"/>
        <v>157</v>
      </c>
      <c r="C87" s="71">
        <f t="shared" si="72"/>
        <v>15</v>
      </c>
      <c r="D87" s="68">
        <v>20</v>
      </c>
      <c r="E87" s="68">
        <f t="shared" si="73"/>
        <v>109</v>
      </c>
      <c r="F87" s="31">
        <f t="shared" si="74"/>
        <v>25</v>
      </c>
      <c r="G87" s="68">
        <f t="shared" si="75"/>
        <v>0</v>
      </c>
      <c r="H87" s="49">
        <v>84</v>
      </c>
      <c r="I87" s="72">
        <f t="shared" si="76"/>
        <v>0.22935779816513763</v>
      </c>
      <c r="J87" s="29">
        <f t="shared" si="77"/>
        <v>0.77064220183486243</v>
      </c>
      <c r="K87" s="29">
        <f t="shared" si="78"/>
        <v>0.35029190992493747</v>
      </c>
      <c r="L87" s="62"/>
      <c r="M87" s="124">
        <f t="shared" si="63"/>
        <v>2.0120934111759801</v>
      </c>
      <c r="N87" s="46">
        <f t="shared" si="79"/>
        <v>12.693911592994162</v>
      </c>
      <c r="O87" s="125">
        <f t="shared" si="64"/>
        <v>20</v>
      </c>
      <c r="P87" s="123">
        <f>H87/H83</f>
        <v>0.34710743801652894</v>
      </c>
      <c r="Q87" s="30"/>
      <c r="R87" s="126">
        <f t="shared" si="65"/>
        <v>1.9938016528925619</v>
      </c>
      <c r="S87" s="126">
        <f t="shared" si="80"/>
        <v>12.665289256198347</v>
      </c>
      <c r="T87" s="127">
        <f t="shared" si="66"/>
        <v>20</v>
      </c>
      <c r="U87" s="46">
        <f t="shared" si="67"/>
        <v>0.32891327187385677</v>
      </c>
      <c r="V87" s="128">
        <f t="shared" si="68"/>
        <v>0.3501141589220822</v>
      </c>
      <c r="W87" s="184" t="s">
        <v>71</v>
      </c>
      <c r="X87" s="81">
        <f t="shared" si="60"/>
        <v>20</v>
      </c>
      <c r="Y87" s="16">
        <f t="shared" si="61"/>
        <v>0.34710743801652894</v>
      </c>
      <c r="Z87" s="17">
        <f t="shared" si="62"/>
        <v>0.35029190992493747</v>
      </c>
      <c r="AC87" s="25"/>
      <c r="AD87" s="25"/>
      <c r="AG87" s="144" t="s">
        <v>14</v>
      </c>
      <c r="AH87" s="145">
        <f>Y85</f>
        <v>0.5950413223140496</v>
      </c>
      <c r="AI87" s="145">
        <f>Y86</f>
        <v>0.45041322314049587</v>
      </c>
      <c r="AJ87" s="171">
        <f>AH87-AI87</f>
        <v>0.14462809917355374</v>
      </c>
      <c r="AK87" s="172">
        <f>X88-X87</f>
        <v>5</v>
      </c>
      <c r="AL87" s="146"/>
      <c r="AM87" s="32" t="s">
        <v>28</v>
      </c>
      <c r="AN87" s="166">
        <f>X85</f>
        <v>10</v>
      </c>
      <c r="AU87" s="81"/>
    </row>
    <row r="88" spans="1:47" x14ac:dyDescent="0.3">
      <c r="A88" s="70">
        <v>2</v>
      </c>
      <c r="B88" s="70">
        <f t="shared" si="71"/>
        <v>170</v>
      </c>
      <c r="C88" s="71">
        <f t="shared" si="72"/>
        <v>20</v>
      </c>
      <c r="D88" s="68">
        <v>25</v>
      </c>
      <c r="E88" s="68">
        <f t="shared" si="73"/>
        <v>84</v>
      </c>
      <c r="F88" s="31">
        <f t="shared" si="74"/>
        <v>13</v>
      </c>
      <c r="G88" s="68">
        <f t="shared" si="75"/>
        <v>1</v>
      </c>
      <c r="H88" s="49">
        <v>70</v>
      </c>
      <c r="I88" s="72">
        <f t="shared" si="76"/>
        <v>0.15476190476190477</v>
      </c>
      <c r="J88" s="29">
        <f t="shared" si="77"/>
        <v>0.84523809523809523</v>
      </c>
      <c r="K88" s="29">
        <f t="shared" si="78"/>
        <v>0.29608006672226855</v>
      </c>
      <c r="L88" s="62"/>
      <c r="M88" s="124">
        <f t="shared" si="63"/>
        <v>1.6159299416180151</v>
      </c>
      <c r="N88" s="46">
        <f t="shared" si="79"/>
        <v>14.309841534612177</v>
      </c>
      <c r="O88" s="125">
        <f t="shared" si="64"/>
        <v>25</v>
      </c>
      <c r="P88" s="123">
        <f>H88/H83</f>
        <v>0.28925619834710742</v>
      </c>
      <c r="Q88" s="30"/>
      <c r="R88" s="126">
        <f t="shared" si="65"/>
        <v>1.5909090909090908</v>
      </c>
      <c r="S88" s="126">
        <f t="shared" si="80"/>
        <v>14.256198347107439</v>
      </c>
      <c r="T88" s="127">
        <f t="shared" si="66"/>
        <v>25</v>
      </c>
      <c r="U88" s="46">
        <f t="shared" si="67"/>
        <v>0.35119135388571721</v>
      </c>
      <c r="V88" s="128">
        <f t="shared" si="68"/>
        <v>0.37487538990899516</v>
      </c>
      <c r="W88" s="184" t="s">
        <v>71</v>
      </c>
      <c r="X88" s="81">
        <f t="shared" si="60"/>
        <v>25</v>
      </c>
      <c r="Y88" s="16">
        <f t="shared" si="61"/>
        <v>0.28925619834710742</v>
      </c>
      <c r="Z88" s="17">
        <f t="shared" si="62"/>
        <v>0.29608006672226855</v>
      </c>
      <c r="AG88" s="147"/>
      <c r="AH88" s="175">
        <f>AH87</f>
        <v>0.5950413223140496</v>
      </c>
      <c r="AI88" s="175">
        <v>0.5</v>
      </c>
      <c r="AJ88" s="173">
        <f>AH88-AI88</f>
        <v>9.5041322314049603E-2</v>
      </c>
      <c r="AK88" s="174">
        <f>AJ88*AK87/AJ87</f>
        <v>3.285714285714286</v>
      </c>
      <c r="AL88" s="148"/>
      <c r="AM88" s="149" t="s">
        <v>11</v>
      </c>
      <c r="AN88" s="150">
        <f>AN87+AK88</f>
        <v>13.285714285714286</v>
      </c>
      <c r="AU88" s="81"/>
    </row>
    <row r="89" spans="1:47" x14ac:dyDescent="0.3">
      <c r="A89" s="67">
        <v>17</v>
      </c>
      <c r="B89" s="70">
        <f t="shared" si="71"/>
        <v>173</v>
      </c>
      <c r="C89" s="71">
        <f t="shared" si="72"/>
        <v>25</v>
      </c>
      <c r="D89" s="68">
        <v>30</v>
      </c>
      <c r="E89" s="68">
        <f t="shared" si="73"/>
        <v>70</v>
      </c>
      <c r="F89" s="31">
        <f t="shared" si="74"/>
        <v>3</v>
      </c>
      <c r="G89" s="68">
        <f t="shared" si="75"/>
        <v>15</v>
      </c>
      <c r="H89" s="49">
        <v>52</v>
      </c>
      <c r="I89" s="72">
        <f t="shared" si="76"/>
        <v>4.2857142857142858E-2</v>
      </c>
      <c r="J89" s="29">
        <f t="shared" si="77"/>
        <v>0.95714285714285718</v>
      </c>
      <c r="K89" s="29">
        <f t="shared" si="78"/>
        <v>0.28339092100559993</v>
      </c>
      <c r="L89" s="62"/>
      <c r="M89" s="124">
        <f t="shared" si="63"/>
        <v>1.4486774693196713</v>
      </c>
      <c r="N89" s="46">
        <f t="shared" si="79"/>
        <v>15.758519003931848</v>
      </c>
      <c r="O89" s="125">
        <f t="shared" si="64"/>
        <v>30</v>
      </c>
      <c r="P89" s="123">
        <f>H89/H83</f>
        <v>0.21487603305785125</v>
      </c>
      <c r="Q89" s="30"/>
      <c r="R89" s="126">
        <f t="shared" si="65"/>
        <v>1.2603305785123966</v>
      </c>
      <c r="S89" s="126">
        <f t="shared" si="80"/>
        <v>15.516528925619836</v>
      </c>
      <c r="T89" s="127">
        <f t="shared" si="66"/>
        <v>30</v>
      </c>
      <c r="U89" s="46">
        <f t="shared" si="67"/>
        <v>0.48248719833200937</v>
      </c>
      <c r="V89" s="128">
        <f t="shared" si="68"/>
        <v>0.53598417853812386</v>
      </c>
      <c r="W89" s="184" t="s">
        <v>71</v>
      </c>
      <c r="X89" s="81">
        <f t="shared" si="60"/>
        <v>30</v>
      </c>
      <c r="Y89" s="16">
        <f t="shared" si="61"/>
        <v>0.21487603305785125</v>
      </c>
      <c r="Z89" s="17">
        <f t="shared" si="62"/>
        <v>0.28339092100559993</v>
      </c>
      <c r="AG89" s="147" t="s">
        <v>15</v>
      </c>
      <c r="AH89" s="181">
        <f>H85</f>
        <v>144</v>
      </c>
      <c r="AI89" s="181">
        <f>H86</f>
        <v>109</v>
      </c>
      <c r="AJ89" s="167">
        <f>AH89-AI89</f>
        <v>35</v>
      </c>
      <c r="AK89" s="168">
        <f>AK87</f>
        <v>5</v>
      </c>
      <c r="AL89" s="148"/>
      <c r="AM89" s="149" t="s">
        <v>12</v>
      </c>
      <c r="AN89" s="151">
        <f>AH89-AJ90</f>
        <v>121</v>
      </c>
      <c r="AU89" s="81"/>
    </row>
    <row r="90" spans="1:47" x14ac:dyDescent="0.3">
      <c r="A90" s="70">
        <v>37</v>
      </c>
      <c r="B90" s="70">
        <f t="shared" si="71"/>
        <v>176</v>
      </c>
      <c r="C90" s="71">
        <f t="shared" si="72"/>
        <v>30</v>
      </c>
      <c r="D90" s="68">
        <v>35</v>
      </c>
      <c r="E90" s="68">
        <f t="shared" si="73"/>
        <v>52</v>
      </c>
      <c r="F90" s="31">
        <f t="shared" si="74"/>
        <v>3</v>
      </c>
      <c r="G90" s="68">
        <f t="shared" si="75"/>
        <v>20</v>
      </c>
      <c r="H90" s="49">
        <v>29</v>
      </c>
      <c r="I90" s="72">
        <f t="shared" si="76"/>
        <v>5.7692307692307696E-2</v>
      </c>
      <c r="J90" s="29">
        <f t="shared" si="77"/>
        <v>0.94230769230769229</v>
      </c>
      <c r="K90" s="29">
        <f t="shared" si="78"/>
        <v>0.26704144479373837</v>
      </c>
      <c r="L90" s="62"/>
      <c r="M90" s="124">
        <f t="shared" si="63"/>
        <v>1.3760809144983457</v>
      </c>
      <c r="N90" s="46">
        <f t="shared" si="79"/>
        <v>17.134599918430194</v>
      </c>
      <c r="O90" s="125">
        <f t="shared" si="64"/>
        <v>35</v>
      </c>
      <c r="P90" s="123">
        <f>H90/H83</f>
        <v>0.11983471074380166</v>
      </c>
      <c r="Q90" s="30"/>
      <c r="R90" s="126">
        <f t="shared" si="65"/>
        <v>0.83677685950413228</v>
      </c>
      <c r="S90" s="126">
        <f t="shared" si="80"/>
        <v>16.353305785123968</v>
      </c>
      <c r="T90" s="127">
        <f t="shared" si="66"/>
        <v>35</v>
      </c>
      <c r="U90" s="46">
        <f t="shared" si="67"/>
        <v>0.66022558738189119</v>
      </c>
      <c r="V90" s="128">
        <f t="shared" si="68"/>
        <v>0.75019294465704256</v>
      </c>
      <c r="W90" s="184" t="s">
        <v>71</v>
      </c>
      <c r="X90" s="81">
        <f t="shared" si="60"/>
        <v>35</v>
      </c>
      <c r="Y90" s="16">
        <f t="shared" si="61"/>
        <v>0.11983471074380166</v>
      </c>
      <c r="Z90" s="17">
        <f t="shared" si="62"/>
        <v>0.26704144479373837</v>
      </c>
      <c r="AG90" s="18"/>
      <c r="AH90" s="19"/>
      <c r="AI90" s="19"/>
      <c r="AJ90" s="169">
        <f>AJ89*AK90/AK89</f>
        <v>23.000000000000004</v>
      </c>
      <c r="AK90" s="170">
        <f>AK88</f>
        <v>3.285714285714286</v>
      </c>
      <c r="AL90" s="152"/>
      <c r="AM90" s="153" t="s">
        <v>13</v>
      </c>
      <c r="AN90" s="154">
        <f>AN89/H83</f>
        <v>0.5</v>
      </c>
      <c r="AU90" s="81"/>
    </row>
    <row r="91" spans="1:47" x14ac:dyDescent="0.3">
      <c r="A91" s="67">
        <v>60</v>
      </c>
      <c r="B91" s="70">
        <f t="shared" si="71"/>
        <v>177</v>
      </c>
      <c r="C91" s="71">
        <f t="shared" si="72"/>
        <v>35</v>
      </c>
      <c r="D91" s="68">
        <v>40</v>
      </c>
      <c r="E91" s="68">
        <f t="shared" si="73"/>
        <v>29</v>
      </c>
      <c r="F91" s="31">
        <f t="shared" si="74"/>
        <v>1</v>
      </c>
      <c r="G91" s="68">
        <f t="shared" si="75"/>
        <v>23</v>
      </c>
      <c r="H91" s="49">
        <v>5</v>
      </c>
      <c r="I91" s="72">
        <f t="shared" si="76"/>
        <v>3.4482758620689655E-2</v>
      </c>
      <c r="J91" s="29">
        <f t="shared" si="77"/>
        <v>0.96551724137931039</v>
      </c>
      <c r="K91" s="29">
        <f t="shared" si="78"/>
        <v>0.25783311911119566</v>
      </c>
      <c r="L91" s="62"/>
      <c r="M91" s="124">
        <f t="shared" si="63"/>
        <v>1.312186409762335</v>
      </c>
      <c r="N91" s="46">
        <f t="shared" si="79"/>
        <v>18.44678632819253</v>
      </c>
      <c r="O91" s="125">
        <f t="shared" si="64"/>
        <v>40</v>
      </c>
      <c r="P91" s="123">
        <f>H91/H83</f>
        <v>2.0661157024793389E-2</v>
      </c>
      <c r="Q91" s="30"/>
      <c r="R91" s="126">
        <f t="shared" si="65"/>
        <v>0.3512396694214876</v>
      </c>
      <c r="S91" s="126">
        <f t="shared" si="80"/>
        <v>16.704545454545457</v>
      </c>
      <c r="T91" s="127">
        <f t="shared" si="66"/>
        <v>40</v>
      </c>
      <c r="U91" s="46">
        <f t="shared" si="67"/>
        <v>0.83045406898160579</v>
      </c>
      <c r="V91" s="128">
        <f t="shared" si="68"/>
        <v>0.77069331446763556</v>
      </c>
      <c r="W91" s="184" t="s">
        <v>71</v>
      </c>
      <c r="X91" s="81">
        <f t="shared" si="60"/>
        <v>40</v>
      </c>
      <c r="Y91" s="16">
        <f t="shared" si="61"/>
        <v>2.0661157024793389E-2</v>
      </c>
      <c r="Z91" s="17">
        <f t="shared" si="62"/>
        <v>0.25783311911119566</v>
      </c>
      <c r="AU91" s="81"/>
    </row>
    <row r="92" spans="1:47" x14ac:dyDescent="0.3">
      <c r="A92" s="70">
        <v>65</v>
      </c>
      <c r="B92" s="70">
        <f t="shared" si="71"/>
        <v>177</v>
      </c>
      <c r="C92" s="71">
        <f t="shared" si="72"/>
        <v>40</v>
      </c>
      <c r="D92" s="68">
        <v>45</v>
      </c>
      <c r="E92" s="68">
        <f t="shared" si="73"/>
        <v>5</v>
      </c>
      <c r="F92" s="31">
        <f t="shared" si="74"/>
        <v>0</v>
      </c>
      <c r="G92" s="68">
        <f t="shared" si="75"/>
        <v>5</v>
      </c>
      <c r="H92" s="49">
        <v>0</v>
      </c>
      <c r="I92" s="72">
        <f t="shared" si="76"/>
        <v>0</v>
      </c>
      <c r="J92" s="29">
        <f t="shared" si="77"/>
        <v>1</v>
      </c>
      <c r="K92" s="29">
        <f t="shared" si="78"/>
        <v>0.25783311911119566</v>
      </c>
      <c r="L92" s="62"/>
      <c r="M92" s="124">
        <f t="shared" si="63"/>
        <v>1.2891655955559784</v>
      </c>
      <c r="N92" s="46">
        <f t="shared" si="79"/>
        <v>19.735951923748509</v>
      </c>
      <c r="O92" s="125">
        <f t="shared" si="64"/>
        <v>45</v>
      </c>
      <c r="P92" s="123">
        <f>H92/H83</f>
        <v>0</v>
      </c>
      <c r="Q92" s="30"/>
      <c r="R92" s="126">
        <f t="shared" si="65"/>
        <v>5.1652892561983473E-2</v>
      </c>
      <c r="S92" s="126">
        <f t="shared" si="80"/>
        <v>16.756198347107439</v>
      </c>
      <c r="T92" s="127">
        <f t="shared" si="66"/>
        <v>45</v>
      </c>
      <c r="U92" s="46">
        <f t="shared" si="67"/>
        <v>1.0483645724525736</v>
      </c>
      <c r="V92" s="128">
        <f t="shared" si="68"/>
        <v>0.68615943660160283</v>
      </c>
      <c r="W92" s="184" t="s">
        <v>71</v>
      </c>
      <c r="X92" s="81">
        <f t="shared" si="60"/>
        <v>45</v>
      </c>
      <c r="Y92" s="16">
        <f t="shared" si="61"/>
        <v>0</v>
      </c>
      <c r="Z92" s="17">
        <f t="shared" si="62"/>
        <v>0.25783311911119566</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177</v>
      </c>
      <c r="G94" s="56">
        <f>SUM(G84:G92)</f>
        <v>65</v>
      </c>
      <c r="H94" s="140">
        <f>H83-F94-G94</f>
        <v>0</v>
      </c>
      <c r="I94" s="75"/>
      <c r="J94" s="75"/>
      <c r="K94" s="75"/>
      <c r="L94" s="75"/>
      <c r="M94" s="75"/>
      <c r="N94" s="75"/>
      <c r="O94" s="75"/>
      <c r="P94" s="261" t="s">
        <v>67</v>
      </c>
      <c r="Q94" s="262"/>
      <c r="R94" s="262"/>
      <c r="S94" s="263"/>
      <c r="T94" s="75"/>
      <c r="U94" s="75"/>
      <c r="V94" s="75"/>
      <c r="W94" s="75"/>
      <c r="X94" s="75"/>
      <c r="Y94" s="75"/>
      <c r="AC94" s="25"/>
      <c r="AD94" s="25"/>
    </row>
    <row r="95" spans="1:47" x14ac:dyDescent="0.25">
      <c r="D95" s="82"/>
      <c r="F95" s="11">
        <f>F94/E83</f>
        <v>0.73140495867768596</v>
      </c>
      <c r="G95" s="12">
        <f>G94/E83</f>
        <v>0.26859504132231404</v>
      </c>
      <c r="H95" s="13">
        <f>H94/E83</f>
        <v>0</v>
      </c>
      <c r="I95" s="75"/>
      <c r="J95" s="75"/>
      <c r="K95" s="75"/>
      <c r="L95" s="75"/>
      <c r="M95" s="75"/>
      <c r="N95" s="75"/>
      <c r="O95" s="75"/>
      <c r="P95" s="264"/>
      <c r="Q95" s="265"/>
      <c r="R95" s="265"/>
      <c r="S95" s="266"/>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67"/>
      <c r="Q96" s="268"/>
      <c r="R96" s="268"/>
      <c r="S96" s="269"/>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ht="9.5" customHeight="1"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35" customHeight="1" x14ac:dyDescent="0.25">
      <c r="A99" s="30" t="s">
        <v>105</v>
      </c>
      <c r="E99" s="63"/>
      <c r="F99" s="64"/>
      <c r="H99" s="10"/>
      <c r="J99" s="237" t="s">
        <v>32</v>
      </c>
      <c r="K99" s="238"/>
      <c r="M99" s="246" t="s">
        <v>56</v>
      </c>
      <c r="N99" s="247"/>
      <c r="O99" s="30"/>
      <c r="P99" s="190" t="s">
        <v>84</v>
      </c>
      <c r="Q99" s="30"/>
      <c r="R99" s="248" t="s">
        <v>50</v>
      </c>
      <c r="S99" s="249"/>
      <c r="T99" s="59"/>
      <c r="U99" s="59"/>
      <c r="V99" s="59"/>
      <c r="W99" s="59"/>
      <c r="X99" s="130"/>
      <c r="Y99" s="119" t="s">
        <v>17</v>
      </c>
      <c r="Z99" s="120" t="s">
        <v>18</v>
      </c>
    </row>
    <row r="100" spans="1:44" ht="71.5" customHeight="1" x14ac:dyDescent="0.25">
      <c r="A100" s="39" t="s">
        <v>22</v>
      </c>
      <c r="B100" s="4" t="s">
        <v>23</v>
      </c>
      <c r="C100" s="1" t="s">
        <v>21</v>
      </c>
      <c r="D100" s="40" t="s">
        <v>24</v>
      </c>
      <c r="E100" s="1" t="s">
        <v>30</v>
      </c>
      <c r="F100" s="2" t="s">
        <v>25</v>
      </c>
      <c r="G100" s="2" t="s">
        <v>26</v>
      </c>
      <c r="H100" s="27" t="s">
        <v>72</v>
      </c>
      <c r="I100" s="2" t="s">
        <v>27</v>
      </c>
      <c r="J100" s="35" t="s">
        <v>33</v>
      </c>
      <c r="K100" s="41" t="s">
        <v>34</v>
      </c>
      <c r="M100" s="42" t="s">
        <v>58</v>
      </c>
      <c r="N100" s="42" t="s">
        <v>57</v>
      </c>
      <c r="O100" s="208" t="s">
        <v>9</v>
      </c>
      <c r="P100" s="53" t="s">
        <v>60</v>
      </c>
      <c r="Q100" s="30"/>
      <c r="R100" s="53" t="s">
        <v>52</v>
      </c>
      <c r="S100" s="53" t="s">
        <v>51</v>
      </c>
      <c r="T100" s="59"/>
      <c r="U100" s="59"/>
      <c r="V100" s="59"/>
      <c r="W100" s="59"/>
      <c r="X100" s="15" t="s">
        <v>9</v>
      </c>
      <c r="Y100" s="44" t="s">
        <v>79</v>
      </c>
      <c r="Z100" s="45" t="s">
        <v>80</v>
      </c>
      <c r="AG100" s="258" t="s">
        <v>55</v>
      </c>
      <c r="AH100" s="259"/>
      <c r="AI100" s="259"/>
      <c r="AJ100" s="259"/>
      <c r="AK100" s="259"/>
      <c r="AL100" s="259"/>
      <c r="AM100" s="259"/>
      <c r="AN100" s="260"/>
      <c r="AQ100" s="176" t="s">
        <v>77</v>
      </c>
      <c r="AR100" s="177" t="s">
        <v>78</v>
      </c>
    </row>
    <row r="101" spans="1:44" ht="15.5" customHeight="1" x14ac:dyDescent="0.25">
      <c r="A101" s="67">
        <v>0</v>
      </c>
      <c r="B101" s="67">
        <v>0</v>
      </c>
      <c r="C101" s="62"/>
      <c r="D101" s="68">
        <v>0</v>
      </c>
      <c r="E101" s="31">
        <f>H101</f>
        <v>257</v>
      </c>
      <c r="F101" s="3">
        <v>0</v>
      </c>
      <c r="G101" s="3">
        <v>0</v>
      </c>
      <c r="H101" s="49">
        <v>257</v>
      </c>
      <c r="I101" s="69">
        <f>F101/E101</f>
        <v>0</v>
      </c>
      <c r="J101" s="29">
        <f>1-I101</f>
        <v>1</v>
      </c>
      <c r="K101" s="29">
        <f>J101</f>
        <v>1</v>
      </c>
      <c r="L101" s="62"/>
      <c r="M101" s="121"/>
      <c r="N101" s="122"/>
      <c r="P101" s="123">
        <f>H101/H101</f>
        <v>1</v>
      </c>
      <c r="Q101" s="30"/>
      <c r="S101" s="59"/>
      <c r="T101" s="59"/>
      <c r="U101" s="59"/>
      <c r="V101" s="59"/>
      <c r="W101" s="59"/>
      <c r="X101" s="81">
        <f t="shared" ref="X101:X110" si="81">D101</f>
        <v>0</v>
      </c>
      <c r="Y101" s="28">
        <f t="shared" ref="Y101:Y110" si="82">P101</f>
        <v>1</v>
      </c>
      <c r="Z101" s="139">
        <f t="shared" ref="Z101:Z110" si="83">K101</f>
        <v>1</v>
      </c>
      <c r="AG101" s="155" t="s">
        <v>14</v>
      </c>
      <c r="AH101" s="156">
        <f>Z103</f>
        <v>0.59444192063836931</v>
      </c>
      <c r="AI101" s="156">
        <f>Z104</f>
        <v>0.4301882320409251</v>
      </c>
      <c r="AJ101" s="171">
        <f>AH101-AI101</f>
        <v>0.16425368859744421</v>
      </c>
      <c r="AK101" s="172">
        <f>X102-X101</f>
        <v>5</v>
      </c>
      <c r="AL101" s="157"/>
      <c r="AM101" s="32" t="s">
        <v>28</v>
      </c>
      <c r="AN101" s="166">
        <f>X103</f>
        <v>10</v>
      </c>
      <c r="AP101" s="14" t="s">
        <v>29</v>
      </c>
      <c r="AQ101" s="46">
        <f>AN102</f>
        <v>12.874879749879749</v>
      </c>
      <c r="AR101" s="47">
        <f>AN106</f>
        <v>12.797619047619047</v>
      </c>
    </row>
    <row r="102" spans="1:44" x14ac:dyDescent="0.25">
      <c r="A102" s="70">
        <v>1</v>
      </c>
      <c r="B102" s="70">
        <f>B101+F102</f>
        <v>59</v>
      </c>
      <c r="C102" s="71">
        <f>D101</f>
        <v>0</v>
      </c>
      <c r="D102" s="68">
        <v>5</v>
      </c>
      <c r="E102" s="68">
        <f>H101</f>
        <v>257</v>
      </c>
      <c r="F102" s="31">
        <f>E102-H102-G102</f>
        <v>59</v>
      </c>
      <c r="G102" s="68">
        <f>A102-A101</f>
        <v>1</v>
      </c>
      <c r="H102" s="49">
        <v>197</v>
      </c>
      <c r="I102" s="72">
        <f>F102/E102</f>
        <v>0.22957198443579765</v>
      </c>
      <c r="J102" s="29">
        <f>1-I102</f>
        <v>0.77042801556420237</v>
      </c>
      <c r="K102" s="29">
        <f>J102*K101</f>
        <v>0.77042801556420237</v>
      </c>
      <c r="L102" s="62"/>
      <c r="M102" s="124">
        <f t="shared" ref="M102:M110" si="84">AVERAGE(K101:K102)*(D102-D101)</f>
        <v>4.4260700389105061</v>
      </c>
      <c r="N102" s="46">
        <f>M102</f>
        <v>4.4260700389105061</v>
      </c>
      <c r="O102" s="125">
        <f t="shared" ref="O102:O110" si="85">D102</f>
        <v>5</v>
      </c>
      <c r="P102" s="123">
        <f>H102/H101</f>
        <v>0.7665369649805448</v>
      </c>
      <c r="Q102" s="30"/>
      <c r="R102" s="126">
        <f t="shared" ref="R102:R110" si="86">AVERAGE(P101:P102)*(D102-D101)</f>
        <v>4.4163424124513622</v>
      </c>
      <c r="S102" s="126">
        <f>R102</f>
        <v>4.4163424124513622</v>
      </c>
      <c r="T102" s="59"/>
      <c r="U102" s="59"/>
      <c r="V102" s="59"/>
      <c r="W102" s="59"/>
      <c r="X102" s="81">
        <f t="shared" si="81"/>
        <v>5</v>
      </c>
      <c r="Y102" s="28">
        <f t="shared" si="82"/>
        <v>0.7665369649805448</v>
      </c>
      <c r="Z102" s="139">
        <f t="shared" si="83"/>
        <v>0.77042801556420237</v>
      </c>
      <c r="AG102" s="158"/>
      <c r="AH102" s="175">
        <f>AH101</f>
        <v>0.59444192063836931</v>
      </c>
      <c r="AI102" s="175">
        <v>0.5</v>
      </c>
      <c r="AJ102" s="173">
        <f>AH102-AI102</f>
        <v>9.4441920638369314E-2</v>
      </c>
      <c r="AK102" s="174">
        <f>AJ102*AK101/AJ101</f>
        <v>2.8748797498797489</v>
      </c>
      <c r="AL102" s="159"/>
      <c r="AM102" s="160" t="s">
        <v>11</v>
      </c>
      <c r="AN102" s="161">
        <f>AN101+AK102</f>
        <v>12.874879749879749</v>
      </c>
      <c r="AP102" s="14" t="s">
        <v>12</v>
      </c>
      <c r="AQ102" s="48">
        <f t="shared" ref="AQ102:AQ103" si="87">AN103</f>
        <v>127.8510101010101</v>
      </c>
      <c r="AR102" s="49">
        <f t="shared" ref="AR102:AR103" si="88">AN107</f>
        <v>128.5</v>
      </c>
    </row>
    <row r="103" spans="1:44" x14ac:dyDescent="0.25">
      <c r="A103" s="67">
        <v>1</v>
      </c>
      <c r="B103" s="70">
        <f t="shared" ref="B103:B110" si="89">B102+F103</f>
        <v>104</v>
      </c>
      <c r="C103" s="71">
        <f t="shared" ref="C103:C110" si="90">D102</f>
        <v>5</v>
      </c>
      <c r="D103" s="68">
        <v>10</v>
      </c>
      <c r="E103" s="68">
        <f t="shared" ref="E103:E110" si="91">H102</f>
        <v>197</v>
      </c>
      <c r="F103" s="31">
        <f t="shared" ref="F103:F110" si="92">E103-H103-G103</f>
        <v>45</v>
      </c>
      <c r="G103" s="68">
        <f t="shared" ref="G103:G110" si="93">A103-A102</f>
        <v>0</v>
      </c>
      <c r="H103" s="49">
        <v>152</v>
      </c>
      <c r="I103" s="72">
        <f t="shared" ref="I103:I110" si="94">F103/E103</f>
        <v>0.22842639593908629</v>
      </c>
      <c r="J103" s="29">
        <f t="shared" ref="J103:J110" si="95">1-I103</f>
        <v>0.77157360406091369</v>
      </c>
      <c r="K103" s="29">
        <f t="shared" ref="K103:K110" si="96">J103*K102</f>
        <v>0.59444192063836931</v>
      </c>
      <c r="L103" s="62"/>
      <c r="M103" s="124">
        <f t="shared" si="84"/>
        <v>3.4121748405064292</v>
      </c>
      <c r="N103" s="46">
        <f t="shared" ref="N103:N110" si="97">M103+N102</f>
        <v>7.8382448794169353</v>
      </c>
      <c r="O103" s="125">
        <f t="shared" si="85"/>
        <v>10</v>
      </c>
      <c r="P103" s="123">
        <f>H103/H101</f>
        <v>0.59143968871595332</v>
      </c>
      <c r="Q103" s="30"/>
      <c r="R103" s="126">
        <f t="shared" si="86"/>
        <v>3.3949416342412455</v>
      </c>
      <c r="S103" s="126">
        <f>R103+S102</f>
        <v>7.8112840466926077</v>
      </c>
      <c r="T103" s="59"/>
      <c r="U103" s="59"/>
      <c r="V103" s="59"/>
      <c r="W103" s="59"/>
      <c r="X103" s="81">
        <f t="shared" si="81"/>
        <v>10</v>
      </c>
      <c r="Y103" s="28">
        <f t="shared" si="82"/>
        <v>0.59143968871595332</v>
      </c>
      <c r="Z103" s="139">
        <f t="shared" si="83"/>
        <v>0.59444192063836931</v>
      </c>
      <c r="AG103" s="147" t="s">
        <v>15</v>
      </c>
      <c r="AH103" s="181">
        <f>H103</f>
        <v>152</v>
      </c>
      <c r="AI103" s="181">
        <f>H104</f>
        <v>110</v>
      </c>
      <c r="AJ103" s="167">
        <f>AH103-AI103</f>
        <v>42</v>
      </c>
      <c r="AK103" s="168">
        <f>AK101</f>
        <v>5</v>
      </c>
      <c r="AL103" s="159"/>
      <c r="AM103" s="160" t="s">
        <v>12</v>
      </c>
      <c r="AN103" s="162">
        <f>AH103-AJ104</f>
        <v>127.8510101010101</v>
      </c>
      <c r="AP103" s="14" t="s">
        <v>13</v>
      </c>
      <c r="AQ103" s="50">
        <f t="shared" si="87"/>
        <v>0.49747474747474746</v>
      </c>
      <c r="AR103" s="51">
        <f t="shared" si="88"/>
        <v>0.5</v>
      </c>
    </row>
    <row r="104" spans="1:44" x14ac:dyDescent="0.25">
      <c r="A104" s="70">
        <v>1</v>
      </c>
      <c r="B104" s="70">
        <f t="shared" si="89"/>
        <v>146</v>
      </c>
      <c r="C104" s="71">
        <f t="shared" si="90"/>
        <v>10</v>
      </c>
      <c r="D104" s="68">
        <v>15</v>
      </c>
      <c r="E104" s="68">
        <f t="shared" si="91"/>
        <v>152</v>
      </c>
      <c r="F104" s="31">
        <f t="shared" si="92"/>
        <v>42</v>
      </c>
      <c r="G104" s="68">
        <f t="shared" si="93"/>
        <v>0</v>
      </c>
      <c r="H104" s="49">
        <v>110</v>
      </c>
      <c r="I104" s="72">
        <f t="shared" si="94"/>
        <v>0.27631578947368424</v>
      </c>
      <c r="J104" s="29">
        <f t="shared" si="95"/>
        <v>0.72368421052631571</v>
      </c>
      <c r="K104" s="29">
        <f t="shared" si="96"/>
        <v>0.4301882320409251</v>
      </c>
      <c r="L104" s="62"/>
      <c r="M104" s="124">
        <f t="shared" si="84"/>
        <v>2.5615753816982361</v>
      </c>
      <c r="N104" s="46">
        <f t="shared" si="97"/>
        <v>10.39982026111517</v>
      </c>
      <c r="O104" s="125">
        <f t="shared" si="85"/>
        <v>15</v>
      </c>
      <c r="P104" s="123">
        <f>H104/H101</f>
        <v>0.42801556420233461</v>
      </c>
      <c r="Q104" s="30"/>
      <c r="R104" s="126">
        <f t="shared" si="86"/>
        <v>2.5486381322957197</v>
      </c>
      <c r="S104" s="126">
        <f t="shared" ref="S104:S110" si="98">R104+S103</f>
        <v>10.359922178988327</v>
      </c>
      <c r="T104" s="59"/>
      <c r="U104" s="59"/>
      <c r="V104" s="59"/>
      <c r="W104" s="59"/>
      <c r="X104" s="81">
        <f t="shared" si="81"/>
        <v>15</v>
      </c>
      <c r="Y104" s="28">
        <f t="shared" si="82"/>
        <v>0.42801556420233461</v>
      </c>
      <c r="Z104" s="139">
        <f t="shared" si="83"/>
        <v>0.4301882320409251</v>
      </c>
      <c r="AG104" s="18"/>
      <c r="AH104" s="19"/>
      <c r="AI104" s="19"/>
      <c r="AJ104" s="169">
        <f>AJ103*AK104/AK103</f>
        <v>24.148989898989889</v>
      </c>
      <c r="AK104" s="170">
        <f>AK102</f>
        <v>2.8748797498797489</v>
      </c>
      <c r="AL104" s="163"/>
      <c r="AM104" s="164" t="s">
        <v>13</v>
      </c>
      <c r="AN104" s="165">
        <f>AN103/H101</f>
        <v>0.49747474747474746</v>
      </c>
    </row>
    <row r="105" spans="1:44" x14ac:dyDescent="0.25">
      <c r="A105" s="67">
        <v>1</v>
      </c>
      <c r="B105" s="70">
        <f t="shared" si="89"/>
        <v>165</v>
      </c>
      <c r="C105" s="71">
        <f t="shared" si="90"/>
        <v>15</v>
      </c>
      <c r="D105" s="68">
        <v>20</v>
      </c>
      <c r="E105" s="68">
        <f t="shared" si="91"/>
        <v>110</v>
      </c>
      <c r="F105" s="31">
        <f t="shared" si="92"/>
        <v>19</v>
      </c>
      <c r="G105" s="68">
        <f t="shared" si="93"/>
        <v>0</v>
      </c>
      <c r="H105" s="49">
        <v>91</v>
      </c>
      <c r="I105" s="72">
        <f t="shared" si="94"/>
        <v>0.17272727272727273</v>
      </c>
      <c r="J105" s="29">
        <f t="shared" si="95"/>
        <v>0.82727272727272727</v>
      </c>
      <c r="K105" s="29">
        <f t="shared" si="96"/>
        <v>0.35588299196112894</v>
      </c>
      <c r="L105" s="62"/>
      <c r="M105" s="124">
        <f t="shared" si="84"/>
        <v>1.965178060005135</v>
      </c>
      <c r="N105" s="46">
        <f t="shared" si="97"/>
        <v>12.364998321120305</v>
      </c>
      <c r="O105" s="125">
        <f t="shared" si="85"/>
        <v>20</v>
      </c>
      <c r="P105" s="123">
        <f>H105/H101</f>
        <v>0.35408560311284049</v>
      </c>
      <c r="Q105" s="30"/>
      <c r="R105" s="126">
        <f t="shared" si="86"/>
        <v>1.9552529182879377</v>
      </c>
      <c r="S105" s="126">
        <f t="shared" si="98"/>
        <v>12.315175097276265</v>
      </c>
      <c r="T105" s="59"/>
      <c r="U105" s="59"/>
      <c r="V105" s="59"/>
      <c r="W105" s="59"/>
      <c r="X105" s="81">
        <f t="shared" si="81"/>
        <v>20</v>
      </c>
      <c r="Y105" s="28">
        <f t="shared" si="82"/>
        <v>0.35408560311284049</v>
      </c>
      <c r="Z105" s="139">
        <f t="shared" si="83"/>
        <v>0.35588299196112894</v>
      </c>
      <c r="AG105" s="144" t="s">
        <v>14</v>
      </c>
      <c r="AH105" s="145">
        <f>Y103</f>
        <v>0.59143968871595332</v>
      </c>
      <c r="AI105" s="145">
        <f>Y104</f>
        <v>0.42801556420233461</v>
      </c>
      <c r="AJ105" s="171">
        <f>AH105-AI105</f>
        <v>0.16342412451361871</v>
      </c>
      <c r="AK105" s="172">
        <f>X106-X105</f>
        <v>5</v>
      </c>
      <c r="AL105" s="146"/>
      <c r="AM105" s="32" t="s">
        <v>28</v>
      </c>
      <c r="AN105" s="166">
        <f>X103</f>
        <v>10</v>
      </c>
    </row>
    <row r="106" spans="1:44" x14ac:dyDescent="0.25">
      <c r="A106" s="70">
        <v>3</v>
      </c>
      <c r="B106" s="70">
        <f t="shared" si="89"/>
        <v>184</v>
      </c>
      <c r="C106" s="71">
        <f t="shared" si="90"/>
        <v>20</v>
      </c>
      <c r="D106" s="68">
        <v>25</v>
      </c>
      <c r="E106" s="68">
        <f t="shared" si="91"/>
        <v>91</v>
      </c>
      <c r="F106" s="31">
        <f t="shared" si="92"/>
        <v>19</v>
      </c>
      <c r="G106" s="68">
        <f t="shared" si="93"/>
        <v>2</v>
      </c>
      <c r="H106" s="49">
        <v>70</v>
      </c>
      <c r="I106" s="72">
        <f t="shared" si="94"/>
        <v>0.2087912087912088</v>
      </c>
      <c r="J106" s="29">
        <f t="shared" si="95"/>
        <v>0.79120879120879117</v>
      </c>
      <c r="K106" s="29">
        <f t="shared" si="96"/>
        <v>0.28157775188133277</v>
      </c>
      <c r="L106" s="62"/>
      <c r="M106" s="124">
        <f t="shared" si="84"/>
        <v>1.5936518596061544</v>
      </c>
      <c r="N106" s="46">
        <f t="shared" si="97"/>
        <v>13.95865018072646</v>
      </c>
      <c r="O106" s="125">
        <f t="shared" si="85"/>
        <v>25</v>
      </c>
      <c r="P106" s="123">
        <f>H106/H101</f>
        <v>0.2723735408560311</v>
      </c>
      <c r="Q106" s="30"/>
      <c r="R106" s="126">
        <f t="shared" si="86"/>
        <v>1.566147859922179</v>
      </c>
      <c r="S106" s="126">
        <f t="shared" si="98"/>
        <v>13.881322957198444</v>
      </c>
      <c r="T106" s="59"/>
      <c r="U106" s="59"/>
      <c r="V106" s="59"/>
      <c r="W106" s="59"/>
      <c r="X106" s="81">
        <f t="shared" si="81"/>
        <v>25</v>
      </c>
      <c r="Y106" s="28">
        <f t="shared" si="82"/>
        <v>0.2723735408560311</v>
      </c>
      <c r="Z106" s="139">
        <f t="shared" si="83"/>
        <v>0.28157775188133277</v>
      </c>
      <c r="AG106" s="147"/>
      <c r="AH106" s="175">
        <f>AH105</f>
        <v>0.59143968871595332</v>
      </c>
      <c r="AI106" s="175">
        <v>0.5</v>
      </c>
      <c r="AJ106" s="173">
        <f>AH106-AI106</f>
        <v>9.1439688715953316E-2</v>
      </c>
      <c r="AK106" s="174">
        <f>AJ106*AK105/AJ105</f>
        <v>2.7976190476190474</v>
      </c>
      <c r="AL106" s="148"/>
      <c r="AM106" s="149" t="s">
        <v>11</v>
      </c>
      <c r="AN106" s="150">
        <f>AN105+AK106</f>
        <v>12.797619047619047</v>
      </c>
    </row>
    <row r="107" spans="1:44" x14ac:dyDescent="0.25">
      <c r="A107" s="67">
        <v>21</v>
      </c>
      <c r="B107" s="70">
        <f t="shared" si="89"/>
        <v>193</v>
      </c>
      <c r="C107" s="71">
        <f t="shared" si="90"/>
        <v>25</v>
      </c>
      <c r="D107" s="68">
        <v>30</v>
      </c>
      <c r="E107" s="68">
        <f t="shared" si="91"/>
        <v>70</v>
      </c>
      <c r="F107" s="31">
        <f t="shared" si="92"/>
        <v>9</v>
      </c>
      <c r="G107" s="68">
        <f t="shared" si="93"/>
        <v>18</v>
      </c>
      <c r="H107" s="49">
        <v>43</v>
      </c>
      <c r="I107" s="72">
        <f t="shared" si="94"/>
        <v>0.12857142857142856</v>
      </c>
      <c r="J107" s="29">
        <f t="shared" si="95"/>
        <v>0.87142857142857144</v>
      </c>
      <c r="K107" s="29">
        <f t="shared" si="96"/>
        <v>0.24537489806801857</v>
      </c>
      <c r="L107" s="62"/>
      <c r="M107" s="124">
        <f t="shared" si="84"/>
        <v>1.3173816248733783</v>
      </c>
      <c r="N107" s="46">
        <f t="shared" si="97"/>
        <v>15.276031805599839</v>
      </c>
      <c r="O107" s="125">
        <f t="shared" si="85"/>
        <v>30</v>
      </c>
      <c r="P107" s="123">
        <f>H107/H101</f>
        <v>0.16731517509727625</v>
      </c>
      <c r="Q107" s="30"/>
      <c r="R107" s="126">
        <f t="shared" si="86"/>
        <v>1.0992217898832686</v>
      </c>
      <c r="S107" s="126">
        <f t="shared" si="98"/>
        <v>14.980544747081712</v>
      </c>
      <c r="T107" s="59"/>
      <c r="U107" s="59"/>
      <c r="V107" s="59"/>
      <c r="W107" s="59"/>
      <c r="X107" s="81">
        <f t="shared" si="81"/>
        <v>30</v>
      </c>
      <c r="Y107" s="28">
        <f t="shared" si="82"/>
        <v>0.16731517509727625</v>
      </c>
      <c r="Z107" s="139">
        <f t="shared" si="83"/>
        <v>0.24537489806801857</v>
      </c>
      <c r="AG107" s="147" t="s">
        <v>15</v>
      </c>
      <c r="AH107" s="181">
        <f>H103</f>
        <v>152</v>
      </c>
      <c r="AI107" s="181">
        <f>H104</f>
        <v>110</v>
      </c>
      <c r="AJ107" s="167">
        <f>AH107-AI107</f>
        <v>42</v>
      </c>
      <c r="AK107" s="168">
        <f>AK105</f>
        <v>5</v>
      </c>
      <c r="AL107" s="148"/>
      <c r="AM107" s="149" t="s">
        <v>12</v>
      </c>
      <c r="AN107" s="151">
        <f>AH107-AJ108</f>
        <v>128.5</v>
      </c>
    </row>
    <row r="108" spans="1:44" x14ac:dyDescent="0.25">
      <c r="A108" s="70">
        <v>41</v>
      </c>
      <c r="B108" s="70">
        <f t="shared" si="89"/>
        <v>195</v>
      </c>
      <c r="C108" s="71">
        <f t="shared" si="90"/>
        <v>30</v>
      </c>
      <c r="D108" s="68">
        <v>35</v>
      </c>
      <c r="E108" s="68">
        <f t="shared" si="91"/>
        <v>43</v>
      </c>
      <c r="F108" s="31">
        <f t="shared" si="92"/>
        <v>2</v>
      </c>
      <c r="G108" s="68">
        <f t="shared" si="93"/>
        <v>20</v>
      </c>
      <c r="H108" s="49">
        <v>21</v>
      </c>
      <c r="I108" s="72">
        <f t="shared" si="94"/>
        <v>4.6511627906976744E-2</v>
      </c>
      <c r="J108" s="29">
        <f t="shared" si="95"/>
        <v>0.95348837209302328</v>
      </c>
      <c r="K108" s="29">
        <f t="shared" si="96"/>
        <v>0.23396211211136655</v>
      </c>
      <c r="L108" s="62"/>
      <c r="M108" s="124">
        <f t="shared" si="84"/>
        <v>1.1983425254484628</v>
      </c>
      <c r="N108" s="46">
        <f t="shared" si="97"/>
        <v>16.474374331048303</v>
      </c>
      <c r="O108" s="125">
        <f t="shared" si="85"/>
        <v>35</v>
      </c>
      <c r="P108" s="123">
        <f>H108/H101</f>
        <v>8.171206225680934E-2</v>
      </c>
      <c r="Q108" s="30"/>
      <c r="R108" s="126">
        <f t="shared" si="86"/>
        <v>0.62256809338521402</v>
      </c>
      <c r="S108" s="126">
        <f t="shared" si="98"/>
        <v>15.603112840466926</v>
      </c>
      <c r="T108" s="59"/>
      <c r="U108" s="59"/>
      <c r="V108" s="59"/>
      <c r="W108" s="59"/>
      <c r="X108" s="81">
        <f t="shared" si="81"/>
        <v>35</v>
      </c>
      <c r="Y108" s="28">
        <f t="shared" si="82"/>
        <v>8.171206225680934E-2</v>
      </c>
      <c r="Z108" s="139">
        <f t="shared" si="83"/>
        <v>0.23396211211136655</v>
      </c>
      <c r="AG108" s="18"/>
      <c r="AH108" s="19"/>
      <c r="AI108" s="19"/>
      <c r="AJ108" s="169">
        <f>AJ107*AK108/AK107</f>
        <v>23.5</v>
      </c>
      <c r="AK108" s="170">
        <f>AK106</f>
        <v>2.7976190476190474</v>
      </c>
      <c r="AL108" s="152"/>
      <c r="AM108" s="153" t="s">
        <v>13</v>
      </c>
      <c r="AN108" s="154">
        <f>AN107/H101</f>
        <v>0.5</v>
      </c>
    </row>
    <row r="109" spans="1:44" x14ac:dyDescent="0.25">
      <c r="A109" s="67">
        <v>48</v>
      </c>
      <c r="B109" s="70">
        <f t="shared" si="89"/>
        <v>196</v>
      </c>
      <c r="C109" s="71">
        <f t="shared" si="90"/>
        <v>35</v>
      </c>
      <c r="D109" s="68">
        <v>40</v>
      </c>
      <c r="E109" s="68">
        <f t="shared" si="91"/>
        <v>21</v>
      </c>
      <c r="F109" s="31">
        <f t="shared" si="92"/>
        <v>1</v>
      </c>
      <c r="G109" s="68">
        <f t="shared" si="93"/>
        <v>7</v>
      </c>
      <c r="H109" s="49">
        <v>13</v>
      </c>
      <c r="I109" s="72">
        <f t="shared" si="94"/>
        <v>4.7619047619047616E-2</v>
      </c>
      <c r="J109" s="29">
        <f t="shared" si="95"/>
        <v>0.95238095238095233</v>
      </c>
      <c r="K109" s="29">
        <f t="shared" si="96"/>
        <v>0.22282105915368242</v>
      </c>
      <c r="L109" s="62"/>
      <c r="M109" s="124">
        <f t="shared" si="84"/>
        <v>1.1419579281626224</v>
      </c>
      <c r="N109" s="46">
        <f t="shared" si="97"/>
        <v>17.616332259210925</v>
      </c>
      <c r="O109" s="125">
        <f t="shared" si="85"/>
        <v>40</v>
      </c>
      <c r="P109" s="123">
        <f>H109/H101</f>
        <v>5.0583657587548639E-2</v>
      </c>
      <c r="Q109" s="30"/>
      <c r="R109" s="126">
        <f t="shared" si="86"/>
        <v>0.33073929961089493</v>
      </c>
      <c r="S109" s="126">
        <f t="shared" si="98"/>
        <v>15.933852140077821</v>
      </c>
      <c r="T109" s="59"/>
      <c r="U109" s="59"/>
      <c r="V109" s="59"/>
      <c r="W109" s="59"/>
      <c r="X109" s="81">
        <f t="shared" si="81"/>
        <v>40</v>
      </c>
      <c r="Y109" s="28">
        <f t="shared" si="82"/>
        <v>5.0583657587548639E-2</v>
      </c>
      <c r="Z109" s="139">
        <f t="shared" si="83"/>
        <v>0.22282105915368242</v>
      </c>
    </row>
    <row r="110" spans="1:44" x14ac:dyDescent="0.25">
      <c r="A110" s="70">
        <v>59</v>
      </c>
      <c r="B110" s="70">
        <f t="shared" si="89"/>
        <v>197</v>
      </c>
      <c r="C110" s="71">
        <f t="shared" si="90"/>
        <v>40</v>
      </c>
      <c r="D110" s="68">
        <v>45</v>
      </c>
      <c r="E110" s="68">
        <f t="shared" si="91"/>
        <v>13</v>
      </c>
      <c r="F110" s="31">
        <f t="shared" si="92"/>
        <v>1</v>
      </c>
      <c r="G110" s="68">
        <f t="shared" si="93"/>
        <v>11</v>
      </c>
      <c r="H110" s="49">
        <v>1</v>
      </c>
      <c r="I110" s="72">
        <f t="shared" si="94"/>
        <v>7.6923076923076927E-2</v>
      </c>
      <c r="J110" s="29">
        <f t="shared" si="95"/>
        <v>0.92307692307692313</v>
      </c>
      <c r="K110" s="29">
        <f t="shared" si="96"/>
        <v>0.20568097768032223</v>
      </c>
      <c r="L110" s="62"/>
      <c r="M110" s="124">
        <f t="shared" si="84"/>
        <v>1.0712550920850117</v>
      </c>
      <c r="N110" s="46">
        <f t="shared" si="97"/>
        <v>18.687587351295935</v>
      </c>
      <c r="O110" s="125">
        <f t="shared" si="85"/>
        <v>45</v>
      </c>
      <c r="P110" s="123">
        <f>H110/H101</f>
        <v>3.8910505836575876E-3</v>
      </c>
      <c r="Q110" s="30"/>
      <c r="R110" s="126">
        <f t="shared" si="86"/>
        <v>0.13618677042801558</v>
      </c>
      <c r="S110" s="126">
        <f t="shared" si="98"/>
        <v>16.070038910505836</v>
      </c>
      <c r="T110" s="59"/>
      <c r="U110" s="59"/>
      <c r="V110" s="59"/>
      <c r="W110" s="59"/>
      <c r="X110" s="81">
        <f t="shared" si="81"/>
        <v>45</v>
      </c>
      <c r="Y110" s="28">
        <f t="shared" si="82"/>
        <v>3.8910505836575876E-3</v>
      </c>
      <c r="Z110" s="139">
        <f t="shared" si="83"/>
        <v>0.20568097768032223</v>
      </c>
    </row>
    <row r="111" spans="1:44" x14ac:dyDescent="0.25">
      <c r="D111" s="82"/>
      <c r="I111" s="75"/>
      <c r="J111" s="75"/>
      <c r="K111" s="75"/>
      <c r="L111" s="75"/>
      <c r="M111" s="75"/>
      <c r="N111" s="75"/>
      <c r="O111" s="75"/>
      <c r="Q111" s="30"/>
      <c r="R111" s="30"/>
      <c r="S111" s="58"/>
      <c r="T111" s="75"/>
      <c r="U111" s="75"/>
      <c r="V111" s="75"/>
      <c r="W111" s="75"/>
      <c r="X111" s="75"/>
      <c r="Y111" s="75"/>
      <c r="Z111" s="59"/>
      <c r="AC111" s="25"/>
      <c r="AD111" s="25"/>
    </row>
    <row r="112" spans="1:44" ht="13" customHeight="1" x14ac:dyDescent="0.25">
      <c r="D112" s="82"/>
      <c r="E112" s="55" t="s">
        <v>0</v>
      </c>
      <c r="F112" s="56">
        <f>SUM(F102:F110)</f>
        <v>197</v>
      </c>
      <c r="G112" s="56">
        <f>SUM(G102:G110)</f>
        <v>59</v>
      </c>
      <c r="H112" s="140">
        <f>H101-F112-G112</f>
        <v>1</v>
      </c>
      <c r="I112" s="75"/>
      <c r="J112" s="75"/>
      <c r="K112" s="75"/>
      <c r="L112" s="75"/>
      <c r="M112" s="75"/>
      <c r="N112" s="75"/>
      <c r="O112" s="75"/>
      <c r="P112" s="261" t="s">
        <v>67</v>
      </c>
      <c r="Q112" s="262"/>
      <c r="R112" s="262"/>
      <c r="S112" s="263"/>
      <c r="T112" s="75"/>
      <c r="U112" s="75"/>
      <c r="V112" s="75"/>
      <c r="W112" s="75"/>
      <c r="X112" s="75"/>
      <c r="Y112" s="75"/>
      <c r="Z112" s="59"/>
      <c r="AC112" s="25"/>
      <c r="AD112" s="25"/>
    </row>
    <row r="113" spans="1:30" x14ac:dyDescent="0.25">
      <c r="A113" s="62"/>
      <c r="B113" s="62"/>
      <c r="C113" s="62"/>
      <c r="D113" s="131"/>
      <c r="E113" s="26"/>
      <c r="F113" s="11">
        <f>F112/E101</f>
        <v>0.7665369649805448</v>
      </c>
      <c r="G113" s="12">
        <f>G112/E101</f>
        <v>0.22957198443579765</v>
      </c>
      <c r="H113" s="13">
        <f>H112/E101</f>
        <v>3.8910505836575876E-3</v>
      </c>
      <c r="I113" s="75"/>
      <c r="J113" s="75"/>
      <c r="K113" s="75"/>
      <c r="L113" s="75"/>
      <c r="M113" s="75"/>
      <c r="N113" s="75"/>
      <c r="O113" s="75"/>
      <c r="P113" s="264"/>
      <c r="Q113" s="265"/>
      <c r="R113" s="265"/>
      <c r="S113" s="266"/>
      <c r="T113" s="75"/>
      <c r="U113" s="75"/>
      <c r="V113" s="75"/>
      <c r="W113" s="75"/>
      <c r="X113" s="75"/>
      <c r="Y113" s="75"/>
      <c r="Z113" s="62"/>
      <c r="AA113" s="130"/>
      <c r="AB113" s="130"/>
      <c r="AC113" s="130"/>
      <c r="AD113" s="130"/>
    </row>
    <row r="114" spans="1:30" x14ac:dyDescent="0.25">
      <c r="D114" s="131"/>
      <c r="E114" s="138"/>
      <c r="F114" s="142" t="s">
        <v>68</v>
      </c>
      <c r="G114" s="143" t="s">
        <v>69</v>
      </c>
      <c r="H114" s="141" t="s">
        <v>70</v>
      </c>
      <c r="I114" s="75"/>
      <c r="J114" s="75"/>
      <c r="K114" s="75"/>
      <c r="L114" s="75"/>
      <c r="M114" s="75"/>
      <c r="N114" s="75"/>
      <c r="O114" s="75"/>
      <c r="P114" s="267"/>
      <c r="Q114" s="268"/>
      <c r="R114" s="268"/>
      <c r="S114" s="269"/>
      <c r="T114" s="75"/>
      <c r="U114" s="75"/>
      <c r="V114" s="75"/>
      <c r="W114" s="75"/>
      <c r="X114" s="75"/>
      <c r="Y114" s="75"/>
      <c r="Z114" s="59"/>
      <c r="AC114" s="25"/>
      <c r="AD114" s="25"/>
    </row>
    <row r="115" spans="1:30" x14ac:dyDescent="0.25">
      <c r="D115" s="131"/>
      <c r="I115" s="75"/>
      <c r="J115" s="75"/>
      <c r="K115" s="75"/>
      <c r="L115" s="75"/>
      <c r="M115" s="75"/>
      <c r="N115" s="75"/>
      <c r="O115" s="75"/>
      <c r="Q115" s="75"/>
      <c r="R115" s="75"/>
      <c r="S115" s="75"/>
      <c r="T115" s="75"/>
      <c r="U115" s="75"/>
      <c r="V115" s="75"/>
      <c r="W115" s="75"/>
      <c r="X115" s="75"/>
      <c r="Y115" s="75"/>
      <c r="Z115" s="59"/>
      <c r="AC115" s="25"/>
      <c r="AD115" s="25"/>
    </row>
    <row r="116" spans="1:30" ht="25" customHeight="1" x14ac:dyDescent="0.25">
      <c r="A116" s="270" t="s">
        <v>37</v>
      </c>
      <c r="B116" s="270"/>
      <c r="C116" s="270"/>
      <c r="D116" s="270"/>
      <c r="E116" s="270"/>
      <c r="F116" s="270"/>
      <c r="G116" s="270"/>
      <c r="H116" s="270"/>
      <c r="I116" s="270"/>
      <c r="J116" s="270"/>
      <c r="K116" s="270"/>
      <c r="L116" s="270"/>
      <c r="M116" s="270"/>
      <c r="N116" s="270"/>
      <c r="O116" s="270"/>
      <c r="P116" s="270"/>
      <c r="Q116" s="270"/>
      <c r="R116" s="75"/>
      <c r="S116" s="75"/>
      <c r="T116" s="75"/>
      <c r="U116" s="75"/>
      <c r="V116" s="75"/>
      <c r="W116" s="75"/>
      <c r="X116" s="75"/>
      <c r="Y116" s="75"/>
      <c r="Z116" s="59"/>
      <c r="AC116" s="25"/>
      <c r="AD116" s="25"/>
    </row>
    <row r="117" spans="1:30" ht="7.5" customHeight="1" x14ac:dyDescent="0.25">
      <c r="A117" s="132"/>
      <c r="B117" s="132"/>
      <c r="C117" s="132"/>
      <c r="D117" s="133"/>
      <c r="E117" s="132"/>
      <c r="F117" s="132"/>
      <c r="G117" s="132"/>
      <c r="H117" s="134"/>
      <c r="I117" s="134"/>
      <c r="J117" s="134"/>
      <c r="K117" s="134"/>
      <c r="L117" s="134"/>
      <c r="M117" s="134"/>
      <c r="N117" s="134"/>
      <c r="O117" s="134"/>
      <c r="P117" s="134"/>
      <c r="Q117" s="134"/>
      <c r="R117" s="75"/>
      <c r="S117" s="75"/>
      <c r="T117" s="75"/>
      <c r="U117" s="75"/>
      <c r="V117" s="75"/>
      <c r="W117" s="75"/>
      <c r="X117" s="75"/>
      <c r="Y117" s="75"/>
      <c r="Z117" s="59"/>
      <c r="AC117" s="25"/>
      <c r="AD117" s="25"/>
    </row>
    <row r="118" spans="1:30" ht="53.5" customHeight="1" x14ac:dyDescent="0.25">
      <c r="A118" s="271" t="s">
        <v>73</v>
      </c>
      <c r="B118" s="271"/>
      <c r="C118" s="271"/>
      <c r="D118" s="271"/>
      <c r="E118" s="271"/>
      <c r="F118" s="271"/>
      <c r="G118" s="271"/>
      <c r="H118" s="271"/>
      <c r="I118" s="271"/>
      <c r="J118" s="271"/>
      <c r="K118" s="271"/>
      <c r="L118" s="271"/>
      <c r="M118" s="271"/>
      <c r="N118" s="271"/>
      <c r="O118" s="271"/>
      <c r="P118" s="271"/>
      <c r="Q118" s="271"/>
      <c r="R118" s="75"/>
      <c r="S118" s="75"/>
      <c r="T118" s="75"/>
      <c r="U118" s="75"/>
      <c r="V118" s="75"/>
      <c r="W118" s="75"/>
      <c r="X118" s="75"/>
      <c r="Y118" s="75"/>
      <c r="Z118" s="59"/>
      <c r="AC118" s="25"/>
      <c r="AD118" s="25"/>
    </row>
    <row r="119" spans="1:30" ht="120.5" customHeight="1" x14ac:dyDescent="0.25">
      <c r="A119" s="271" t="s">
        <v>61</v>
      </c>
      <c r="B119" s="271"/>
      <c r="C119" s="271"/>
      <c r="D119" s="271"/>
      <c r="E119" s="271"/>
      <c r="F119" s="271"/>
      <c r="G119" s="271"/>
      <c r="H119" s="271"/>
      <c r="I119" s="271"/>
      <c r="J119" s="271"/>
      <c r="K119" s="271"/>
      <c r="L119" s="271"/>
      <c r="M119" s="271"/>
      <c r="N119" s="271"/>
      <c r="O119" s="271"/>
      <c r="P119" s="271"/>
      <c r="Q119" s="271"/>
      <c r="R119" s="75"/>
      <c r="S119" s="75"/>
      <c r="T119" s="75"/>
      <c r="U119" s="75"/>
      <c r="V119" s="75"/>
      <c r="W119" s="75"/>
      <c r="X119" s="75"/>
      <c r="Y119" s="75"/>
      <c r="Z119" s="59"/>
      <c r="AC119" s="25"/>
      <c r="AD119" s="25"/>
    </row>
    <row r="120" spans="1:30" ht="13" customHeight="1" x14ac:dyDescent="0.25">
      <c r="D120" s="131"/>
      <c r="H120" s="118"/>
      <c r="R120" s="59"/>
      <c r="S120" s="59"/>
      <c r="T120" s="59"/>
      <c r="U120" s="59"/>
      <c r="V120" s="59"/>
      <c r="W120" s="59"/>
      <c r="Z120" s="59"/>
      <c r="AA120" s="59"/>
    </row>
    <row r="121" spans="1:30" x14ac:dyDescent="0.25">
      <c r="D121" s="131"/>
      <c r="H121" s="118"/>
      <c r="L121" s="118"/>
      <c r="M121" s="118"/>
      <c r="N121" s="118"/>
      <c r="R121" s="59"/>
      <c r="S121" s="59"/>
      <c r="T121" s="59"/>
      <c r="U121" s="59"/>
      <c r="V121" s="59"/>
      <c r="W121" s="59"/>
      <c r="Z121" s="59"/>
      <c r="AA121" s="59"/>
    </row>
    <row r="122" spans="1:30" x14ac:dyDescent="0.25">
      <c r="D122" s="131"/>
      <c r="H122" s="118"/>
      <c r="L122" s="118"/>
      <c r="M122" s="118"/>
      <c r="N122" s="118"/>
      <c r="O122" s="118"/>
      <c r="P122" s="118"/>
      <c r="Q122" s="118"/>
      <c r="R122" s="59"/>
      <c r="S122" s="59"/>
      <c r="T122" s="59"/>
      <c r="U122" s="59"/>
      <c r="V122" s="59"/>
      <c r="W122" s="59"/>
      <c r="Z122" s="59"/>
      <c r="AA122" s="59"/>
    </row>
    <row r="123" spans="1:30" x14ac:dyDescent="0.25">
      <c r="D123" s="131"/>
      <c r="H123" s="118"/>
      <c r="L123" s="118"/>
      <c r="M123" s="118"/>
      <c r="N123" s="118"/>
      <c r="O123" s="118"/>
      <c r="P123" s="118"/>
      <c r="Q123" s="118"/>
      <c r="R123" s="59"/>
      <c r="S123" s="59"/>
      <c r="T123" s="59"/>
      <c r="U123" s="59"/>
      <c r="V123" s="59"/>
      <c r="W123" s="59"/>
      <c r="Z123" s="59"/>
      <c r="AA123" s="59"/>
    </row>
    <row r="124" spans="1:30" x14ac:dyDescent="0.25">
      <c r="D124" s="131"/>
      <c r="H124" s="118"/>
      <c r="L124" s="118"/>
      <c r="M124" s="118"/>
      <c r="N124" s="118"/>
      <c r="O124" s="118"/>
      <c r="P124" s="89"/>
      <c r="Q124" s="76"/>
      <c r="Z124" s="59"/>
      <c r="AA124" s="59"/>
    </row>
    <row r="125" spans="1:30" x14ac:dyDescent="0.25">
      <c r="D125" s="131"/>
      <c r="H125" s="118"/>
      <c r="L125" s="118"/>
      <c r="M125" s="118"/>
      <c r="N125" s="118"/>
      <c r="O125" s="118"/>
      <c r="P125" s="89"/>
      <c r="Q125" s="76"/>
      <c r="Z125" s="59"/>
      <c r="AA125" s="59"/>
    </row>
    <row r="126" spans="1:30" x14ac:dyDescent="0.25">
      <c r="D126" s="131"/>
      <c r="H126" s="118"/>
      <c r="L126" s="118"/>
      <c r="M126" s="118"/>
      <c r="N126" s="118"/>
      <c r="O126" s="118"/>
      <c r="P126" s="89"/>
      <c r="Q126" s="76"/>
      <c r="Z126" s="59"/>
      <c r="AA126" s="59"/>
    </row>
    <row r="127" spans="1:30" x14ac:dyDescent="0.25">
      <c r="D127" s="131"/>
      <c r="H127" s="118"/>
      <c r="L127" s="118"/>
      <c r="M127" s="118"/>
      <c r="N127" s="118"/>
      <c r="O127" s="118"/>
      <c r="P127" s="89"/>
      <c r="Q127" s="76"/>
      <c r="Z127" s="59"/>
      <c r="AA127" s="59"/>
    </row>
    <row r="128" spans="1:30" x14ac:dyDescent="0.25">
      <c r="D128" s="131"/>
      <c r="H128" s="118"/>
      <c r="L128" s="118"/>
      <c r="M128" s="88"/>
      <c r="N128" s="88"/>
      <c r="O128" s="88"/>
      <c r="P128" s="89"/>
      <c r="Q128" s="76"/>
      <c r="Z128" s="59"/>
      <c r="AA128" s="59"/>
    </row>
    <row r="129" spans="4:30" x14ac:dyDescent="0.25">
      <c r="D129" s="131"/>
      <c r="E129" s="62"/>
      <c r="F129" s="8"/>
      <c r="G129" s="8"/>
      <c r="H129" s="62"/>
      <c r="I129" s="118"/>
      <c r="L129" s="118"/>
      <c r="M129" s="88"/>
      <c r="N129" s="88"/>
      <c r="O129" s="88"/>
      <c r="P129" s="89"/>
      <c r="Q129" s="89"/>
      <c r="R129" s="89"/>
      <c r="S129" s="89"/>
      <c r="T129" s="89"/>
      <c r="U129" s="89"/>
      <c r="V129" s="89"/>
      <c r="W129" s="89"/>
      <c r="X129" s="89"/>
      <c r="Y129" s="89"/>
      <c r="Z129" s="89"/>
      <c r="AA129" s="89"/>
      <c r="AB129" s="89"/>
      <c r="AC129" s="89"/>
      <c r="AD129" s="89"/>
    </row>
    <row r="130" spans="4:30" x14ac:dyDescent="0.25">
      <c r="D130" s="82"/>
      <c r="E130" s="26"/>
      <c r="F130" s="135"/>
      <c r="G130" s="8"/>
      <c r="H130" s="136"/>
      <c r="I130" s="75"/>
      <c r="J130" s="76"/>
      <c r="K130" s="76"/>
      <c r="L130" s="76"/>
      <c r="M130" s="88"/>
      <c r="N130" s="88"/>
      <c r="O130" s="88"/>
      <c r="P130" s="89"/>
      <c r="Q130" s="89"/>
      <c r="R130" s="89"/>
      <c r="S130" s="89"/>
      <c r="T130" s="89"/>
      <c r="U130" s="89"/>
      <c r="V130" s="89"/>
      <c r="W130" s="89"/>
      <c r="X130" s="89"/>
      <c r="Y130" s="89"/>
      <c r="Z130" s="89"/>
      <c r="AA130" s="89"/>
      <c r="AB130" s="89"/>
      <c r="AC130" s="89"/>
      <c r="AD130" s="89"/>
    </row>
    <row r="131" spans="4:30" x14ac:dyDescent="0.25">
      <c r="D131" s="82"/>
      <c r="E131" s="26"/>
      <c r="F131" s="135"/>
      <c r="G131" s="8"/>
      <c r="H131" s="137"/>
      <c r="I131" s="75"/>
      <c r="J131" s="76"/>
      <c r="K131" s="76"/>
      <c r="L131" s="76"/>
      <c r="M131" s="88"/>
      <c r="N131" s="88"/>
      <c r="O131" s="88"/>
      <c r="P131" s="89"/>
      <c r="Q131" s="89"/>
      <c r="R131" s="89"/>
      <c r="S131" s="89"/>
      <c r="T131" s="89"/>
      <c r="U131" s="89"/>
      <c r="V131" s="89"/>
      <c r="W131" s="89"/>
      <c r="X131" s="89"/>
      <c r="Y131" s="89"/>
      <c r="Z131" s="89"/>
      <c r="AA131" s="89"/>
      <c r="AB131" s="89"/>
      <c r="AC131" s="89"/>
      <c r="AD131" s="89"/>
    </row>
  </sheetData>
  <mergeCells count="40">
    <mergeCell ref="AG100:AN100"/>
    <mergeCell ref="P94:S96"/>
    <mergeCell ref="A116:Q116"/>
    <mergeCell ref="A118:Q118"/>
    <mergeCell ref="A119:Q119"/>
    <mergeCell ref="J99:K99"/>
    <mergeCell ref="M99:N99"/>
    <mergeCell ref="R99:S99"/>
    <mergeCell ref="P112:S114"/>
    <mergeCell ref="A80:S80"/>
    <mergeCell ref="U80:V80"/>
    <mergeCell ref="AT80:AU80"/>
    <mergeCell ref="J81:K81"/>
    <mergeCell ref="M81:N81"/>
    <mergeCell ref="R81:S81"/>
    <mergeCell ref="U81:U82"/>
    <mergeCell ref="V81:V82"/>
    <mergeCell ref="AT81:AT82"/>
    <mergeCell ref="AU81:AU82"/>
    <mergeCell ref="X80:AR80"/>
    <mergeCell ref="AG82:AN82"/>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2:Q2"/>
    <mergeCell ref="A4:Q4"/>
    <mergeCell ref="A5:Q5"/>
    <mergeCell ref="A6:Q6"/>
    <mergeCell ref="A7:Q7"/>
  </mergeCells>
  <pageMargins left="0.7" right="0.7" top="0.75" bottom="0.75" header="0.3" footer="0.3"/>
  <ignoredErrors>
    <ignoredError sqref="L85:P92 L101:P101 O99 A120:Q122 R118:S119 A97:P98 A93:D93 I93:O93 A115:Q117 A111:D111 I111:O111 A112:D112 A94:D94 A96:D96 A95:D95 I95:O95 A114:D114 A113:D113 I113:O113 L84:P84 S84 S85:S92 L102:P110 S102:S110 R101:S101 R97:S98 I94:O94 I96:O96 I112:O112 I114:O114 R120:S122 R115:S117" formulaRange="1"/>
    <ignoredError sqref="U25:X39 U40:X40 O40:T40 M25:T39 M40:N40 M24:T24 M41:T42 V24:X24" evalError="1"/>
    <ignoredError sqref="AJ86 AJ10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7F74-D1B4-4859-9F20-683FFC6CE503}">
  <dimension ref="A1:AU130"/>
  <sheetViews>
    <sheetView zoomScale="70" zoomScaleNormal="70" workbookViewId="0"/>
  </sheetViews>
  <sheetFormatPr baseColWidth="10" defaultColWidth="11.453125" defaultRowHeight="13" x14ac:dyDescent="0.25"/>
  <cols>
    <col min="1" max="1" width="7.453125" style="59" customWidth="1"/>
    <col min="2" max="2" width="6.26953125" style="59" customWidth="1"/>
    <col min="3" max="3" width="9.26953125" style="59" customWidth="1"/>
    <col min="4" max="4" width="9.54296875" style="59" customWidth="1"/>
    <col min="5" max="5" width="12.54296875" style="59" customWidth="1"/>
    <col min="6" max="6" width="9.26953125" style="59" customWidth="1"/>
    <col min="7" max="7" width="11.08984375" style="59" customWidth="1"/>
    <col min="8" max="8" width="13" style="59" customWidth="1"/>
    <col min="9" max="9" width="13.26953125" style="59" customWidth="1"/>
    <col min="10" max="10" width="11.08984375" style="59" customWidth="1"/>
    <col min="11" max="11" width="20.453125" style="59" customWidth="1"/>
    <col min="12" max="12" width="9.81640625" style="59" customWidth="1"/>
    <col min="13" max="13" width="13.453125" style="59" customWidth="1"/>
    <col min="14" max="14" width="14.36328125" style="59" customWidth="1"/>
    <col min="15" max="15" width="14.6328125" style="59" customWidth="1"/>
    <col min="16" max="16" width="15.81640625" style="59" bestFit="1" customWidth="1"/>
    <col min="17" max="17" width="10.1796875" style="59" customWidth="1"/>
    <col min="18" max="18" width="13.08984375" style="25" customWidth="1"/>
    <col min="19" max="19" width="13.6328125" style="25" customWidth="1"/>
    <col min="20" max="20" width="8.26953125" style="25" customWidth="1"/>
    <col min="21" max="22" width="14.6328125" style="25" customWidth="1"/>
    <col min="23" max="24" width="11.54296875" style="25" customWidth="1"/>
    <col min="25" max="25" width="11.453125" style="25"/>
    <col min="26" max="26" width="11.1796875" style="25" customWidth="1"/>
    <col min="27" max="28" width="14.6328125" style="25" customWidth="1"/>
    <col min="29" max="31" width="14.6328125" style="59" customWidth="1"/>
    <col min="32" max="32" width="2.81640625" style="59" customWidth="1"/>
    <col min="33" max="33" width="11.54296875" style="59" customWidth="1"/>
    <col min="34" max="34" width="7.1796875" style="59" customWidth="1"/>
    <col min="35" max="35" width="6.90625" style="59" customWidth="1"/>
    <col min="36" max="36" width="5.36328125" style="59" customWidth="1"/>
    <col min="37" max="37" width="8.6328125" style="59" customWidth="1"/>
    <col min="38" max="38" width="3.26953125" style="59" customWidth="1"/>
    <col min="39" max="39" width="11.90625" style="59" customWidth="1"/>
    <col min="40" max="40" width="6.90625" style="59" customWidth="1"/>
    <col min="41" max="41" width="2" style="59" customWidth="1"/>
    <col min="42" max="42" width="14.6328125" style="59" customWidth="1"/>
    <col min="43" max="44" width="11.36328125" style="59" customWidth="1"/>
    <col min="45" max="45" width="3.6328125" style="59" customWidth="1"/>
    <col min="46" max="16384" width="11.453125" style="59"/>
  </cols>
  <sheetData>
    <row r="1" spans="1:41" ht="6" customHeight="1" thickBot="1" x14ac:dyDescent="0.3"/>
    <row r="2" spans="1:41" ht="26" customHeight="1" thickBot="1" x14ac:dyDescent="0.3">
      <c r="A2" s="212" t="s">
        <v>20</v>
      </c>
      <c r="B2" s="213"/>
      <c r="C2" s="213"/>
      <c r="D2" s="213"/>
      <c r="E2" s="213"/>
      <c r="F2" s="213"/>
      <c r="G2" s="213"/>
      <c r="H2" s="213"/>
      <c r="I2" s="213"/>
      <c r="J2" s="213"/>
      <c r="K2" s="213"/>
      <c r="L2" s="213"/>
      <c r="M2" s="213"/>
      <c r="N2" s="213"/>
      <c r="O2" s="213"/>
      <c r="P2" s="213"/>
      <c r="Q2" s="214"/>
    </row>
    <row r="3" spans="1:41" ht="4" customHeight="1" x14ac:dyDescent="0.25">
      <c r="A3" s="30"/>
    </row>
    <row r="4" spans="1:41" ht="41.5" customHeight="1" x14ac:dyDescent="0.25">
      <c r="A4" s="215" t="s">
        <v>35</v>
      </c>
      <c r="B4" s="216"/>
      <c r="C4" s="216"/>
      <c r="D4" s="216"/>
      <c r="E4" s="216"/>
      <c r="F4" s="216"/>
      <c r="G4" s="216"/>
      <c r="H4" s="216"/>
      <c r="I4" s="216"/>
      <c r="J4" s="216"/>
      <c r="K4" s="216"/>
      <c r="L4" s="216"/>
      <c r="M4" s="216"/>
      <c r="N4" s="216"/>
      <c r="O4" s="216"/>
      <c r="P4" s="216"/>
      <c r="Q4" s="217"/>
    </row>
    <row r="5" spans="1:41" ht="45.5" customHeight="1" x14ac:dyDescent="0.25">
      <c r="A5" s="218" t="s">
        <v>95</v>
      </c>
      <c r="B5" s="219"/>
      <c r="C5" s="219"/>
      <c r="D5" s="219"/>
      <c r="E5" s="219"/>
      <c r="F5" s="219"/>
      <c r="G5" s="219"/>
      <c r="H5" s="219"/>
      <c r="I5" s="219"/>
      <c r="J5" s="219"/>
      <c r="K5" s="219"/>
      <c r="L5" s="219"/>
      <c r="M5" s="219"/>
      <c r="N5" s="219"/>
      <c r="O5" s="219"/>
      <c r="P5" s="219"/>
      <c r="Q5" s="220"/>
      <c r="AC5" s="25"/>
      <c r="AD5" s="25"/>
      <c r="AE5" s="25"/>
      <c r="AF5" s="25"/>
      <c r="AG5" s="25"/>
      <c r="AH5" s="25"/>
      <c r="AI5" s="25"/>
      <c r="AJ5" s="25"/>
    </row>
    <row r="6" spans="1:41" ht="30.5" customHeight="1" x14ac:dyDescent="0.25">
      <c r="A6" s="218" t="s">
        <v>96</v>
      </c>
      <c r="B6" s="219"/>
      <c r="C6" s="219"/>
      <c r="D6" s="219"/>
      <c r="E6" s="219"/>
      <c r="F6" s="219"/>
      <c r="G6" s="219"/>
      <c r="H6" s="219"/>
      <c r="I6" s="219"/>
      <c r="J6" s="219"/>
      <c r="K6" s="219"/>
      <c r="L6" s="219"/>
      <c r="M6" s="219"/>
      <c r="N6" s="219"/>
      <c r="O6" s="219"/>
      <c r="P6" s="219"/>
      <c r="Q6" s="220"/>
      <c r="AC6" s="25"/>
    </row>
    <row r="7" spans="1:41" ht="29.25" customHeight="1" x14ac:dyDescent="0.25">
      <c r="A7" s="218" t="s">
        <v>97</v>
      </c>
      <c r="B7" s="219"/>
      <c r="C7" s="219"/>
      <c r="D7" s="219"/>
      <c r="E7" s="219"/>
      <c r="F7" s="219"/>
      <c r="G7" s="219"/>
      <c r="H7" s="219"/>
      <c r="I7" s="219"/>
      <c r="J7" s="219"/>
      <c r="K7" s="219"/>
      <c r="L7" s="219"/>
      <c r="M7" s="219"/>
      <c r="N7" s="219"/>
      <c r="O7" s="219"/>
      <c r="P7" s="219"/>
      <c r="Q7" s="220"/>
      <c r="AC7" s="25"/>
    </row>
    <row r="8" spans="1:41" ht="26.5" customHeight="1" x14ac:dyDescent="0.25">
      <c r="A8" s="226" t="s">
        <v>36</v>
      </c>
      <c r="B8" s="227"/>
      <c r="C8" s="227"/>
      <c r="D8" s="227"/>
      <c r="E8" s="227"/>
      <c r="F8" s="227"/>
      <c r="G8" s="227"/>
      <c r="H8" s="227"/>
      <c r="I8" s="227"/>
      <c r="J8" s="227"/>
      <c r="K8" s="227"/>
      <c r="L8" s="227"/>
      <c r="M8" s="227"/>
      <c r="N8" s="227"/>
      <c r="O8" s="227"/>
      <c r="P8" s="227"/>
      <c r="Q8" s="228"/>
      <c r="AC8" s="25"/>
    </row>
    <row r="9" spans="1:41" ht="12.5" customHeight="1" x14ac:dyDescent="0.25">
      <c r="A9" s="60"/>
      <c r="D9" s="54"/>
      <c r="E9" s="54"/>
      <c r="F9" s="54"/>
      <c r="G9" s="54"/>
      <c r="H9" s="30"/>
      <c r="I9" s="54"/>
      <c r="J9" s="54"/>
      <c r="K9" s="54"/>
      <c r="L9" s="54"/>
      <c r="M9" s="54"/>
      <c r="N9" s="54"/>
    </row>
    <row r="10" spans="1:41" ht="12.5" customHeight="1" x14ac:dyDescent="0.25">
      <c r="A10" s="210" t="s">
        <v>98</v>
      </c>
      <c r="D10" s="209"/>
      <c r="E10" s="209"/>
      <c r="F10" s="209"/>
      <c r="G10" s="209"/>
      <c r="H10" s="30"/>
      <c r="I10" s="209"/>
      <c r="J10" s="209"/>
      <c r="K10" s="209"/>
      <c r="L10" s="209"/>
      <c r="M10" s="209"/>
      <c r="N10" s="209"/>
    </row>
    <row r="11" spans="1:41" ht="12.75" customHeight="1" thickBot="1" x14ac:dyDescent="0.35">
      <c r="A11" s="178" t="s">
        <v>115</v>
      </c>
      <c r="D11" s="209"/>
      <c r="E11" s="209"/>
      <c r="F11" s="209"/>
      <c r="G11" s="209"/>
      <c r="H11" s="209"/>
      <c r="I11" s="209"/>
      <c r="J11" s="209"/>
      <c r="K11" s="209"/>
      <c r="L11" s="209"/>
      <c r="M11" s="209"/>
      <c r="N11" s="209"/>
    </row>
    <row r="12" spans="1:41" ht="35.5" customHeight="1" thickBot="1" x14ac:dyDescent="0.3">
      <c r="A12" s="234" t="s">
        <v>113</v>
      </c>
      <c r="B12" s="235"/>
      <c r="C12" s="235"/>
      <c r="D12" s="235"/>
      <c r="E12" s="235"/>
      <c r="F12" s="235"/>
      <c r="G12" s="235"/>
      <c r="H12" s="235"/>
      <c r="I12" s="235"/>
      <c r="J12" s="235"/>
      <c r="K12" s="235"/>
      <c r="L12" s="235"/>
      <c r="M12" s="235"/>
      <c r="N12" s="235"/>
      <c r="O12" s="235"/>
      <c r="P12" s="235"/>
      <c r="Q12" s="235"/>
      <c r="R12" s="235"/>
      <c r="S12" s="235"/>
      <c r="T12" s="235"/>
      <c r="U12" s="235"/>
      <c r="V12" s="235"/>
      <c r="W12" s="235"/>
      <c r="X12" s="236"/>
      <c r="AE12" s="62"/>
      <c r="AF12" s="62"/>
      <c r="AG12" s="62"/>
      <c r="AH12" s="62"/>
      <c r="AI12" s="62"/>
      <c r="AJ12" s="62"/>
      <c r="AK12" s="62"/>
      <c r="AL12" s="62"/>
      <c r="AM12" s="62"/>
      <c r="AN12" s="62"/>
      <c r="AO12" s="62"/>
    </row>
    <row r="13" spans="1:41" ht="38.5" customHeight="1" x14ac:dyDescent="0.25">
      <c r="A13" s="30" t="s">
        <v>102</v>
      </c>
      <c r="E13" s="63"/>
      <c r="F13" s="64"/>
      <c r="H13" s="10"/>
      <c r="J13" s="237" t="s">
        <v>32</v>
      </c>
      <c r="K13" s="238"/>
      <c r="M13" s="191" t="s">
        <v>43</v>
      </c>
      <c r="N13" s="191" t="s">
        <v>44</v>
      </c>
      <c r="U13" s="58"/>
      <c r="V13" s="58"/>
      <c r="W13" s="66"/>
      <c r="AC13" s="25"/>
      <c r="AD13" s="25"/>
      <c r="AE13" s="25"/>
      <c r="AF13" s="25"/>
      <c r="AG13" s="25"/>
      <c r="AH13" s="25"/>
      <c r="AI13" s="62"/>
      <c r="AJ13" s="62"/>
      <c r="AK13" s="62"/>
      <c r="AL13" s="62"/>
      <c r="AM13" s="62"/>
    </row>
    <row r="14" spans="1:41" ht="66" customHeight="1" x14ac:dyDescent="0.25">
      <c r="A14" s="39" t="s">
        <v>22</v>
      </c>
      <c r="B14" s="4" t="s">
        <v>23</v>
      </c>
      <c r="C14" s="1" t="s">
        <v>21</v>
      </c>
      <c r="D14" s="40" t="s">
        <v>24</v>
      </c>
      <c r="E14" s="1" t="s">
        <v>30</v>
      </c>
      <c r="F14" s="2" t="s">
        <v>25</v>
      </c>
      <c r="G14" s="2" t="s">
        <v>26</v>
      </c>
      <c r="H14" s="27" t="s">
        <v>72</v>
      </c>
      <c r="I14" s="2" t="s">
        <v>27</v>
      </c>
      <c r="J14" s="35" t="s">
        <v>33</v>
      </c>
      <c r="K14" s="41" t="s">
        <v>34</v>
      </c>
      <c r="M14" s="52" t="s">
        <v>45</v>
      </c>
      <c r="N14" s="52" t="s">
        <v>46</v>
      </c>
      <c r="O14" s="192" t="s">
        <v>86</v>
      </c>
      <c r="P14" s="192" t="s">
        <v>87</v>
      </c>
      <c r="Q14" s="192" t="s">
        <v>88</v>
      </c>
      <c r="R14" s="192" t="s">
        <v>89</v>
      </c>
      <c r="S14" s="192" t="s">
        <v>90</v>
      </c>
      <c r="T14" s="193" t="s">
        <v>85</v>
      </c>
      <c r="U14" s="193" t="s">
        <v>91</v>
      </c>
      <c r="V14" s="194" t="s">
        <v>92</v>
      </c>
      <c r="W14" s="194" t="s">
        <v>93</v>
      </c>
      <c r="X14" s="194" t="s">
        <v>94</v>
      </c>
      <c r="AC14" s="25"/>
      <c r="AH14" s="25"/>
      <c r="AI14" s="62"/>
      <c r="AJ14" s="62"/>
      <c r="AK14" s="62"/>
      <c r="AL14" s="62"/>
      <c r="AM14" s="62"/>
    </row>
    <row r="15" spans="1:41" x14ac:dyDescent="0.3">
      <c r="A15" s="182">
        <v>0</v>
      </c>
      <c r="B15" s="67">
        <v>0</v>
      </c>
      <c r="C15" s="62"/>
      <c r="D15" s="68">
        <v>0</v>
      </c>
      <c r="E15" s="31">
        <f>H15</f>
        <v>126</v>
      </c>
      <c r="F15" s="3">
        <v>0</v>
      </c>
      <c r="G15" s="3">
        <v>0</v>
      </c>
      <c r="H15" s="49">
        <v>126</v>
      </c>
      <c r="I15" s="69">
        <f>F15/E15</f>
        <v>0</v>
      </c>
      <c r="J15" s="29">
        <f>1-I15</f>
        <v>1</v>
      </c>
      <c r="K15" s="29">
        <f>J15</f>
        <v>1</v>
      </c>
      <c r="L15" s="62"/>
      <c r="M15" s="50">
        <f t="shared" ref="M15:M24" si="0">K15^W15</f>
        <v>1</v>
      </c>
      <c r="N15" s="50">
        <f t="shared" ref="N15:N24" si="1">K15^X15</f>
        <v>1</v>
      </c>
      <c r="O15" s="195">
        <f t="shared" ref="O15:O24" si="2">(LN(K15))^2</f>
        <v>0</v>
      </c>
      <c r="P15" s="196">
        <f t="shared" ref="P15:P24" si="3">E15-H15</f>
        <v>0</v>
      </c>
      <c r="Q15" s="196">
        <f t="shared" ref="Q15:Q24" si="4">E15*H15</f>
        <v>15876</v>
      </c>
      <c r="R15" s="197">
        <f t="shared" ref="R15:R24" si="5">P15/Q15</f>
        <v>0</v>
      </c>
      <c r="S15" s="197">
        <f>R15</f>
        <v>0</v>
      </c>
      <c r="T15" s="198">
        <v>0</v>
      </c>
      <c r="U15" s="199">
        <f>-NORMSINV(2.5/100)</f>
        <v>1.9599639845400538</v>
      </c>
      <c r="V15" s="195">
        <f t="shared" ref="V15:V24" si="6">U15*T15</f>
        <v>0</v>
      </c>
      <c r="W15" s="200">
        <f t="shared" ref="W15:W24" si="7">EXP(V15)</f>
        <v>1</v>
      </c>
      <c r="X15" s="200">
        <f t="shared" ref="X15:X24" si="8">EXP(-V15)</f>
        <v>1</v>
      </c>
      <c r="AC15" s="25"/>
      <c r="AH15" s="25"/>
      <c r="AI15" s="62"/>
      <c r="AJ15" s="62"/>
      <c r="AK15" s="62"/>
      <c r="AL15" s="62"/>
      <c r="AM15" s="62"/>
    </row>
    <row r="16" spans="1:41" x14ac:dyDescent="0.3">
      <c r="A16" s="182">
        <v>0</v>
      </c>
      <c r="B16" s="70">
        <f>B15+F16</f>
        <v>24</v>
      </c>
      <c r="C16" s="71">
        <f>D15</f>
        <v>0</v>
      </c>
      <c r="D16" s="68">
        <v>5</v>
      </c>
      <c r="E16" s="68">
        <f>H15</f>
        <v>126</v>
      </c>
      <c r="F16" s="31">
        <f>E16-H16-G16</f>
        <v>24</v>
      </c>
      <c r="G16" s="68">
        <f>A16-A15</f>
        <v>0</v>
      </c>
      <c r="H16" s="49">
        <v>102</v>
      </c>
      <c r="I16" s="72">
        <f>F16/E16</f>
        <v>0.19047619047619047</v>
      </c>
      <c r="J16" s="29">
        <f>1-I16</f>
        <v>0.80952380952380953</v>
      </c>
      <c r="K16" s="29">
        <f>J16*K15</f>
        <v>0.80952380952380953</v>
      </c>
      <c r="L16" s="62"/>
      <c r="M16" s="50">
        <f t="shared" si="0"/>
        <v>0.72942775300940677</v>
      </c>
      <c r="N16" s="50">
        <f t="shared" si="1"/>
        <v>0.86803042063069968</v>
      </c>
      <c r="O16" s="195">
        <f t="shared" si="2"/>
        <v>4.4651533066456424E-2</v>
      </c>
      <c r="P16" s="196">
        <f t="shared" si="3"/>
        <v>24</v>
      </c>
      <c r="Q16" s="196">
        <f t="shared" si="4"/>
        <v>12852</v>
      </c>
      <c r="R16" s="197">
        <f t="shared" si="5"/>
        <v>1.8674136321195146E-3</v>
      </c>
      <c r="S16" s="197">
        <f t="shared" ref="S16:S24" si="9">S15+R16</f>
        <v>1.8674136321195146E-3</v>
      </c>
      <c r="T16" s="198">
        <f t="shared" ref="T16:T24" si="10">SQRT((1/O16)*S16)</f>
        <v>0.20450412625498199</v>
      </c>
      <c r="U16" s="199">
        <f>-NORMSINV(2.5/100)</f>
        <v>1.9599639845400538</v>
      </c>
      <c r="V16" s="195">
        <f t="shared" si="6"/>
        <v>0.40082072214959674</v>
      </c>
      <c r="W16" s="200">
        <f t="shared" si="7"/>
        <v>1.4930495737866767</v>
      </c>
      <c r="X16" s="200">
        <f t="shared" si="8"/>
        <v>0.66977012522350288</v>
      </c>
      <c r="AC16" s="25"/>
      <c r="AH16" s="25"/>
      <c r="AI16" s="62"/>
      <c r="AJ16" s="62"/>
      <c r="AK16" s="62"/>
      <c r="AL16" s="62"/>
      <c r="AM16" s="62"/>
    </row>
    <row r="17" spans="1:41" x14ac:dyDescent="0.3">
      <c r="A17" s="182">
        <v>0</v>
      </c>
      <c r="B17" s="70">
        <f t="shared" ref="B17:B24" si="11">B16+F17</f>
        <v>49</v>
      </c>
      <c r="C17" s="71">
        <f t="shared" ref="C17:C24" si="12">D16</f>
        <v>5</v>
      </c>
      <c r="D17" s="68">
        <v>10</v>
      </c>
      <c r="E17" s="68">
        <f t="shared" ref="E17:E24" si="13">H16</f>
        <v>102</v>
      </c>
      <c r="F17" s="31">
        <f t="shared" ref="F17:F24" si="14">E17-H17-G17</f>
        <v>25</v>
      </c>
      <c r="G17" s="68">
        <f t="shared" ref="G17:G24" si="15">A17-A16</f>
        <v>0</v>
      </c>
      <c r="H17" s="49">
        <v>77</v>
      </c>
      <c r="I17" s="72">
        <f t="shared" ref="I17:I24" si="16">F17/E17</f>
        <v>0.24509803921568626</v>
      </c>
      <c r="J17" s="29">
        <f t="shared" ref="J17:J24" si="17">1-I17</f>
        <v>0.75490196078431371</v>
      </c>
      <c r="K17" s="29">
        <f t="shared" ref="K17:K24" si="18">J17*K16</f>
        <v>0.61111111111111116</v>
      </c>
      <c r="L17" s="62"/>
      <c r="M17" s="50">
        <f t="shared" si="0"/>
        <v>0.52024318488542676</v>
      </c>
      <c r="N17" s="50">
        <f t="shared" si="1"/>
        <v>0.68993852890244811</v>
      </c>
      <c r="O17" s="195">
        <f t="shared" si="2"/>
        <v>0.24253308837427778</v>
      </c>
      <c r="P17" s="196">
        <f t="shared" si="3"/>
        <v>25</v>
      </c>
      <c r="Q17" s="196">
        <f t="shared" si="4"/>
        <v>7854</v>
      </c>
      <c r="R17" s="197">
        <f t="shared" si="5"/>
        <v>3.1830914183855362E-3</v>
      </c>
      <c r="S17" s="197">
        <f t="shared" si="9"/>
        <v>5.0505050505050509E-3</v>
      </c>
      <c r="T17" s="198">
        <f t="shared" si="10"/>
        <v>0.14430517517553748</v>
      </c>
      <c r="U17" s="199">
        <f t="shared" ref="U17:U24" si="19">-NORMSINV(2.5/100)</f>
        <v>1.9599639845400538</v>
      </c>
      <c r="V17" s="195">
        <f t="shared" si="6"/>
        <v>0.28283294612679688</v>
      </c>
      <c r="W17" s="200">
        <f t="shared" si="7"/>
        <v>1.3268834822764561</v>
      </c>
      <c r="X17" s="200">
        <f t="shared" si="8"/>
        <v>0.75364567677363703</v>
      </c>
      <c r="AC17" s="25"/>
      <c r="AH17" s="25"/>
      <c r="AI17" s="62"/>
      <c r="AJ17" s="62"/>
      <c r="AK17" s="62"/>
      <c r="AL17" s="62"/>
      <c r="AM17" s="62"/>
    </row>
    <row r="18" spans="1:41" x14ac:dyDescent="0.3">
      <c r="A18" s="182">
        <v>1</v>
      </c>
      <c r="B18" s="70">
        <f t="shared" si="11"/>
        <v>65</v>
      </c>
      <c r="C18" s="71">
        <f t="shared" si="12"/>
        <v>10</v>
      </c>
      <c r="D18" s="68">
        <v>15</v>
      </c>
      <c r="E18" s="68">
        <f t="shared" si="13"/>
        <v>77</v>
      </c>
      <c r="F18" s="31">
        <f t="shared" si="14"/>
        <v>16</v>
      </c>
      <c r="G18" s="68">
        <f t="shared" si="15"/>
        <v>1</v>
      </c>
      <c r="H18" s="49">
        <v>60</v>
      </c>
      <c r="I18" s="72">
        <f t="shared" si="16"/>
        <v>0.20779220779220781</v>
      </c>
      <c r="J18" s="29">
        <f t="shared" si="17"/>
        <v>0.79220779220779214</v>
      </c>
      <c r="K18" s="29">
        <f t="shared" si="18"/>
        <v>0.48412698412698413</v>
      </c>
      <c r="L18" s="62"/>
      <c r="M18" s="50">
        <f t="shared" si="0"/>
        <v>0.39308556566262598</v>
      </c>
      <c r="N18" s="50">
        <f t="shared" si="1"/>
        <v>0.5691760686907581</v>
      </c>
      <c r="O18" s="195">
        <f t="shared" si="2"/>
        <v>0.5262168285272506</v>
      </c>
      <c r="P18" s="196">
        <f t="shared" si="3"/>
        <v>17</v>
      </c>
      <c r="Q18" s="196">
        <f t="shared" si="4"/>
        <v>4620</v>
      </c>
      <c r="R18" s="197">
        <f t="shared" si="5"/>
        <v>3.6796536796536799E-3</v>
      </c>
      <c r="S18" s="197">
        <f t="shared" si="9"/>
        <v>8.7301587301587304E-3</v>
      </c>
      <c r="T18" s="198">
        <f t="shared" si="10"/>
        <v>0.12880380822963156</v>
      </c>
      <c r="U18" s="199">
        <f t="shared" si="19"/>
        <v>1.9599639845400538</v>
      </c>
      <c r="V18" s="195">
        <f t="shared" si="6"/>
        <v>0.25245082520168166</v>
      </c>
      <c r="W18" s="200">
        <f t="shared" si="7"/>
        <v>1.2871761979685348</v>
      </c>
      <c r="X18" s="200">
        <f t="shared" si="8"/>
        <v>0.77689441552619909</v>
      </c>
      <c r="AC18" s="25"/>
      <c r="AH18" s="25"/>
      <c r="AI18" s="62"/>
      <c r="AJ18" s="62"/>
      <c r="AK18" s="62"/>
      <c r="AL18" s="62"/>
      <c r="AM18" s="62"/>
    </row>
    <row r="19" spans="1:41" x14ac:dyDescent="0.3">
      <c r="A19" s="182">
        <v>1</v>
      </c>
      <c r="B19" s="70">
        <f t="shared" si="11"/>
        <v>75</v>
      </c>
      <c r="C19" s="71">
        <f t="shared" si="12"/>
        <v>15</v>
      </c>
      <c r="D19" s="68">
        <v>20</v>
      </c>
      <c r="E19" s="68">
        <f t="shared" si="13"/>
        <v>60</v>
      </c>
      <c r="F19" s="31">
        <f t="shared" si="14"/>
        <v>10</v>
      </c>
      <c r="G19" s="68">
        <f t="shared" si="15"/>
        <v>0</v>
      </c>
      <c r="H19" s="49">
        <v>50</v>
      </c>
      <c r="I19" s="72">
        <f t="shared" si="16"/>
        <v>0.16666666666666666</v>
      </c>
      <c r="J19" s="29">
        <f t="shared" si="17"/>
        <v>0.83333333333333337</v>
      </c>
      <c r="K19" s="29">
        <f t="shared" si="18"/>
        <v>0.40343915343915343</v>
      </c>
      <c r="L19" s="62"/>
      <c r="M19" s="50">
        <f t="shared" si="0"/>
        <v>0.31642483988938686</v>
      </c>
      <c r="N19" s="50">
        <f t="shared" si="1"/>
        <v>0.48866339726536628</v>
      </c>
      <c r="O19" s="195">
        <f t="shared" si="2"/>
        <v>0.82397302593936383</v>
      </c>
      <c r="P19" s="196">
        <f t="shared" si="3"/>
        <v>10</v>
      </c>
      <c r="Q19" s="196">
        <f t="shared" si="4"/>
        <v>3000</v>
      </c>
      <c r="R19" s="197">
        <f t="shared" si="5"/>
        <v>3.3333333333333335E-3</v>
      </c>
      <c r="S19" s="197">
        <f t="shared" si="9"/>
        <v>1.2063492063492064E-2</v>
      </c>
      <c r="T19" s="198">
        <f t="shared" si="10"/>
        <v>0.1209985104868541</v>
      </c>
      <c r="U19" s="199">
        <f t="shared" si="19"/>
        <v>1.9599639845400538</v>
      </c>
      <c r="V19" s="195">
        <f t="shared" si="6"/>
        <v>0.23715272273722607</v>
      </c>
      <c r="W19" s="200">
        <f t="shared" si="7"/>
        <v>1.2676346996338625</v>
      </c>
      <c r="X19" s="200">
        <f t="shared" si="8"/>
        <v>0.78887080030929668</v>
      </c>
      <c r="AC19" s="25"/>
      <c r="AH19" s="25"/>
      <c r="AI19" s="62"/>
      <c r="AJ19" s="62"/>
      <c r="AK19" s="62"/>
      <c r="AL19" s="62"/>
      <c r="AM19" s="62"/>
    </row>
    <row r="20" spans="1:41" x14ac:dyDescent="0.3">
      <c r="A20" s="182">
        <v>1</v>
      </c>
      <c r="B20" s="70">
        <f t="shared" si="11"/>
        <v>81</v>
      </c>
      <c r="C20" s="71">
        <f t="shared" si="12"/>
        <v>20</v>
      </c>
      <c r="D20" s="68">
        <v>25</v>
      </c>
      <c r="E20" s="68">
        <f t="shared" si="13"/>
        <v>50</v>
      </c>
      <c r="F20" s="31">
        <f t="shared" si="14"/>
        <v>6</v>
      </c>
      <c r="G20" s="68">
        <f t="shared" si="15"/>
        <v>0</v>
      </c>
      <c r="H20" s="49">
        <v>44</v>
      </c>
      <c r="I20" s="72">
        <f t="shared" si="16"/>
        <v>0.12</v>
      </c>
      <c r="J20" s="29">
        <f t="shared" si="17"/>
        <v>0.88</v>
      </c>
      <c r="K20" s="29">
        <f t="shared" si="18"/>
        <v>0.35502645502645502</v>
      </c>
      <c r="L20" s="62"/>
      <c r="M20" s="50">
        <f t="shared" si="0"/>
        <v>0.27155414964339319</v>
      </c>
      <c r="N20" s="50">
        <f t="shared" si="1"/>
        <v>0.43926966166004905</v>
      </c>
      <c r="O20" s="195">
        <f t="shared" si="2"/>
        <v>1.072390667076192</v>
      </c>
      <c r="P20" s="196">
        <f t="shared" si="3"/>
        <v>6</v>
      </c>
      <c r="Q20" s="196">
        <f t="shared" si="4"/>
        <v>2200</v>
      </c>
      <c r="R20" s="197">
        <f t="shared" si="5"/>
        <v>2.7272727272727275E-3</v>
      </c>
      <c r="S20" s="197">
        <f t="shared" si="9"/>
        <v>1.4790764790764792E-2</v>
      </c>
      <c r="T20" s="198">
        <f t="shared" si="10"/>
        <v>0.11744074634078785</v>
      </c>
      <c r="U20" s="199">
        <f t="shared" si="19"/>
        <v>1.9599639845400538</v>
      </c>
      <c r="V20" s="195">
        <f t="shared" si="6"/>
        <v>0.23017963314544831</v>
      </c>
      <c r="W20" s="200">
        <f t="shared" si="7"/>
        <v>1.2588261165156334</v>
      </c>
      <c r="X20" s="200">
        <f t="shared" si="8"/>
        <v>0.79439089075141611</v>
      </c>
      <c r="AC20" s="25"/>
      <c r="AH20" s="25"/>
      <c r="AI20" s="62"/>
      <c r="AJ20" s="62"/>
      <c r="AK20" s="62"/>
      <c r="AL20" s="62"/>
      <c r="AM20" s="62"/>
    </row>
    <row r="21" spans="1:41" x14ac:dyDescent="0.3">
      <c r="A21" s="182">
        <v>8</v>
      </c>
      <c r="B21" s="70">
        <f t="shared" si="11"/>
        <v>82</v>
      </c>
      <c r="C21" s="71">
        <f t="shared" si="12"/>
        <v>25</v>
      </c>
      <c r="D21" s="68">
        <v>30</v>
      </c>
      <c r="E21" s="68">
        <f t="shared" si="13"/>
        <v>44</v>
      </c>
      <c r="F21" s="31">
        <f t="shared" si="14"/>
        <v>1</v>
      </c>
      <c r="G21" s="68">
        <f t="shared" si="15"/>
        <v>7</v>
      </c>
      <c r="H21" s="49">
        <v>36</v>
      </c>
      <c r="I21" s="72">
        <f t="shared" si="16"/>
        <v>2.2727272727272728E-2</v>
      </c>
      <c r="J21" s="29">
        <f t="shared" si="17"/>
        <v>0.97727272727272729</v>
      </c>
      <c r="K21" s="29">
        <f t="shared" si="18"/>
        <v>0.34695767195767196</v>
      </c>
      <c r="L21" s="62"/>
      <c r="M21" s="50">
        <f t="shared" si="0"/>
        <v>0.25309815562083038</v>
      </c>
      <c r="N21" s="50">
        <f t="shared" si="1"/>
        <v>0.44240054786876409</v>
      </c>
      <c r="O21" s="195">
        <f t="shared" si="2"/>
        <v>1.120533372617422</v>
      </c>
      <c r="P21" s="196">
        <f t="shared" si="3"/>
        <v>8</v>
      </c>
      <c r="Q21" s="196">
        <f t="shared" si="4"/>
        <v>1584</v>
      </c>
      <c r="R21" s="197">
        <f t="shared" si="5"/>
        <v>5.0505050505050509E-3</v>
      </c>
      <c r="S21" s="197">
        <f t="shared" si="9"/>
        <v>1.9841269841269844E-2</v>
      </c>
      <c r="T21" s="198">
        <f t="shared" si="10"/>
        <v>0.1330676030500933</v>
      </c>
      <c r="U21" s="199">
        <f t="shared" si="19"/>
        <v>1.9599639845400538</v>
      </c>
      <c r="V21" s="195">
        <f t="shared" si="6"/>
        <v>0.26080770948725507</v>
      </c>
      <c r="W21" s="200">
        <f t="shared" si="7"/>
        <v>1.2979780525701059</v>
      </c>
      <c r="X21" s="200">
        <f t="shared" si="8"/>
        <v>0.77042905156979791</v>
      </c>
      <c r="AC21" s="25"/>
      <c r="AH21" s="25"/>
      <c r="AI21" s="62"/>
      <c r="AJ21" s="62"/>
      <c r="AK21" s="62"/>
      <c r="AL21" s="62"/>
      <c r="AM21" s="62"/>
    </row>
    <row r="22" spans="1:41" x14ac:dyDescent="0.3">
      <c r="A22" s="182">
        <v>22</v>
      </c>
      <c r="B22" s="70">
        <f t="shared" si="11"/>
        <v>83</v>
      </c>
      <c r="C22" s="71">
        <f t="shared" si="12"/>
        <v>30</v>
      </c>
      <c r="D22" s="68">
        <v>35</v>
      </c>
      <c r="E22" s="68">
        <f t="shared" si="13"/>
        <v>36</v>
      </c>
      <c r="F22" s="31">
        <f t="shared" si="14"/>
        <v>1</v>
      </c>
      <c r="G22" s="68">
        <f t="shared" si="15"/>
        <v>14</v>
      </c>
      <c r="H22" s="49">
        <v>21</v>
      </c>
      <c r="I22" s="72">
        <f t="shared" si="16"/>
        <v>2.7777777777777776E-2</v>
      </c>
      <c r="J22" s="29">
        <f t="shared" si="17"/>
        <v>0.97222222222222221</v>
      </c>
      <c r="K22" s="29">
        <f t="shared" si="18"/>
        <v>0.33731995884773663</v>
      </c>
      <c r="L22" s="62"/>
      <c r="M22" s="50">
        <f t="shared" si="0"/>
        <v>0.21087156401924864</v>
      </c>
      <c r="N22" s="50">
        <f t="shared" si="1"/>
        <v>0.46826078490036188</v>
      </c>
      <c r="O22" s="195">
        <f t="shared" si="2"/>
        <v>1.180967674804593</v>
      </c>
      <c r="P22" s="196">
        <f t="shared" si="3"/>
        <v>15</v>
      </c>
      <c r="Q22" s="196">
        <f t="shared" si="4"/>
        <v>756</v>
      </c>
      <c r="R22" s="197">
        <f t="shared" si="5"/>
        <v>1.984126984126984E-2</v>
      </c>
      <c r="S22" s="197">
        <f t="shared" si="9"/>
        <v>3.968253968253968E-2</v>
      </c>
      <c r="T22" s="198">
        <f t="shared" si="10"/>
        <v>0.18330770682286257</v>
      </c>
      <c r="U22" s="199">
        <f t="shared" si="19"/>
        <v>1.9599639845400538</v>
      </c>
      <c r="V22" s="195">
        <f t="shared" si="6"/>
        <v>0.35927650346143775</v>
      </c>
      <c r="W22" s="200">
        <f t="shared" si="7"/>
        <v>1.4322927807359969</v>
      </c>
      <c r="X22" s="200">
        <f t="shared" si="8"/>
        <v>0.69818127512039874</v>
      </c>
      <c r="AC22" s="25"/>
      <c r="AH22" s="25"/>
      <c r="AI22" s="62"/>
      <c r="AJ22" s="62"/>
      <c r="AK22" s="62"/>
      <c r="AL22" s="62"/>
      <c r="AM22" s="62"/>
    </row>
    <row r="23" spans="1:41" x14ac:dyDescent="0.3">
      <c r="A23" s="182">
        <v>38</v>
      </c>
      <c r="B23" s="70">
        <f t="shared" si="11"/>
        <v>84</v>
      </c>
      <c r="C23" s="71">
        <f t="shared" si="12"/>
        <v>35</v>
      </c>
      <c r="D23" s="68">
        <v>40</v>
      </c>
      <c r="E23" s="68">
        <f t="shared" si="13"/>
        <v>21</v>
      </c>
      <c r="F23" s="31">
        <f t="shared" si="14"/>
        <v>1</v>
      </c>
      <c r="G23" s="68">
        <f t="shared" si="15"/>
        <v>16</v>
      </c>
      <c r="H23" s="49">
        <v>4</v>
      </c>
      <c r="I23" s="72">
        <f t="shared" si="16"/>
        <v>4.7619047619047616E-2</v>
      </c>
      <c r="J23" s="29">
        <f t="shared" si="17"/>
        <v>0.95238095238095233</v>
      </c>
      <c r="K23" s="29">
        <f t="shared" si="18"/>
        <v>0.32125710366451105</v>
      </c>
      <c r="L23" s="62"/>
      <c r="M23" s="50">
        <f t="shared" si="0"/>
        <v>7.0324830617591844E-2</v>
      </c>
      <c r="N23" s="50">
        <f t="shared" si="1"/>
        <v>0.61525777827631367</v>
      </c>
      <c r="O23" s="195">
        <f t="shared" si="2"/>
        <v>1.2893909778187476</v>
      </c>
      <c r="P23" s="196">
        <f t="shared" si="3"/>
        <v>17</v>
      </c>
      <c r="Q23" s="196">
        <f t="shared" si="4"/>
        <v>84</v>
      </c>
      <c r="R23" s="197">
        <f t="shared" si="5"/>
        <v>0.20238095238095238</v>
      </c>
      <c r="S23" s="197">
        <f t="shared" si="9"/>
        <v>0.24206349206349206</v>
      </c>
      <c r="T23" s="198">
        <f t="shared" si="10"/>
        <v>0.43328368232848669</v>
      </c>
      <c r="U23" s="199">
        <f t="shared" si="19"/>
        <v>1.9599639845400538</v>
      </c>
      <c r="V23" s="195">
        <f t="shared" si="6"/>
        <v>0.84922041245272772</v>
      </c>
      <c r="W23" s="200">
        <f t="shared" si="7"/>
        <v>2.3378236031585731</v>
      </c>
      <c r="X23" s="200">
        <f t="shared" si="8"/>
        <v>0.42774826922310388</v>
      </c>
      <c r="AC23" s="25"/>
      <c r="AH23" s="25"/>
      <c r="AI23" s="62"/>
      <c r="AJ23" s="62"/>
      <c r="AK23" s="62"/>
      <c r="AL23" s="62"/>
      <c r="AM23" s="62"/>
    </row>
    <row r="24" spans="1:41" x14ac:dyDescent="0.25">
      <c r="A24" s="70">
        <v>42</v>
      </c>
      <c r="B24" s="70">
        <f t="shared" si="11"/>
        <v>84</v>
      </c>
      <c r="C24" s="71">
        <f t="shared" si="12"/>
        <v>40</v>
      </c>
      <c r="D24" s="68">
        <v>45</v>
      </c>
      <c r="E24" s="68">
        <f t="shared" si="13"/>
        <v>4</v>
      </c>
      <c r="F24" s="31">
        <f t="shared" si="14"/>
        <v>0</v>
      </c>
      <c r="G24" s="68">
        <f t="shared" si="15"/>
        <v>4</v>
      </c>
      <c r="H24" s="49">
        <v>0</v>
      </c>
      <c r="I24" s="72">
        <f t="shared" si="16"/>
        <v>0</v>
      </c>
      <c r="J24" s="29">
        <f t="shared" si="17"/>
        <v>1</v>
      </c>
      <c r="K24" s="29">
        <f t="shared" si="18"/>
        <v>0.32125710366451105</v>
      </c>
      <c r="L24" s="62"/>
      <c r="M24" s="50" t="e">
        <f t="shared" si="0"/>
        <v>#DIV/0!</v>
      </c>
      <c r="N24" s="50" t="e">
        <f t="shared" si="1"/>
        <v>#DIV/0!</v>
      </c>
      <c r="O24" s="195">
        <f t="shared" si="2"/>
        <v>1.2893909778187476</v>
      </c>
      <c r="P24" s="196">
        <f t="shared" si="3"/>
        <v>4</v>
      </c>
      <c r="Q24" s="196">
        <f t="shared" si="4"/>
        <v>0</v>
      </c>
      <c r="R24" s="197" t="e">
        <f t="shared" si="5"/>
        <v>#DIV/0!</v>
      </c>
      <c r="S24" s="197" t="e">
        <f t="shared" si="9"/>
        <v>#DIV/0!</v>
      </c>
      <c r="T24" s="198" t="e">
        <f t="shared" si="10"/>
        <v>#DIV/0!</v>
      </c>
      <c r="U24" s="199">
        <f t="shared" si="19"/>
        <v>1.9599639845400538</v>
      </c>
      <c r="V24" s="195" t="e">
        <f t="shared" si="6"/>
        <v>#DIV/0!</v>
      </c>
      <c r="W24" s="200" t="e">
        <f t="shared" si="7"/>
        <v>#DIV/0!</v>
      </c>
      <c r="X24" s="200" t="e">
        <f t="shared" si="8"/>
        <v>#DIV/0!</v>
      </c>
      <c r="AC24" s="25"/>
      <c r="AH24" s="25"/>
      <c r="AI24" s="62"/>
      <c r="AJ24" s="62"/>
      <c r="AK24" s="62"/>
      <c r="AL24" s="62"/>
      <c r="AM24" s="62"/>
    </row>
    <row r="25" spans="1:41" ht="10" customHeight="1" x14ac:dyDescent="0.25">
      <c r="D25" s="73"/>
      <c r="E25" s="73"/>
      <c r="F25" s="73"/>
      <c r="G25" s="74"/>
      <c r="H25" s="73"/>
      <c r="I25" s="75"/>
      <c r="J25" s="76"/>
      <c r="K25" s="76"/>
      <c r="L25" s="77"/>
      <c r="M25" s="78"/>
      <c r="N25" s="78"/>
      <c r="O25" s="78"/>
      <c r="P25" s="78"/>
      <c r="Q25" s="77"/>
      <c r="R25" s="79"/>
      <c r="S25" s="79"/>
      <c r="T25" s="79"/>
      <c r="U25" s="79"/>
      <c r="Z25" s="80"/>
      <c r="AA25" s="80"/>
      <c r="AC25" s="25"/>
      <c r="AE25" s="80"/>
      <c r="AF25" s="62"/>
      <c r="AG25" s="81"/>
      <c r="AH25" s="62"/>
      <c r="AI25" s="62"/>
      <c r="AJ25" s="62"/>
      <c r="AK25" s="62"/>
      <c r="AL25" s="62"/>
      <c r="AM25" s="62"/>
      <c r="AN25" s="80"/>
      <c r="AO25" s="80"/>
    </row>
    <row r="26" spans="1:41" ht="15" x14ac:dyDescent="0.25">
      <c r="D26" s="82"/>
      <c r="E26" s="55" t="s">
        <v>0</v>
      </c>
      <c r="F26" s="56">
        <f>SUM(F16:F24)</f>
        <v>84</v>
      </c>
      <c r="G26" s="56">
        <f>SUM(G16:G24)</f>
        <v>42</v>
      </c>
      <c r="H26" s="140">
        <f>H15-F26-G26</f>
        <v>0</v>
      </c>
      <c r="I26" s="75"/>
      <c r="J26" s="83" t="s">
        <v>47</v>
      </c>
      <c r="K26" s="36">
        <f>1-K24</f>
        <v>0.6787428963354889</v>
      </c>
      <c r="L26" s="37" t="s">
        <v>31</v>
      </c>
      <c r="M26" s="77"/>
      <c r="N26" s="77"/>
      <c r="O26" s="78"/>
      <c r="P26" s="78"/>
      <c r="Q26" s="77"/>
      <c r="R26" s="79"/>
      <c r="S26" s="79"/>
      <c r="T26" s="79"/>
      <c r="U26" s="79"/>
      <c r="Z26" s="80"/>
      <c r="AA26" s="80"/>
      <c r="AC26" s="25"/>
      <c r="AE26" s="80"/>
      <c r="AF26" s="62"/>
      <c r="AG26" s="62"/>
      <c r="AH26" s="62"/>
      <c r="AI26" s="62"/>
      <c r="AJ26" s="62"/>
      <c r="AK26" s="62"/>
      <c r="AL26" s="62"/>
      <c r="AM26" s="62"/>
      <c r="AN26" s="80"/>
      <c r="AO26" s="80"/>
    </row>
    <row r="27" spans="1:41" ht="15" customHeight="1" x14ac:dyDescent="0.25">
      <c r="D27" s="82"/>
      <c r="F27" s="11">
        <f>F26/E15</f>
        <v>0.66666666666666663</v>
      </c>
      <c r="G27" s="12">
        <f>G26/E15</f>
        <v>0.33333333333333331</v>
      </c>
      <c r="H27" s="13">
        <f>H26/E15</f>
        <v>0</v>
      </c>
      <c r="I27" s="75"/>
      <c r="J27" s="75"/>
      <c r="K27" s="75"/>
      <c r="L27" s="84"/>
      <c r="M27" s="84"/>
      <c r="N27" s="84"/>
      <c r="O27" s="84"/>
      <c r="P27" s="84"/>
      <c r="Q27" s="84"/>
      <c r="R27" s="79"/>
      <c r="S27" s="79"/>
      <c r="T27" s="79"/>
      <c r="U27" s="79"/>
      <c r="Z27" s="80"/>
      <c r="AA27" s="80"/>
      <c r="AC27" s="25"/>
      <c r="AE27" s="85"/>
      <c r="AF27" s="62"/>
      <c r="AG27" s="62"/>
      <c r="AH27" s="62"/>
      <c r="AI27" s="62"/>
      <c r="AJ27" s="62"/>
      <c r="AK27" s="62"/>
      <c r="AL27" s="62"/>
      <c r="AM27" s="62"/>
      <c r="AN27" s="62"/>
      <c r="AO27" s="62"/>
    </row>
    <row r="28" spans="1:41" ht="15" customHeight="1" x14ac:dyDescent="0.25">
      <c r="D28" s="82"/>
      <c r="F28" s="142" t="s">
        <v>68</v>
      </c>
      <c r="G28" s="143" t="s">
        <v>69</v>
      </c>
      <c r="H28" s="141" t="s">
        <v>70</v>
      </c>
      <c r="I28" s="75"/>
      <c r="J28" s="75"/>
      <c r="K28" s="75"/>
      <c r="L28" s="84"/>
      <c r="M28" s="84"/>
      <c r="N28" s="84"/>
      <c r="O28" s="84"/>
      <c r="P28" s="84"/>
      <c r="Q28" s="84"/>
      <c r="R28" s="79"/>
      <c r="S28" s="79"/>
      <c r="T28" s="79"/>
      <c r="U28" s="79"/>
      <c r="Z28" s="80"/>
      <c r="AA28" s="80"/>
      <c r="AC28" s="25"/>
      <c r="AE28" s="85"/>
      <c r="AF28" s="62"/>
      <c r="AG28" s="62"/>
      <c r="AH28" s="62"/>
      <c r="AI28" s="62"/>
      <c r="AJ28" s="62"/>
      <c r="AK28" s="62"/>
      <c r="AL28" s="62"/>
      <c r="AM28" s="62"/>
      <c r="AN28" s="62"/>
      <c r="AO28" s="62"/>
    </row>
    <row r="29" spans="1:41" ht="27.5" customHeight="1" x14ac:dyDescent="0.25">
      <c r="A29" s="30" t="s">
        <v>103</v>
      </c>
      <c r="E29" s="63"/>
      <c r="F29" s="64"/>
      <c r="H29" s="10"/>
      <c r="J29" s="237" t="s">
        <v>32</v>
      </c>
      <c r="K29" s="238"/>
      <c r="L29" s="87"/>
      <c r="M29" s="65" t="s">
        <v>43</v>
      </c>
      <c r="N29" s="65" t="s">
        <v>44</v>
      </c>
      <c r="O29" s="87"/>
      <c r="P29" s="87"/>
      <c r="Q29" s="86"/>
      <c r="R29" s="79"/>
      <c r="S29" s="79"/>
      <c r="T29" s="79"/>
      <c r="U29" s="79"/>
      <c r="AC29" s="25"/>
      <c r="AE29" s="30"/>
      <c r="AF29" s="62"/>
      <c r="AG29" s="62"/>
      <c r="AH29" s="62"/>
      <c r="AI29" s="62"/>
      <c r="AJ29" s="62"/>
      <c r="AK29" s="62"/>
      <c r="AL29" s="62"/>
      <c r="AM29" s="62"/>
      <c r="AN29" s="62"/>
      <c r="AO29" s="62"/>
    </row>
    <row r="30" spans="1:41" ht="66" customHeight="1" x14ac:dyDescent="0.25">
      <c r="A30" s="39" t="s">
        <v>22</v>
      </c>
      <c r="B30" s="4" t="s">
        <v>23</v>
      </c>
      <c r="C30" s="1" t="s">
        <v>21</v>
      </c>
      <c r="D30" s="40" t="s">
        <v>24</v>
      </c>
      <c r="E30" s="1" t="s">
        <v>30</v>
      </c>
      <c r="F30" s="2" t="s">
        <v>25</v>
      </c>
      <c r="G30" s="2" t="s">
        <v>26</v>
      </c>
      <c r="H30" s="27" t="s">
        <v>72</v>
      </c>
      <c r="I30" s="2" t="s">
        <v>27</v>
      </c>
      <c r="J30" s="35" t="s">
        <v>33</v>
      </c>
      <c r="K30" s="41" t="s">
        <v>34</v>
      </c>
      <c r="M30" s="52" t="s">
        <v>45</v>
      </c>
      <c r="N30" s="52" t="s">
        <v>46</v>
      </c>
      <c r="O30" s="192" t="s">
        <v>86</v>
      </c>
      <c r="P30" s="192" t="s">
        <v>87</v>
      </c>
      <c r="Q30" s="192" t="s">
        <v>88</v>
      </c>
      <c r="R30" s="192" t="s">
        <v>89</v>
      </c>
      <c r="S30" s="192" t="s">
        <v>90</v>
      </c>
      <c r="T30" s="193" t="s">
        <v>85</v>
      </c>
      <c r="U30" s="193" t="s">
        <v>91</v>
      </c>
      <c r="V30" s="194" t="s">
        <v>92</v>
      </c>
      <c r="W30" s="194" t="s">
        <v>93</v>
      </c>
      <c r="X30" s="194" t="s">
        <v>94</v>
      </c>
      <c r="AC30" s="25"/>
      <c r="AH30" s="62"/>
      <c r="AI30" s="62"/>
      <c r="AJ30" s="62"/>
      <c r="AK30" s="62"/>
      <c r="AL30" s="62"/>
      <c r="AM30" s="62"/>
      <c r="AN30" s="62"/>
      <c r="AO30" s="62"/>
    </row>
    <row r="31" spans="1:41" x14ac:dyDescent="0.25">
      <c r="A31" s="67">
        <v>0</v>
      </c>
      <c r="B31" s="67">
        <v>0</v>
      </c>
      <c r="C31" s="62"/>
      <c r="D31" s="68">
        <v>0</v>
      </c>
      <c r="E31" s="31">
        <f>H31</f>
        <v>133</v>
      </c>
      <c r="F31" s="3">
        <v>0</v>
      </c>
      <c r="G31" s="3">
        <v>0</v>
      </c>
      <c r="H31" s="49">
        <v>133</v>
      </c>
      <c r="I31" s="69">
        <f>F31/E31</f>
        <v>0</v>
      </c>
      <c r="J31" s="29">
        <f>1-I31</f>
        <v>1</v>
      </c>
      <c r="K31" s="29">
        <f>J31</f>
        <v>1</v>
      </c>
      <c r="L31" s="62"/>
      <c r="M31" s="50">
        <f t="shared" ref="M31:M40" si="20">K31^W31</f>
        <v>1</v>
      </c>
      <c r="N31" s="50">
        <f t="shared" ref="N31:N40" si="21">K31^X31</f>
        <v>1</v>
      </c>
      <c r="O31" s="195">
        <f t="shared" ref="O31:O40" si="22">(LN(K31))^2</f>
        <v>0</v>
      </c>
      <c r="P31" s="196">
        <f t="shared" ref="P31:P40" si="23">E31-H31</f>
        <v>0</v>
      </c>
      <c r="Q31" s="196">
        <f t="shared" ref="Q31:Q40" si="24">E31*H31</f>
        <v>17689</v>
      </c>
      <c r="R31" s="197">
        <f t="shared" ref="R31:R40" si="25">P31/Q31</f>
        <v>0</v>
      </c>
      <c r="S31" s="197">
        <f>R31</f>
        <v>0</v>
      </c>
      <c r="T31" s="198">
        <v>0</v>
      </c>
      <c r="U31" s="199">
        <f>-NORMSINV(2.5/100)</f>
        <v>1.9599639845400538</v>
      </c>
      <c r="V31" s="195">
        <f t="shared" ref="V31:V40" si="26">U31*T31</f>
        <v>0</v>
      </c>
      <c r="W31" s="200">
        <f t="shared" ref="W31:W40" si="27">EXP(V31)</f>
        <v>1</v>
      </c>
      <c r="X31" s="200">
        <f t="shared" ref="X31:X40" si="28">EXP(-V31)</f>
        <v>1</v>
      </c>
      <c r="AC31" s="25"/>
      <c r="AH31" s="62"/>
      <c r="AI31" s="62"/>
      <c r="AJ31" s="62"/>
      <c r="AK31" s="62"/>
      <c r="AL31" s="62"/>
      <c r="AM31" s="62"/>
      <c r="AN31" s="62"/>
      <c r="AO31" s="62"/>
    </row>
    <row r="32" spans="1:41" x14ac:dyDescent="0.25">
      <c r="A32" s="70">
        <v>0</v>
      </c>
      <c r="B32" s="70">
        <f>B31+F32</f>
        <v>26</v>
      </c>
      <c r="C32" s="71">
        <f>D31</f>
        <v>0</v>
      </c>
      <c r="D32" s="68">
        <v>5</v>
      </c>
      <c r="E32" s="68">
        <f>H31</f>
        <v>133</v>
      </c>
      <c r="F32" s="31">
        <f>E32-H32-G32</f>
        <v>26</v>
      </c>
      <c r="G32" s="68">
        <f>A32-A31</f>
        <v>0</v>
      </c>
      <c r="H32" s="49">
        <v>107</v>
      </c>
      <c r="I32" s="72">
        <f>F32/E32</f>
        <v>0.19548872180451127</v>
      </c>
      <c r="J32" s="29">
        <f>1-I32</f>
        <v>0.80451127819548873</v>
      </c>
      <c r="K32" s="29">
        <f>J32*K31</f>
        <v>0.80451127819548873</v>
      </c>
      <c r="L32" s="62"/>
      <c r="M32" s="50">
        <f t="shared" si="20"/>
        <v>0.72635579184290266</v>
      </c>
      <c r="N32" s="50">
        <f t="shared" si="21"/>
        <v>0.86243863585603497</v>
      </c>
      <c r="O32" s="195">
        <f t="shared" si="22"/>
        <v>4.7315078197370387E-2</v>
      </c>
      <c r="P32" s="196">
        <f t="shared" si="23"/>
        <v>26</v>
      </c>
      <c r="Q32" s="196">
        <f t="shared" si="24"/>
        <v>14231</v>
      </c>
      <c r="R32" s="197">
        <f t="shared" si="25"/>
        <v>1.8269974000421614E-3</v>
      </c>
      <c r="S32" s="197">
        <f t="shared" ref="S32:S40" si="29">S31+R32</f>
        <v>1.8269974000421614E-3</v>
      </c>
      <c r="T32" s="198">
        <f t="shared" ref="T32:T40" si="30">SQRT((1/O32)*S32)</f>
        <v>0.1965029993015753</v>
      </c>
      <c r="U32" s="199">
        <f>-NORMSINV(2.5/100)</f>
        <v>1.9599639845400538</v>
      </c>
      <c r="V32" s="195">
        <f t="shared" si="26"/>
        <v>0.38513880148518692</v>
      </c>
      <c r="W32" s="200">
        <f t="shared" si="27"/>
        <v>1.4698183202489534</v>
      </c>
      <c r="X32" s="200">
        <f t="shared" si="28"/>
        <v>0.68035619520011348</v>
      </c>
      <c r="AC32" s="25"/>
      <c r="AH32" s="62"/>
      <c r="AI32" s="62"/>
      <c r="AJ32" s="62"/>
      <c r="AK32" s="62"/>
      <c r="AL32" s="62"/>
      <c r="AM32" s="62"/>
      <c r="AN32" s="62"/>
      <c r="AO32" s="62"/>
    </row>
    <row r="33" spans="1:41" x14ac:dyDescent="0.25">
      <c r="A33" s="67">
        <v>0</v>
      </c>
      <c r="B33" s="70">
        <f t="shared" ref="B33:B40" si="31">B32+F33</f>
        <v>48</v>
      </c>
      <c r="C33" s="71">
        <f t="shared" ref="C33:C40" si="32">D32</f>
        <v>5</v>
      </c>
      <c r="D33" s="68">
        <v>10</v>
      </c>
      <c r="E33" s="68">
        <f t="shared" ref="E33:E40" si="33">H32</f>
        <v>107</v>
      </c>
      <c r="F33" s="31">
        <f t="shared" ref="F33:F40" si="34">E33-H33-G33</f>
        <v>22</v>
      </c>
      <c r="G33" s="68">
        <f t="shared" ref="G33:G40" si="35">A33-A32</f>
        <v>0</v>
      </c>
      <c r="H33" s="49">
        <v>85</v>
      </c>
      <c r="I33" s="72">
        <f t="shared" ref="I33:I40" si="36">F33/E33</f>
        <v>0.20560747663551401</v>
      </c>
      <c r="J33" s="29">
        <f t="shared" ref="J33:J40" si="37">1-I33</f>
        <v>0.79439252336448596</v>
      </c>
      <c r="K33" s="29">
        <f t="shared" ref="K33:K40" si="38">J33*K32</f>
        <v>0.63909774436090228</v>
      </c>
      <c r="L33" s="62"/>
      <c r="M33" s="50">
        <f t="shared" si="20"/>
        <v>0.55129270981358691</v>
      </c>
      <c r="N33" s="50">
        <f t="shared" si="21"/>
        <v>0.71420446310369656</v>
      </c>
      <c r="O33" s="195">
        <f t="shared" si="22"/>
        <v>0.20043338435285846</v>
      </c>
      <c r="P33" s="196">
        <f t="shared" si="23"/>
        <v>22</v>
      </c>
      <c r="Q33" s="196">
        <f t="shared" si="24"/>
        <v>9095</v>
      </c>
      <c r="R33" s="197">
        <f t="shared" si="25"/>
        <v>2.4189114898295768E-3</v>
      </c>
      <c r="S33" s="197">
        <f t="shared" si="29"/>
        <v>4.2459088898717384E-3</v>
      </c>
      <c r="T33" s="198">
        <f t="shared" si="30"/>
        <v>0.14554601044443016</v>
      </c>
      <c r="U33" s="199">
        <f t="shared" ref="U33:U40" si="39">-NORMSINV(2.5/100)</f>
        <v>1.9599639845400538</v>
      </c>
      <c r="V33" s="195">
        <f t="shared" si="26"/>
        <v>0.28526493856457363</v>
      </c>
      <c r="W33" s="200">
        <f t="shared" si="27"/>
        <v>1.3301143800381732</v>
      </c>
      <c r="X33" s="200">
        <f t="shared" si="28"/>
        <v>0.75181504313283254</v>
      </c>
      <c r="AC33" s="25"/>
      <c r="AH33" s="62"/>
      <c r="AI33" s="62"/>
      <c r="AJ33" s="62"/>
      <c r="AK33" s="62"/>
      <c r="AL33" s="62"/>
      <c r="AM33" s="62"/>
      <c r="AN33" s="62"/>
      <c r="AO33" s="62"/>
    </row>
    <row r="34" spans="1:41" x14ac:dyDescent="0.25">
      <c r="A34" s="70">
        <v>0</v>
      </c>
      <c r="B34" s="70">
        <f t="shared" si="31"/>
        <v>68</v>
      </c>
      <c r="C34" s="71">
        <f t="shared" si="32"/>
        <v>10</v>
      </c>
      <c r="D34" s="68">
        <v>15</v>
      </c>
      <c r="E34" s="68">
        <f t="shared" si="33"/>
        <v>85</v>
      </c>
      <c r="F34" s="31">
        <f t="shared" si="34"/>
        <v>20</v>
      </c>
      <c r="G34" s="68">
        <f t="shared" si="35"/>
        <v>0</v>
      </c>
      <c r="H34" s="49">
        <v>65</v>
      </c>
      <c r="I34" s="72">
        <f t="shared" si="36"/>
        <v>0.23529411764705882</v>
      </c>
      <c r="J34" s="29">
        <f t="shared" si="37"/>
        <v>0.76470588235294112</v>
      </c>
      <c r="K34" s="29">
        <f t="shared" si="38"/>
        <v>0.48872180451127817</v>
      </c>
      <c r="L34" s="62"/>
      <c r="M34" s="50">
        <f t="shared" si="20"/>
        <v>0.4014354664783385</v>
      </c>
      <c r="N34" s="50">
        <f t="shared" si="21"/>
        <v>0.5702806799482425</v>
      </c>
      <c r="O34" s="195">
        <f t="shared" si="22"/>
        <v>0.51260138257778642</v>
      </c>
      <c r="P34" s="196">
        <f t="shared" si="23"/>
        <v>20</v>
      </c>
      <c r="Q34" s="196">
        <f t="shared" si="24"/>
        <v>5525</v>
      </c>
      <c r="R34" s="197">
        <f t="shared" si="25"/>
        <v>3.6199095022624436E-3</v>
      </c>
      <c r="S34" s="197">
        <f t="shared" si="29"/>
        <v>7.8658183921341829E-3</v>
      </c>
      <c r="T34" s="198">
        <f t="shared" si="30"/>
        <v>0.12387454461106755</v>
      </c>
      <c r="U34" s="199">
        <f t="shared" si="39"/>
        <v>1.9599639845400538</v>
      </c>
      <c r="V34" s="195">
        <f t="shared" si="26"/>
        <v>0.24278964603899261</v>
      </c>
      <c r="W34" s="200">
        <f t="shared" si="27"/>
        <v>1.2748004365909633</v>
      </c>
      <c r="X34" s="200">
        <f t="shared" si="28"/>
        <v>0.78443650574373258</v>
      </c>
      <c r="AC34" s="25"/>
      <c r="AH34" s="62"/>
      <c r="AI34" s="62"/>
      <c r="AJ34" s="62"/>
      <c r="AK34" s="62"/>
      <c r="AL34" s="62"/>
      <c r="AM34" s="62"/>
      <c r="AN34" s="62"/>
      <c r="AO34" s="62"/>
    </row>
    <row r="35" spans="1:41" x14ac:dyDescent="0.25">
      <c r="A35" s="67">
        <v>0</v>
      </c>
      <c r="B35" s="70">
        <f t="shared" si="31"/>
        <v>76</v>
      </c>
      <c r="C35" s="71">
        <f t="shared" si="32"/>
        <v>15</v>
      </c>
      <c r="D35" s="68">
        <v>20</v>
      </c>
      <c r="E35" s="68">
        <f t="shared" si="33"/>
        <v>65</v>
      </c>
      <c r="F35" s="31">
        <f t="shared" si="34"/>
        <v>8</v>
      </c>
      <c r="G35" s="68">
        <f t="shared" si="35"/>
        <v>0</v>
      </c>
      <c r="H35" s="49">
        <v>57</v>
      </c>
      <c r="I35" s="72">
        <f t="shared" si="36"/>
        <v>0.12307692307692308</v>
      </c>
      <c r="J35" s="29">
        <f t="shared" si="37"/>
        <v>0.87692307692307692</v>
      </c>
      <c r="K35" s="29">
        <f t="shared" si="38"/>
        <v>0.42857142857142855</v>
      </c>
      <c r="L35" s="62"/>
      <c r="M35" s="50">
        <f t="shared" si="20"/>
        <v>0.34365178592152645</v>
      </c>
      <c r="N35" s="50">
        <f t="shared" si="21"/>
        <v>0.51062272540742659</v>
      </c>
      <c r="O35" s="195">
        <f t="shared" si="22"/>
        <v>0.7179136642167333</v>
      </c>
      <c r="P35" s="196">
        <f t="shared" si="23"/>
        <v>8</v>
      </c>
      <c r="Q35" s="196">
        <f t="shared" si="24"/>
        <v>3705</v>
      </c>
      <c r="R35" s="197">
        <f t="shared" si="25"/>
        <v>2.1592442645074223E-3</v>
      </c>
      <c r="S35" s="197">
        <f t="shared" si="29"/>
        <v>1.0025062656641605E-2</v>
      </c>
      <c r="T35" s="198">
        <f t="shared" si="30"/>
        <v>0.11817005511921852</v>
      </c>
      <c r="U35" s="199">
        <f t="shared" si="39"/>
        <v>1.9599639845400538</v>
      </c>
      <c r="V35" s="195">
        <f t="shared" si="26"/>
        <v>0.2316090520847813</v>
      </c>
      <c r="W35" s="200">
        <f t="shared" si="27"/>
        <v>1.2606267930618864</v>
      </c>
      <c r="X35" s="200">
        <f t="shared" si="28"/>
        <v>0.79325618454541946</v>
      </c>
      <c r="AC35" s="25"/>
      <c r="AH35" s="62"/>
      <c r="AI35" s="62"/>
      <c r="AJ35" s="62"/>
      <c r="AK35" s="62"/>
      <c r="AL35" s="62"/>
      <c r="AM35" s="62"/>
      <c r="AN35" s="62"/>
      <c r="AO35" s="62"/>
    </row>
    <row r="36" spans="1:41" x14ac:dyDescent="0.25">
      <c r="A36" s="70">
        <v>1</v>
      </c>
      <c r="B36" s="70">
        <f t="shared" si="31"/>
        <v>87</v>
      </c>
      <c r="C36" s="71">
        <f t="shared" si="32"/>
        <v>20</v>
      </c>
      <c r="D36" s="68">
        <v>25</v>
      </c>
      <c r="E36" s="68">
        <f t="shared" si="33"/>
        <v>57</v>
      </c>
      <c r="F36" s="31">
        <f t="shared" si="34"/>
        <v>11</v>
      </c>
      <c r="G36" s="68">
        <f t="shared" si="35"/>
        <v>1</v>
      </c>
      <c r="H36" s="49">
        <v>45</v>
      </c>
      <c r="I36" s="72">
        <f t="shared" si="36"/>
        <v>0.19298245614035087</v>
      </c>
      <c r="J36" s="29">
        <f t="shared" si="37"/>
        <v>0.80701754385964919</v>
      </c>
      <c r="K36" s="29">
        <f t="shared" si="38"/>
        <v>0.34586466165413537</v>
      </c>
      <c r="L36" s="62"/>
      <c r="M36" s="50">
        <f t="shared" si="20"/>
        <v>0.26498837780992573</v>
      </c>
      <c r="N36" s="50">
        <f t="shared" si="21"/>
        <v>0.42794164655220923</v>
      </c>
      <c r="O36" s="195">
        <f t="shared" si="22"/>
        <v>1.1272233076209071</v>
      </c>
      <c r="P36" s="196">
        <f t="shared" si="23"/>
        <v>12</v>
      </c>
      <c r="Q36" s="196">
        <f t="shared" si="24"/>
        <v>2565</v>
      </c>
      <c r="R36" s="197">
        <f t="shared" si="25"/>
        <v>4.6783625730994153E-3</v>
      </c>
      <c r="S36" s="197">
        <f t="shared" si="29"/>
        <v>1.470342522974102E-2</v>
      </c>
      <c r="T36" s="198">
        <f t="shared" si="30"/>
        <v>0.11421003868792841</v>
      </c>
      <c r="U36" s="199">
        <f t="shared" si="39"/>
        <v>1.9599639845400538</v>
      </c>
      <c r="V36" s="195">
        <f t="shared" si="26"/>
        <v>0.22384756250126586</v>
      </c>
      <c r="W36" s="200">
        <f t="shared" si="27"/>
        <v>1.2508803238263715</v>
      </c>
      <c r="X36" s="200">
        <f t="shared" si="28"/>
        <v>0.79943698925653983</v>
      </c>
      <c r="AC36" s="25"/>
      <c r="AH36" s="62"/>
      <c r="AI36" s="62"/>
      <c r="AJ36" s="62"/>
      <c r="AK36" s="62"/>
      <c r="AL36" s="62"/>
      <c r="AM36" s="62"/>
      <c r="AN36" s="62"/>
      <c r="AO36" s="62"/>
    </row>
    <row r="37" spans="1:41" x14ac:dyDescent="0.25">
      <c r="A37" s="67">
        <v>11</v>
      </c>
      <c r="B37" s="70">
        <f t="shared" si="31"/>
        <v>93</v>
      </c>
      <c r="C37" s="71">
        <f t="shared" si="32"/>
        <v>25</v>
      </c>
      <c r="D37" s="68">
        <v>30</v>
      </c>
      <c r="E37" s="68">
        <f t="shared" si="33"/>
        <v>45</v>
      </c>
      <c r="F37" s="31">
        <f t="shared" si="34"/>
        <v>6</v>
      </c>
      <c r="G37" s="68">
        <f t="shared" si="35"/>
        <v>10</v>
      </c>
      <c r="H37" s="49">
        <v>29</v>
      </c>
      <c r="I37" s="72">
        <f t="shared" si="36"/>
        <v>0.13333333333333333</v>
      </c>
      <c r="J37" s="29">
        <f t="shared" si="37"/>
        <v>0.8666666666666667</v>
      </c>
      <c r="K37" s="29">
        <f t="shared" si="38"/>
        <v>0.29974937343358399</v>
      </c>
      <c r="L37" s="62"/>
      <c r="M37" s="50">
        <f t="shared" si="20"/>
        <v>0.20727009004534094</v>
      </c>
      <c r="N37" s="50">
        <f t="shared" si="21"/>
        <v>0.39757566726477267</v>
      </c>
      <c r="O37" s="195">
        <f t="shared" si="22"/>
        <v>1.4515637032931177</v>
      </c>
      <c r="P37" s="196">
        <f t="shared" si="23"/>
        <v>16</v>
      </c>
      <c r="Q37" s="196">
        <f t="shared" si="24"/>
        <v>1305</v>
      </c>
      <c r="R37" s="197">
        <f t="shared" si="25"/>
        <v>1.2260536398467433E-2</v>
      </c>
      <c r="S37" s="197">
        <f t="shared" si="29"/>
        <v>2.6963961628208452E-2</v>
      </c>
      <c r="T37" s="198">
        <f t="shared" si="30"/>
        <v>0.13629307818494038</v>
      </c>
      <c r="U37" s="199">
        <f t="shared" si="39"/>
        <v>1.9599639845400538</v>
      </c>
      <c r="V37" s="195">
        <f t="shared" si="26"/>
        <v>0.26712952458458483</v>
      </c>
      <c r="W37" s="200">
        <f t="shared" si="27"/>
        <v>1.3062096216328603</v>
      </c>
      <c r="X37" s="200">
        <f t="shared" si="28"/>
        <v>0.76557390440128958</v>
      </c>
      <c r="AC37" s="25"/>
      <c r="AH37" s="62"/>
      <c r="AI37" s="62"/>
      <c r="AJ37" s="62"/>
      <c r="AK37" s="62"/>
      <c r="AL37" s="62"/>
      <c r="AM37" s="62"/>
      <c r="AN37" s="62"/>
      <c r="AO37" s="62"/>
    </row>
    <row r="38" spans="1:41" x14ac:dyDescent="0.25">
      <c r="A38" s="70">
        <v>25</v>
      </c>
      <c r="B38" s="70">
        <f t="shared" si="31"/>
        <v>93</v>
      </c>
      <c r="C38" s="71">
        <f t="shared" si="32"/>
        <v>30</v>
      </c>
      <c r="D38" s="68">
        <v>35</v>
      </c>
      <c r="E38" s="68">
        <f t="shared" si="33"/>
        <v>29</v>
      </c>
      <c r="F38" s="31">
        <f t="shared" si="34"/>
        <v>0</v>
      </c>
      <c r="G38" s="68">
        <f t="shared" si="35"/>
        <v>14</v>
      </c>
      <c r="H38" s="49">
        <v>15</v>
      </c>
      <c r="I38" s="72">
        <f t="shared" si="36"/>
        <v>0</v>
      </c>
      <c r="J38" s="29">
        <f t="shared" si="37"/>
        <v>1</v>
      </c>
      <c r="K38" s="29">
        <f t="shared" si="38"/>
        <v>0.29974937343358399</v>
      </c>
      <c r="L38" s="62"/>
      <c r="M38" s="50">
        <f t="shared" si="20"/>
        <v>0.16703652662665261</v>
      </c>
      <c r="N38" s="50">
        <f t="shared" si="21"/>
        <v>0.44435271120424819</v>
      </c>
      <c r="O38" s="195">
        <f t="shared" si="22"/>
        <v>1.4515637032931177</v>
      </c>
      <c r="P38" s="196">
        <f t="shared" si="23"/>
        <v>14</v>
      </c>
      <c r="Q38" s="196">
        <f t="shared" si="24"/>
        <v>435</v>
      </c>
      <c r="R38" s="197">
        <f t="shared" si="25"/>
        <v>3.2183908045977011E-2</v>
      </c>
      <c r="S38" s="197">
        <f t="shared" si="29"/>
        <v>5.9147869674185463E-2</v>
      </c>
      <c r="T38" s="198">
        <f t="shared" si="30"/>
        <v>0.20186057389492512</v>
      </c>
      <c r="U38" s="199">
        <f t="shared" si="39"/>
        <v>1.9599639845400538</v>
      </c>
      <c r="V38" s="195">
        <f t="shared" si="26"/>
        <v>0.3956394547326394</v>
      </c>
      <c r="W38" s="200">
        <f t="shared" si="27"/>
        <v>1.4853336909656478</v>
      </c>
      <c r="X38" s="200">
        <f t="shared" si="28"/>
        <v>0.67324938906480891</v>
      </c>
      <c r="AC38" s="25"/>
      <c r="AH38" s="62"/>
      <c r="AI38" s="62"/>
      <c r="AJ38" s="62"/>
      <c r="AK38" s="62"/>
      <c r="AL38" s="62"/>
      <c r="AM38" s="62"/>
      <c r="AN38" s="62"/>
      <c r="AO38" s="62"/>
    </row>
    <row r="39" spans="1:41" x14ac:dyDescent="0.25">
      <c r="A39" s="67">
        <v>31</v>
      </c>
      <c r="B39" s="70">
        <f t="shared" si="31"/>
        <v>93</v>
      </c>
      <c r="C39" s="71">
        <f t="shared" si="32"/>
        <v>35</v>
      </c>
      <c r="D39" s="68">
        <v>40</v>
      </c>
      <c r="E39" s="68">
        <f t="shared" si="33"/>
        <v>15</v>
      </c>
      <c r="F39" s="31">
        <f t="shared" si="34"/>
        <v>0</v>
      </c>
      <c r="G39" s="68">
        <f t="shared" si="35"/>
        <v>6</v>
      </c>
      <c r="H39" s="49">
        <v>9</v>
      </c>
      <c r="I39" s="72">
        <f t="shared" si="36"/>
        <v>0</v>
      </c>
      <c r="J39" s="29">
        <f t="shared" si="37"/>
        <v>1</v>
      </c>
      <c r="K39" s="29">
        <f t="shared" si="38"/>
        <v>0.29974937343358399</v>
      </c>
      <c r="L39" s="62"/>
      <c r="M39" s="50">
        <f t="shared" si="20"/>
        <v>0.13083534343241543</v>
      </c>
      <c r="N39" s="50">
        <f t="shared" si="21"/>
        <v>0.48982137946180965</v>
      </c>
      <c r="O39" s="195">
        <f t="shared" si="22"/>
        <v>1.4515637032931177</v>
      </c>
      <c r="P39" s="196">
        <f t="shared" si="23"/>
        <v>6</v>
      </c>
      <c r="Q39" s="196">
        <f t="shared" si="24"/>
        <v>135</v>
      </c>
      <c r="R39" s="197">
        <f t="shared" si="25"/>
        <v>4.4444444444444446E-2</v>
      </c>
      <c r="S39" s="197">
        <f t="shared" si="29"/>
        <v>0.1035923141186299</v>
      </c>
      <c r="T39" s="198">
        <f t="shared" si="30"/>
        <v>0.26714418017125086</v>
      </c>
      <c r="U39" s="199">
        <f t="shared" si="39"/>
        <v>1.9599639845400538</v>
      </c>
      <c r="V39" s="195">
        <f t="shared" si="26"/>
        <v>0.52359297181513087</v>
      </c>
      <c r="W39" s="200">
        <f t="shared" si="27"/>
        <v>1.6880819976741537</v>
      </c>
      <c r="X39" s="200">
        <f t="shared" si="28"/>
        <v>0.59238828527157106</v>
      </c>
      <c r="AC39" s="25"/>
      <c r="AH39" s="62"/>
      <c r="AI39" s="62"/>
      <c r="AJ39" s="62"/>
      <c r="AK39" s="62"/>
      <c r="AL39" s="62"/>
      <c r="AM39" s="62"/>
      <c r="AN39" s="62"/>
      <c r="AO39" s="62"/>
    </row>
    <row r="40" spans="1:41" x14ac:dyDescent="0.25">
      <c r="A40" s="70">
        <v>38</v>
      </c>
      <c r="B40" s="70">
        <f t="shared" si="31"/>
        <v>94</v>
      </c>
      <c r="C40" s="71">
        <f t="shared" si="32"/>
        <v>40</v>
      </c>
      <c r="D40" s="68">
        <v>45</v>
      </c>
      <c r="E40" s="68">
        <f t="shared" si="33"/>
        <v>9</v>
      </c>
      <c r="F40" s="31">
        <f t="shared" si="34"/>
        <v>1</v>
      </c>
      <c r="G40" s="68">
        <f t="shared" si="35"/>
        <v>7</v>
      </c>
      <c r="H40" s="49">
        <v>1</v>
      </c>
      <c r="I40" s="72">
        <f t="shared" si="36"/>
        <v>0.1111111111111111</v>
      </c>
      <c r="J40" s="29">
        <f t="shared" si="37"/>
        <v>0.88888888888888884</v>
      </c>
      <c r="K40" s="29">
        <f t="shared" si="38"/>
        <v>0.26644388749651909</v>
      </c>
      <c r="L40" s="62"/>
      <c r="M40" s="50">
        <f t="shared" si="20"/>
        <v>3.061685319955848E-3</v>
      </c>
      <c r="N40" s="50">
        <f t="shared" si="21"/>
        <v>0.73920600724507568</v>
      </c>
      <c r="O40" s="195">
        <f t="shared" si="22"/>
        <v>1.7492485695661784</v>
      </c>
      <c r="P40" s="196">
        <f t="shared" si="23"/>
        <v>8</v>
      </c>
      <c r="Q40" s="196">
        <f t="shared" si="24"/>
        <v>9</v>
      </c>
      <c r="R40" s="197">
        <f t="shared" si="25"/>
        <v>0.88888888888888884</v>
      </c>
      <c r="S40" s="197">
        <f t="shared" si="29"/>
        <v>0.99248120300751874</v>
      </c>
      <c r="T40" s="198">
        <f t="shared" si="30"/>
        <v>0.75324348042565548</v>
      </c>
      <c r="U40" s="199">
        <f t="shared" si="39"/>
        <v>1.9599639845400538</v>
      </c>
      <c r="V40" s="195">
        <f t="shared" si="26"/>
        <v>1.4763300932238856</v>
      </c>
      <c r="W40" s="200">
        <f t="shared" si="27"/>
        <v>4.3768535262120976</v>
      </c>
      <c r="X40" s="200">
        <f t="shared" si="28"/>
        <v>0.22847463229262771</v>
      </c>
      <c r="AC40" s="25"/>
      <c r="AH40" s="62"/>
      <c r="AI40" s="62"/>
      <c r="AJ40" s="62"/>
      <c r="AK40" s="62"/>
      <c r="AL40" s="62"/>
      <c r="AM40" s="62"/>
      <c r="AN40" s="62"/>
      <c r="AO40" s="62"/>
    </row>
    <row r="41" spans="1:41" ht="10" customHeight="1" x14ac:dyDescent="0.25">
      <c r="D41" s="73"/>
      <c r="E41" s="73"/>
      <c r="F41" s="74"/>
      <c r="G41" s="74"/>
      <c r="H41" s="73"/>
      <c r="I41" s="75"/>
      <c r="J41" s="76"/>
      <c r="K41" s="76"/>
      <c r="L41" s="76"/>
      <c r="M41" s="88"/>
      <c r="N41" s="88"/>
      <c r="O41" s="88"/>
      <c r="P41" s="88"/>
      <c r="Q41" s="76"/>
      <c r="AC41" s="25"/>
    </row>
    <row r="42" spans="1:41" ht="15" x14ac:dyDescent="0.25">
      <c r="D42" s="82"/>
      <c r="E42" s="55" t="s">
        <v>0</v>
      </c>
      <c r="F42" s="56">
        <f>SUM(F32:F40)</f>
        <v>94</v>
      </c>
      <c r="G42" s="56">
        <f>SUM(G32:G40)</f>
        <v>38</v>
      </c>
      <c r="H42" s="140">
        <f>H31-F42-G42</f>
        <v>1</v>
      </c>
      <c r="I42" s="75"/>
      <c r="J42" s="83" t="s">
        <v>47</v>
      </c>
      <c r="K42" s="36">
        <f>1-K40</f>
        <v>0.73355611250348085</v>
      </c>
      <c r="L42" s="37" t="s">
        <v>31</v>
      </c>
      <c r="M42" s="88"/>
      <c r="N42" s="88"/>
      <c r="O42" s="88"/>
      <c r="P42" s="89"/>
      <c r="Q42" s="76"/>
      <c r="AA42" s="59"/>
      <c r="AB42" s="59"/>
      <c r="AC42" s="25"/>
    </row>
    <row r="43" spans="1:41" ht="15" customHeight="1" x14ac:dyDescent="0.25">
      <c r="D43" s="82"/>
      <c r="F43" s="11">
        <f>F42/E31</f>
        <v>0.70676691729323304</v>
      </c>
      <c r="G43" s="12">
        <f>G42/E31</f>
        <v>0.2857142857142857</v>
      </c>
      <c r="H43" s="13">
        <f>H42/E31</f>
        <v>7.5187969924812026E-3</v>
      </c>
      <c r="I43" s="75"/>
      <c r="J43" s="75"/>
      <c r="K43" s="75"/>
      <c r="L43" s="84"/>
      <c r="M43" s="84"/>
      <c r="N43" s="84"/>
      <c r="O43" s="84"/>
      <c r="P43" s="84"/>
      <c r="Q43" s="84"/>
      <c r="R43" s="79"/>
      <c r="S43" s="79"/>
      <c r="T43" s="79"/>
      <c r="U43" s="79"/>
      <c r="Z43" s="80"/>
      <c r="AA43" s="80"/>
      <c r="AC43" s="25"/>
      <c r="AE43" s="85"/>
      <c r="AF43" s="62"/>
      <c r="AG43" s="62"/>
      <c r="AH43" s="62"/>
      <c r="AI43" s="62"/>
      <c r="AJ43" s="62"/>
      <c r="AK43" s="62"/>
      <c r="AL43" s="62"/>
      <c r="AM43" s="62"/>
      <c r="AN43" s="62"/>
      <c r="AO43" s="62"/>
    </row>
    <row r="44" spans="1:41" ht="15" customHeight="1" x14ac:dyDescent="0.25">
      <c r="D44" s="82"/>
      <c r="F44" s="142" t="s">
        <v>68</v>
      </c>
      <c r="G44" s="143" t="s">
        <v>69</v>
      </c>
      <c r="H44" s="141" t="s">
        <v>70</v>
      </c>
      <c r="I44" s="75"/>
      <c r="J44" s="75"/>
      <c r="K44" s="75"/>
      <c r="L44" s="84"/>
      <c r="M44" s="84"/>
      <c r="N44" s="84"/>
      <c r="O44" s="84"/>
      <c r="P44" s="84"/>
      <c r="Q44" s="84"/>
      <c r="R44" s="79"/>
      <c r="S44" s="79"/>
      <c r="T44" s="79"/>
      <c r="U44" s="79"/>
      <c r="Z44" s="80"/>
      <c r="AA44" s="80"/>
      <c r="AC44" s="25"/>
      <c r="AE44" s="85"/>
      <c r="AF44" s="62"/>
      <c r="AG44" s="62"/>
      <c r="AH44" s="62"/>
      <c r="AI44" s="62"/>
      <c r="AJ44" s="62"/>
      <c r="AK44" s="62"/>
      <c r="AL44" s="62"/>
      <c r="AM44" s="62"/>
      <c r="AN44" s="62"/>
      <c r="AO44" s="62"/>
    </row>
    <row r="45" spans="1:41" ht="17.5" customHeight="1" x14ac:dyDescent="0.25">
      <c r="D45" s="82"/>
      <c r="E45" s="82"/>
      <c r="F45" s="82"/>
      <c r="G45" s="82"/>
      <c r="I45" s="75"/>
      <c r="J45" s="75"/>
      <c r="K45" s="75"/>
      <c r="L45" s="75"/>
      <c r="M45" s="75"/>
      <c r="N45" s="75"/>
      <c r="AC45" s="25"/>
    </row>
    <row r="46" spans="1:41" ht="15.5" customHeight="1" x14ac:dyDescent="0.25">
      <c r="B46" s="239" t="s">
        <v>6</v>
      </c>
      <c r="C46" s="240"/>
      <c r="D46" s="240"/>
      <c r="E46" s="240"/>
      <c r="F46" s="240"/>
      <c r="G46" s="240"/>
      <c r="H46" s="240"/>
      <c r="I46" s="240"/>
      <c r="J46" s="240"/>
      <c r="K46" s="241"/>
      <c r="L46" s="75"/>
      <c r="P46" s="25"/>
      <c r="Q46" s="229" t="s">
        <v>49</v>
      </c>
      <c r="AC46" s="25"/>
    </row>
    <row r="47" spans="1:41" ht="36" customHeight="1" x14ac:dyDescent="0.25">
      <c r="B47" s="221" t="s">
        <v>62</v>
      </c>
      <c r="C47" s="224" t="s">
        <v>63</v>
      </c>
      <c r="D47" s="231"/>
      <c r="E47" s="225"/>
      <c r="F47" s="224" t="s">
        <v>65</v>
      </c>
      <c r="G47" s="231"/>
      <c r="H47" s="225"/>
      <c r="I47" s="224" t="s">
        <v>64</v>
      </c>
      <c r="J47" s="231"/>
      <c r="K47" s="225"/>
      <c r="M47" s="9" t="s">
        <v>9</v>
      </c>
      <c r="N47" s="232" t="s">
        <v>48</v>
      </c>
      <c r="O47" s="233"/>
      <c r="P47" s="24" t="s">
        <v>9</v>
      </c>
      <c r="Q47" s="230"/>
      <c r="R47" s="33"/>
      <c r="S47" s="59"/>
      <c r="T47" s="59"/>
      <c r="AC47" s="25"/>
    </row>
    <row r="48" spans="1:41" ht="48.5" customHeight="1" x14ac:dyDescent="0.25">
      <c r="B48" s="222"/>
      <c r="C48" s="224" t="s">
        <v>66</v>
      </c>
      <c r="D48" s="225"/>
      <c r="E48" s="91"/>
      <c r="F48" s="224" t="s">
        <v>66</v>
      </c>
      <c r="G48" s="225"/>
      <c r="H48" s="92"/>
      <c r="I48" s="224" t="s">
        <v>66</v>
      </c>
      <c r="J48" s="225"/>
      <c r="K48" s="91"/>
      <c r="N48" s="43" t="s">
        <v>80</v>
      </c>
      <c r="O48" s="43" t="s">
        <v>83</v>
      </c>
      <c r="P48" s="20"/>
      <c r="Q48" s="185" t="s">
        <v>74</v>
      </c>
      <c r="R48" s="186" t="s">
        <v>16</v>
      </c>
      <c r="S48" s="187" t="s">
        <v>10</v>
      </c>
      <c r="T48" s="23"/>
      <c r="U48" s="206" t="s">
        <v>19</v>
      </c>
      <c r="V48" s="176" t="s">
        <v>74</v>
      </c>
      <c r="W48" s="188" t="s">
        <v>75</v>
      </c>
      <c r="X48" s="189" t="s">
        <v>76</v>
      </c>
      <c r="AC48" s="25"/>
    </row>
    <row r="49" spans="1:29" ht="13" customHeight="1" x14ac:dyDescent="0.25">
      <c r="A49" s="276" t="s">
        <v>116</v>
      </c>
      <c r="B49" s="223"/>
      <c r="C49" s="93" t="s">
        <v>1</v>
      </c>
      <c r="D49" s="93" t="s">
        <v>2</v>
      </c>
      <c r="E49" s="93" t="s">
        <v>3</v>
      </c>
      <c r="F49" s="93" t="s">
        <v>1</v>
      </c>
      <c r="G49" s="93" t="s">
        <v>2</v>
      </c>
      <c r="H49" s="93" t="s">
        <v>3</v>
      </c>
      <c r="I49" s="94" t="s">
        <v>1</v>
      </c>
      <c r="J49" s="94" t="s">
        <v>2</v>
      </c>
      <c r="K49" s="93" t="s">
        <v>3</v>
      </c>
      <c r="M49" s="58">
        <f t="shared" ref="M49:M58" si="40">D15</f>
        <v>0</v>
      </c>
      <c r="N49" s="95">
        <f t="shared" ref="N49:N58" si="41">K31</f>
        <v>1</v>
      </c>
      <c r="O49" s="29">
        <f t="shared" ref="O49:O58" si="42">K15</f>
        <v>1</v>
      </c>
      <c r="P49" s="90">
        <f t="shared" ref="P49:P58" si="43">D31</f>
        <v>0</v>
      </c>
      <c r="Q49" s="34">
        <f t="shared" ref="Q49:Q58" si="44">(IF(N49=O49,1,LOG(O49,N49)))</f>
        <v>1</v>
      </c>
      <c r="R49" s="96"/>
      <c r="S49" s="22"/>
      <c r="T49" s="23" t="s">
        <v>117</v>
      </c>
      <c r="U49" s="204"/>
      <c r="V49" s="62"/>
      <c r="W49" s="67"/>
      <c r="X49" s="67"/>
      <c r="AC49" s="25"/>
    </row>
    <row r="50" spans="1:29" x14ac:dyDescent="0.3">
      <c r="A50" s="179" t="s">
        <v>71</v>
      </c>
      <c r="B50" s="68">
        <f t="shared" ref="B50:B58" si="45">D16</f>
        <v>5</v>
      </c>
      <c r="C50" s="97">
        <f t="shared" ref="C50:C58" si="46">E16</f>
        <v>126</v>
      </c>
      <c r="D50" s="97">
        <f t="shared" ref="D50:D58" si="47">E32</f>
        <v>133</v>
      </c>
      <c r="E50" s="97">
        <f>C50+D50</f>
        <v>259</v>
      </c>
      <c r="F50" s="97">
        <f t="shared" ref="F50:F58" si="48">F16</f>
        <v>24</v>
      </c>
      <c r="G50" s="97">
        <f t="shared" ref="G50:G58" si="49">F32</f>
        <v>26</v>
      </c>
      <c r="H50" s="97">
        <f t="shared" ref="H50:H58" si="50">F50+G50</f>
        <v>50</v>
      </c>
      <c r="I50" s="98">
        <f t="shared" ref="I50:I58" si="51">H50*C50/E50</f>
        <v>24.324324324324323</v>
      </c>
      <c r="J50" s="98">
        <f t="shared" ref="J50:J58" si="52">H50*D50/E50</f>
        <v>25.675675675675677</v>
      </c>
      <c r="K50" s="99">
        <f t="shared" ref="K50:K58" si="53">I50+J50</f>
        <v>50</v>
      </c>
      <c r="M50" s="58">
        <f t="shared" si="40"/>
        <v>5</v>
      </c>
      <c r="N50" s="95">
        <f t="shared" si="41"/>
        <v>0.80451127819548873</v>
      </c>
      <c r="O50" s="29">
        <f t="shared" si="42"/>
        <v>0.80952380952380953</v>
      </c>
      <c r="P50" s="90">
        <f t="shared" si="43"/>
        <v>5</v>
      </c>
      <c r="Q50" s="21">
        <f t="shared" si="44"/>
        <v>0.97144542246941734</v>
      </c>
      <c r="R50" s="96">
        <f t="shared" ref="R50:R58" si="54">O50-N50</f>
        <v>5.0125313283208017E-3</v>
      </c>
      <c r="S50" s="22">
        <f t="shared" ref="S50:S58" si="55">1/(O50-N50)</f>
        <v>199.5</v>
      </c>
      <c r="T50" s="179" t="s">
        <v>71</v>
      </c>
      <c r="U50" s="207">
        <f>SQRT((1/(SUM(I50:I50)))+(1/(SUM(J50:J50))))</f>
        <v>0.28294607177369285</v>
      </c>
      <c r="V50" s="100">
        <f t="shared" ref="V50:V58" si="56">Q50</f>
        <v>0.97144542246941734</v>
      </c>
      <c r="W50" s="38">
        <f t="shared" ref="W50:W58" si="57">EXP(LN(Q50)-(1.96*U50))</f>
        <v>0.55791732478801914</v>
      </c>
      <c r="X50" s="38">
        <f t="shared" ref="X50:X58" si="58">EXP(LN(Q50)+(1.96*U50))</f>
        <v>1.6914803805301193</v>
      </c>
      <c r="AC50" s="25"/>
    </row>
    <row r="51" spans="1:29" x14ac:dyDescent="0.3">
      <c r="A51" s="179" t="s">
        <v>71</v>
      </c>
      <c r="B51" s="68">
        <f t="shared" si="45"/>
        <v>10</v>
      </c>
      <c r="C51" s="97">
        <f t="shared" si="46"/>
        <v>102</v>
      </c>
      <c r="D51" s="97">
        <f t="shared" si="47"/>
        <v>107</v>
      </c>
      <c r="E51" s="97">
        <f t="shared" ref="E51:E58" si="59">C51+D51</f>
        <v>209</v>
      </c>
      <c r="F51" s="97">
        <f t="shared" si="48"/>
        <v>25</v>
      </c>
      <c r="G51" s="97">
        <f t="shared" si="49"/>
        <v>22</v>
      </c>
      <c r="H51" s="97">
        <f t="shared" si="50"/>
        <v>47</v>
      </c>
      <c r="I51" s="98">
        <f t="shared" si="51"/>
        <v>22.937799043062199</v>
      </c>
      <c r="J51" s="98">
        <f t="shared" si="52"/>
        <v>24.062200956937801</v>
      </c>
      <c r="K51" s="99">
        <f t="shared" si="53"/>
        <v>47</v>
      </c>
      <c r="M51" s="58">
        <f t="shared" si="40"/>
        <v>10</v>
      </c>
      <c r="N51" s="95">
        <f t="shared" si="41"/>
        <v>0.63909774436090228</v>
      </c>
      <c r="O51" s="29">
        <f t="shared" si="42"/>
        <v>0.61111111111111116</v>
      </c>
      <c r="P51" s="90">
        <f t="shared" si="43"/>
        <v>10</v>
      </c>
      <c r="Q51" s="21">
        <f t="shared" si="44"/>
        <v>1.1000197146195467</v>
      </c>
      <c r="R51" s="96">
        <f t="shared" si="54"/>
        <v>-2.7986633249791115E-2</v>
      </c>
      <c r="S51" s="22">
        <f t="shared" si="55"/>
        <v>-35.731343283582127</v>
      </c>
      <c r="T51" s="179" t="s">
        <v>71</v>
      </c>
      <c r="U51" s="207">
        <f>SQRT((1/(SUM(I50:I51)))+(1/(SUM(J50:J51))))</f>
        <v>0.20313540858819254</v>
      </c>
      <c r="V51" s="100">
        <f t="shared" si="56"/>
        <v>1.1000197146195467</v>
      </c>
      <c r="W51" s="38">
        <f t="shared" si="57"/>
        <v>0.73873405163386707</v>
      </c>
      <c r="X51" s="38">
        <f t="shared" si="58"/>
        <v>1.6379959335506484</v>
      </c>
      <c r="AC51" s="25"/>
    </row>
    <row r="52" spans="1:29" x14ac:dyDescent="0.3">
      <c r="A52" s="179" t="s">
        <v>71</v>
      </c>
      <c r="B52" s="68">
        <f t="shared" si="45"/>
        <v>15</v>
      </c>
      <c r="C52" s="97">
        <f t="shared" si="46"/>
        <v>77</v>
      </c>
      <c r="D52" s="97">
        <f t="shared" si="47"/>
        <v>85</v>
      </c>
      <c r="E52" s="97">
        <f t="shared" si="59"/>
        <v>162</v>
      </c>
      <c r="F52" s="97">
        <f t="shared" si="48"/>
        <v>16</v>
      </c>
      <c r="G52" s="97">
        <f t="shared" si="49"/>
        <v>20</v>
      </c>
      <c r="H52" s="97">
        <f t="shared" si="50"/>
        <v>36</v>
      </c>
      <c r="I52" s="98">
        <f t="shared" si="51"/>
        <v>17.111111111111111</v>
      </c>
      <c r="J52" s="98">
        <f t="shared" si="52"/>
        <v>18.888888888888889</v>
      </c>
      <c r="K52" s="99">
        <f t="shared" si="53"/>
        <v>36</v>
      </c>
      <c r="M52" s="58">
        <f t="shared" si="40"/>
        <v>15</v>
      </c>
      <c r="N52" s="95">
        <f t="shared" si="41"/>
        <v>0.48872180451127817</v>
      </c>
      <c r="O52" s="29">
        <f t="shared" si="42"/>
        <v>0.48412698412698413</v>
      </c>
      <c r="P52" s="90">
        <f t="shared" si="43"/>
        <v>15</v>
      </c>
      <c r="Q52" s="21">
        <f t="shared" si="44"/>
        <v>1.0131936978795697</v>
      </c>
      <c r="R52" s="96">
        <f t="shared" si="54"/>
        <v>-4.5948203842940405E-3</v>
      </c>
      <c r="S52" s="22">
        <f t="shared" si="55"/>
        <v>-217.63636363636496</v>
      </c>
      <c r="T52" s="179" t="s">
        <v>71</v>
      </c>
      <c r="U52" s="207">
        <f>SQRT((1/(SUM(I50:I52)))+(1/(SUM(J50:J52))))</f>
        <v>0.17351075106913508</v>
      </c>
      <c r="V52" s="100">
        <f t="shared" si="56"/>
        <v>1.0131936978795697</v>
      </c>
      <c r="W52" s="38">
        <f t="shared" si="57"/>
        <v>0.72110274168058663</v>
      </c>
      <c r="X52" s="38">
        <f t="shared" si="58"/>
        <v>1.4235994541227157</v>
      </c>
      <c r="AC52" s="25"/>
    </row>
    <row r="53" spans="1:29" x14ac:dyDescent="0.3">
      <c r="A53" s="179" t="s">
        <v>71</v>
      </c>
      <c r="B53" s="68">
        <f t="shared" si="45"/>
        <v>20</v>
      </c>
      <c r="C53" s="97">
        <f t="shared" si="46"/>
        <v>60</v>
      </c>
      <c r="D53" s="97">
        <f t="shared" si="47"/>
        <v>65</v>
      </c>
      <c r="E53" s="97">
        <f t="shared" si="59"/>
        <v>125</v>
      </c>
      <c r="F53" s="97">
        <f t="shared" si="48"/>
        <v>10</v>
      </c>
      <c r="G53" s="97">
        <f t="shared" si="49"/>
        <v>8</v>
      </c>
      <c r="H53" s="97">
        <f t="shared" si="50"/>
        <v>18</v>
      </c>
      <c r="I53" s="98">
        <f t="shared" si="51"/>
        <v>8.64</v>
      </c>
      <c r="J53" s="98">
        <f t="shared" si="52"/>
        <v>9.36</v>
      </c>
      <c r="K53" s="99">
        <f t="shared" si="53"/>
        <v>18</v>
      </c>
      <c r="M53" s="58">
        <f t="shared" si="40"/>
        <v>20</v>
      </c>
      <c r="N53" s="95">
        <f t="shared" si="41"/>
        <v>0.42857142857142855</v>
      </c>
      <c r="O53" s="29">
        <f t="shared" si="42"/>
        <v>0.40343915343915343</v>
      </c>
      <c r="P53" s="90">
        <f t="shared" si="43"/>
        <v>20</v>
      </c>
      <c r="Q53" s="21">
        <f t="shared" si="44"/>
        <v>1.0713228983692951</v>
      </c>
      <c r="R53" s="96">
        <f t="shared" si="54"/>
        <v>-2.5132275132275117E-2</v>
      </c>
      <c r="S53" s="22">
        <f t="shared" si="55"/>
        <v>-39.789473684210549</v>
      </c>
      <c r="T53" s="179" t="s">
        <v>71</v>
      </c>
      <c r="U53" s="207">
        <f>SQRT((1/(SUM(I50:I53)))+(1/(SUM(J50:J53))))</f>
        <v>0.16284604872880704</v>
      </c>
      <c r="V53" s="100">
        <f t="shared" si="56"/>
        <v>1.0713228983692951</v>
      </c>
      <c r="W53" s="38">
        <f t="shared" si="57"/>
        <v>0.77857962175985596</v>
      </c>
      <c r="X53" s="38">
        <f t="shared" si="58"/>
        <v>1.4741366463922068</v>
      </c>
      <c r="AC53" s="25"/>
    </row>
    <row r="54" spans="1:29" x14ac:dyDescent="0.3">
      <c r="A54" s="179" t="s">
        <v>71</v>
      </c>
      <c r="B54" s="68">
        <f t="shared" si="45"/>
        <v>25</v>
      </c>
      <c r="C54" s="97">
        <f t="shared" si="46"/>
        <v>50</v>
      </c>
      <c r="D54" s="97">
        <f t="shared" si="47"/>
        <v>57</v>
      </c>
      <c r="E54" s="97">
        <f t="shared" si="59"/>
        <v>107</v>
      </c>
      <c r="F54" s="97">
        <f t="shared" si="48"/>
        <v>6</v>
      </c>
      <c r="G54" s="97">
        <f t="shared" si="49"/>
        <v>11</v>
      </c>
      <c r="H54" s="97">
        <f t="shared" si="50"/>
        <v>17</v>
      </c>
      <c r="I54" s="98">
        <f t="shared" si="51"/>
        <v>7.94392523364486</v>
      </c>
      <c r="J54" s="98">
        <f t="shared" si="52"/>
        <v>9.05607476635514</v>
      </c>
      <c r="K54" s="99">
        <f t="shared" si="53"/>
        <v>17</v>
      </c>
      <c r="M54" s="58">
        <f t="shared" si="40"/>
        <v>25</v>
      </c>
      <c r="N54" s="95">
        <f t="shared" si="41"/>
        <v>0.34586466165413537</v>
      </c>
      <c r="O54" s="29">
        <f t="shared" si="42"/>
        <v>0.35502645502645502</v>
      </c>
      <c r="P54" s="90">
        <f t="shared" si="43"/>
        <v>25</v>
      </c>
      <c r="Q54" s="21">
        <f t="shared" si="44"/>
        <v>0.9753748043183359</v>
      </c>
      <c r="R54" s="96">
        <f t="shared" si="54"/>
        <v>9.1617933723196487E-3</v>
      </c>
      <c r="S54" s="22">
        <f t="shared" si="55"/>
        <v>109.14893617021323</v>
      </c>
      <c r="T54" s="179" t="s">
        <v>71</v>
      </c>
      <c r="U54" s="207">
        <f>SQRT((1/(SUM(I50:I54)))+(1/(SUM(J50:J54))))</f>
        <v>0.15440468806514074</v>
      </c>
      <c r="V54" s="100">
        <f t="shared" si="56"/>
        <v>0.9753748043183359</v>
      </c>
      <c r="W54" s="38">
        <f t="shared" si="57"/>
        <v>0.72067525250712949</v>
      </c>
      <c r="X54" s="38">
        <f t="shared" si="58"/>
        <v>1.3200897430422318</v>
      </c>
      <c r="AC54" s="25"/>
    </row>
    <row r="55" spans="1:29" x14ac:dyDescent="0.3">
      <c r="A55" s="179" t="s">
        <v>71</v>
      </c>
      <c r="B55" s="68">
        <f t="shared" si="45"/>
        <v>30</v>
      </c>
      <c r="C55" s="97">
        <f t="shared" si="46"/>
        <v>44</v>
      </c>
      <c r="D55" s="97">
        <f t="shared" si="47"/>
        <v>45</v>
      </c>
      <c r="E55" s="97">
        <f t="shared" si="59"/>
        <v>89</v>
      </c>
      <c r="F55" s="97">
        <f t="shared" si="48"/>
        <v>1</v>
      </c>
      <c r="G55" s="97">
        <f t="shared" si="49"/>
        <v>6</v>
      </c>
      <c r="H55" s="97">
        <f t="shared" si="50"/>
        <v>7</v>
      </c>
      <c r="I55" s="98">
        <f t="shared" si="51"/>
        <v>3.4606741573033708</v>
      </c>
      <c r="J55" s="98">
        <f t="shared" si="52"/>
        <v>3.5393258426966292</v>
      </c>
      <c r="K55" s="99">
        <f t="shared" si="53"/>
        <v>7</v>
      </c>
      <c r="M55" s="58">
        <f t="shared" si="40"/>
        <v>30</v>
      </c>
      <c r="N55" s="95">
        <f t="shared" si="41"/>
        <v>0.29974937343358399</v>
      </c>
      <c r="O55" s="29">
        <f t="shared" si="42"/>
        <v>0.34695767195767196</v>
      </c>
      <c r="P55" s="90">
        <f t="shared" si="43"/>
        <v>30</v>
      </c>
      <c r="Q55" s="21">
        <f t="shared" si="44"/>
        <v>0.87860637029305111</v>
      </c>
      <c r="R55" s="96">
        <f t="shared" si="54"/>
        <v>4.7208298524087977E-2</v>
      </c>
      <c r="S55" s="22">
        <f t="shared" si="55"/>
        <v>21.182716413508341</v>
      </c>
      <c r="T55" s="179" t="s">
        <v>71</v>
      </c>
      <c r="U55" s="207">
        <f>SQRT((1/(SUM(I50:I55)))+(1/(SUM(J50:J55))))</f>
        <v>0.15127967098821293</v>
      </c>
      <c r="V55" s="100">
        <f t="shared" si="56"/>
        <v>0.87860637029305111</v>
      </c>
      <c r="W55" s="38">
        <f t="shared" si="57"/>
        <v>0.65316437922299775</v>
      </c>
      <c r="X55" s="38">
        <f t="shared" si="58"/>
        <v>1.1818604603604352</v>
      </c>
      <c r="AC55" s="25"/>
    </row>
    <row r="56" spans="1:29" x14ac:dyDescent="0.3">
      <c r="A56" s="179" t="s">
        <v>71</v>
      </c>
      <c r="B56" s="68">
        <f t="shared" si="45"/>
        <v>35</v>
      </c>
      <c r="C56" s="97">
        <f t="shared" si="46"/>
        <v>36</v>
      </c>
      <c r="D56" s="97">
        <f t="shared" si="47"/>
        <v>29</v>
      </c>
      <c r="E56" s="97">
        <f t="shared" si="59"/>
        <v>65</v>
      </c>
      <c r="F56" s="97">
        <f t="shared" si="48"/>
        <v>1</v>
      </c>
      <c r="G56" s="97">
        <f t="shared" si="49"/>
        <v>0</v>
      </c>
      <c r="H56" s="97">
        <f t="shared" si="50"/>
        <v>1</v>
      </c>
      <c r="I56" s="98">
        <f t="shared" si="51"/>
        <v>0.55384615384615388</v>
      </c>
      <c r="J56" s="98">
        <f t="shared" si="52"/>
        <v>0.44615384615384618</v>
      </c>
      <c r="K56" s="99">
        <f t="shared" si="53"/>
        <v>1</v>
      </c>
      <c r="M56" s="58">
        <f t="shared" si="40"/>
        <v>35</v>
      </c>
      <c r="N56" s="95">
        <f t="shared" si="41"/>
        <v>0.29974937343358399</v>
      </c>
      <c r="O56" s="29">
        <f t="shared" si="42"/>
        <v>0.33731995884773663</v>
      </c>
      <c r="P56" s="90">
        <f t="shared" si="43"/>
        <v>35</v>
      </c>
      <c r="Q56" s="21">
        <f t="shared" si="44"/>
        <v>0.90198840586494011</v>
      </c>
      <c r="R56" s="96">
        <f t="shared" si="54"/>
        <v>3.7570585414152646E-2</v>
      </c>
      <c r="S56" s="22">
        <f t="shared" si="55"/>
        <v>26.616566896061862</v>
      </c>
      <c r="T56" s="179" t="s">
        <v>71</v>
      </c>
      <c r="U56" s="207">
        <f>SQRT((1/(SUM(I50:I56)))+(1/(SUM(J50:J56))))</f>
        <v>0.15084501678101689</v>
      </c>
      <c r="V56" s="100">
        <f t="shared" si="56"/>
        <v>0.90198840586494011</v>
      </c>
      <c r="W56" s="38">
        <f t="shared" si="57"/>
        <v>0.67111830525160165</v>
      </c>
      <c r="X56" s="38">
        <f t="shared" si="58"/>
        <v>1.2122796799735098</v>
      </c>
      <c r="AC56" s="25"/>
    </row>
    <row r="57" spans="1:29" x14ac:dyDescent="0.3">
      <c r="A57" s="179" t="s">
        <v>71</v>
      </c>
      <c r="B57" s="68">
        <f t="shared" si="45"/>
        <v>40</v>
      </c>
      <c r="C57" s="97">
        <f t="shared" si="46"/>
        <v>21</v>
      </c>
      <c r="D57" s="97">
        <f t="shared" si="47"/>
        <v>15</v>
      </c>
      <c r="E57" s="97">
        <f t="shared" si="59"/>
        <v>36</v>
      </c>
      <c r="F57" s="97">
        <f t="shared" si="48"/>
        <v>1</v>
      </c>
      <c r="G57" s="97">
        <f t="shared" si="49"/>
        <v>0</v>
      </c>
      <c r="H57" s="97">
        <f t="shared" si="50"/>
        <v>1</v>
      </c>
      <c r="I57" s="98">
        <f t="shared" si="51"/>
        <v>0.58333333333333337</v>
      </c>
      <c r="J57" s="98">
        <f t="shared" si="52"/>
        <v>0.41666666666666669</v>
      </c>
      <c r="K57" s="99">
        <f t="shared" si="53"/>
        <v>1</v>
      </c>
      <c r="M57" s="58">
        <f t="shared" si="40"/>
        <v>40</v>
      </c>
      <c r="N57" s="95">
        <f t="shared" si="41"/>
        <v>0.29974937343358399</v>
      </c>
      <c r="O57" s="29">
        <f t="shared" si="42"/>
        <v>0.32125710366451105</v>
      </c>
      <c r="P57" s="90">
        <f t="shared" si="43"/>
        <v>40</v>
      </c>
      <c r="Q57" s="21">
        <f t="shared" si="44"/>
        <v>0.94248460183060512</v>
      </c>
      <c r="R57" s="96">
        <f t="shared" si="54"/>
        <v>2.1507730230927058E-2</v>
      </c>
      <c r="S57" s="22">
        <f t="shared" si="55"/>
        <v>46.494910865212972</v>
      </c>
      <c r="T57" s="179" t="s">
        <v>71</v>
      </c>
      <c r="U57" s="207">
        <f>SQRT((1/(SUM(I50:I57)))+(1/(SUM(J50:J57))))</f>
        <v>0.15041250739379147</v>
      </c>
      <c r="V57" s="100">
        <f t="shared" si="56"/>
        <v>0.94248460183060512</v>
      </c>
      <c r="W57" s="38">
        <f t="shared" si="57"/>
        <v>0.7018439368396876</v>
      </c>
      <c r="X57" s="38">
        <f t="shared" si="58"/>
        <v>1.2656335376887227</v>
      </c>
      <c r="AC57" s="25"/>
    </row>
    <row r="58" spans="1:29" x14ac:dyDescent="0.3">
      <c r="A58" s="179" t="s">
        <v>71</v>
      </c>
      <c r="B58" s="68">
        <f t="shared" si="45"/>
        <v>45</v>
      </c>
      <c r="C58" s="97">
        <f t="shared" si="46"/>
        <v>4</v>
      </c>
      <c r="D58" s="97">
        <f t="shared" si="47"/>
        <v>9</v>
      </c>
      <c r="E58" s="97">
        <f t="shared" si="59"/>
        <v>13</v>
      </c>
      <c r="F58" s="97">
        <f t="shared" si="48"/>
        <v>0</v>
      </c>
      <c r="G58" s="97">
        <f t="shared" si="49"/>
        <v>1</v>
      </c>
      <c r="H58" s="97">
        <f t="shared" si="50"/>
        <v>1</v>
      </c>
      <c r="I58" s="98">
        <f t="shared" si="51"/>
        <v>0.30769230769230771</v>
      </c>
      <c r="J58" s="98">
        <f t="shared" si="52"/>
        <v>0.69230769230769229</v>
      </c>
      <c r="K58" s="99">
        <f t="shared" si="53"/>
        <v>1</v>
      </c>
      <c r="M58" s="58">
        <f t="shared" si="40"/>
        <v>45</v>
      </c>
      <c r="N58" s="95">
        <f t="shared" si="41"/>
        <v>0.26644388749651909</v>
      </c>
      <c r="O58" s="29">
        <f t="shared" si="42"/>
        <v>0.32125710366451105</v>
      </c>
      <c r="P58" s="90">
        <f t="shared" si="43"/>
        <v>45</v>
      </c>
      <c r="Q58" s="21">
        <f t="shared" si="44"/>
        <v>0.85855189234019802</v>
      </c>
      <c r="R58" s="96">
        <f t="shared" si="54"/>
        <v>5.4813216167991952E-2</v>
      </c>
      <c r="S58" s="22">
        <f t="shared" si="55"/>
        <v>18.24377531388037</v>
      </c>
      <c r="T58" s="179" t="s">
        <v>71</v>
      </c>
      <c r="U58" s="207">
        <f>SQRT((1/(SUM(I50:I58)))+(1/(SUM(J50:J58))))</f>
        <v>0.1499995613169578</v>
      </c>
      <c r="V58" s="100">
        <f t="shared" si="56"/>
        <v>0.85855189234019802</v>
      </c>
      <c r="W58" s="38">
        <f t="shared" si="57"/>
        <v>0.63985909220791526</v>
      </c>
      <c r="X58" s="38">
        <f t="shared" si="58"/>
        <v>1.1519901191017516</v>
      </c>
      <c r="AC58" s="25"/>
    </row>
    <row r="59" spans="1:29" x14ac:dyDescent="0.25">
      <c r="B59" s="101"/>
      <c r="C59" s="102"/>
      <c r="D59" s="102"/>
      <c r="E59" s="102"/>
      <c r="F59" s="103">
        <f>SUM(F50:F58)</f>
        <v>84</v>
      </c>
      <c r="G59" s="103">
        <f>SUM(G50:G58)</f>
        <v>94</v>
      </c>
      <c r="H59" s="103">
        <f>SUM(H50:H58)</f>
        <v>178</v>
      </c>
      <c r="I59" s="104">
        <f>SUM(I50:I58)</f>
        <v>85.862705664317659</v>
      </c>
      <c r="J59" s="104">
        <f>SUM(J50:J58)</f>
        <v>92.137294335682341</v>
      </c>
      <c r="K59" s="105">
        <f>I59+J59</f>
        <v>178</v>
      </c>
      <c r="M59" s="106"/>
      <c r="N59" s="106"/>
      <c r="O59" s="106"/>
      <c r="P59" s="25"/>
      <c r="Q59" s="25"/>
      <c r="AC59" s="25"/>
    </row>
    <row r="60" spans="1:29" x14ac:dyDescent="0.25">
      <c r="B60" s="106"/>
      <c r="C60" s="106"/>
      <c r="D60" s="106"/>
      <c r="E60" s="106"/>
      <c r="F60" s="106"/>
      <c r="G60" s="106"/>
      <c r="H60" s="106"/>
      <c r="I60" s="107"/>
      <c r="J60" s="106"/>
      <c r="K60" s="106"/>
      <c r="M60" s="106"/>
      <c r="N60" s="106"/>
      <c r="O60" s="106"/>
      <c r="P60" s="25"/>
      <c r="Q60" s="25"/>
    </row>
    <row r="61" spans="1:29" x14ac:dyDescent="0.25">
      <c r="B61" s="108" t="s">
        <v>4</v>
      </c>
      <c r="C61" s="109">
        <f>((F59-I59)^2)/I59</f>
        <v>4.040953945064181E-2</v>
      </c>
      <c r="D61" s="110"/>
      <c r="E61" s="111">
        <f>((G59-J59)^2)/J59</f>
        <v>3.7657632741418347E-2</v>
      </c>
      <c r="F61" s="110"/>
      <c r="G61" s="112">
        <f>C61+E61</f>
        <v>7.8067172192060164E-2</v>
      </c>
      <c r="H61" s="57" t="s">
        <v>7</v>
      </c>
      <c r="I61" s="110"/>
      <c r="J61" s="113" t="s">
        <v>8</v>
      </c>
      <c r="K61" s="7">
        <f>CHIDIST(G61,1)</f>
        <v>0.7799340094305498</v>
      </c>
      <c r="N61" s="106"/>
      <c r="O61" s="106"/>
      <c r="P61" s="25"/>
      <c r="Q61" s="25"/>
    </row>
    <row r="62" spans="1:29" x14ac:dyDescent="0.25">
      <c r="B62" s="106"/>
      <c r="C62" s="106"/>
      <c r="D62" s="106"/>
      <c r="E62" s="106"/>
      <c r="F62" s="106"/>
      <c r="G62" s="106"/>
      <c r="H62" s="114"/>
      <c r="I62" s="106"/>
      <c r="J62" s="106"/>
      <c r="K62" s="106"/>
      <c r="L62" s="277" t="s">
        <v>118</v>
      </c>
      <c r="N62" s="106"/>
      <c r="O62" s="106"/>
      <c r="P62" s="25"/>
      <c r="Q62" s="25"/>
    </row>
    <row r="63" spans="1:29" x14ac:dyDescent="0.25">
      <c r="B63" s="106"/>
      <c r="C63" s="106"/>
      <c r="D63" s="106"/>
      <c r="E63" s="106"/>
      <c r="F63" s="106"/>
      <c r="G63" s="106"/>
      <c r="H63" s="115"/>
      <c r="I63" s="5" t="s">
        <v>5</v>
      </c>
      <c r="J63" s="6">
        <f>(F59/I59)/(G59/J59)</f>
        <v>0.95891986952554098</v>
      </c>
      <c r="M63" s="106"/>
      <c r="O63" s="106"/>
      <c r="P63" s="25"/>
      <c r="Q63" s="25"/>
    </row>
    <row r="65" spans="1:47" x14ac:dyDescent="0.25">
      <c r="I65" s="106"/>
      <c r="J65" s="106"/>
    </row>
    <row r="66" spans="1:47" x14ac:dyDescent="0.25">
      <c r="I66" s="106"/>
      <c r="J66" s="106"/>
      <c r="K66" s="106"/>
      <c r="L66" s="106"/>
      <c r="M66" s="106"/>
    </row>
    <row r="67" spans="1:47" x14ac:dyDescent="0.25">
      <c r="I67" s="106"/>
      <c r="J67" s="106"/>
      <c r="K67" s="106"/>
    </row>
    <row r="68" spans="1:47" x14ac:dyDescent="0.25">
      <c r="B68" s="4"/>
      <c r="I68" s="106"/>
      <c r="J68" s="106"/>
      <c r="K68" s="106"/>
      <c r="L68" s="106"/>
    </row>
    <row r="70" spans="1:47" x14ac:dyDescent="0.25">
      <c r="B70" s="81"/>
      <c r="I70" s="106"/>
      <c r="J70" s="106"/>
      <c r="K70" s="106"/>
      <c r="L70" s="106"/>
      <c r="M70" s="106"/>
      <c r="N70" s="106"/>
      <c r="O70" s="106"/>
    </row>
    <row r="71" spans="1:47" x14ac:dyDescent="0.25">
      <c r="B71" s="81"/>
      <c r="I71" s="106"/>
      <c r="J71" s="106"/>
      <c r="K71" s="106"/>
      <c r="L71" s="106"/>
      <c r="M71" s="106"/>
      <c r="N71" s="106"/>
      <c r="O71" s="106"/>
    </row>
    <row r="72" spans="1:47" x14ac:dyDescent="0.25">
      <c r="B72" s="81"/>
      <c r="I72" s="106"/>
      <c r="J72" s="106"/>
      <c r="K72" s="106"/>
      <c r="L72" s="106"/>
      <c r="M72" s="106"/>
      <c r="R72" s="117"/>
      <c r="S72" s="117"/>
    </row>
    <row r="73" spans="1:47" x14ac:dyDescent="0.25">
      <c r="B73" s="81"/>
      <c r="I73" s="106"/>
      <c r="J73" s="106"/>
      <c r="K73" s="106"/>
      <c r="L73" s="106"/>
      <c r="M73" s="106"/>
      <c r="R73" s="117"/>
      <c r="S73" s="117"/>
    </row>
    <row r="74" spans="1:47" x14ac:dyDescent="0.25">
      <c r="B74" s="81"/>
      <c r="I74" s="106"/>
      <c r="J74" s="106"/>
      <c r="K74" s="106"/>
      <c r="L74" s="106"/>
      <c r="M74" s="106"/>
      <c r="R74" s="117"/>
      <c r="S74" s="117"/>
    </row>
    <row r="75" spans="1:47" x14ac:dyDescent="0.25">
      <c r="B75" s="81"/>
      <c r="I75" s="106"/>
      <c r="J75" s="106"/>
      <c r="K75" s="106"/>
      <c r="L75" s="106"/>
      <c r="M75" s="106"/>
      <c r="N75" s="106"/>
      <c r="O75" s="106"/>
      <c r="P75" s="106"/>
      <c r="Q75" s="106"/>
      <c r="R75" s="117"/>
      <c r="S75" s="117"/>
    </row>
    <row r="76" spans="1:47" x14ac:dyDescent="0.25">
      <c r="B76" s="81"/>
      <c r="I76" s="106"/>
      <c r="J76" s="106"/>
      <c r="K76" s="106"/>
      <c r="L76" s="106"/>
      <c r="M76" s="106"/>
      <c r="N76" s="106"/>
      <c r="O76" s="106"/>
      <c r="P76" s="106"/>
      <c r="Q76" s="106"/>
      <c r="R76" s="117"/>
      <c r="S76" s="117"/>
    </row>
    <row r="77" spans="1:47" x14ac:dyDescent="0.25">
      <c r="B77" s="81"/>
      <c r="I77" s="106"/>
      <c r="J77" s="106"/>
      <c r="K77" s="106"/>
      <c r="L77" s="106"/>
      <c r="M77" s="106"/>
      <c r="N77" s="106"/>
      <c r="O77" s="106"/>
      <c r="P77" s="106"/>
      <c r="Q77" s="106"/>
      <c r="R77" s="117"/>
      <c r="S77" s="117"/>
    </row>
    <row r="78" spans="1:47" ht="14.5" x14ac:dyDescent="0.25">
      <c r="A78" s="60"/>
      <c r="D78" s="54"/>
      <c r="I78" s="106"/>
      <c r="J78" s="106"/>
      <c r="K78" s="106"/>
      <c r="L78" s="106"/>
      <c r="M78" s="106"/>
      <c r="N78" s="106"/>
      <c r="O78" s="106"/>
      <c r="P78" s="106"/>
      <c r="Q78" s="106"/>
      <c r="R78" s="117"/>
      <c r="S78" s="117"/>
    </row>
    <row r="79" spans="1:47" ht="13.5" thickBot="1" x14ac:dyDescent="0.3">
      <c r="A79" s="61"/>
      <c r="D79" s="54"/>
      <c r="I79" s="106"/>
      <c r="J79" s="106"/>
      <c r="K79" s="106"/>
      <c r="L79" s="106"/>
      <c r="M79" s="106"/>
      <c r="N79" s="106"/>
      <c r="O79" s="106"/>
      <c r="P79" s="106"/>
      <c r="Q79" s="106"/>
    </row>
    <row r="80" spans="1:47" ht="58" customHeight="1" thickBot="1" x14ac:dyDescent="0.3">
      <c r="A80" s="234" t="s">
        <v>114</v>
      </c>
      <c r="B80" s="235"/>
      <c r="C80" s="235"/>
      <c r="D80" s="235"/>
      <c r="E80" s="235"/>
      <c r="F80" s="235"/>
      <c r="G80" s="235"/>
      <c r="H80" s="235"/>
      <c r="I80" s="235"/>
      <c r="J80" s="235"/>
      <c r="K80" s="235"/>
      <c r="L80" s="235"/>
      <c r="M80" s="235"/>
      <c r="N80" s="235"/>
      <c r="O80" s="235"/>
      <c r="P80" s="235"/>
      <c r="Q80" s="235"/>
      <c r="R80" s="235"/>
      <c r="S80" s="236"/>
      <c r="U80" s="242" t="s">
        <v>54</v>
      </c>
      <c r="V80" s="243"/>
      <c r="X80" s="255" t="s">
        <v>101</v>
      </c>
      <c r="Y80" s="256"/>
      <c r="Z80" s="256"/>
      <c r="AA80" s="256"/>
      <c r="AB80" s="256"/>
      <c r="AC80" s="256"/>
      <c r="AD80" s="256"/>
      <c r="AE80" s="256"/>
      <c r="AF80" s="256"/>
      <c r="AG80" s="256"/>
      <c r="AH80" s="256"/>
      <c r="AI80" s="256"/>
      <c r="AJ80" s="256"/>
      <c r="AK80" s="256"/>
      <c r="AL80" s="256"/>
      <c r="AM80" s="256"/>
      <c r="AN80" s="256"/>
      <c r="AO80" s="256"/>
      <c r="AP80" s="256"/>
      <c r="AQ80" s="256"/>
      <c r="AR80" s="257"/>
      <c r="AT80" s="244" t="s">
        <v>40</v>
      </c>
      <c r="AU80" s="245"/>
    </row>
    <row r="81" spans="1:47" ht="42" customHeight="1" x14ac:dyDescent="0.25">
      <c r="A81" s="30" t="s">
        <v>102</v>
      </c>
      <c r="E81" s="63"/>
      <c r="F81" s="64"/>
      <c r="H81" s="10"/>
      <c r="J81" s="237" t="s">
        <v>32</v>
      </c>
      <c r="K81" s="238"/>
      <c r="M81" s="246" t="s">
        <v>56</v>
      </c>
      <c r="N81" s="247"/>
      <c r="O81" s="30"/>
      <c r="P81" s="190" t="s">
        <v>84</v>
      </c>
      <c r="Q81" s="30"/>
      <c r="R81" s="248" t="s">
        <v>50</v>
      </c>
      <c r="S81" s="249"/>
      <c r="T81" s="59"/>
      <c r="U81" s="250" t="s">
        <v>59</v>
      </c>
      <c r="V81" s="252" t="s">
        <v>53</v>
      </c>
      <c r="W81" s="59"/>
      <c r="Y81" s="119" t="s">
        <v>17</v>
      </c>
      <c r="Z81" s="120" t="s">
        <v>18</v>
      </c>
      <c r="AT81" s="250" t="s">
        <v>42</v>
      </c>
      <c r="AU81" s="254" t="s">
        <v>41</v>
      </c>
    </row>
    <row r="82" spans="1:47" ht="75.5" customHeight="1" x14ac:dyDescent="0.25">
      <c r="A82" s="39" t="s">
        <v>22</v>
      </c>
      <c r="B82" s="4" t="s">
        <v>23</v>
      </c>
      <c r="C82" s="1" t="s">
        <v>21</v>
      </c>
      <c r="D82" s="40" t="s">
        <v>24</v>
      </c>
      <c r="E82" s="1" t="s">
        <v>30</v>
      </c>
      <c r="F82" s="2" t="s">
        <v>25</v>
      </c>
      <c r="G82" s="2" t="s">
        <v>26</v>
      </c>
      <c r="H82" s="27" t="s">
        <v>72</v>
      </c>
      <c r="I82" s="2" t="s">
        <v>27</v>
      </c>
      <c r="J82" s="35" t="s">
        <v>33</v>
      </c>
      <c r="K82" s="41" t="s">
        <v>34</v>
      </c>
      <c r="M82" s="42" t="s">
        <v>58</v>
      </c>
      <c r="N82" s="42" t="s">
        <v>57</v>
      </c>
      <c r="O82" s="208" t="s">
        <v>9</v>
      </c>
      <c r="P82" s="53" t="s">
        <v>60</v>
      </c>
      <c r="Q82" s="30"/>
      <c r="R82" s="53" t="s">
        <v>52</v>
      </c>
      <c r="S82" s="53" t="s">
        <v>51</v>
      </c>
      <c r="T82" s="208" t="s">
        <v>9</v>
      </c>
      <c r="U82" s="251"/>
      <c r="V82" s="253"/>
      <c r="W82" s="59"/>
      <c r="X82" s="15" t="s">
        <v>9</v>
      </c>
      <c r="Y82" s="44" t="s">
        <v>81</v>
      </c>
      <c r="Z82" s="45" t="s">
        <v>82</v>
      </c>
      <c r="AG82" s="258" t="s">
        <v>55</v>
      </c>
      <c r="AH82" s="259"/>
      <c r="AI82" s="259"/>
      <c r="AJ82" s="259"/>
      <c r="AK82" s="259"/>
      <c r="AL82" s="259"/>
      <c r="AM82" s="259"/>
      <c r="AN82" s="260"/>
      <c r="AQ82" s="176" t="s">
        <v>77</v>
      </c>
      <c r="AR82" s="177" t="s">
        <v>78</v>
      </c>
      <c r="AT82" s="251"/>
      <c r="AU82" s="252"/>
    </row>
    <row r="83" spans="1:47" x14ac:dyDescent="0.3">
      <c r="A83" s="182">
        <v>0</v>
      </c>
      <c r="B83" s="67">
        <v>0</v>
      </c>
      <c r="C83" s="62"/>
      <c r="D83" s="68">
        <v>0</v>
      </c>
      <c r="E83" s="31">
        <f>H83</f>
        <v>126</v>
      </c>
      <c r="F83" s="3">
        <v>0</v>
      </c>
      <c r="G83" s="3">
        <v>0</v>
      </c>
      <c r="H83" s="49">
        <v>126</v>
      </c>
      <c r="I83" s="69">
        <f>F83/E83</f>
        <v>0</v>
      </c>
      <c r="J83" s="29">
        <f>1-I83</f>
        <v>1</v>
      </c>
      <c r="K83" s="29">
        <f>J83</f>
        <v>1</v>
      </c>
      <c r="L83" s="62"/>
      <c r="M83" s="121"/>
      <c r="N83" s="122"/>
      <c r="P83" s="123">
        <f>H83/H83</f>
        <v>1</v>
      </c>
      <c r="Q83" s="30"/>
      <c r="S83" s="59"/>
      <c r="T83" s="59"/>
      <c r="U83" s="120"/>
      <c r="V83" s="30"/>
      <c r="W83" s="59"/>
      <c r="X83" s="81">
        <f t="shared" ref="X83:X92" si="60">D83</f>
        <v>0</v>
      </c>
      <c r="Y83" s="16">
        <f t="shared" ref="Y83:Y92" si="61">P83</f>
        <v>1</v>
      </c>
      <c r="Z83" s="17">
        <f t="shared" ref="Z83:Z92" si="62">K83</f>
        <v>1</v>
      </c>
      <c r="AC83" s="25"/>
      <c r="AD83" s="25"/>
      <c r="AG83" s="155" t="s">
        <v>14</v>
      </c>
      <c r="AH83" s="156">
        <f>Z85</f>
        <v>0.61111111111111116</v>
      </c>
      <c r="AI83" s="156">
        <f>Z86</f>
        <v>0.48412698412698413</v>
      </c>
      <c r="AJ83" s="171">
        <f>AH83-AI83</f>
        <v>0.12698412698412703</v>
      </c>
      <c r="AK83" s="172">
        <f>X84-X83</f>
        <v>5</v>
      </c>
      <c r="AL83" s="157"/>
      <c r="AM83" s="32" t="s">
        <v>28</v>
      </c>
      <c r="AN83" s="166">
        <f>X85</f>
        <v>10</v>
      </c>
      <c r="AP83" s="14" t="s">
        <v>29</v>
      </c>
      <c r="AQ83" s="46">
        <f>AN84</f>
        <v>14.375</v>
      </c>
      <c r="AR83" s="47">
        <f>AN88</f>
        <v>14.117647058823529</v>
      </c>
      <c r="AT83" s="46">
        <f>AQ83-AQ101</f>
        <v>-0.25</v>
      </c>
      <c r="AU83" s="47">
        <f>AR83-AR101</f>
        <v>-0.50735294117647101</v>
      </c>
    </row>
    <row r="84" spans="1:47" x14ac:dyDescent="0.3">
      <c r="A84" s="182">
        <v>0</v>
      </c>
      <c r="B84" s="70">
        <f>B83+F84</f>
        <v>24</v>
      </c>
      <c r="C84" s="71">
        <f>D83</f>
        <v>0</v>
      </c>
      <c r="D84" s="68">
        <v>5</v>
      </c>
      <c r="E84" s="68">
        <f>H83</f>
        <v>126</v>
      </c>
      <c r="F84" s="31">
        <f>E84-H84-G84</f>
        <v>24</v>
      </c>
      <c r="G84" s="68">
        <f>A84-A83</f>
        <v>0</v>
      </c>
      <c r="H84" s="49">
        <v>102</v>
      </c>
      <c r="I84" s="72">
        <f>F84/E84</f>
        <v>0.19047619047619047</v>
      </c>
      <c r="J84" s="29">
        <f>1-I84</f>
        <v>0.80952380952380953</v>
      </c>
      <c r="K84" s="29">
        <f>J84*K83</f>
        <v>0.80952380952380953</v>
      </c>
      <c r="L84" s="62"/>
      <c r="M84" s="124">
        <f t="shared" ref="M84:M92" si="63">AVERAGE(K83:K84)*(D84-D83)</f>
        <v>4.5238095238095237</v>
      </c>
      <c r="N84" s="46">
        <f>M84</f>
        <v>4.5238095238095237</v>
      </c>
      <c r="O84" s="125">
        <f t="shared" ref="O84:O92" si="64">D84</f>
        <v>5</v>
      </c>
      <c r="P84" s="123">
        <f>H84/H83</f>
        <v>0.80952380952380953</v>
      </c>
      <c r="Q84" s="30"/>
      <c r="R84" s="126">
        <f t="shared" ref="R84:R92" si="65">AVERAGE(P83:P84)*(D84-D83)</f>
        <v>4.5238095238095237</v>
      </c>
      <c r="S84" s="126">
        <f>R84</f>
        <v>4.5238095238095237</v>
      </c>
      <c r="T84" s="127">
        <f t="shared" ref="T84:T92" si="66">D84</f>
        <v>5</v>
      </c>
      <c r="U84" s="46">
        <f t="shared" ref="U84:U92" si="67">N84-N102</f>
        <v>1.2531328320802615E-2</v>
      </c>
      <c r="V84" s="128">
        <f t="shared" ref="V84:V92" si="68">S84-S102</f>
        <v>1.2531328320802615E-2</v>
      </c>
      <c r="W84" s="180" t="s">
        <v>71</v>
      </c>
      <c r="X84" s="81">
        <f t="shared" si="60"/>
        <v>5</v>
      </c>
      <c r="Y84" s="16">
        <f t="shared" si="61"/>
        <v>0.80952380952380953</v>
      </c>
      <c r="Z84" s="17">
        <f t="shared" si="62"/>
        <v>0.80952380952380953</v>
      </c>
      <c r="AB84" s="129"/>
      <c r="AC84" s="25"/>
      <c r="AD84" s="25"/>
      <c r="AG84" s="158"/>
      <c r="AH84" s="175">
        <f>AH83</f>
        <v>0.61111111111111116</v>
      </c>
      <c r="AI84" s="175">
        <v>0.5</v>
      </c>
      <c r="AJ84" s="173">
        <f>AH84-AI84</f>
        <v>0.11111111111111116</v>
      </c>
      <c r="AK84" s="174">
        <f>AJ84*AK83/AJ83</f>
        <v>4.375</v>
      </c>
      <c r="AL84" s="159"/>
      <c r="AM84" s="160" t="s">
        <v>11</v>
      </c>
      <c r="AN84" s="161">
        <f>AN83+AK84</f>
        <v>14.375</v>
      </c>
      <c r="AP84" s="14" t="s">
        <v>12</v>
      </c>
      <c r="AQ84" s="48">
        <f t="shared" ref="AQ84:AQ85" si="69">AN85</f>
        <v>62.125</v>
      </c>
      <c r="AR84" s="49">
        <f t="shared" ref="AR84:AR85" si="70">AN89</f>
        <v>63</v>
      </c>
      <c r="AU84" s="81"/>
    </row>
    <row r="85" spans="1:47" x14ac:dyDescent="0.3">
      <c r="A85" s="182">
        <v>0</v>
      </c>
      <c r="B85" s="70">
        <f t="shared" ref="B85:B92" si="71">B84+F85</f>
        <v>49</v>
      </c>
      <c r="C85" s="71">
        <f t="shared" ref="C85:C92" si="72">D84</f>
        <v>5</v>
      </c>
      <c r="D85" s="68">
        <v>10</v>
      </c>
      <c r="E85" s="68">
        <f t="shared" ref="E85:E92" si="73">H84</f>
        <v>102</v>
      </c>
      <c r="F85" s="31">
        <f t="shared" ref="F85:F92" si="74">E85-H85-G85</f>
        <v>25</v>
      </c>
      <c r="G85" s="68">
        <f t="shared" ref="G85:G92" si="75">A85-A84</f>
        <v>0</v>
      </c>
      <c r="H85" s="49">
        <v>77</v>
      </c>
      <c r="I85" s="72">
        <f t="shared" ref="I85:I92" si="76">F85/E85</f>
        <v>0.24509803921568626</v>
      </c>
      <c r="J85" s="29">
        <f t="shared" ref="J85:J92" si="77">1-I85</f>
        <v>0.75490196078431371</v>
      </c>
      <c r="K85" s="29">
        <f t="shared" ref="K85:K92" si="78">J85*K84</f>
        <v>0.61111111111111116</v>
      </c>
      <c r="L85" s="62"/>
      <c r="M85" s="124">
        <f t="shared" si="63"/>
        <v>3.5515873015873018</v>
      </c>
      <c r="N85" s="46">
        <f t="shared" ref="N85:N92" si="79">M85+N84</f>
        <v>8.075396825396826</v>
      </c>
      <c r="O85" s="125">
        <f t="shared" si="64"/>
        <v>10</v>
      </c>
      <c r="P85" s="123">
        <f>H85/H83</f>
        <v>0.61111111111111116</v>
      </c>
      <c r="Q85" s="30"/>
      <c r="R85" s="126">
        <f t="shared" si="65"/>
        <v>3.5515873015873018</v>
      </c>
      <c r="S85" s="126">
        <f>R85+S84</f>
        <v>8.075396825396826</v>
      </c>
      <c r="T85" s="127">
        <f t="shared" si="66"/>
        <v>10</v>
      </c>
      <c r="U85" s="46">
        <f t="shared" si="67"/>
        <v>-4.4903926482872336E-2</v>
      </c>
      <c r="V85" s="128">
        <f t="shared" si="68"/>
        <v>-4.4903926482872336E-2</v>
      </c>
      <c r="W85" s="180" t="s">
        <v>71</v>
      </c>
      <c r="X85" s="81">
        <f t="shared" si="60"/>
        <v>10</v>
      </c>
      <c r="Y85" s="16">
        <f t="shared" si="61"/>
        <v>0.61111111111111116</v>
      </c>
      <c r="Z85" s="17">
        <f t="shared" si="62"/>
        <v>0.61111111111111116</v>
      </c>
      <c r="AC85" s="25"/>
      <c r="AD85" s="25"/>
      <c r="AG85" s="147" t="s">
        <v>15</v>
      </c>
      <c r="AH85" s="181">
        <f>H85</f>
        <v>77</v>
      </c>
      <c r="AI85" s="181">
        <f>H86</f>
        <v>60</v>
      </c>
      <c r="AJ85" s="167">
        <f>AH85-AI85</f>
        <v>17</v>
      </c>
      <c r="AK85" s="168">
        <f>AK83</f>
        <v>5</v>
      </c>
      <c r="AL85" s="159"/>
      <c r="AM85" s="160" t="s">
        <v>12</v>
      </c>
      <c r="AN85" s="162">
        <f>AH85-AJ86</f>
        <v>62.125</v>
      </c>
      <c r="AP85" s="14" t="s">
        <v>13</v>
      </c>
      <c r="AQ85" s="50">
        <f t="shared" si="69"/>
        <v>0.49305555555555558</v>
      </c>
      <c r="AR85" s="51">
        <f t="shared" si="70"/>
        <v>0.5</v>
      </c>
      <c r="AU85" s="81"/>
    </row>
    <row r="86" spans="1:47" x14ac:dyDescent="0.3">
      <c r="A86" s="182">
        <v>1</v>
      </c>
      <c r="B86" s="70">
        <f t="shared" si="71"/>
        <v>65</v>
      </c>
      <c r="C86" s="71">
        <f t="shared" si="72"/>
        <v>10</v>
      </c>
      <c r="D86" s="68">
        <v>15</v>
      </c>
      <c r="E86" s="68">
        <f t="shared" si="73"/>
        <v>77</v>
      </c>
      <c r="F86" s="31">
        <f t="shared" si="74"/>
        <v>16</v>
      </c>
      <c r="G86" s="68">
        <f t="shared" si="75"/>
        <v>1</v>
      </c>
      <c r="H86" s="49">
        <v>60</v>
      </c>
      <c r="I86" s="72">
        <f t="shared" si="76"/>
        <v>0.20779220779220781</v>
      </c>
      <c r="J86" s="29">
        <f t="shared" si="77"/>
        <v>0.79220779220779214</v>
      </c>
      <c r="K86" s="29">
        <f t="shared" si="78"/>
        <v>0.48412698412698413</v>
      </c>
      <c r="L86" s="62"/>
      <c r="M86" s="124">
        <f t="shared" si="63"/>
        <v>2.7380952380952381</v>
      </c>
      <c r="N86" s="46">
        <f t="shared" si="79"/>
        <v>10.813492063492063</v>
      </c>
      <c r="O86" s="125">
        <f t="shared" si="64"/>
        <v>15</v>
      </c>
      <c r="P86" s="123">
        <f>H86/H83</f>
        <v>0.47619047619047616</v>
      </c>
      <c r="Q86" s="30"/>
      <c r="R86" s="126">
        <f t="shared" si="65"/>
        <v>2.7182539682539684</v>
      </c>
      <c r="S86" s="126">
        <f t="shared" ref="S86:S92" si="80">R86+S85</f>
        <v>10.793650793650794</v>
      </c>
      <c r="T86" s="127">
        <f t="shared" si="66"/>
        <v>15</v>
      </c>
      <c r="U86" s="46">
        <f t="shared" si="67"/>
        <v>-0.12635756056808667</v>
      </c>
      <c r="V86" s="128">
        <f t="shared" si="68"/>
        <v>-0.14619883040935555</v>
      </c>
      <c r="W86" s="180" t="s">
        <v>71</v>
      </c>
      <c r="X86" s="81">
        <f t="shared" si="60"/>
        <v>15</v>
      </c>
      <c r="Y86" s="16">
        <f t="shared" si="61"/>
        <v>0.47619047619047616</v>
      </c>
      <c r="Z86" s="17">
        <f t="shared" si="62"/>
        <v>0.48412698412698413</v>
      </c>
      <c r="AC86" s="25"/>
      <c r="AD86" s="25"/>
      <c r="AG86" s="18"/>
      <c r="AH86" s="19"/>
      <c r="AI86" s="19"/>
      <c r="AJ86" s="169">
        <f>AJ85*AK86/AK85</f>
        <v>14.875</v>
      </c>
      <c r="AK86" s="170">
        <f>AK84</f>
        <v>4.375</v>
      </c>
      <c r="AL86" s="163"/>
      <c r="AM86" s="164" t="s">
        <v>13</v>
      </c>
      <c r="AN86" s="165">
        <f>AN85/H83</f>
        <v>0.49305555555555558</v>
      </c>
      <c r="AU86" s="81"/>
    </row>
    <row r="87" spans="1:47" x14ac:dyDescent="0.3">
      <c r="A87" s="182">
        <v>1</v>
      </c>
      <c r="B87" s="70">
        <f t="shared" si="71"/>
        <v>75</v>
      </c>
      <c r="C87" s="71">
        <f t="shared" si="72"/>
        <v>15</v>
      </c>
      <c r="D87" s="68">
        <v>20</v>
      </c>
      <c r="E87" s="68">
        <f t="shared" si="73"/>
        <v>60</v>
      </c>
      <c r="F87" s="31">
        <f t="shared" si="74"/>
        <v>10</v>
      </c>
      <c r="G87" s="68">
        <f t="shared" si="75"/>
        <v>0</v>
      </c>
      <c r="H87" s="49">
        <v>50</v>
      </c>
      <c r="I87" s="72">
        <f t="shared" si="76"/>
        <v>0.16666666666666666</v>
      </c>
      <c r="J87" s="29">
        <f t="shared" si="77"/>
        <v>0.83333333333333337</v>
      </c>
      <c r="K87" s="29">
        <f t="shared" si="78"/>
        <v>0.40343915343915343</v>
      </c>
      <c r="L87" s="62"/>
      <c r="M87" s="124">
        <f t="shared" si="63"/>
        <v>2.2189153439153437</v>
      </c>
      <c r="N87" s="46">
        <f t="shared" si="79"/>
        <v>13.032407407407407</v>
      </c>
      <c r="O87" s="125">
        <f t="shared" si="64"/>
        <v>20</v>
      </c>
      <c r="P87" s="123">
        <f>H87/H83</f>
        <v>0.3968253968253968</v>
      </c>
      <c r="Q87" s="30"/>
      <c r="R87" s="126">
        <f t="shared" si="65"/>
        <v>2.1825396825396828</v>
      </c>
      <c r="S87" s="126">
        <f t="shared" si="80"/>
        <v>12.976190476190478</v>
      </c>
      <c r="T87" s="127">
        <f t="shared" si="66"/>
        <v>20</v>
      </c>
      <c r="U87" s="46">
        <f t="shared" si="67"/>
        <v>-0.20067529935951001</v>
      </c>
      <c r="V87" s="128">
        <f t="shared" si="68"/>
        <v>-0.25689223057643851</v>
      </c>
      <c r="W87" s="180" t="s">
        <v>71</v>
      </c>
      <c r="X87" s="81">
        <f t="shared" si="60"/>
        <v>20</v>
      </c>
      <c r="Y87" s="16">
        <f t="shared" si="61"/>
        <v>0.3968253968253968</v>
      </c>
      <c r="Z87" s="17">
        <f t="shared" si="62"/>
        <v>0.40343915343915343</v>
      </c>
      <c r="AC87" s="25"/>
      <c r="AD87" s="25"/>
      <c r="AG87" s="144" t="s">
        <v>14</v>
      </c>
      <c r="AH87" s="145">
        <f>Y85</f>
        <v>0.61111111111111116</v>
      </c>
      <c r="AI87" s="145">
        <f>Y86</f>
        <v>0.47619047619047616</v>
      </c>
      <c r="AJ87" s="171">
        <f>AH87-AI87</f>
        <v>0.134920634920635</v>
      </c>
      <c r="AK87" s="172">
        <f>X88-X87</f>
        <v>5</v>
      </c>
      <c r="AL87" s="146"/>
      <c r="AM87" s="32" t="s">
        <v>28</v>
      </c>
      <c r="AN87" s="166">
        <f>X85</f>
        <v>10</v>
      </c>
      <c r="AU87" s="81"/>
    </row>
    <row r="88" spans="1:47" x14ac:dyDescent="0.3">
      <c r="A88" s="182">
        <v>1</v>
      </c>
      <c r="B88" s="70">
        <f t="shared" si="71"/>
        <v>81</v>
      </c>
      <c r="C88" s="71">
        <f t="shared" si="72"/>
        <v>20</v>
      </c>
      <c r="D88" s="68">
        <v>25</v>
      </c>
      <c r="E88" s="68">
        <f t="shared" si="73"/>
        <v>50</v>
      </c>
      <c r="F88" s="31">
        <f t="shared" si="74"/>
        <v>6</v>
      </c>
      <c r="G88" s="68">
        <f t="shared" si="75"/>
        <v>0</v>
      </c>
      <c r="H88" s="49">
        <v>44</v>
      </c>
      <c r="I88" s="72">
        <f t="shared" si="76"/>
        <v>0.12</v>
      </c>
      <c r="J88" s="29">
        <f t="shared" si="77"/>
        <v>0.88</v>
      </c>
      <c r="K88" s="29">
        <f t="shared" si="78"/>
        <v>0.35502645502645502</v>
      </c>
      <c r="L88" s="62"/>
      <c r="M88" s="124">
        <f t="shared" si="63"/>
        <v>1.8961640211640214</v>
      </c>
      <c r="N88" s="46">
        <f t="shared" si="79"/>
        <v>14.928571428571427</v>
      </c>
      <c r="O88" s="125">
        <f t="shared" si="64"/>
        <v>25</v>
      </c>
      <c r="P88" s="123">
        <f>H88/H83</f>
        <v>0.34920634920634919</v>
      </c>
      <c r="Q88" s="30"/>
      <c r="R88" s="126">
        <f t="shared" si="65"/>
        <v>1.8650793650793651</v>
      </c>
      <c r="S88" s="126">
        <f t="shared" si="80"/>
        <v>14.841269841269844</v>
      </c>
      <c r="T88" s="127">
        <f t="shared" si="66"/>
        <v>25</v>
      </c>
      <c r="U88" s="46">
        <f t="shared" si="67"/>
        <v>-0.24060150375940026</v>
      </c>
      <c r="V88" s="128">
        <f t="shared" si="68"/>
        <v>-0.30910609857977889</v>
      </c>
      <c r="W88" s="180" t="s">
        <v>71</v>
      </c>
      <c r="X88" s="81">
        <f t="shared" si="60"/>
        <v>25</v>
      </c>
      <c r="Y88" s="16">
        <f t="shared" si="61"/>
        <v>0.34920634920634919</v>
      </c>
      <c r="Z88" s="17">
        <f t="shared" si="62"/>
        <v>0.35502645502645502</v>
      </c>
      <c r="AG88" s="147"/>
      <c r="AH88" s="175">
        <f>AH87</f>
        <v>0.61111111111111116</v>
      </c>
      <c r="AI88" s="175">
        <v>0.5</v>
      </c>
      <c r="AJ88" s="173">
        <f>AH88-AI88</f>
        <v>0.11111111111111116</v>
      </c>
      <c r="AK88" s="174">
        <f>AJ88*AK87/AJ87</f>
        <v>4.117647058823529</v>
      </c>
      <c r="AL88" s="148"/>
      <c r="AM88" s="149" t="s">
        <v>11</v>
      </c>
      <c r="AN88" s="150">
        <f>AN87+AK88</f>
        <v>14.117647058823529</v>
      </c>
      <c r="AU88" s="81"/>
    </row>
    <row r="89" spans="1:47" x14ac:dyDescent="0.3">
      <c r="A89" s="182">
        <v>8</v>
      </c>
      <c r="B89" s="70">
        <f t="shared" si="71"/>
        <v>82</v>
      </c>
      <c r="C89" s="71">
        <f t="shared" si="72"/>
        <v>25</v>
      </c>
      <c r="D89" s="68">
        <v>30</v>
      </c>
      <c r="E89" s="68">
        <f t="shared" si="73"/>
        <v>44</v>
      </c>
      <c r="F89" s="31">
        <f t="shared" si="74"/>
        <v>1</v>
      </c>
      <c r="G89" s="68">
        <f t="shared" si="75"/>
        <v>7</v>
      </c>
      <c r="H89" s="49">
        <v>36</v>
      </c>
      <c r="I89" s="72">
        <f t="shared" si="76"/>
        <v>2.2727272727272728E-2</v>
      </c>
      <c r="J89" s="29">
        <f t="shared" si="77"/>
        <v>0.97727272727272729</v>
      </c>
      <c r="K89" s="29">
        <f t="shared" si="78"/>
        <v>0.34695767195767196</v>
      </c>
      <c r="L89" s="62"/>
      <c r="M89" s="124">
        <f t="shared" si="63"/>
        <v>1.7549603174603172</v>
      </c>
      <c r="N89" s="46">
        <f t="shared" si="79"/>
        <v>16.683531746031743</v>
      </c>
      <c r="O89" s="125">
        <f t="shared" si="64"/>
        <v>30</v>
      </c>
      <c r="P89" s="123">
        <f>H89/H83</f>
        <v>0.2857142857142857</v>
      </c>
      <c r="Q89" s="30"/>
      <c r="R89" s="126">
        <f t="shared" si="65"/>
        <v>1.5873015873015872</v>
      </c>
      <c r="S89" s="126">
        <f t="shared" si="80"/>
        <v>16.428571428571431</v>
      </c>
      <c r="T89" s="127">
        <f t="shared" si="66"/>
        <v>30</v>
      </c>
      <c r="U89" s="46">
        <f t="shared" si="67"/>
        <v>-9.9676274018381861E-2</v>
      </c>
      <c r="V89" s="128">
        <f t="shared" si="68"/>
        <v>-0.11278195488721465</v>
      </c>
      <c r="W89" s="180" t="s">
        <v>71</v>
      </c>
      <c r="X89" s="81">
        <f t="shared" si="60"/>
        <v>30</v>
      </c>
      <c r="Y89" s="16">
        <f t="shared" si="61"/>
        <v>0.2857142857142857</v>
      </c>
      <c r="Z89" s="17">
        <f t="shared" si="62"/>
        <v>0.34695767195767196</v>
      </c>
      <c r="AG89" s="147" t="s">
        <v>15</v>
      </c>
      <c r="AH89" s="181">
        <f>H85</f>
        <v>77</v>
      </c>
      <c r="AI89" s="181">
        <f>H86</f>
        <v>60</v>
      </c>
      <c r="AJ89" s="167">
        <f>AH89-AI89</f>
        <v>17</v>
      </c>
      <c r="AK89" s="168">
        <f>AK87</f>
        <v>5</v>
      </c>
      <c r="AL89" s="148"/>
      <c r="AM89" s="149" t="s">
        <v>12</v>
      </c>
      <c r="AN89" s="151">
        <f>AH89-AJ90</f>
        <v>63</v>
      </c>
      <c r="AU89" s="81"/>
    </row>
    <row r="90" spans="1:47" x14ac:dyDescent="0.3">
      <c r="A90" s="182">
        <v>22</v>
      </c>
      <c r="B90" s="70">
        <f t="shared" si="71"/>
        <v>83</v>
      </c>
      <c r="C90" s="71">
        <f t="shared" si="72"/>
        <v>30</v>
      </c>
      <c r="D90" s="68">
        <v>35</v>
      </c>
      <c r="E90" s="68">
        <f t="shared" si="73"/>
        <v>36</v>
      </c>
      <c r="F90" s="31">
        <f t="shared" si="74"/>
        <v>1</v>
      </c>
      <c r="G90" s="68">
        <f t="shared" si="75"/>
        <v>14</v>
      </c>
      <c r="H90" s="49">
        <v>21</v>
      </c>
      <c r="I90" s="72">
        <f t="shared" si="76"/>
        <v>2.7777777777777776E-2</v>
      </c>
      <c r="J90" s="29">
        <f t="shared" si="77"/>
        <v>0.97222222222222221</v>
      </c>
      <c r="K90" s="29">
        <f t="shared" si="78"/>
        <v>0.33731995884773663</v>
      </c>
      <c r="L90" s="62"/>
      <c r="M90" s="124">
        <f t="shared" si="63"/>
        <v>1.7106940770135215</v>
      </c>
      <c r="N90" s="46">
        <f t="shared" si="79"/>
        <v>18.394225823045264</v>
      </c>
      <c r="O90" s="125">
        <f t="shared" si="64"/>
        <v>35</v>
      </c>
      <c r="P90" s="123">
        <f>H90/H83</f>
        <v>0.16666666666666666</v>
      </c>
      <c r="Q90" s="30"/>
      <c r="R90" s="126">
        <f t="shared" si="65"/>
        <v>1.1309523809523809</v>
      </c>
      <c r="S90" s="126">
        <f t="shared" si="80"/>
        <v>17.55952380952381</v>
      </c>
      <c r="T90" s="127">
        <f t="shared" si="66"/>
        <v>35</v>
      </c>
      <c r="U90" s="46">
        <f t="shared" si="67"/>
        <v>0.11227093582721892</v>
      </c>
      <c r="V90" s="128">
        <f t="shared" si="68"/>
        <v>0.19110275689223144</v>
      </c>
      <c r="W90" s="180" t="s">
        <v>71</v>
      </c>
      <c r="X90" s="81">
        <f t="shared" si="60"/>
        <v>35</v>
      </c>
      <c r="Y90" s="16">
        <f t="shared" si="61"/>
        <v>0.16666666666666666</v>
      </c>
      <c r="Z90" s="17">
        <f t="shared" si="62"/>
        <v>0.33731995884773663</v>
      </c>
      <c r="AG90" s="18"/>
      <c r="AH90" s="19"/>
      <c r="AI90" s="19"/>
      <c r="AJ90" s="169">
        <f>AJ89*AK90/AK89</f>
        <v>14</v>
      </c>
      <c r="AK90" s="170">
        <f>AK88</f>
        <v>4.117647058823529</v>
      </c>
      <c r="AL90" s="152"/>
      <c r="AM90" s="153" t="s">
        <v>13</v>
      </c>
      <c r="AN90" s="154">
        <f>AN89/H83</f>
        <v>0.5</v>
      </c>
      <c r="AU90" s="81"/>
    </row>
    <row r="91" spans="1:47" x14ac:dyDescent="0.3">
      <c r="A91" s="182">
        <v>38</v>
      </c>
      <c r="B91" s="70">
        <f t="shared" si="71"/>
        <v>84</v>
      </c>
      <c r="C91" s="71">
        <f t="shared" si="72"/>
        <v>35</v>
      </c>
      <c r="D91" s="68">
        <v>40</v>
      </c>
      <c r="E91" s="68">
        <f t="shared" si="73"/>
        <v>21</v>
      </c>
      <c r="F91" s="31">
        <f t="shared" si="74"/>
        <v>1</v>
      </c>
      <c r="G91" s="68">
        <f t="shared" si="75"/>
        <v>16</v>
      </c>
      <c r="H91" s="49">
        <v>4</v>
      </c>
      <c r="I91" s="72">
        <f t="shared" si="76"/>
        <v>4.7619047619047616E-2</v>
      </c>
      <c r="J91" s="29">
        <f t="shared" si="77"/>
        <v>0.95238095238095233</v>
      </c>
      <c r="K91" s="29">
        <f t="shared" si="78"/>
        <v>0.32125710366451105</v>
      </c>
      <c r="L91" s="62"/>
      <c r="M91" s="124">
        <f t="shared" si="63"/>
        <v>1.6464426562806191</v>
      </c>
      <c r="N91" s="46">
        <f t="shared" si="79"/>
        <v>20.040668479325884</v>
      </c>
      <c r="O91" s="125">
        <f t="shared" si="64"/>
        <v>40</v>
      </c>
      <c r="P91" s="123">
        <f>H91/H83</f>
        <v>3.1746031746031744E-2</v>
      </c>
      <c r="Q91" s="30"/>
      <c r="R91" s="126">
        <f t="shared" si="65"/>
        <v>0.49603174603174599</v>
      </c>
      <c r="S91" s="126">
        <f t="shared" si="80"/>
        <v>18.055555555555557</v>
      </c>
      <c r="T91" s="127">
        <f t="shared" si="66"/>
        <v>40</v>
      </c>
      <c r="U91" s="46">
        <f t="shared" si="67"/>
        <v>0.25996672493991824</v>
      </c>
      <c r="V91" s="128">
        <f t="shared" si="68"/>
        <v>0.23600668337510555</v>
      </c>
      <c r="W91" s="180" t="s">
        <v>71</v>
      </c>
      <c r="X91" s="81">
        <f t="shared" si="60"/>
        <v>40</v>
      </c>
      <c r="Y91" s="16">
        <f t="shared" si="61"/>
        <v>3.1746031746031744E-2</v>
      </c>
      <c r="Z91" s="17">
        <f t="shared" si="62"/>
        <v>0.32125710366451105</v>
      </c>
      <c r="AU91" s="81"/>
    </row>
    <row r="92" spans="1:47" x14ac:dyDescent="0.3">
      <c r="A92" s="70">
        <v>42</v>
      </c>
      <c r="B92" s="70">
        <f t="shared" si="71"/>
        <v>84</v>
      </c>
      <c r="C92" s="71">
        <f t="shared" si="72"/>
        <v>40</v>
      </c>
      <c r="D92" s="68">
        <v>45</v>
      </c>
      <c r="E92" s="68">
        <f t="shared" si="73"/>
        <v>4</v>
      </c>
      <c r="F92" s="31">
        <f t="shared" si="74"/>
        <v>0</v>
      </c>
      <c r="G92" s="68">
        <f t="shared" si="75"/>
        <v>4</v>
      </c>
      <c r="H92" s="49">
        <v>0</v>
      </c>
      <c r="I92" s="72">
        <f t="shared" si="76"/>
        <v>0</v>
      </c>
      <c r="J92" s="29">
        <f t="shared" si="77"/>
        <v>1</v>
      </c>
      <c r="K92" s="29">
        <f t="shared" si="78"/>
        <v>0.32125710366451105</v>
      </c>
      <c r="L92" s="62"/>
      <c r="M92" s="124">
        <f t="shared" si="63"/>
        <v>1.6062855183225553</v>
      </c>
      <c r="N92" s="46">
        <f t="shared" si="79"/>
        <v>21.646953997648438</v>
      </c>
      <c r="O92" s="125">
        <f t="shared" si="64"/>
        <v>45</v>
      </c>
      <c r="P92" s="123">
        <f>H92/H83</f>
        <v>0</v>
      </c>
      <c r="Q92" s="30"/>
      <c r="R92" s="126">
        <f t="shared" si="65"/>
        <v>7.9365079365079361E-2</v>
      </c>
      <c r="S92" s="126">
        <f t="shared" si="80"/>
        <v>18.134920634920636</v>
      </c>
      <c r="T92" s="127">
        <f t="shared" si="66"/>
        <v>45</v>
      </c>
      <c r="U92" s="46">
        <f t="shared" si="67"/>
        <v>0.4507690909372144</v>
      </c>
      <c r="V92" s="128">
        <f t="shared" si="68"/>
        <v>0.12740183792815429</v>
      </c>
      <c r="W92" s="180" t="s">
        <v>71</v>
      </c>
      <c r="X92" s="81">
        <f t="shared" si="60"/>
        <v>45</v>
      </c>
      <c r="Y92" s="16">
        <f t="shared" si="61"/>
        <v>0</v>
      </c>
      <c r="Z92" s="17">
        <f t="shared" si="62"/>
        <v>0.32125710366451105</v>
      </c>
      <c r="AU92" s="81"/>
    </row>
    <row r="93" spans="1:47" x14ac:dyDescent="0.25">
      <c r="D93" s="82"/>
      <c r="I93" s="75"/>
      <c r="J93" s="75"/>
      <c r="K93" s="75"/>
      <c r="L93" s="75"/>
      <c r="M93" s="75"/>
      <c r="N93" s="75"/>
      <c r="O93" s="75"/>
      <c r="Q93" s="30"/>
      <c r="R93" s="30"/>
      <c r="S93" s="58"/>
      <c r="T93" s="75"/>
      <c r="U93" s="75"/>
      <c r="V93" s="75"/>
      <c r="W93" s="75"/>
      <c r="X93" s="75"/>
      <c r="Y93" s="75"/>
      <c r="AC93" s="25"/>
      <c r="AD93" s="25"/>
    </row>
    <row r="94" spans="1:47" ht="13" customHeight="1" x14ac:dyDescent="0.25">
      <c r="D94" s="82"/>
      <c r="E94" s="55" t="s">
        <v>0</v>
      </c>
      <c r="F94" s="56">
        <f>SUM(F84:F92)</f>
        <v>84</v>
      </c>
      <c r="G94" s="56">
        <f>SUM(G84:G92)</f>
        <v>42</v>
      </c>
      <c r="H94" s="140">
        <f>H83-F94-G94</f>
        <v>0</v>
      </c>
      <c r="I94" s="75"/>
      <c r="J94" s="75"/>
      <c r="K94" s="75"/>
      <c r="L94" s="75"/>
      <c r="M94" s="75"/>
      <c r="N94" s="75"/>
      <c r="O94" s="75"/>
      <c r="P94" s="261" t="s">
        <v>67</v>
      </c>
      <c r="Q94" s="262"/>
      <c r="R94" s="262"/>
      <c r="S94" s="263"/>
      <c r="T94" s="75"/>
      <c r="U94" s="75"/>
      <c r="V94" s="75"/>
      <c r="W94" s="75"/>
      <c r="X94" s="75"/>
      <c r="Y94" s="75"/>
      <c r="AC94" s="25"/>
      <c r="AD94" s="25"/>
    </row>
    <row r="95" spans="1:47" x14ac:dyDescent="0.25">
      <c r="D95" s="82"/>
      <c r="F95" s="11">
        <f>F94/E83</f>
        <v>0.66666666666666663</v>
      </c>
      <c r="G95" s="12">
        <f>G94/E83</f>
        <v>0.33333333333333331</v>
      </c>
      <c r="H95" s="13">
        <f>H94/E83</f>
        <v>0</v>
      </c>
      <c r="I95" s="75"/>
      <c r="J95" s="75"/>
      <c r="K95" s="75"/>
      <c r="L95" s="75"/>
      <c r="M95" s="75"/>
      <c r="N95" s="75"/>
      <c r="O95" s="75"/>
      <c r="P95" s="264"/>
      <c r="Q95" s="265"/>
      <c r="R95" s="265"/>
      <c r="S95" s="266"/>
      <c r="T95" s="75"/>
      <c r="U95" s="75"/>
      <c r="V95" s="75"/>
      <c r="W95" s="75"/>
      <c r="X95" s="75"/>
      <c r="Y95" s="75"/>
      <c r="AC95" s="25"/>
      <c r="AD95" s="25"/>
    </row>
    <row r="96" spans="1:47" x14ac:dyDescent="0.25">
      <c r="A96" s="62"/>
      <c r="B96" s="62"/>
      <c r="C96" s="62"/>
      <c r="D96" s="82"/>
      <c r="F96" s="142" t="s">
        <v>68</v>
      </c>
      <c r="G96" s="143" t="s">
        <v>69</v>
      </c>
      <c r="H96" s="141" t="s">
        <v>70</v>
      </c>
      <c r="I96" s="75"/>
      <c r="J96" s="75"/>
      <c r="K96" s="75"/>
      <c r="L96" s="75"/>
      <c r="M96" s="75"/>
      <c r="N96" s="75"/>
      <c r="O96" s="75"/>
      <c r="P96" s="267"/>
      <c r="Q96" s="268"/>
      <c r="R96" s="268"/>
      <c r="S96" s="269"/>
      <c r="T96" s="75"/>
      <c r="U96" s="75"/>
      <c r="V96" s="75"/>
      <c r="W96" s="75"/>
      <c r="X96" s="75"/>
      <c r="Y96" s="75"/>
      <c r="Z96" s="130"/>
      <c r="AC96" s="25"/>
      <c r="AD96" s="25"/>
    </row>
    <row r="97" spans="1:44" x14ac:dyDescent="0.25">
      <c r="D97" s="131"/>
      <c r="E97" s="62"/>
      <c r="F97" s="8"/>
      <c r="G97" s="8"/>
      <c r="H97" s="62"/>
      <c r="I97" s="118"/>
      <c r="J97" s="118"/>
      <c r="K97" s="118"/>
      <c r="L97" s="118"/>
      <c r="M97" s="118"/>
      <c r="N97" s="118"/>
      <c r="O97" s="118"/>
      <c r="Q97" s="30"/>
      <c r="R97" s="118"/>
      <c r="S97" s="130"/>
      <c r="T97" s="130"/>
      <c r="U97" s="130"/>
      <c r="V97" s="130"/>
      <c r="W97" s="130"/>
      <c r="X97" s="130"/>
      <c r="Y97" s="130"/>
      <c r="Z97" s="130"/>
      <c r="AC97" s="25"/>
      <c r="AD97" s="25"/>
    </row>
    <row r="98" spans="1:44" ht="9.5" customHeight="1" x14ac:dyDescent="0.25">
      <c r="D98" s="131"/>
      <c r="E98" s="62"/>
      <c r="F98" s="8"/>
      <c r="G98" s="8"/>
      <c r="H98" s="62"/>
      <c r="I98" s="118"/>
      <c r="J98" s="118"/>
      <c r="K98" s="118"/>
      <c r="L98" s="118"/>
      <c r="M98" s="118"/>
      <c r="N98" s="118"/>
      <c r="O98" s="118"/>
      <c r="Q98" s="30"/>
      <c r="R98" s="118"/>
      <c r="S98" s="130"/>
      <c r="T98" s="130"/>
      <c r="U98" s="130"/>
      <c r="V98" s="130"/>
      <c r="W98" s="130"/>
      <c r="X98" s="130"/>
      <c r="Y98" s="130"/>
      <c r="Z98" s="130"/>
      <c r="AC98" s="25"/>
      <c r="AD98" s="25"/>
    </row>
    <row r="99" spans="1:44" ht="35" customHeight="1" x14ac:dyDescent="0.25">
      <c r="A99" s="30" t="s">
        <v>103</v>
      </c>
      <c r="E99" s="63"/>
      <c r="F99" s="64"/>
      <c r="H99" s="10"/>
      <c r="J99" s="237" t="s">
        <v>32</v>
      </c>
      <c r="K99" s="238"/>
      <c r="M99" s="246" t="s">
        <v>56</v>
      </c>
      <c r="N99" s="247"/>
      <c r="O99" s="30"/>
      <c r="P99" s="190" t="s">
        <v>84</v>
      </c>
      <c r="Q99" s="30"/>
      <c r="R99" s="248" t="s">
        <v>50</v>
      </c>
      <c r="S99" s="249"/>
      <c r="T99" s="59"/>
      <c r="U99" s="59"/>
      <c r="V99" s="59"/>
      <c r="W99" s="59"/>
      <c r="X99" s="130"/>
      <c r="Y99" s="119" t="s">
        <v>17</v>
      </c>
      <c r="Z99" s="120" t="s">
        <v>18</v>
      </c>
    </row>
    <row r="100" spans="1:44" ht="71.5" customHeight="1" x14ac:dyDescent="0.25">
      <c r="A100" s="39" t="s">
        <v>22</v>
      </c>
      <c r="B100" s="4" t="s">
        <v>23</v>
      </c>
      <c r="C100" s="1" t="s">
        <v>21</v>
      </c>
      <c r="D100" s="40" t="s">
        <v>24</v>
      </c>
      <c r="E100" s="1" t="s">
        <v>30</v>
      </c>
      <c r="F100" s="2" t="s">
        <v>25</v>
      </c>
      <c r="G100" s="2" t="s">
        <v>26</v>
      </c>
      <c r="H100" s="27" t="s">
        <v>72</v>
      </c>
      <c r="I100" s="2" t="s">
        <v>27</v>
      </c>
      <c r="J100" s="35" t="s">
        <v>33</v>
      </c>
      <c r="K100" s="41" t="s">
        <v>34</v>
      </c>
      <c r="M100" s="42" t="s">
        <v>58</v>
      </c>
      <c r="N100" s="42" t="s">
        <v>57</v>
      </c>
      <c r="O100" s="208" t="s">
        <v>9</v>
      </c>
      <c r="P100" s="53" t="s">
        <v>60</v>
      </c>
      <c r="Q100" s="30"/>
      <c r="R100" s="53" t="s">
        <v>52</v>
      </c>
      <c r="S100" s="53" t="s">
        <v>51</v>
      </c>
      <c r="T100" s="59"/>
      <c r="U100" s="59"/>
      <c r="V100" s="59"/>
      <c r="W100" s="59"/>
      <c r="X100" s="15" t="s">
        <v>9</v>
      </c>
      <c r="Y100" s="44" t="s">
        <v>79</v>
      </c>
      <c r="Z100" s="45" t="s">
        <v>80</v>
      </c>
      <c r="AG100" s="258" t="s">
        <v>55</v>
      </c>
      <c r="AH100" s="259"/>
      <c r="AI100" s="259"/>
      <c r="AJ100" s="259"/>
      <c r="AK100" s="259"/>
      <c r="AL100" s="259"/>
      <c r="AM100" s="259"/>
      <c r="AN100" s="260"/>
      <c r="AQ100" s="176" t="s">
        <v>77</v>
      </c>
      <c r="AR100" s="177" t="s">
        <v>78</v>
      </c>
    </row>
    <row r="101" spans="1:44" x14ac:dyDescent="0.25">
      <c r="A101" s="67">
        <v>0</v>
      </c>
      <c r="B101" s="67">
        <v>0</v>
      </c>
      <c r="C101" s="62"/>
      <c r="D101" s="68">
        <v>0</v>
      </c>
      <c r="E101" s="31">
        <f>H101</f>
        <v>133</v>
      </c>
      <c r="F101" s="3">
        <v>0</v>
      </c>
      <c r="G101" s="3">
        <v>0</v>
      </c>
      <c r="H101" s="49">
        <v>133</v>
      </c>
      <c r="I101" s="69">
        <f>F101/E101</f>
        <v>0</v>
      </c>
      <c r="J101" s="29">
        <f>1-I101</f>
        <v>1</v>
      </c>
      <c r="K101" s="29">
        <f>J101</f>
        <v>1</v>
      </c>
      <c r="L101" s="62"/>
      <c r="M101" s="121"/>
      <c r="N101" s="122"/>
      <c r="P101" s="123">
        <f>H101/H101</f>
        <v>1</v>
      </c>
      <c r="Q101" s="30"/>
      <c r="S101" s="59"/>
      <c r="T101" s="59"/>
      <c r="U101" s="59"/>
      <c r="V101" s="59"/>
      <c r="W101" s="59"/>
      <c r="X101" s="81">
        <f t="shared" ref="X101:X110" si="81">D101</f>
        <v>0</v>
      </c>
      <c r="Y101" s="28">
        <f t="shared" ref="Y101:Y110" si="82">P101</f>
        <v>1</v>
      </c>
      <c r="Z101" s="139">
        <f t="shared" ref="Z101:Z110" si="83">K101</f>
        <v>1</v>
      </c>
      <c r="AG101" s="155" t="s">
        <v>14</v>
      </c>
      <c r="AH101" s="156">
        <f>Z103</f>
        <v>0.63909774436090228</v>
      </c>
      <c r="AI101" s="156">
        <f>Z104</f>
        <v>0.48872180451127817</v>
      </c>
      <c r="AJ101" s="171">
        <f>AH101-AI101</f>
        <v>0.15037593984962411</v>
      </c>
      <c r="AK101" s="172">
        <f>X102-X101</f>
        <v>5</v>
      </c>
      <c r="AL101" s="157"/>
      <c r="AM101" s="32" t="s">
        <v>28</v>
      </c>
      <c r="AN101" s="166">
        <f>X103</f>
        <v>10</v>
      </c>
      <c r="AP101" s="14" t="s">
        <v>29</v>
      </c>
      <c r="AQ101" s="46">
        <f>AN102</f>
        <v>14.625</v>
      </c>
      <c r="AR101" s="47">
        <f>AN106</f>
        <v>14.625</v>
      </c>
    </row>
    <row r="102" spans="1:44" x14ac:dyDescent="0.25">
      <c r="A102" s="70">
        <v>0</v>
      </c>
      <c r="B102" s="70">
        <f>B101+F102</f>
        <v>26</v>
      </c>
      <c r="C102" s="71">
        <f>D101</f>
        <v>0</v>
      </c>
      <c r="D102" s="68">
        <v>5</v>
      </c>
      <c r="E102" s="68">
        <f>H101</f>
        <v>133</v>
      </c>
      <c r="F102" s="31">
        <f>E102-H102-G102</f>
        <v>26</v>
      </c>
      <c r="G102" s="68">
        <f>A102-A101</f>
        <v>0</v>
      </c>
      <c r="H102" s="49">
        <v>107</v>
      </c>
      <c r="I102" s="72">
        <f>F102/E102</f>
        <v>0.19548872180451127</v>
      </c>
      <c r="J102" s="29">
        <f>1-I102</f>
        <v>0.80451127819548873</v>
      </c>
      <c r="K102" s="29">
        <f>J102*K101</f>
        <v>0.80451127819548873</v>
      </c>
      <c r="L102" s="62"/>
      <c r="M102" s="124">
        <f t="shared" ref="M102:M110" si="84">AVERAGE(K101:K102)*(D102-D101)</f>
        <v>4.5112781954887211</v>
      </c>
      <c r="N102" s="46">
        <f>M102</f>
        <v>4.5112781954887211</v>
      </c>
      <c r="O102" s="125">
        <f t="shared" ref="O102:O110" si="85">D102</f>
        <v>5</v>
      </c>
      <c r="P102" s="123">
        <f>H102/H101</f>
        <v>0.80451127819548873</v>
      </c>
      <c r="Q102" s="30"/>
      <c r="R102" s="126">
        <f t="shared" ref="R102:R110" si="86">AVERAGE(P101:P102)*(D102-D101)</f>
        <v>4.5112781954887211</v>
      </c>
      <c r="S102" s="126">
        <f>R102</f>
        <v>4.5112781954887211</v>
      </c>
      <c r="T102" s="59"/>
      <c r="U102" s="59"/>
      <c r="V102" s="59"/>
      <c r="W102" s="59"/>
      <c r="X102" s="81">
        <f t="shared" si="81"/>
        <v>5</v>
      </c>
      <c r="Y102" s="28">
        <f t="shared" si="82"/>
        <v>0.80451127819548873</v>
      </c>
      <c r="Z102" s="139">
        <f t="shared" si="83"/>
        <v>0.80451127819548873</v>
      </c>
      <c r="AG102" s="158"/>
      <c r="AH102" s="175">
        <f>AH101</f>
        <v>0.63909774436090228</v>
      </c>
      <c r="AI102" s="175">
        <v>0.5</v>
      </c>
      <c r="AJ102" s="173">
        <f>AH102-AI102</f>
        <v>0.13909774436090228</v>
      </c>
      <c r="AK102" s="174">
        <f>AJ102*AK101/AJ101</f>
        <v>4.6249999999999991</v>
      </c>
      <c r="AL102" s="159"/>
      <c r="AM102" s="160" t="s">
        <v>11</v>
      </c>
      <c r="AN102" s="161">
        <f>AN101+AK102</f>
        <v>14.625</v>
      </c>
      <c r="AP102" s="14" t="s">
        <v>12</v>
      </c>
      <c r="AQ102" s="48">
        <f t="shared" ref="AQ102:AQ103" si="87">AN103</f>
        <v>66.5</v>
      </c>
      <c r="AR102" s="49">
        <f t="shared" ref="AR102:AR103" si="88">AN107</f>
        <v>66.5</v>
      </c>
    </row>
    <row r="103" spans="1:44" x14ac:dyDescent="0.25">
      <c r="A103" s="67">
        <v>0</v>
      </c>
      <c r="B103" s="70">
        <f t="shared" ref="B103:B110" si="89">B102+F103</f>
        <v>48</v>
      </c>
      <c r="C103" s="71">
        <f t="shared" ref="C103:C110" si="90">D102</f>
        <v>5</v>
      </c>
      <c r="D103" s="68">
        <v>10</v>
      </c>
      <c r="E103" s="68">
        <f t="shared" ref="E103:E110" si="91">H102</f>
        <v>107</v>
      </c>
      <c r="F103" s="31">
        <f t="shared" ref="F103:F110" si="92">E103-H103-G103</f>
        <v>22</v>
      </c>
      <c r="G103" s="68">
        <f t="shared" ref="G103:G110" si="93">A103-A102</f>
        <v>0</v>
      </c>
      <c r="H103" s="49">
        <v>85</v>
      </c>
      <c r="I103" s="72">
        <f t="shared" ref="I103:I110" si="94">F103/E103</f>
        <v>0.20560747663551401</v>
      </c>
      <c r="J103" s="29">
        <f t="shared" ref="J103:J110" si="95">1-I103</f>
        <v>0.79439252336448596</v>
      </c>
      <c r="K103" s="29">
        <f t="shared" ref="K103:K110" si="96">J103*K102</f>
        <v>0.63909774436090228</v>
      </c>
      <c r="L103" s="62"/>
      <c r="M103" s="124">
        <f t="shared" si="84"/>
        <v>3.6090225563909772</v>
      </c>
      <c r="N103" s="46">
        <f t="shared" ref="N103:N110" si="97">M103+N102</f>
        <v>8.1203007518796984</v>
      </c>
      <c r="O103" s="125">
        <f t="shared" si="85"/>
        <v>10</v>
      </c>
      <c r="P103" s="123">
        <f>H103/H101</f>
        <v>0.63909774436090228</v>
      </c>
      <c r="Q103" s="30"/>
      <c r="R103" s="126">
        <f t="shared" si="86"/>
        <v>3.6090225563909772</v>
      </c>
      <c r="S103" s="126">
        <f>R103+S102</f>
        <v>8.1203007518796984</v>
      </c>
      <c r="T103" s="59"/>
      <c r="U103" s="59"/>
      <c r="V103" s="59"/>
      <c r="W103" s="59"/>
      <c r="X103" s="81">
        <f t="shared" si="81"/>
        <v>10</v>
      </c>
      <c r="Y103" s="28">
        <f t="shared" si="82"/>
        <v>0.63909774436090228</v>
      </c>
      <c r="Z103" s="139">
        <f t="shared" si="83"/>
        <v>0.63909774436090228</v>
      </c>
      <c r="AG103" s="147" t="s">
        <v>15</v>
      </c>
      <c r="AH103" s="181">
        <f>H103</f>
        <v>85</v>
      </c>
      <c r="AI103" s="181">
        <f>H104</f>
        <v>65</v>
      </c>
      <c r="AJ103" s="167">
        <f>AH103-AI103</f>
        <v>20</v>
      </c>
      <c r="AK103" s="168">
        <f>AK101</f>
        <v>5</v>
      </c>
      <c r="AL103" s="159"/>
      <c r="AM103" s="160" t="s">
        <v>12</v>
      </c>
      <c r="AN103" s="162">
        <f>AH103-AJ104</f>
        <v>66.5</v>
      </c>
      <c r="AP103" s="14" t="s">
        <v>13</v>
      </c>
      <c r="AQ103" s="50">
        <f t="shared" si="87"/>
        <v>0.5</v>
      </c>
      <c r="AR103" s="51">
        <f t="shared" si="88"/>
        <v>0.5</v>
      </c>
    </row>
    <row r="104" spans="1:44" x14ac:dyDescent="0.25">
      <c r="A104" s="70">
        <v>0</v>
      </c>
      <c r="B104" s="70">
        <f t="shared" si="89"/>
        <v>68</v>
      </c>
      <c r="C104" s="71">
        <f t="shared" si="90"/>
        <v>10</v>
      </c>
      <c r="D104" s="68">
        <v>15</v>
      </c>
      <c r="E104" s="68">
        <f t="shared" si="91"/>
        <v>85</v>
      </c>
      <c r="F104" s="31">
        <f t="shared" si="92"/>
        <v>20</v>
      </c>
      <c r="G104" s="68">
        <f t="shared" si="93"/>
        <v>0</v>
      </c>
      <c r="H104" s="49">
        <v>65</v>
      </c>
      <c r="I104" s="72">
        <f t="shared" si="94"/>
        <v>0.23529411764705882</v>
      </c>
      <c r="J104" s="29">
        <f t="shared" si="95"/>
        <v>0.76470588235294112</v>
      </c>
      <c r="K104" s="29">
        <f t="shared" si="96"/>
        <v>0.48872180451127817</v>
      </c>
      <c r="L104" s="62"/>
      <c r="M104" s="124">
        <f t="shared" si="84"/>
        <v>2.8195488721804511</v>
      </c>
      <c r="N104" s="46">
        <f t="shared" si="97"/>
        <v>10.93984962406015</v>
      </c>
      <c r="O104" s="125">
        <f t="shared" si="85"/>
        <v>15</v>
      </c>
      <c r="P104" s="123">
        <f>H104/H101</f>
        <v>0.48872180451127817</v>
      </c>
      <c r="Q104" s="30"/>
      <c r="R104" s="126">
        <f t="shared" si="86"/>
        <v>2.8195488721804511</v>
      </c>
      <c r="S104" s="126">
        <f t="shared" ref="S104:S110" si="98">R104+S103</f>
        <v>10.93984962406015</v>
      </c>
      <c r="T104" s="59"/>
      <c r="U104" s="59"/>
      <c r="V104" s="59"/>
      <c r="W104" s="59"/>
      <c r="X104" s="81">
        <f t="shared" si="81"/>
        <v>15</v>
      </c>
      <c r="Y104" s="28">
        <f t="shared" si="82"/>
        <v>0.48872180451127817</v>
      </c>
      <c r="Z104" s="139">
        <f t="shared" si="83"/>
        <v>0.48872180451127817</v>
      </c>
      <c r="AG104" s="18"/>
      <c r="AH104" s="19"/>
      <c r="AI104" s="19"/>
      <c r="AJ104" s="169">
        <f>AJ103*AK104/AK103</f>
        <v>18.499999999999996</v>
      </c>
      <c r="AK104" s="170">
        <f>AK102</f>
        <v>4.6249999999999991</v>
      </c>
      <c r="AL104" s="163"/>
      <c r="AM104" s="164" t="s">
        <v>13</v>
      </c>
      <c r="AN104" s="165">
        <f>AN103/H101</f>
        <v>0.5</v>
      </c>
    </row>
    <row r="105" spans="1:44" x14ac:dyDescent="0.25">
      <c r="A105" s="67">
        <v>0</v>
      </c>
      <c r="B105" s="70">
        <f t="shared" si="89"/>
        <v>76</v>
      </c>
      <c r="C105" s="71">
        <f t="shared" si="90"/>
        <v>15</v>
      </c>
      <c r="D105" s="68">
        <v>20</v>
      </c>
      <c r="E105" s="68">
        <f t="shared" si="91"/>
        <v>65</v>
      </c>
      <c r="F105" s="31">
        <f t="shared" si="92"/>
        <v>8</v>
      </c>
      <c r="G105" s="68">
        <f t="shared" si="93"/>
        <v>0</v>
      </c>
      <c r="H105" s="49">
        <v>57</v>
      </c>
      <c r="I105" s="72">
        <f t="shared" si="94"/>
        <v>0.12307692307692308</v>
      </c>
      <c r="J105" s="29">
        <f t="shared" si="95"/>
        <v>0.87692307692307692</v>
      </c>
      <c r="K105" s="29">
        <f t="shared" si="96"/>
        <v>0.42857142857142855</v>
      </c>
      <c r="L105" s="62"/>
      <c r="M105" s="124">
        <f t="shared" si="84"/>
        <v>2.2932330827067666</v>
      </c>
      <c r="N105" s="46">
        <f t="shared" si="97"/>
        <v>13.233082706766917</v>
      </c>
      <c r="O105" s="125">
        <f t="shared" si="85"/>
        <v>20</v>
      </c>
      <c r="P105" s="123">
        <f>H105/H101</f>
        <v>0.42857142857142855</v>
      </c>
      <c r="Q105" s="30"/>
      <c r="R105" s="126">
        <f t="shared" si="86"/>
        <v>2.2932330827067666</v>
      </c>
      <c r="S105" s="126">
        <f t="shared" si="98"/>
        <v>13.233082706766917</v>
      </c>
      <c r="T105" s="59"/>
      <c r="U105" s="59"/>
      <c r="V105" s="59"/>
      <c r="W105" s="59"/>
      <c r="X105" s="81">
        <f t="shared" si="81"/>
        <v>20</v>
      </c>
      <c r="Y105" s="28">
        <f t="shared" si="82"/>
        <v>0.42857142857142855</v>
      </c>
      <c r="Z105" s="139">
        <f t="shared" si="83"/>
        <v>0.42857142857142855</v>
      </c>
      <c r="AG105" s="144" t="s">
        <v>14</v>
      </c>
      <c r="AH105" s="145">
        <f>Y103</f>
        <v>0.63909774436090228</v>
      </c>
      <c r="AI105" s="145">
        <f>Y104</f>
        <v>0.48872180451127817</v>
      </c>
      <c r="AJ105" s="171">
        <f>AH105-AI105</f>
        <v>0.15037593984962411</v>
      </c>
      <c r="AK105" s="172">
        <f>X106-X105</f>
        <v>5</v>
      </c>
      <c r="AL105" s="146"/>
      <c r="AM105" s="32" t="s">
        <v>28</v>
      </c>
      <c r="AN105" s="166">
        <f>X103</f>
        <v>10</v>
      </c>
    </row>
    <row r="106" spans="1:44" x14ac:dyDescent="0.25">
      <c r="A106" s="70">
        <v>1</v>
      </c>
      <c r="B106" s="70">
        <f t="shared" si="89"/>
        <v>87</v>
      </c>
      <c r="C106" s="71">
        <f t="shared" si="90"/>
        <v>20</v>
      </c>
      <c r="D106" s="68">
        <v>25</v>
      </c>
      <c r="E106" s="68">
        <f t="shared" si="91"/>
        <v>57</v>
      </c>
      <c r="F106" s="31">
        <f t="shared" si="92"/>
        <v>11</v>
      </c>
      <c r="G106" s="68">
        <f t="shared" si="93"/>
        <v>1</v>
      </c>
      <c r="H106" s="49">
        <v>45</v>
      </c>
      <c r="I106" s="72">
        <f t="shared" si="94"/>
        <v>0.19298245614035087</v>
      </c>
      <c r="J106" s="29">
        <f t="shared" si="95"/>
        <v>0.80701754385964919</v>
      </c>
      <c r="K106" s="29">
        <f t="shared" si="96"/>
        <v>0.34586466165413537</v>
      </c>
      <c r="L106" s="62"/>
      <c r="M106" s="124">
        <f t="shared" si="84"/>
        <v>1.9360902255639099</v>
      </c>
      <c r="N106" s="46">
        <f t="shared" si="97"/>
        <v>15.169172932330827</v>
      </c>
      <c r="O106" s="125">
        <f t="shared" si="85"/>
        <v>25</v>
      </c>
      <c r="P106" s="123">
        <f>H106/H101</f>
        <v>0.33834586466165412</v>
      </c>
      <c r="Q106" s="30"/>
      <c r="R106" s="126">
        <f t="shared" si="86"/>
        <v>1.9172932330827066</v>
      </c>
      <c r="S106" s="126">
        <f t="shared" si="98"/>
        <v>15.150375939849622</v>
      </c>
      <c r="T106" s="59"/>
      <c r="U106" s="59"/>
      <c r="V106" s="59"/>
      <c r="W106" s="59"/>
      <c r="X106" s="81">
        <f t="shared" si="81"/>
        <v>25</v>
      </c>
      <c r="Y106" s="28">
        <f t="shared" si="82"/>
        <v>0.33834586466165412</v>
      </c>
      <c r="Z106" s="139">
        <f t="shared" si="83"/>
        <v>0.34586466165413537</v>
      </c>
      <c r="AG106" s="147"/>
      <c r="AH106" s="175">
        <f>AH105</f>
        <v>0.63909774436090228</v>
      </c>
      <c r="AI106" s="175">
        <v>0.5</v>
      </c>
      <c r="AJ106" s="173">
        <f>AH106-AI106</f>
        <v>0.13909774436090228</v>
      </c>
      <c r="AK106" s="174">
        <f>AJ106*AK105/AJ105</f>
        <v>4.6249999999999991</v>
      </c>
      <c r="AL106" s="148"/>
      <c r="AM106" s="149" t="s">
        <v>11</v>
      </c>
      <c r="AN106" s="150">
        <f>AN105+AK106</f>
        <v>14.625</v>
      </c>
    </row>
    <row r="107" spans="1:44" x14ac:dyDescent="0.25">
      <c r="A107" s="67">
        <v>11</v>
      </c>
      <c r="B107" s="70">
        <f t="shared" si="89"/>
        <v>93</v>
      </c>
      <c r="C107" s="71">
        <f t="shared" si="90"/>
        <v>25</v>
      </c>
      <c r="D107" s="68">
        <v>30</v>
      </c>
      <c r="E107" s="68">
        <f t="shared" si="91"/>
        <v>45</v>
      </c>
      <c r="F107" s="31">
        <f t="shared" si="92"/>
        <v>6</v>
      </c>
      <c r="G107" s="68">
        <f t="shared" si="93"/>
        <v>10</v>
      </c>
      <c r="H107" s="49">
        <v>29</v>
      </c>
      <c r="I107" s="72">
        <f t="shared" si="94"/>
        <v>0.13333333333333333</v>
      </c>
      <c r="J107" s="29">
        <f t="shared" si="95"/>
        <v>0.8666666666666667</v>
      </c>
      <c r="K107" s="29">
        <f t="shared" si="96"/>
        <v>0.29974937343358399</v>
      </c>
      <c r="L107" s="62"/>
      <c r="M107" s="124">
        <f t="shared" si="84"/>
        <v>1.6140350877192984</v>
      </c>
      <c r="N107" s="46">
        <f t="shared" si="97"/>
        <v>16.783208020050125</v>
      </c>
      <c r="O107" s="125">
        <f t="shared" si="85"/>
        <v>30</v>
      </c>
      <c r="P107" s="123">
        <f>H107/H101</f>
        <v>0.21804511278195488</v>
      </c>
      <c r="Q107" s="30"/>
      <c r="R107" s="126">
        <f t="shared" si="86"/>
        <v>1.3909774436090225</v>
      </c>
      <c r="S107" s="126">
        <f t="shared" si="98"/>
        <v>16.541353383458645</v>
      </c>
      <c r="T107" s="59"/>
      <c r="U107" s="59"/>
      <c r="V107" s="59"/>
      <c r="W107" s="59"/>
      <c r="X107" s="81">
        <f t="shared" si="81"/>
        <v>30</v>
      </c>
      <c r="Y107" s="28">
        <f t="shared" si="82"/>
        <v>0.21804511278195488</v>
      </c>
      <c r="Z107" s="139">
        <f t="shared" si="83"/>
        <v>0.29974937343358399</v>
      </c>
      <c r="AG107" s="147" t="s">
        <v>15</v>
      </c>
      <c r="AH107" s="181">
        <f>H103</f>
        <v>85</v>
      </c>
      <c r="AI107" s="181">
        <f>H104</f>
        <v>65</v>
      </c>
      <c r="AJ107" s="167">
        <f>AH107-AI107</f>
        <v>20</v>
      </c>
      <c r="AK107" s="168">
        <f>AK105</f>
        <v>5</v>
      </c>
      <c r="AL107" s="148"/>
      <c r="AM107" s="149" t="s">
        <v>12</v>
      </c>
      <c r="AN107" s="151">
        <f>AH107-AJ108</f>
        <v>66.5</v>
      </c>
    </row>
    <row r="108" spans="1:44" x14ac:dyDescent="0.25">
      <c r="A108" s="70">
        <v>25</v>
      </c>
      <c r="B108" s="70">
        <f t="shared" si="89"/>
        <v>93</v>
      </c>
      <c r="C108" s="71">
        <f t="shared" si="90"/>
        <v>30</v>
      </c>
      <c r="D108" s="68">
        <v>35</v>
      </c>
      <c r="E108" s="68">
        <f t="shared" si="91"/>
        <v>29</v>
      </c>
      <c r="F108" s="31">
        <f t="shared" si="92"/>
        <v>0</v>
      </c>
      <c r="G108" s="68">
        <f t="shared" si="93"/>
        <v>14</v>
      </c>
      <c r="H108" s="49">
        <v>15</v>
      </c>
      <c r="I108" s="72">
        <f t="shared" si="94"/>
        <v>0</v>
      </c>
      <c r="J108" s="29">
        <f t="shared" si="95"/>
        <v>1</v>
      </c>
      <c r="K108" s="29">
        <f t="shared" si="96"/>
        <v>0.29974937343358399</v>
      </c>
      <c r="L108" s="62"/>
      <c r="M108" s="124">
        <f t="shared" si="84"/>
        <v>1.4987468671679198</v>
      </c>
      <c r="N108" s="46">
        <f t="shared" si="97"/>
        <v>18.281954887218046</v>
      </c>
      <c r="O108" s="125">
        <f t="shared" si="85"/>
        <v>35</v>
      </c>
      <c r="P108" s="123">
        <f>H108/H101</f>
        <v>0.11278195488721804</v>
      </c>
      <c r="Q108" s="30"/>
      <c r="R108" s="126">
        <f t="shared" si="86"/>
        <v>0.82706766917293228</v>
      </c>
      <c r="S108" s="126">
        <f t="shared" si="98"/>
        <v>17.368421052631579</v>
      </c>
      <c r="T108" s="59"/>
      <c r="U108" s="59"/>
      <c r="V108" s="59"/>
      <c r="W108" s="59"/>
      <c r="X108" s="81">
        <f t="shared" si="81"/>
        <v>35</v>
      </c>
      <c r="Y108" s="28">
        <f t="shared" si="82"/>
        <v>0.11278195488721804</v>
      </c>
      <c r="Z108" s="139">
        <f t="shared" si="83"/>
        <v>0.29974937343358399</v>
      </c>
      <c r="AG108" s="18"/>
      <c r="AH108" s="19"/>
      <c r="AI108" s="19"/>
      <c r="AJ108" s="169">
        <f>AJ107*AK108/AK107</f>
        <v>18.499999999999996</v>
      </c>
      <c r="AK108" s="170">
        <f>AK106</f>
        <v>4.6249999999999991</v>
      </c>
      <c r="AL108" s="152"/>
      <c r="AM108" s="153" t="s">
        <v>13</v>
      </c>
      <c r="AN108" s="154">
        <f>AN107/H101</f>
        <v>0.5</v>
      </c>
    </row>
    <row r="109" spans="1:44" x14ac:dyDescent="0.25">
      <c r="A109" s="67">
        <v>31</v>
      </c>
      <c r="B109" s="70">
        <f t="shared" si="89"/>
        <v>93</v>
      </c>
      <c r="C109" s="71">
        <f t="shared" si="90"/>
        <v>35</v>
      </c>
      <c r="D109" s="68">
        <v>40</v>
      </c>
      <c r="E109" s="68">
        <f t="shared" si="91"/>
        <v>15</v>
      </c>
      <c r="F109" s="31">
        <f t="shared" si="92"/>
        <v>0</v>
      </c>
      <c r="G109" s="68">
        <f t="shared" si="93"/>
        <v>6</v>
      </c>
      <c r="H109" s="49">
        <v>9</v>
      </c>
      <c r="I109" s="72">
        <f t="shared" si="94"/>
        <v>0</v>
      </c>
      <c r="J109" s="29">
        <f t="shared" si="95"/>
        <v>1</v>
      </c>
      <c r="K109" s="29">
        <f t="shared" si="96"/>
        <v>0.29974937343358399</v>
      </c>
      <c r="L109" s="62"/>
      <c r="M109" s="124">
        <f t="shared" si="84"/>
        <v>1.4987468671679198</v>
      </c>
      <c r="N109" s="46">
        <f t="shared" si="97"/>
        <v>19.780701754385966</v>
      </c>
      <c r="O109" s="125">
        <f t="shared" si="85"/>
        <v>40</v>
      </c>
      <c r="P109" s="123">
        <f>H109/H101</f>
        <v>6.7669172932330823E-2</v>
      </c>
      <c r="Q109" s="30"/>
      <c r="R109" s="126">
        <f t="shared" si="86"/>
        <v>0.45112781954887216</v>
      </c>
      <c r="S109" s="126">
        <f t="shared" si="98"/>
        <v>17.819548872180452</v>
      </c>
      <c r="T109" s="59"/>
      <c r="U109" s="59"/>
      <c r="V109" s="59"/>
      <c r="W109" s="59"/>
      <c r="X109" s="81">
        <f t="shared" si="81"/>
        <v>40</v>
      </c>
      <c r="Y109" s="28">
        <f t="shared" si="82"/>
        <v>6.7669172932330823E-2</v>
      </c>
      <c r="Z109" s="139">
        <f t="shared" si="83"/>
        <v>0.29974937343358399</v>
      </c>
    </row>
    <row r="110" spans="1:44" x14ac:dyDescent="0.25">
      <c r="A110" s="70">
        <v>38</v>
      </c>
      <c r="B110" s="70">
        <f t="shared" si="89"/>
        <v>94</v>
      </c>
      <c r="C110" s="71">
        <f t="shared" si="90"/>
        <v>40</v>
      </c>
      <c r="D110" s="68">
        <v>45</v>
      </c>
      <c r="E110" s="68">
        <f t="shared" si="91"/>
        <v>9</v>
      </c>
      <c r="F110" s="31">
        <f t="shared" si="92"/>
        <v>1</v>
      </c>
      <c r="G110" s="68">
        <f t="shared" si="93"/>
        <v>7</v>
      </c>
      <c r="H110" s="49">
        <v>1</v>
      </c>
      <c r="I110" s="72">
        <f t="shared" si="94"/>
        <v>0.1111111111111111</v>
      </c>
      <c r="J110" s="29">
        <f t="shared" si="95"/>
        <v>0.88888888888888884</v>
      </c>
      <c r="K110" s="29">
        <f t="shared" si="96"/>
        <v>0.26644388749651909</v>
      </c>
      <c r="L110" s="62"/>
      <c r="M110" s="124">
        <f t="shared" si="84"/>
        <v>1.4154831523252576</v>
      </c>
      <c r="N110" s="46">
        <f t="shared" si="97"/>
        <v>21.196184906711224</v>
      </c>
      <c r="O110" s="125">
        <f t="shared" si="85"/>
        <v>45</v>
      </c>
      <c r="P110" s="123">
        <f>H110/H101</f>
        <v>7.5187969924812026E-3</v>
      </c>
      <c r="Q110" s="30"/>
      <c r="R110" s="126">
        <f t="shared" si="86"/>
        <v>0.18796992481203006</v>
      </c>
      <c r="S110" s="126">
        <f t="shared" si="98"/>
        <v>18.007518796992482</v>
      </c>
      <c r="T110" s="59"/>
      <c r="U110" s="59"/>
      <c r="V110" s="59"/>
      <c r="W110" s="59"/>
      <c r="X110" s="81">
        <f t="shared" si="81"/>
        <v>45</v>
      </c>
      <c r="Y110" s="28">
        <f t="shared" si="82"/>
        <v>7.5187969924812026E-3</v>
      </c>
      <c r="Z110" s="139">
        <f t="shared" si="83"/>
        <v>0.26644388749651909</v>
      </c>
    </row>
    <row r="111" spans="1:44" ht="13" customHeight="1" x14ac:dyDescent="0.25">
      <c r="D111" s="82"/>
      <c r="E111" s="55" t="s">
        <v>0</v>
      </c>
      <c r="F111" s="56">
        <f>SUM(F102:F110)</f>
        <v>94</v>
      </c>
      <c r="G111" s="56">
        <f>SUM(G102:G110)</f>
        <v>38</v>
      </c>
      <c r="H111" s="140">
        <f>H101-F111-G111</f>
        <v>1</v>
      </c>
      <c r="I111" s="75"/>
      <c r="J111" s="75"/>
      <c r="K111" s="75"/>
      <c r="L111" s="75"/>
      <c r="M111" s="75"/>
      <c r="N111" s="75"/>
      <c r="O111" s="75"/>
      <c r="P111" s="261" t="s">
        <v>67</v>
      </c>
      <c r="Q111" s="262"/>
      <c r="R111" s="262"/>
      <c r="S111" s="263"/>
      <c r="T111" s="75"/>
      <c r="U111" s="75"/>
      <c r="V111" s="75"/>
      <c r="W111" s="75"/>
      <c r="X111" s="75"/>
      <c r="Y111" s="75"/>
      <c r="Z111" s="59"/>
      <c r="AC111" s="25"/>
      <c r="AD111" s="25"/>
    </row>
    <row r="112" spans="1:44" x14ac:dyDescent="0.25">
      <c r="A112" s="62"/>
      <c r="B112" s="62"/>
      <c r="C112" s="62"/>
      <c r="D112" s="131"/>
      <c r="E112" s="26"/>
      <c r="F112" s="11">
        <f>F111/E101</f>
        <v>0.70676691729323304</v>
      </c>
      <c r="G112" s="12">
        <f>G111/E101</f>
        <v>0.2857142857142857</v>
      </c>
      <c r="H112" s="13">
        <f>H111/E101</f>
        <v>7.5187969924812026E-3</v>
      </c>
      <c r="I112" s="75"/>
      <c r="J112" s="75"/>
      <c r="K112" s="75"/>
      <c r="L112" s="75"/>
      <c r="M112" s="75"/>
      <c r="N112" s="75"/>
      <c r="O112" s="75"/>
      <c r="P112" s="264"/>
      <c r="Q112" s="265"/>
      <c r="R112" s="265"/>
      <c r="S112" s="266"/>
      <c r="T112" s="75"/>
      <c r="U112" s="75"/>
      <c r="V112" s="75"/>
      <c r="W112" s="75"/>
      <c r="X112" s="75"/>
      <c r="Y112" s="75"/>
      <c r="Z112" s="62"/>
      <c r="AA112" s="130"/>
      <c r="AB112" s="130"/>
      <c r="AC112" s="130"/>
      <c r="AD112" s="130"/>
    </row>
    <row r="113" spans="1:30" x14ac:dyDescent="0.25">
      <c r="D113" s="131"/>
      <c r="E113" s="138"/>
      <c r="F113" s="142" t="s">
        <v>68</v>
      </c>
      <c r="G113" s="143" t="s">
        <v>69</v>
      </c>
      <c r="H113" s="141" t="s">
        <v>70</v>
      </c>
      <c r="I113" s="75"/>
      <c r="J113" s="75"/>
      <c r="K113" s="75"/>
      <c r="L113" s="75"/>
      <c r="M113" s="75"/>
      <c r="N113" s="75"/>
      <c r="O113" s="75"/>
      <c r="P113" s="267"/>
      <c r="Q113" s="268"/>
      <c r="R113" s="268"/>
      <c r="S113" s="269"/>
      <c r="T113" s="75"/>
      <c r="U113" s="75"/>
      <c r="V113" s="75"/>
      <c r="W113" s="75"/>
      <c r="X113" s="75"/>
      <c r="Y113" s="75"/>
      <c r="Z113" s="59"/>
      <c r="AC113" s="25"/>
      <c r="AD113" s="25"/>
    </row>
    <row r="114" spans="1:30" x14ac:dyDescent="0.25">
      <c r="D114" s="131"/>
      <c r="I114" s="75"/>
      <c r="J114" s="75"/>
      <c r="K114" s="75"/>
      <c r="L114" s="75"/>
      <c r="M114" s="75"/>
      <c r="N114" s="75"/>
      <c r="O114" s="75"/>
      <c r="Q114" s="75"/>
      <c r="R114" s="75"/>
      <c r="S114" s="75"/>
      <c r="T114" s="75"/>
      <c r="U114" s="75"/>
      <c r="V114" s="75"/>
      <c r="W114" s="75"/>
      <c r="X114" s="75"/>
      <c r="Y114" s="75"/>
      <c r="Z114" s="59"/>
      <c r="AC114" s="25"/>
      <c r="AD114" s="25"/>
    </row>
    <row r="115" spans="1:30" ht="25" customHeight="1" x14ac:dyDescent="0.25">
      <c r="A115" s="270" t="s">
        <v>37</v>
      </c>
      <c r="B115" s="270"/>
      <c r="C115" s="270"/>
      <c r="D115" s="270"/>
      <c r="E115" s="270"/>
      <c r="F115" s="270"/>
      <c r="G115" s="270"/>
      <c r="H115" s="270"/>
      <c r="I115" s="270"/>
      <c r="J115" s="270"/>
      <c r="K115" s="270"/>
      <c r="L115" s="270"/>
      <c r="M115" s="270"/>
      <c r="N115" s="270"/>
      <c r="O115" s="270"/>
      <c r="P115" s="270"/>
      <c r="Q115" s="270"/>
      <c r="R115" s="75"/>
      <c r="S115" s="75"/>
      <c r="T115" s="75"/>
      <c r="U115" s="75"/>
      <c r="V115" s="75"/>
      <c r="W115" s="75"/>
      <c r="X115" s="75"/>
      <c r="Y115" s="75"/>
      <c r="Z115" s="59"/>
      <c r="AC115" s="25"/>
      <c r="AD115" s="25"/>
    </row>
    <row r="116" spans="1:30" ht="7.5" customHeight="1" x14ac:dyDescent="0.25">
      <c r="A116" s="132"/>
      <c r="B116" s="132"/>
      <c r="C116" s="132"/>
      <c r="D116" s="133"/>
      <c r="E116" s="132"/>
      <c r="F116" s="132"/>
      <c r="G116" s="132"/>
      <c r="H116" s="134"/>
      <c r="I116" s="134"/>
      <c r="J116" s="134"/>
      <c r="K116" s="134"/>
      <c r="L116" s="134"/>
      <c r="M116" s="134"/>
      <c r="N116" s="134"/>
      <c r="O116" s="134"/>
      <c r="P116" s="134"/>
      <c r="Q116" s="134"/>
      <c r="R116" s="75"/>
      <c r="S116" s="75"/>
      <c r="T116" s="75"/>
      <c r="U116" s="75"/>
      <c r="V116" s="75"/>
      <c r="W116" s="75"/>
      <c r="X116" s="75"/>
      <c r="Y116" s="75"/>
      <c r="Z116" s="59"/>
      <c r="AC116" s="25"/>
      <c r="AD116" s="25"/>
    </row>
    <row r="117" spans="1:30" ht="66" customHeight="1" x14ac:dyDescent="0.25">
      <c r="A117" s="271" t="s">
        <v>73</v>
      </c>
      <c r="B117" s="271"/>
      <c r="C117" s="271"/>
      <c r="D117" s="271"/>
      <c r="E117" s="271"/>
      <c r="F117" s="271"/>
      <c r="G117" s="271"/>
      <c r="H117" s="271"/>
      <c r="I117" s="271"/>
      <c r="J117" s="271"/>
      <c r="K117" s="271"/>
      <c r="L117" s="271"/>
      <c r="M117" s="271"/>
      <c r="N117" s="271"/>
      <c r="O117" s="271"/>
      <c r="P117" s="271"/>
      <c r="Q117" s="271"/>
      <c r="R117" s="75"/>
      <c r="S117" s="75"/>
      <c r="T117" s="75"/>
      <c r="U117" s="75"/>
      <c r="V117" s="75"/>
      <c r="W117" s="75"/>
      <c r="X117" s="75"/>
      <c r="Y117" s="75"/>
      <c r="Z117" s="59"/>
      <c r="AC117" s="25"/>
      <c r="AD117" s="25"/>
    </row>
    <row r="118" spans="1:30" ht="120.5" customHeight="1" x14ac:dyDescent="0.25">
      <c r="A118" s="271" t="s">
        <v>61</v>
      </c>
      <c r="B118" s="271"/>
      <c r="C118" s="271"/>
      <c r="D118" s="271"/>
      <c r="E118" s="271"/>
      <c r="F118" s="271"/>
      <c r="G118" s="271"/>
      <c r="H118" s="271"/>
      <c r="I118" s="271"/>
      <c r="J118" s="271"/>
      <c r="K118" s="271"/>
      <c r="L118" s="271"/>
      <c r="M118" s="271"/>
      <c r="N118" s="271"/>
      <c r="O118" s="271"/>
      <c r="P118" s="271"/>
      <c r="Q118" s="271"/>
      <c r="R118" s="75"/>
      <c r="S118" s="75"/>
      <c r="T118" s="75"/>
      <c r="U118" s="75"/>
      <c r="V118" s="75"/>
      <c r="W118" s="75"/>
      <c r="X118" s="75"/>
      <c r="Y118" s="75"/>
      <c r="Z118" s="59"/>
      <c r="AC118" s="25"/>
      <c r="AD118" s="25"/>
    </row>
    <row r="119" spans="1:30" ht="13" customHeight="1" x14ac:dyDescent="0.25">
      <c r="D119" s="131"/>
      <c r="H119" s="118"/>
      <c r="R119" s="59"/>
      <c r="S119" s="59"/>
      <c r="T119" s="59"/>
      <c r="U119" s="59"/>
      <c r="V119" s="59"/>
      <c r="W119" s="59"/>
      <c r="Z119" s="59"/>
      <c r="AA119" s="59"/>
    </row>
    <row r="120" spans="1:30" x14ac:dyDescent="0.25">
      <c r="D120" s="131"/>
      <c r="H120" s="118"/>
      <c r="L120" s="118"/>
      <c r="M120" s="118"/>
      <c r="N120" s="118"/>
      <c r="R120" s="59"/>
      <c r="S120" s="59"/>
      <c r="T120" s="59"/>
      <c r="U120" s="59"/>
      <c r="V120" s="59"/>
      <c r="W120" s="59"/>
      <c r="Z120" s="59"/>
      <c r="AA120" s="59"/>
    </row>
    <row r="121" spans="1:30" x14ac:dyDescent="0.25">
      <c r="D121" s="131"/>
      <c r="H121" s="118"/>
      <c r="L121" s="118"/>
      <c r="M121" s="118"/>
      <c r="N121" s="118"/>
      <c r="O121" s="118"/>
      <c r="P121" s="118"/>
      <c r="Q121" s="118"/>
      <c r="R121" s="59"/>
      <c r="S121" s="59"/>
      <c r="T121" s="59"/>
      <c r="U121" s="59"/>
      <c r="V121" s="59"/>
      <c r="W121" s="59"/>
      <c r="Z121" s="59"/>
      <c r="AA121" s="59"/>
    </row>
    <row r="122" spans="1:30" x14ac:dyDescent="0.25">
      <c r="D122" s="131"/>
      <c r="H122" s="118"/>
      <c r="L122" s="118"/>
      <c r="M122" s="118"/>
      <c r="N122" s="118"/>
      <c r="O122" s="118"/>
      <c r="P122" s="118"/>
      <c r="Q122" s="118"/>
      <c r="R122" s="59"/>
      <c r="S122" s="59"/>
      <c r="T122" s="59"/>
      <c r="U122" s="59"/>
      <c r="V122" s="59"/>
      <c r="W122" s="59"/>
      <c r="Z122" s="59"/>
      <c r="AA122" s="59"/>
    </row>
    <row r="123" spans="1:30" x14ac:dyDescent="0.25">
      <c r="D123" s="131"/>
      <c r="H123" s="118"/>
      <c r="L123" s="118"/>
      <c r="M123" s="118"/>
      <c r="N123" s="118"/>
      <c r="O123" s="118"/>
      <c r="P123" s="89"/>
      <c r="Q123" s="76"/>
      <c r="Z123" s="59"/>
      <c r="AA123" s="59"/>
    </row>
    <row r="124" spans="1:30" x14ac:dyDescent="0.25">
      <c r="D124" s="131"/>
      <c r="H124" s="118"/>
      <c r="L124" s="118"/>
      <c r="M124" s="118"/>
      <c r="N124" s="118"/>
      <c r="O124" s="118"/>
      <c r="P124" s="89"/>
      <c r="Q124" s="76"/>
      <c r="Z124" s="59"/>
      <c r="AA124" s="59"/>
    </row>
    <row r="125" spans="1:30" x14ac:dyDescent="0.25">
      <c r="D125" s="131"/>
      <c r="H125" s="118"/>
      <c r="L125" s="118"/>
      <c r="M125" s="118"/>
      <c r="N125" s="118"/>
      <c r="O125" s="118"/>
      <c r="P125" s="89"/>
      <c r="Q125" s="76"/>
      <c r="Z125" s="59"/>
      <c r="AA125" s="59"/>
    </row>
    <row r="126" spans="1:30" x14ac:dyDescent="0.25">
      <c r="D126" s="131"/>
      <c r="H126" s="118"/>
      <c r="L126" s="118"/>
      <c r="M126" s="118"/>
      <c r="N126" s="118"/>
      <c r="O126" s="118"/>
      <c r="P126" s="89"/>
      <c r="Q126" s="76"/>
      <c r="Z126" s="59"/>
      <c r="AA126" s="59"/>
    </row>
    <row r="127" spans="1:30" x14ac:dyDescent="0.25">
      <c r="D127" s="131"/>
      <c r="H127" s="118"/>
      <c r="L127" s="118"/>
      <c r="M127" s="88"/>
      <c r="N127" s="88"/>
      <c r="O127" s="88"/>
      <c r="P127" s="89"/>
      <c r="Q127" s="76"/>
      <c r="Z127" s="59"/>
      <c r="AA127" s="59"/>
    </row>
    <row r="128" spans="1:30" x14ac:dyDescent="0.25">
      <c r="D128" s="131"/>
      <c r="E128" s="62"/>
      <c r="F128" s="8"/>
      <c r="G128" s="8"/>
      <c r="H128" s="62"/>
      <c r="I128" s="118"/>
      <c r="L128" s="118"/>
      <c r="M128" s="88"/>
      <c r="N128" s="88"/>
      <c r="O128" s="88"/>
      <c r="P128" s="89"/>
      <c r="Q128" s="89"/>
      <c r="R128" s="89"/>
      <c r="S128" s="89"/>
      <c r="T128" s="89"/>
      <c r="U128" s="89"/>
      <c r="V128" s="89"/>
      <c r="W128" s="89"/>
      <c r="X128" s="89"/>
      <c r="Y128" s="89"/>
      <c r="Z128" s="89"/>
      <c r="AA128" s="89"/>
      <c r="AB128" s="89"/>
      <c r="AC128" s="89"/>
      <c r="AD128" s="89"/>
    </row>
    <row r="129" spans="4:30" x14ac:dyDescent="0.25">
      <c r="D129" s="82"/>
      <c r="E129" s="26"/>
      <c r="F129" s="135"/>
      <c r="G129" s="8"/>
      <c r="H129" s="136"/>
      <c r="I129" s="75"/>
      <c r="J129" s="76"/>
      <c r="K129" s="76"/>
      <c r="L129" s="76"/>
      <c r="M129" s="88"/>
      <c r="N129" s="88"/>
      <c r="O129" s="88"/>
      <c r="P129" s="89"/>
      <c r="Q129" s="89"/>
      <c r="R129" s="89"/>
      <c r="S129" s="89"/>
      <c r="T129" s="89"/>
      <c r="U129" s="89"/>
      <c r="V129" s="89"/>
      <c r="W129" s="89"/>
      <c r="X129" s="89"/>
      <c r="Y129" s="89"/>
      <c r="Z129" s="89"/>
      <c r="AA129" s="89"/>
      <c r="AB129" s="89"/>
      <c r="AC129" s="89"/>
      <c r="AD129" s="89"/>
    </row>
    <row r="130" spans="4:30" x14ac:dyDescent="0.25">
      <c r="D130" s="82"/>
      <c r="E130" s="26"/>
      <c r="F130" s="135"/>
      <c r="G130" s="8"/>
      <c r="H130" s="137"/>
      <c r="I130" s="75"/>
      <c r="J130" s="76"/>
      <c r="K130" s="76"/>
      <c r="L130" s="76"/>
      <c r="M130" s="88"/>
      <c r="N130" s="88"/>
      <c r="O130" s="88"/>
      <c r="P130" s="89"/>
      <c r="Q130" s="89"/>
      <c r="R130" s="89"/>
      <c r="S130" s="89"/>
      <c r="T130" s="89"/>
      <c r="U130" s="89"/>
      <c r="V130" s="89"/>
      <c r="W130" s="89"/>
      <c r="X130" s="89"/>
      <c r="Y130" s="89"/>
      <c r="Z130" s="89"/>
      <c r="AA130" s="89"/>
      <c r="AB130" s="89"/>
      <c r="AC130" s="89"/>
      <c r="AD130" s="89"/>
    </row>
  </sheetData>
  <mergeCells count="40">
    <mergeCell ref="AG100:AN100"/>
    <mergeCell ref="P94:S96"/>
    <mergeCell ref="A115:Q115"/>
    <mergeCell ref="A117:Q117"/>
    <mergeCell ref="A118:Q118"/>
    <mergeCell ref="J99:K99"/>
    <mergeCell ref="M99:N99"/>
    <mergeCell ref="R99:S99"/>
    <mergeCell ref="P111:S113"/>
    <mergeCell ref="A80:S80"/>
    <mergeCell ref="U80:V80"/>
    <mergeCell ref="AT80:AU80"/>
    <mergeCell ref="J81:K81"/>
    <mergeCell ref="M81:N81"/>
    <mergeCell ref="R81:S81"/>
    <mergeCell ref="U81:U82"/>
    <mergeCell ref="V81:V82"/>
    <mergeCell ref="AT81:AT82"/>
    <mergeCell ref="AU81:AU82"/>
    <mergeCell ref="X80:AR80"/>
    <mergeCell ref="AG82:AN82"/>
    <mergeCell ref="B47:B49"/>
    <mergeCell ref="C48:D48"/>
    <mergeCell ref="F48:G48"/>
    <mergeCell ref="I48:J48"/>
    <mergeCell ref="A8:Q8"/>
    <mergeCell ref="Q46:Q47"/>
    <mergeCell ref="C47:E47"/>
    <mergeCell ref="F47:H47"/>
    <mergeCell ref="I47:K47"/>
    <mergeCell ref="N47:O47"/>
    <mergeCell ref="A12:X12"/>
    <mergeCell ref="J13:K13"/>
    <mergeCell ref="J29:K29"/>
    <mergeCell ref="B46:K46"/>
    <mergeCell ref="A2:Q2"/>
    <mergeCell ref="A4:Q4"/>
    <mergeCell ref="A5:Q5"/>
    <mergeCell ref="A6:Q6"/>
    <mergeCell ref="A7:Q7"/>
  </mergeCells>
  <pageMargins left="0.7" right="0.7" top="0.75" bottom="0.75" header="0.3" footer="0.3"/>
  <pageSetup paperSize="9" orientation="portrait" r:id="rId1"/>
  <ignoredErrors>
    <ignoredError sqref="L85:P92 L101:P101 O99 A119:Q124 R117:S118 A97:P98 A93:D93 I93:O93 A114:Q116 A94:D94 A111:D111 A96:D96 A95:D95 I95:O95 A113:D113 A112:D112 I112:O112 I111:O111 L84:P84 S84 S85:S92 L102:P110 S102:S110 R101:S101 R97:S98 R119:S124 R114:S116 I113:O113 I94:O94 I96:O96" formulaRange="1"/>
    <ignoredError sqref="M25:Q40 R25:X40 M41:Q48 M24:X24" evalError="1"/>
    <ignoredError sqref="AJ86 AJ10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3.1 SG, B vs A, CC</vt:lpstr>
      <vt:lpstr>3.2 SG, B vs A,+1</vt:lpstr>
      <vt:lpstr>3.3 SG, B vs A,+20</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2023-03-28T07:49:31Z</dcterms:modified>
</cp:coreProperties>
</file>