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0924-Galo\0-Datos\10-Temas publc\20210417-DAPA-HF\"/>
    </mc:Choice>
  </mc:AlternateContent>
  <xr:revisionPtr revIDLastSave="0" documentId="13_ncr:1_{209C45EC-EBBC-4A86-895D-EA8B253E1DA6}" xr6:coauthVersionLast="47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áf PtSLEv1 x Rg1" sheetId="12" r:id="rId2"/>
    <sheet name="Gráf PtSLEv2 x Rg1" sheetId="11" r:id="rId3"/>
    <sheet name="Gráf PtSLEv3 x Rg1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7" i="6"/>
  <c r="C23" i="12" l="1"/>
  <c r="D23" i="12" s="1"/>
  <c r="D24" i="12" s="1"/>
  <c r="D13" i="12"/>
  <c r="C13" i="12"/>
  <c r="B5" i="12"/>
  <c r="D10" i="12" s="1"/>
  <c r="A1" i="12"/>
  <c r="D14" i="12" l="1"/>
  <c r="C8" i="12"/>
  <c r="D7" i="12"/>
  <c r="E2" i="12"/>
  <c r="F14" i="12" s="1"/>
  <c r="C24" i="12"/>
  <c r="D8" i="12"/>
  <c r="D11" i="12" s="1"/>
  <c r="B24" i="12"/>
  <c r="C7" i="12"/>
  <c r="C9" i="12"/>
  <c r="C14" i="12" s="1"/>
  <c r="G7" i="6"/>
  <c r="I7" i="6" s="1"/>
  <c r="G8" i="6"/>
  <c r="I8" i="6" s="1"/>
  <c r="O8" i="6" s="1"/>
  <c r="O7" i="6" l="1"/>
  <c r="C11" i="12"/>
  <c r="B14" i="6"/>
  <c r="B21" i="6"/>
  <c r="B22" i="6"/>
  <c r="B53" i="6"/>
  <c r="C22" i="11" l="1"/>
  <c r="D13" i="11"/>
  <c r="C13" i="11"/>
  <c r="B5" i="11"/>
  <c r="D10" i="11" s="1"/>
  <c r="A1" i="11"/>
  <c r="B5" i="10"/>
  <c r="D7" i="11" l="1"/>
  <c r="C8" i="11"/>
  <c r="E2" i="11"/>
  <c r="F14" i="11" s="1"/>
  <c r="D22" i="11"/>
  <c r="D23" i="11" s="1"/>
  <c r="D14" i="11"/>
  <c r="D8" i="11"/>
  <c r="D11" i="11" s="1"/>
  <c r="C7" i="11"/>
  <c r="C9" i="11"/>
  <c r="C14" i="11" s="1"/>
  <c r="B23" i="11" l="1"/>
  <c r="C23" i="11"/>
  <c r="C11" i="11"/>
  <c r="D10" i="10"/>
  <c r="C24" i="10"/>
  <c r="D24" i="10" s="1"/>
  <c r="D25" i="10" s="1"/>
  <c r="D13" i="10"/>
  <c r="C13" i="10"/>
  <c r="C8" i="10"/>
  <c r="A1" i="10"/>
  <c r="D7" i="10" s="1"/>
  <c r="D14" i="10" l="1"/>
  <c r="B25" i="10"/>
  <c r="D8" i="10"/>
  <c r="D11" i="10" s="1"/>
  <c r="C7" i="10"/>
  <c r="C9" i="10"/>
  <c r="C14" i="10" s="1"/>
  <c r="C25" i="10"/>
  <c r="E2" i="10"/>
  <c r="F14" i="10" l="1"/>
  <c r="C11" i="10"/>
  <c r="S5" i="6" l="1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D56" i="6"/>
  <c r="E41" i="6"/>
  <c r="E40" i="6"/>
  <c r="I23" i="6"/>
  <c r="I22" i="6"/>
  <c r="C22" i="6"/>
  <c r="I21" i="6"/>
  <c r="C21" i="6"/>
  <c r="G14" i="6"/>
  <c r="E54" i="6" s="1"/>
  <c r="D14" i="6"/>
  <c r="F9" i="6"/>
  <c r="I9" i="6" s="1"/>
  <c r="O9" i="6" s="1"/>
  <c r="D9" i="6"/>
  <c r="V8" i="6" l="1"/>
  <c r="V9" i="6" s="1"/>
  <c r="G9" i="6"/>
  <c r="B23" i="6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J22" i="6" s="1"/>
  <c r="K56" i="6" s="1"/>
  <c r="C56" i="6"/>
  <c r="K14" i="6"/>
  <c r="C40" i="6"/>
  <c r="T7" i="6" l="1"/>
  <c r="T6" i="6"/>
  <c r="F22" i="6"/>
  <c r="C42" i="6"/>
  <c r="E21" i="6"/>
  <c r="N23" i="6"/>
  <c r="D21" i="6"/>
  <c r="F21" i="6" s="1"/>
  <c r="E9" i="6"/>
  <c r="C14" i="6"/>
  <c r="F14" i="6" s="1"/>
  <c r="C45" i="6"/>
  <c r="L22" i="6" l="1"/>
  <c r="M56" i="6" s="1"/>
  <c r="I14" i="6"/>
  <c r="M14" i="6" s="1"/>
  <c r="K22" i="6"/>
  <c r="L56" i="6" s="1"/>
  <c r="E14" i="6"/>
  <c r="H14" i="6" s="1"/>
  <c r="E55" i="6" s="1"/>
  <c r="W21" i="6"/>
  <c r="J21" i="6"/>
  <c r="K55" i="6" s="1"/>
  <c r="J26" i="6"/>
  <c r="D41" i="6"/>
  <c r="D46" i="6" s="1"/>
  <c r="D40" i="6"/>
  <c r="L21" i="6"/>
  <c r="M55" i="6" s="1"/>
  <c r="K21" i="6"/>
  <c r="L55" i="6" s="1"/>
  <c r="N56" i="6" l="1"/>
  <c r="E56" i="6"/>
  <c r="D23" i="6"/>
  <c r="E23" i="6"/>
  <c r="L14" i="6"/>
  <c r="D42" i="6"/>
  <c r="D45" i="6"/>
  <c r="C48" i="6" s="1"/>
  <c r="K41" i="6"/>
  <c r="I40" i="6" s="1"/>
  <c r="F54" i="6"/>
  <c r="K26" i="6"/>
  <c r="L26" i="6"/>
  <c r="N22" i="6"/>
  <c r="N24" i="6" s="1"/>
  <c r="N25" i="6" s="1"/>
  <c r="N26" i="6" s="1"/>
  <c r="J27" i="6"/>
  <c r="J35" i="6" s="1"/>
  <c r="N55" i="6"/>
  <c r="F23" i="6" l="1"/>
  <c r="W22" i="6"/>
  <c r="W23" i="6" s="1"/>
  <c r="W24" i="6" s="1"/>
  <c r="W25" i="6" s="1"/>
  <c r="J23" i="6"/>
  <c r="K57" i="6" s="1"/>
  <c r="Q28" i="6"/>
  <c r="N31" i="6" s="1"/>
  <c r="N32" i="6" s="1"/>
  <c r="H56" i="6" s="1"/>
  <c r="H58" i="6" s="1"/>
  <c r="H62" i="6" s="1"/>
  <c r="L23" i="6"/>
  <c r="M57" i="6" s="1"/>
  <c r="J32" i="6"/>
  <c r="T3" i="6" s="1"/>
  <c r="F55" i="6"/>
  <c r="L27" i="6"/>
  <c r="K35" i="6" s="1"/>
  <c r="F56" i="6"/>
  <c r="K27" i="6"/>
  <c r="L35" i="6" s="1"/>
  <c r="G46" i="6"/>
  <c r="C49" i="6"/>
  <c r="J62" i="6" s="1"/>
  <c r="J34" i="6"/>
  <c r="J36" i="6"/>
  <c r="J31" i="6"/>
  <c r="U3" i="6" s="1"/>
  <c r="G54" i="6"/>
  <c r="J29" i="6"/>
  <c r="J37" i="6"/>
  <c r="J30" i="6"/>
  <c r="V3" i="6" s="1"/>
  <c r="L62" i="6" l="1"/>
  <c r="O62" i="6" s="1"/>
  <c r="M62" i="6"/>
  <c r="P62" i="6" s="1"/>
  <c r="N33" i="6"/>
  <c r="E58" i="6"/>
  <c r="E62" i="6" s="1"/>
  <c r="K23" i="6"/>
  <c r="L57" i="6" s="1"/>
  <c r="N57" i="6" s="1"/>
  <c r="S3" i="6"/>
  <c r="K32" i="6"/>
  <c r="G55" i="6"/>
  <c r="K36" i="6"/>
  <c r="L29" i="6"/>
  <c r="K34" i="6"/>
  <c r="L31" i="6"/>
  <c r="L30" i="6"/>
  <c r="K37" i="6"/>
  <c r="L36" i="6"/>
  <c r="K31" i="6"/>
  <c r="L34" i="6"/>
  <c r="K29" i="6"/>
  <c r="G56" i="6"/>
  <c r="K30" i="6"/>
  <c r="L37" i="6"/>
  <c r="L32" i="6"/>
  <c r="F61" i="6" l="1"/>
  <c r="D58" i="6"/>
  <c r="D62" i="6" s="1"/>
  <c r="C58" i="6"/>
  <c r="C62" i="6" s="1"/>
  <c r="E61" i="6"/>
  <c r="F58" i="6"/>
  <c r="F62" i="6" s="1"/>
  <c r="G61" i="6"/>
  <c r="G58" i="6"/>
  <c r="G62" i="6" s="1"/>
</calcChain>
</file>

<file path=xl/sharedStrings.xml><?xml version="1.0" encoding="utf-8"?>
<sst xmlns="http://schemas.openxmlformats.org/spreadsheetml/2006/main" count="453" uniqueCount="306">
  <si>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</si>
  <si>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</si>
  <si>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</si>
  <si>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</si>
  <si>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</si>
  <si>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</si>
  <si>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</si>
  <si>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</si>
  <si>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</si>
  <si>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</si>
  <si>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</si>
  <si>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</si>
  <si>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</si>
  <si>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</si>
  <si>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</si>
  <si>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Personas</t>
  </si>
  <si>
    <t>IC</t>
  </si>
  <si>
    <t>Enferman</t>
  </si>
  <si>
    <t>No enferman</t>
  </si>
  <si>
    <t>Con eventos</t>
  </si>
  <si>
    <t>Sin eventos</t>
  </si>
  <si>
    <t>Total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</si>
  <si>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</si>
  <si>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</si>
  <si>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</si>
  <si>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</si>
  <si>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</si>
  <si>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</si>
  <si>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</si>
  <si>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</si>
  <si>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</si>
  <si>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</si>
  <si>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</si>
  <si>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</si>
  <si>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</si>
  <si>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</si>
  <si>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</si>
  <si>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</si>
  <si>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</si>
  <si>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</si>
  <si>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</si>
  <si>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</si>
  <si>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</si>
  <si>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</si>
  <si>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</si>
  <si>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</si>
  <si>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</si>
  <si>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</si>
  <si>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</si>
  <si>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</si>
  <si>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</si>
  <si>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</si>
  <si>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</si>
  <si>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</si>
  <si>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</si>
  <si>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</si>
  <si>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</si>
  <si>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</si>
  <si>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</si>
  <si>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</si>
  <si>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</si>
  <si>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</si>
  <si>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</si>
  <si>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</si>
  <si>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</si>
  <si>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</si>
  <si>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</si>
  <si>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</si>
  <si>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</si>
  <si>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</si>
  <si>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</si>
  <si>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</si>
  <si>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</si>
  <si>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</si>
  <si>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</si>
  <si>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</si>
  <si>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</si>
  <si>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</si>
  <si>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</si>
  <si>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</si>
  <si>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</si>
  <si>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</si>
  <si>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</si>
  <si>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</si>
  <si>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</si>
  <si>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</si>
  <si>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</si>
  <si>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</si>
  <si>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</si>
  <si>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</si>
  <si>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</si>
  <si>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</si>
  <si>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</si>
  <si>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</si>
  <si>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</si>
  <si>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</si>
  <si>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</si>
  <si>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</si>
  <si>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</si>
  <si>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</si>
  <si>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</si>
  <si>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</si>
  <si>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</si>
  <si>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</si>
  <si>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</si>
  <si>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</si>
  <si>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</si>
  <si>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</si>
  <si>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</si>
  <si>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</si>
  <si>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</si>
  <si>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</si>
  <si>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</si>
  <si>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</si>
  <si>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</si>
  <si>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</si>
  <si>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</si>
  <si>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</si>
  <si>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</si>
  <si>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</si>
  <si>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</si>
  <si>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</si>
  <si>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</si>
  <si>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</si>
  <si>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</si>
  <si>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</si>
  <si>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</si>
  <si>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</si>
  <si>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</si>
  <si>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</si>
  <si>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t>destinos NNT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</si>
  <si>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</si>
  <si>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</si>
  <si>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</si>
  <si>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</si>
  <si>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</si>
  <si>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</si>
  <si>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</si>
  <si>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</si>
  <si>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</si>
  <si>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</si>
  <si>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</si>
  <si>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</si>
  <si>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</si>
  <si>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t>Mortalidad CV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</si>
  <si>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</si>
  <si>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</si>
  <si>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</si>
  <si>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</si>
  <si>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Los 3 destinos del NNT</t>
  </si>
  <si>
    <t>Los 3 tiempos biográficos</t>
  </si>
  <si>
    <t>meses</t>
  </si>
  <si>
    <t>Meses</t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</si>
  <si>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</si>
  <si>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</si>
  <si>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Hipoglucemia (Glu plasma &lt; 76 mg/dl ó que requiere asistencia)</t>
  </si>
  <si>
    <t>Infección del tracto urinario</t>
  </si>
  <si>
    <t>Fracturas óseas</t>
  </si>
  <si>
    <t>Eventos que conducen a amputación de miembro inferior</t>
  </si>
  <si>
    <t>McMurray JJV, Solomon SD, Inzucchi SE, on behalf of the DAPA-HF Trial Committees and Investigators. Dapagliflozin in Patients with Heart Failure and Reduced Ejection Fraction. N Engl J Med. 2019 Nov 21;381(21):1995-2008.</t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</si>
  <si>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67 años (DE 11), con Insuficiencia cardíaca Clase II o III de la NYHA, y FEVI reducida, diabéticos o no diabéticos.</t>
    </r>
  </si>
  <si>
    <t>Tto estándar + Placebo, n= 2371</t>
  </si>
  <si>
    <t>Medidas del efecto obtenidas por incidencias acumuladas</t>
  </si>
  <si>
    <t>ECA DAPA-HF, media de seguimiento 17 meses</t>
  </si>
  <si>
    <t>20191121-ECA DAPA-HF 17m, ICC 67II+32III FEVI 31 Usu[Dap vs Pl],-MACE. McMurray</t>
  </si>
  <si>
    <t>0,77 (0,68-0,87)</t>
  </si>
  <si>
    <t>276/2373 (11,63%)</t>
  </si>
  <si>
    <t>329/2371 (13,88%)</t>
  </si>
  <si>
    <t>0,84 (0,72-0,97)</t>
  </si>
  <si>
    <t>2,25% (0,34% a 4,14%)</t>
  </si>
  <si>
    <t>45 (24 a 290)</t>
  </si>
  <si>
    <t>63,98%</t>
  </si>
  <si>
    <t>227/2373 (9,57%)</t>
  </si>
  <si>
    <t>273/2371 (11,51%)</t>
  </si>
  <si>
    <t>0,83 (0,7-0,98)</t>
  </si>
  <si>
    <t>1,95% (0,2% a 3,7%)</t>
  </si>
  <si>
    <t>51 (27 a 508)</t>
  </si>
  <si>
    <t>231/2373 (9,73%)</t>
  </si>
  <si>
    <t>318/2371 (13,41%)</t>
  </si>
  <si>
    <t>0,73 (0,62-0,85)</t>
  </si>
  <si>
    <t>3,68% (1,86% a 5,5%)</t>
  </si>
  <si>
    <t>27 (18 a 54)</t>
  </si>
  <si>
    <t>Contracción del volumen del líquido extracelular</t>
  </si>
  <si>
    <t>Mortalidad por cualquier causa</t>
  </si>
  <si>
    <t>Tto estándar + Dapaglifozina, n= 2373</t>
  </si>
  <si>
    <t>Dapaglifozina</t>
  </si>
  <si>
    <t>Abandono del tratamiento por EA</t>
  </si>
  <si>
    <t>111/2368 (4,69%)</t>
  </si>
  <si>
    <t>116/2368 (4,9%)</t>
  </si>
  <si>
    <t>0,96 (0,74-1,23)</t>
  </si>
  <si>
    <t>0,21% (-1,01% a 1,43%)</t>
  </si>
  <si>
    <t>474 (70 a -99)</t>
  </si>
  <si>
    <t>178/2368 (7,52%)</t>
  </si>
  <si>
    <t>162/2368 (6,84%)</t>
  </si>
  <si>
    <t>1,1 (0,9-1,35)</t>
  </si>
  <si>
    <t>-0,68% (-2,15% a 0,8%)</t>
  </si>
  <si>
    <t>-148 (125 a -47)</t>
  </si>
  <si>
    <t>49/2368 (2,07%)</t>
  </si>
  <si>
    <t>50/2368 (2,11%)</t>
  </si>
  <si>
    <t>0,98 (0,66-1,45)</t>
  </si>
  <si>
    <t>0,04% (-0,79% a 0,87%)</t>
  </si>
  <si>
    <t>2368 (115 a -127)</t>
  </si>
  <si>
    <t>4/2368 (0,17%)</t>
  </si>
  <si>
    <t>1 (0,25-3,99)</t>
  </si>
  <si>
    <t>0% (-0,28% a 0,28%)</t>
  </si>
  <si>
    <t>13/2368 (0,55%)</t>
  </si>
  <si>
    <t>12/2368 (0,51%)</t>
  </si>
  <si>
    <t>1,08 (0,5-2,37)</t>
  </si>
  <si>
    <t>-0,04% (-0,48% a 0,4%)</t>
  </si>
  <si>
    <t>-2368 (249 a -207)</t>
  </si>
  <si>
    <t>Cetoacidois diabética</t>
  </si>
  <si>
    <t>3/2368 (0,13%)</t>
  </si>
  <si>
    <t>0/2368 (0%)</t>
  </si>
  <si>
    <t>-0,13% (-0,31% a 0,12%)</t>
  </si>
  <si>
    <t>-789 (844 a -324)</t>
  </si>
  <si>
    <t>----</t>
  </si>
  <si>
    <t>895/2368 (37,8%)</t>
  </si>
  <si>
    <t>994/2368 (41,98%)</t>
  </si>
  <si>
    <t>0,9 (0,84-0,97)</t>
  </si>
  <si>
    <t>4,18% (1,4% a 6,97%)</t>
  </si>
  <si>
    <t>24 (14 a 71)</t>
  </si>
  <si>
    <t>11/2368 (0,46%)</t>
  </si>
  <si>
    <t>17/2368 (0,72%)</t>
  </si>
  <si>
    <t>0,65 (0,3-1,38)</t>
  </si>
  <si>
    <t>0,25% (-0,22% a 0,71%)</t>
  </si>
  <si>
    <t>395 (141 a -451)</t>
  </si>
  <si>
    <r>
      <t>Nº de pacientes con evento en</t>
    </r>
    <r>
      <rPr>
        <b/>
        <sz val="10"/>
        <rFont val="Calibri"/>
        <family val="2"/>
      </rPr>
      <t xml:space="preserve"> 17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</si>
  <si>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Mortalidad CV, cohorte completa</t>
  </si>
  <si>
    <t>Mortalidad cualquier causa, cohorte completa</t>
  </si>
  <si>
    <t>Mort, SG Diabéticos</t>
  </si>
  <si>
    <t>Mort CV, SG Diabéticos</t>
  </si>
  <si>
    <t>138/1075 (12,84%)</t>
  </si>
  <si>
    <t>172/1064 (16,17%)</t>
  </si>
  <si>
    <t>0,79 (0,65-0,98)</t>
  </si>
  <si>
    <t>3,33% (0,34% a 6,31%)</t>
  </si>
  <si>
    <t>30 (16 a 295)</t>
  </si>
  <si>
    <t>93/1298 (7,16%)</t>
  </si>
  <si>
    <t>146/1307 (11,17%)</t>
  </si>
  <si>
    <t>0,64 (0,5-0,82)</t>
  </si>
  <si>
    <t>4,01% (1,78% a 6,22%)</t>
  </si>
  <si>
    <t>25 (16 a 56)</t>
  </si>
  <si>
    <t>97,72%</t>
  </si>
  <si>
    <t>121/1075 (11,26%)</t>
  </si>
  <si>
    <t>148/1064 (13,91%)</t>
  </si>
  <si>
    <t>0,81 (0,65-1,01)</t>
  </si>
  <si>
    <t>2,65% (-0,17% a 5,47%)</t>
  </si>
  <si>
    <t>38 (18 a -601)</t>
  </si>
  <si>
    <t>45,66%</t>
  </si>
  <si>
    <t>106/1298 (8,17%)</t>
  </si>
  <si>
    <t>125/1307 (9,56%)</t>
  </si>
  <si>
    <t>0,85 (0,67-1,09)</t>
  </si>
  <si>
    <t>1,4% (-0,8% a 3,59%)</t>
  </si>
  <si>
    <t>72 (28 a -125)</t>
  </si>
  <si>
    <t>24,03%</t>
  </si>
  <si>
    <t>133/1298 (10,25%)</t>
  </si>
  <si>
    <t>151/1307 (11,55%)</t>
  </si>
  <si>
    <t>0,89 (0,71-1,11)</t>
  </si>
  <si>
    <t>1,31% (-1,09% a 3,71%)</t>
  </si>
  <si>
    <t>77 (27 a -91)</t>
  </si>
  <si>
    <t>18,67%</t>
  </si>
  <si>
    <t>143/1075 (13,3%)</t>
  </si>
  <si>
    <t>178/1064 (16,73%)</t>
  </si>
  <si>
    <t>0,8 (0,65-0,97)</t>
  </si>
  <si>
    <t>3,43% (0,4% a 6,46%)</t>
  </si>
  <si>
    <t>29 (15 a 252)</t>
  </si>
  <si>
    <t>60,22%</t>
  </si>
  <si>
    <t>Mort, SG NO-diabéticos</t>
  </si>
  <si>
    <t>Mort CV, SG NO-diabéticos</t>
  </si>
  <si>
    <t>NNT (IC 95%) en 17 meses</t>
  </si>
  <si>
    <t>Tto estándar + Dapaglifozina, n= 2368</t>
  </si>
  <si>
    <t>Tto estándar + Placebo, n= 2368</t>
  </si>
  <si>
    <t>RAR (IC 95%)</t>
  </si>
  <si>
    <t>386/2373 (16,27%)</t>
  </si>
  <si>
    <t>502/2371 (21,17%)</t>
  </si>
  <si>
    <t>4,91% (2,69% a 7,12%)</t>
  </si>
  <si>
    <t>20 (14 a 37)</t>
  </si>
  <si>
    <t>99,11%</t>
  </si>
  <si>
    <t>[Mort CV u Hosp+Urg InsCard], SG NYHA II</t>
  </si>
  <si>
    <t>[Mort CV u Hosp+Urg InsCard], SG NYHA III ó IV</t>
  </si>
  <si>
    <t>190/1606 (11,83%)</t>
  </si>
  <si>
    <t>289/1597 (18,1%)</t>
  </si>
  <si>
    <t>0,65 (0,55-0,77)</t>
  </si>
  <si>
    <t>6,27% (3,8% a 8,73%)</t>
  </si>
  <si>
    <t>16 (11 a 26)</t>
  </si>
  <si>
    <t>196/767 (25,55%)</t>
  </si>
  <si>
    <t>213/774 (27,52%)</t>
  </si>
  <si>
    <t>0,93 (0,79-1,1)</t>
  </si>
  <si>
    <t>1,97% (-2,43% a 6,37%)</t>
  </si>
  <si>
    <t>51 (16 a -41)</t>
  </si>
  <si>
    <t>Hosp InsCard, SG No-diabéticos</t>
  </si>
  <si>
    <t>Hosp InsCard, SG Diabéticos</t>
  </si>
  <si>
    <t>94,31%</t>
  </si>
  <si>
    <t>por año</t>
  </si>
  <si>
    <t>nº años</t>
  </si>
  <si>
    <t>nº meses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</si>
  <si>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 xml:space="preserve">InsuCard: </t>
    </r>
    <r>
      <rPr>
        <sz val="10"/>
        <rFont val="Calibri"/>
        <family val="2"/>
      </rPr>
      <t xml:space="preserve">insuficiencia cardíaca;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 </t>
    </r>
    <r>
      <rPr>
        <b/>
        <sz val="10"/>
        <rFont val="Calibri"/>
        <family val="2"/>
      </rPr>
      <t>NYHA:</t>
    </r>
    <r>
      <rPr>
        <sz val="10"/>
        <rFont val="Calibri"/>
        <family val="2"/>
      </rPr>
      <t xml:space="preserve"> escala de clasificación de síntomas en 5 niveles de la New York Heart Association; </t>
    </r>
    <r>
      <rPr>
        <b/>
        <sz val="10"/>
        <rFont val="Calibri"/>
        <family val="2"/>
      </rPr>
      <t>Mort CV:</t>
    </r>
    <r>
      <rPr>
        <sz val="10"/>
        <rFont val="Calibri"/>
        <family val="2"/>
      </rPr>
      <t xml:space="preserve"> mortalidad por causa cardiovascular;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</si>
  <si>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[Mort CV u Hospitalización o una visita urgente que resulte en terapia intravenosa para la InsCard], Cohorte completa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</si>
  <si>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Glu:</t>
    </r>
    <r>
      <rPr>
        <sz val="10"/>
        <rFont val="Calibri"/>
        <family val="2"/>
      </rPr>
      <t xml:space="preserve"> glucosa;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</si>
  <si>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r>
      <t>1</t>
    </r>
    <r>
      <rPr>
        <b/>
        <vertAlign val="superscript"/>
        <sz val="12"/>
        <rFont val="Calibri"/>
        <family val="2"/>
        <scheme val="minor"/>
      </rPr>
      <t>er</t>
    </r>
    <r>
      <rPr>
        <b/>
        <sz val="12"/>
        <rFont val="Calibri"/>
        <family val="2"/>
        <scheme val="minor"/>
      </rPr>
      <t xml:space="preserve"> evento de Hosp por InsCard, cohorte completa</t>
    </r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</si>
  <si>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evento de Hospitalización por Insuf Cardiaca</t>
    </r>
  </si>
  <si>
    <t>VARIABLES EXPERIENCIALES</t>
  </si>
  <si>
    <t>VARIABLES NO EXPERIENCIALES</t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</si>
  <si>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(EA) ACUMULADOS MÁS RELEVANTES DESPUÉS LA ALEATORIZACIÓN EN 17 MESES</t>
    </r>
  </si>
  <si>
    <r>
      <rPr>
        <b/>
        <sz val="22"/>
        <color rgb="FF993300"/>
        <rFont val="Calibri"/>
        <family val="2"/>
        <scheme val="minor"/>
      </rPr>
      <t xml:space="preserve">Gráfico g-3: </t>
    </r>
    <r>
      <rPr>
        <b/>
        <sz val="22"/>
        <color theme="1"/>
        <rFont val="Calibri"/>
        <family val="2"/>
        <scheme val="minor"/>
      </rPr>
      <t>Cruce de "Los 3 tiempos biográficos (3tB)” con "Los 3 destinos del NNT (3dNNT)” en "1</t>
    </r>
    <r>
      <rPr>
        <b/>
        <vertAlign val="superscript"/>
        <sz val="22"/>
        <color theme="1"/>
        <rFont val="Calibri"/>
        <family val="2"/>
        <scheme val="minor"/>
      </rPr>
      <t>er</t>
    </r>
    <r>
      <rPr>
        <b/>
        <sz val="22"/>
        <color theme="1"/>
        <rFont val="Calibri"/>
        <family val="2"/>
        <scheme val="minor"/>
      </rPr>
      <t xml:space="preserve"> evento de Hospitalización por Insuficiencia cardíaca", durante un seguimiento de 17 meses.</t>
    </r>
  </si>
  <si>
    <r>
      <rPr>
        <b/>
        <sz val="22"/>
        <color rgb="FF993300"/>
        <rFont val="Calibri"/>
        <family val="2"/>
        <scheme val="minor"/>
      </rPr>
      <t xml:space="preserve">Gráfico g-2: </t>
    </r>
    <r>
      <rPr>
        <b/>
        <sz val="22"/>
        <color theme="1"/>
        <rFont val="Calibri"/>
        <family val="2"/>
        <scheme val="minor"/>
      </rPr>
      <t>Cruce de "Los 3 tiempos biográficos (3tB)” con "Los 3 destinos del NNT (3dNNT)” en "Mortalidad CV", durante un seguimiento de 17 meses.</t>
    </r>
  </si>
  <si>
    <r>
      <rPr>
        <b/>
        <sz val="22"/>
        <color rgb="FF993300"/>
        <rFont val="Calibri"/>
        <family val="2"/>
        <scheme val="minor"/>
      </rPr>
      <t xml:space="preserve">Gráfico g-1: </t>
    </r>
    <r>
      <rPr>
        <b/>
        <sz val="22"/>
        <color theme="1"/>
        <rFont val="Calibri"/>
        <family val="2"/>
        <scheme val="minor"/>
      </rPr>
      <t>Cruce de "Los 3 tiempos biográficos (3tB)” con "Los 3 destinos del NNT (3dNNT)” en "Mortalidad por todas las causas", durante un seguimiento de 17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</si>
</sst>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0.0%"/>
    <numFmt numFmtId="168" formatCode="_-* #,##0\ _€_-;\-* #,##0\ _€_-;_-* &quot;-&quot;??\ _€_-;_-@_-"/>
    <numFmt numFmtId="169" formatCode="_-* #,##0.000\ _€_-;\-* #,##0.000\ _€_-;_-* &quot;-&quot;??\ _€_-;_-@_-"/>
    <numFmt numFmtId="170" formatCode="#,##0.00_ ;\-#,##0.00\ "/>
    <numFmt numFmtId="171" formatCode="_-* #,##0.0000\ _€_-;\-* #,##0.0000\ _€_-;_-* &quot;-&quot;??\ _€_-;_-@_-"/>
    <numFmt numFmtId="172" formatCode="_-* #,##0.00000\ _€_-;\-* #,##0.00000\ _€_-;_-* &quot;-&quot;??\ _€_-;_-@_-"/>
    <numFmt numFmtId="173" formatCode="_-* #,##0.0\ _€_-;\-* #,##0.0\ _€_-;_-* &quot;-&quot;?\ _€_-;_-@_-"/>
    <numFmt numFmtId="174" formatCode="_-* #,##0.000000\ _€_-;\-* #,##0.000000\ _€_-;_-* &quot;-&quot;??\ _€_-;_-@_-"/>
    <numFmt numFmtId="175" formatCode="_-* #,##0.0000\ _€_-;\-* #,##0.0000\ _€_-;_-* &quot;-&quot;?\ _€_-;_-@_-"/>
    <numFmt numFmtId="176" formatCode="0.000"/>
    <numFmt numFmtId="177" formatCode="_-* #,##0.000\ _€_-;\-* #,##0.000\ _€_-;_-* &quot;-&quot;???\ _€_-;_-@_-"/>
    <numFmt numFmtId="178" formatCode="0.0000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C99FF"/>
      <name val="Calibri"/>
      <family val="2"/>
      <scheme val="minor"/>
    </font>
    <font>
      <b/>
      <sz val="10"/>
      <color rgb="FF0000FF"/>
      <name val="Calibri"/>
      <family val="2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11"/>
      <color rgb="FF008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u/>
      <sz val="14"/>
      <color rgb="FFC00000"/>
      <name val="Calibri"/>
      <family val="2"/>
      <scheme val="minor"/>
    </font>
    <font>
      <u/>
      <sz val="10"/>
      <name val="Calibri"/>
      <family val="2"/>
    </font>
    <font>
      <i/>
      <sz val="11"/>
      <name val="Calibri"/>
      <family val="2"/>
      <scheme val="minor"/>
    </font>
    <font>
      <b/>
      <i/>
      <sz val="10"/>
      <color rgb="FF0099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2"/>
      <color rgb="FF669900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9933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66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FF6600"/>
      <name val="Calibri"/>
      <family val="2"/>
      <scheme val="minor"/>
    </font>
    <font>
      <sz val="11"/>
      <name val="Calibri"/>
      <family val="2"/>
    </font>
    <font>
      <b/>
      <vertAlign val="superscript"/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993300"/>
      <name val="Calibri"/>
      <family val="2"/>
      <scheme val="minor"/>
    </font>
    <font>
      <b/>
      <vertAlign val="superscript"/>
      <sz val="22"/>
      <color theme="1"/>
      <name val="Calibri"/>
      <family val="2"/>
      <scheme val="minor"/>
    </font>
    <font>
      <sz val="11"/>
      <color rgb="FFFF66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4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167" fontId="8" fillId="0" borderId="0" xfId="2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167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/>
    <xf numFmtId="167" fontId="12" fillId="0" borderId="0" xfId="2" applyNumberFormat="1" applyFont="1" applyAlignment="1">
      <alignment horizontal="center"/>
    </xf>
    <xf numFmtId="3" fontId="4" fillId="0" borderId="7" xfId="0" applyNumberFormat="1" applyFont="1" applyBorder="1"/>
    <xf numFmtId="1" fontId="11" fillId="0" borderId="0" xfId="0" applyNumberFormat="1" applyFont="1"/>
    <xf numFmtId="0" fontId="15" fillId="0" borderId="0" xfId="0" applyFont="1" applyAlignment="1">
      <alignment vertical="center"/>
    </xf>
    <xf numFmtId="0" fontId="0" fillId="0" borderId="0" xfId="0" applyBorder="1"/>
    <xf numFmtId="167" fontId="15" fillId="0" borderId="0" xfId="2" applyNumberFormat="1" applyFont="1" applyAlignment="1">
      <alignment horizontal="left" vertical="center"/>
    </xf>
    <xf numFmtId="0" fontId="15" fillId="0" borderId="0" xfId="0" applyFont="1"/>
    <xf numFmtId="49" fontId="15" fillId="0" borderId="0" xfId="0" applyNumberFormat="1" applyFont="1"/>
    <xf numFmtId="1" fontId="15" fillId="3" borderId="0" xfId="0" applyNumberFormat="1" applyFont="1" applyFill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2" fontId="7" fillId="2" borderId="7" xfId="0" applyNumberFormat="1" applyFont="1" applyFill="1" applyBorder="1" applyAlignment="1">
      <alignment vertical="center"/>
    </xf>
    <xf numFmtId="167" fontId="8" fillId="0" borderId="0" xfId="2" applyNumberFormat="1" applyFont="1" applyAlignment="1">
      <alignment horizontal="center" vertical="center"/>
    </xf>
    <xf numFmtId="167" fontId="8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7" fontId="12" fillId="0" borderId="0" xfId="2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7" fontId="12" fillId="0" borderId="0" xfId="2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horizontal="right" vertical="center"/>
    </xf>
    <xf numFmtId="9" fontId="15" fillId="0" borderId="0" xfId="0" applyNumberFormat="1" applyFont="1"/>
    <xf numFmtId="0" fontId="15" fillId="0" borderId="0" xfId="0" applyFont="1" applyAlignment="1">
      <alignment horizontal="left" vertical="top"/>
    </xf>
    <xf numFmtId="165" fontId="11" fillId="3" borderId="7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ill="1" applyBorder="1"/>
    <xf numFmtId="0" fontId="0" fillId="5" borderId="7" xfId="0" applyFill="1" applyBorder="1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center" vertical="center"/>
    </xf>
    <xf numFmtId="168" fontId="4" fillId="0" borderId="0" xfId="1" applyNumberFormat="1" applyFont="1" applyFill="1" applyBorder="1" applyAlignment="1"/>
    <xf numFmtId="168" fontId="21" fillId="0" borderId="0" xfId="1" applyNumberFormat="1" applyFont="1" applyFill="1" applyBorder="1" applyAlignment="1"/>
    <xf numFmtId="168" fontId="2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3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vertical="center" wrapText="1"/>
    </xf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164" fontId="2" fillId="0" borderId="0" xfId="0" applyNumberFormat="1" applyFont="1"/>
    <xf numFmtId="164" fontId="2" fillId="0" borderId="0" xfId="1" applyFont="1" applyFill="1"/>
    <xf numFmtId="0" fontId="29" fillId="0" borderId="0" xfId="0" applyFont="1" applyFill="1"/>
    <xf numFmtId="169" fontId="2" fillId="0" borderId="0" xfId="0" applyNumberFormat="1" applyFont="1" applyBorder="1" applyAlignment="1">
      <alignment horizontal="left" vertical="center"/>
    </xf>
    <xf numFmtId="166" fontId="4" fillId="0" borderId="1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68" fontId="2" fillId="7" borderId="7" xfId="0" applyNumberFormat="1" applyFont="1" applyFill="1" applyBorder="1" applyAlignment="1">
      <alignment vertical="center"/>
    </xf>
    <xf numFmtId="168" fontId="2" fillId="0" borderId="7" xfId="0" applyNumberFormat="1" applyFont="1" applyBorder="1" applyAlignment="1">
      <alignment vertical="center"/>
    </xf>
    <xf numFmtId="168" fontId="2" fillId="7" borderId="7" xfId="1" applyNumberFormat="1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10" fontId="2" fillId="0" borderId="0" xfId="2" applyNumberFormat="1" applyFont="1" applyFill="1"/>
    <xf numFmtId="10" fontId="2" fillId="0" borderId="0" xfId="0" applyNumberFormat="1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5" xfId="1" applyFont="1" applyFill="1" applyBorder="1" applyAlignment="1">
      <alignment horizontal="center" vertical="center" wrapText="1"/>
    </xf>
    <xf numFmtId="164" fontId="4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70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7" fontId="4" fillId="0" borderId="7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32" fillId="0" borderId="0" xfId="1" applyFont="1" applyFill="1" applyBorder="1"/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164" fontId="32" fillId="0" borderId="0" xfId="1" applyFont="1" applyFill="1" applyAlignment="1">
      <alignment horizontal="right"/>
    </xf>
    <xf numFmtId="0" fontId="32" fillId="0" borderId="0" xfId="0" applyFont="1" applyFill="1" applyBorder="1"/>
    <xf numFmtId="164" fontId="2" fillId="0" borderId="0" xfId="0" applyNumberFormat="1" applyFont="1" applyFill="1"/>
    <xf numFmtId="171" fontId="2" fillId="0" borderId="0" xfId="0" applyNumberFormat="1" applyFont="1" applyFill="1" applyBorder="1" applyAlignment="1">
      <alignment horizontal="center" vertical="center" wrapText="1"/>
    </xf>
    <xf numFmtId="172" fontId="2" fillId="0" borderId="0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4" fontId="2" fillId="0" borderId="0" xfId="1" applyFont="1" applyBorder="1" applyAlignment="1">
      <alignment horizontal="center"/>
    </xf>
    <xf numFmtId="174" fontId="2" fillId="0" borderId="0" xfId="1" applyNumberFormat="1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174" fontId="2" fillId="0" borderId="0" xfId="1" applyNumberFormat="1" applyFont="1" applyFill="1" applyBorder="1" applyAlignment="1">
      <alignment horizontal="center"/>
    </xf>
    <xf numFmtId="164" fontId="4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3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6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4" fontId="2" fillId="0" borderId="2" xfId="1" applyNumberFormat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4" fillId="0" borderId="2" xfId="1" applyFont="1" applyFill="1" applyBorder="1" applyAlignment="1"/>
    <xf numFmtId="164" fontId="4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8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164" fontId="4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5" fontId="2" fillId="0" borderId="23" xfId="0" applyNumberFormat="1" applyFont="1" applyBorder="1"/>
    <xf numFmtId="167" fontId="2" fillId="0" borderId="23" xfId="2" applyNumberFormat="1" applyFont="1" applyFill="1" applyBorder="1" applyAlignment="1">
      <alignment horizontal="center" vertical="center" wrapText="1"/>
    </xf>
    <xf numFmtId="169" fontId="4" fillId="0" borderId="23" xfId="1" applyNumberFormat="1" applyFont="1" applyFill="1" applyBorder="1"/>
    <xf numFmtId="0" fontId="4" fillId="0" borderId="0" xfId="0" applyFont="1" applyAlignment="1">
      <alignment horizontal="left"/>
    </xf>
    <xf numFmtId="166" fontId="2" fillId="0" borderId="0" xfId="0" applyNumberFormat="1" applyFont="1" applyFill="1" applyBorder="1"/>
    <xf numFmtId="176" fontId="2" fillId="0" borderId="23" xfId="0" applyNumberFormat="1" applyFont="1" applyFill="1" applyBorder="1" applyAlignment="1">
      <alignment horizontal="center" vertical="center" wrapText="1"/>
    </xf>
    <xf numFmtId="171" fontId="2" fillId="9" borderId="23" xfId="1" applyNumberFormat="1" applyFont="1" applyFill="1" applyBorder="1"/>
    <xf numFmtId="0" fontId="4" fillId="0" borderId="0" xfId="0" applyFont="1" applyBorder="1"/>
    <xf numFmtId="167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4" fontId="2" fillId="0" borderId="0" xfId="0" applyNumberFormat="1" applyFont="1" applyBorder="1"/>
    <xf numFmtId="10" fontId="40" fillId="0" borderId="23" xfId="0" applyNumberFormat="1" applyFont="1" applyBorder="1"/>
    <xf numFmtId="0" fontId="41" fillId="0" borderId="0" xfId="0" applyFont="1" applyBorder="1"/>
    <xf numFmtId="49" fontId="5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41" fillId="0" borderId="5" xfId="0" applyFont="1" applyBorder="1"/>
    <xf numFmtId="0" fontId="2" fillId="0" borderId="5" xfId="0" applyFont="1" applyBorder="1"/>
    <xf numFmtId="177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8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4" fillId="0" borderId="0" xfId="2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/>
    </xf>
    <xf numFmtId="49" fontId="43" fillId="0" borderId="0" xfId="1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center"/>
    </xf>
    <xf numFmtId="164" fontId="4" fillId="0" borderId="23" xfId="1" applyFont="1" applyFill="1" applyBorder="1" applyAlignment="1">
      <alignment horizontal="center" vertical="center" wrapText="1"/>
    </xf>
    <xf numFmtId="0" fontId="28" fillId="0" borderId="0" xfId="0" applyFont="1" applyFill="1" applyBorder="1"/>
    <xf numFmtId="164" fontId="2" fillId="0" borderId="0" xfId="1" applyFont="1" applyFill="1" applyBorder="1" applyAlignment="1"/>
    <xf numFmtId="10" fontId="24" fillId="0" borderId="0" xfId="2" applyNumberFormat="1" applyFont="1" applyFill="1" applyBorder="1" applyAlignment="1">
      <alignment horizontal="center"/>
    </xf>
    <xf numFmtId="0" fontId="42" fillId="12" borderId="0" xfId="0" applyFont="1" applyFill="1" applyBorder="1" applyAlignment="1">
      <alignment horizontal="center" vertical="center" wrapText="1"/>
    </xf>
    <xf numFmtId="0" fontId="42" fillId="12" borderId="0" xfId="0" applyFont="1" applyFill="1" applyBorder="1"/>
    <xf numFmtId="0" fontId="42" fillId="12" borderId="0" xfId="0" applyFont="1" applyFill="1" applyBorder="1" applyAlignment="1">
      <alignment horizontal="right"/>
    </xf>
    <xf numFmtId="1" fontId="42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8" fontId="24" fillId="0" borderId="0" xfId="1" applyNumberFormat="1" applyFont="1" applyFill="1" applyBorder="1" applyAlignment="1">
      <alignment horizontal="center"/>
    </xf>
    <xf numFmtId="0" fontId="42" fillId="13" borderId="0" xfId="0" applyFont="1" applyFill="1" applyBorder="1" applyAlignment="1">
      <alignment horizontal="center" vertical="center" wrapText="1"/>
    </xf>
    <xf numFmtId="0" fontId="42" fillId="13" borderId="0" xfId="0" applyFont="1" applyFill="1" applyBorder="1"/>
    <xf numFmtId="0" fontId="42" fillId="13" borderId="0" xfId="0" applyFont="1" applyFill="1" applyBorder="1" applyAlignment="1">
      <alignment horizontal="right"/>
    </xf>
    <xf numFmtId="1" fontId="42" fillId="13" borderId="0" xfId="0" applyNumberFormat="1" applyFont="1" applyFill="1" applyBorder="1" applyAlignment="1">
      <alignment horizontal="center" vertical="distributed"/>
    </xf>
    <xf numFmtId="164" fontId="2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Border="1"/>
    <xf numFmtId="164" fontId="2" fillId="0" borderId="0" xfId="0" applyNumberFormat="1" applyFont="1" applyFill="1" applyBorder="1"/>
    <xf numFmtId="168" fontId="42" fillId="14" borderId="0" xfId="0" applyNumberFormat="1" applyFont="1" applyFill="1" applyBorder="1" applyAlignment="1">
      <alignment horizontal="center" vertical="center" wrapText="1"/>
    </xf>
    <xf numFmtId="164" fontId="44" fillId="14" borderId="0" xfId="1" applyFont="1" applyFill="1" applyBorder="1"/>
    <xf numFmtId="164" fontId="42" fillId="14" borderId="0" xfId="1" applyFont="1" applyFill="1" applyBorder="1" applyAlignment="1">
      <alignment horizontal="right"/>
    </xf>
    <xf numFmtId="1" fontId="42" fillId="14" borderId="0" xfId="0" applyNumberFormat="1" applyFont="1" applyFill="1" applyBorder="1" applyAlignment="1">
      <alignment horizontal="center" vertical="distributed"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/>
    <xf numFmtId="1" fontId="42" fillId="0" borderId="0" xfId="0" applyNumberFormat="1" applyFont="1" applyBorder="1" applyAlignment="1">
      <alignment horizontal="center"/>
    </xf>
    <xf numFmtId="164" fontId="2" fillId="0" borderId="5" xfId="1" applyFont="1" applyFill="1" applyBorder="1" applyAlignment="1">
      <alignment horizontal="center"/>
    </xf>
    <xf numFmtId="164" fontId="4" fillId="0" borderId="5" xfId="1" applyFont="1" applyFill="1" applyBorder="1" applyAlignment="1"/>
    <xf numFmtId="0" fontId="42" fillId="0" borderId="0" xfId="0" applyFont="1" applyFill="1" applyBorder="1" applyAlignment="1">
      <alignment horizontal="right" vertical="center"/>
    </xf>
    <xf numFmtId="49" fontId="42" fillId="0" borderId="0" xfId="1" applyNumberFormat="1" applyFont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49" fontId="23" fillId="0" borderId="0" xfId="0" applyNumberFormat="1" applyFont="1"/>
    <xf numFmtId="0" fontId="42" fillId="11" borderId="0" xfId="0" applyFont="1" applyFill="1" applyBorder="1" applyAlignment="1">
      <alignment horizontal="center" vertical="center" wrapText="1"/>
    </xf>
    <xf numFmtId="0" fontId="42" fillId="11" borderId="0" xfId="0" applyFont="1" applyFill="1" applyBorder="1"/>
    <xf numFmtId="0" fontId="42" fillId="11" borderId="0" xfId="0" applyFont="1" applyFill="1" applyBorder="1" applyAlignment="1">
      <alignment horizontal="right"/>
    </xf>
    <xf numFmtId="1" fontId="42" fillId="11" borderId="0" xfId="0" applyNumberFormat="1" applyFont="1" applyFill="1" applyBorder="1" applyAlignment="1">
      <alignment horizontal="center" vertical="distributed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8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168" fontId="23" fillId="0" borderId="7" xfId="1" applyNumberFormat="1" applyFont="1" applyFill="1" applyBorder="1"/>
    <xf numFmtId="0" fontId="22" fillId="0" borderId="7" xfId="0" applyFont="1" applyFill="1" applyBorder="1" applyAlignment="1">
      <alignment horizontal="right" vertical="center"/>
    </xf>
    <xf numFmtId="164" fontId="2" fillId="0" borderId="7" xfId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/>
    <xf numFmtId="0" fontId="3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8" fontId="4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8" fontId="25" fillId="0" borderId="7" xfId="1" applyNumberFormat="1" applyFont="1" applyFill="1" applyBorder="1"/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center"/>
    </xf>
    <xf numFmtId="168" fontId="23" fillId="0" borderId="0" xfId="1" applyNumberFormat="1" applyFont="1" applyFill="1" applyBorder="1"/>
    <xf numFmtId="168" fontId="25" fillId="0" borderId="0" xfId="1" applyNumberFormat="1" applyFont="1" applyFill="1" applyBorder="1"/>
    <xf numFmtId="168" fontId="33" fillId="0" borderId="0" xfId="0" applyNumberFormat="1" applyFont="1" applyFill="1" applyBorder="1"/>
    <xf numFmtId="0" fontId="47" fillId="0" borderId="20" xfId="0" applyFont="1" applyBorder="1" applyAlignment="1">
      <alignment horizontal="left" vertical="center"/>
    </xf>
    <xf numFmtId="168" fontId="2" fillId="0" borderId="0" xfId="1" applyNumberFormat="1" applyFont="1" applyAlignment="1">
      <alignment horizontal="center" vertical="center" wrapText="1"/>
    </xf>
    <xf numFmtId="164" fontId="47" fillId="0" borderId="7" xfId="1" applyFont="1" applyBorder="1"/>
    <xf numFmtId="0" fontId="25" fillId="0" borderId="0" xfId="0" applyFont="1" applyAlignment="1">
      <alignment horizontal="right"/>
    </xf>
    <xf numFmtId="164" fontId="4" fillId="0" borderId="0" xfId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164" fontId="2" fillId="3" borderId="0" xfId="0" applyNumberFormat="1" applyFont="1" applyFill="1" applyAlignment="1">
      <alignment horizontal="center" vertical="center" wrapText="1"/>
    </xf>
    <xf numFmtId="164" fontId="2" fillId="0" borderId="0" xfId="1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7" xfId="0" applyNumberFormat="1" applyFont="1" applyBorder="1"/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9" fontId="4" fillId="3" borderId="7" xfId="1" applyNumberFormat="1" applyFont="1" applyFill="1" applyBorder="1"/>
    <xf numFmtId="17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/>
    <xf numFmtId="176" fontId="2" fillId="0" borderId="0" xfId="0" applyNumberFormat="1" applyFont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1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5" fillId="0" borderId="2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65" fontId="15" fillId="2" borderId="21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165" fontId="16" fillId="2" borderId="25" xfId="0" applyNumberFormat="1" applyFont="1" applyFill="1" applyBorder="1" applyAlignment="1">
      <alignment horizontal="center" vertical="center"/>
    </xf>
    <xf numFmtId="2" fontId="42" fillId="14" borderId="0" xfId="0" applyNumberFormat="1" applyFont="1" applyFill="1" applyBorder="1" applyAlignment="1">
      <alignment horizontal="center" vertical="distributed"/>
    </xf>
    <xf numFmtId="165" fontId="42" fillId="12" borderId="0" xfId="0" applyNumberFormat="1" applyFont="1" applyFill="1" applyBorder="1" applyAlignment="1">
      <alignment horizontal="center" vertical="distributed"/>
    </xf>
    <xf numFmtId="0" fontId="27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49" fillId="0" borderId="7" xfId="0" applyNumberFormat="1" applyFont="1" applyFill="1" applyBorder="1" applyAlignment="1">
      <alignment horizontal="center" vertical="center" wrapText="1"/>
    </xf>
    <xf numFmtId="1" fontId="50" fillId="0" borderId="7" xfId="0" applyNumberFormat="1" applyFont="1" applyFill="1" applyBorder="1" applyAlignment="1">
      <alignment horizontal="center" vertical="center" wrapText="1"/>
    </xf>
    <xf numFmtId="1" fontId="51" fillId="0" borderId="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69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45" fillId="4" borderId="7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/>
    <xf numFmtId="0" fontId="19" fillId="0" borderId="0" xfId="0" applyFont="1" applyBorder="1" applyAlignment="1">
      <alignment horizontal="center" vertical="center"/>
    </xf>
    <xf numFmtId="0" fontId="0" fillId="6" borderId="7" xfId="0" applyFill="1" applyBorder="1"/>
    <xf numFmtId="0" fontId="48" fillId="2" borderId="7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 vertical="center" wrapText="1"/>
    </xf>
    <xf numFmtId="176" fontId="2" fillId="4" borderId="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63" fillId="4" borderId="7" xfId="0" applyNumberFormat="1" applyFont="1" applyFill="1" applyBorder="1" applyAlignment="1">
      <alignment horizontal="center" vertical="center"/>
    </xf>
    <xf numFmtId="1" fontId="64" fillId="4" borderId="7" xfId="0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 wrapText="1"/>
    </xf>
    <xf numFmtId="169" fontId="65" fillId="0" borderId="0" xfId="1" applyNumberFormat="1" applyFont="1"/>
    <xf numFmtId="0" fontId="0" fillId="18" borderId="7" xfId="0" applyFill="1" applyBorder="1"/>
    <xf numFmtId="165" fontId="11" fillId="2" borderId="26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7" fillId="0" borderId="32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27" fillId="0" borderId="29" xfId="0" applyFont="1" applyFill="1" applyBorder="1" applyAlignment="1">
      <alignment horizontal="center" vertical="center" wrapText="1"/>
    </xf>
    <xf numFmtId="1" fontId="53" fillId="4" borderId="7" xfId="0" applyNumberFormat="1" applyFont="1" applyFill="1" applyBorder="1" applyAlignment="1">
      <alignment horizontal="center" vertical="center"/>
    </xf>
    <xf numFmtId="1" fontId="52" fillId="4" borderId="7" xfId="0" applyNumberFormat="1" applyFont="1" applyFill="1" applyBorder="1" applyAlignment="1">
      <alignment horizontal="center" vertical="center"/>
    </xf>
    <xf numFmtId="1" fontId="62" fillId="4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71" fillId="0" borderId="0" xfId="0" applyFont="1"/>
    <xf numFmtId="0" fontId="71" fillId="0" borderId="0" xfId="0" applyFont="1" applyAlignment="1">
      <alignment horizontal="center"/>
    </xf>
    <xf numFmtId="10" fontId="71" fillId="0" borderId="0" xfId="2" applyNumberFormat="1" applyFont="1"/>
    <xf numFmtId="10" fontId="71" fillId="0" borderId="0" xfId="2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10" fontId="45" fillId="4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9" fontId="2" fillId="4" borderId="0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" fontId="63" fillId="4" borderId="0" xfId="0" applyNumberFormat="1" applyFont="1" applyFill="1" applyBorder="1" applyAlignment="1">
      <alignment horizontal="center" vertical="center"/>
    </xf>
    <xf numFmtId="1" fontId="64" fillId="4" borderId="0" xfId="0" applyNumberFormat="1" applyFont="1" applyFill="1" applyBorder="1" applyAlignment="1">
      <alignment horizontal="center" vertical="center"/>
    </xf>
    <xf numFmtId="2" fontId="72" fillId="0" borderId="0" xfId="0" applyNumberFormat="1" applyFont="1" applyBorder="1" applyAlignment="1">
      <alignment horizontal="center" vertical="center"/>
    </xf>
    <xf numFmtId="2" fontId="73" fillId="0" borderId="0" xfId="0" applyNumberFormat="1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7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2" fillId="4" borderId="7" xfId="0" applyNumberFormat="1" applyFont="1" applyFill="1" applyBorder="1" applyAlignment="1">
      <alignment horizontal="center" vertical="center"/>
    </xf>
    <xf numFmtId="49" fontId="45" fillId="4" borderId="7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right" vertical="center"/>
    </xf>
    <xf numFmtId="0" fontId="33" fillId="4" borderId="7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169" fontId="33" fillId="4" borderId="0" xfId="0" applyNumberFormat="1" applyFont="1" applyFill="1" applyBorder="1" applyAlignment="1">
      <alignment horizontal="right"/>
    </xf>
    <xf numFmtId="176" fontId="33" fillId="4" borderId="0" xfId="0" applyNumberFormat="1" applyFont="1" applyFill="1" applyBorder="1" applyAlignment="1">
      <alignment horizontal="right" vertical="center"/>
    </xf>
    <xf numFmtId="0" fontId="33" fillId="4" borderId="0" xfId="0" applyFont="1" applyFill="1" applyAlignment="1">
      <alignment horizontal="right" vertical="center"/>
    </xf>
    <xf numFmtId="9" fontId="33" fillId="4" borderId="0" xfId="2" applyNumberFormat="1" applyFont="1" applyFill="1" applyAlignment="1">
      <alignment horizontal="right" vertical="center"/>
    </xf>
    <xf numFmtId="0" fontId="45" fillId="4" borderId="38" xfId="0" applyFont="1" applyFill="1" applyBorder="1" applyAlignment="1">
      <alignment horizontal="center" vertical="center"/>
    </xf>
    <xf numFmtId="0" fontId="70" fillId="2" borderId="38" xfId="0" applyFont="1" applyFill="1" applyBorder="1" applyAlignment="1">
      <alignment horizontal="center" vertical="center"/>
    </xf>
    <xf numFmtId="9" fontId="45" fillId="4" borderId="39" xfId="0" applyNumberFormat="1" applyFont="1" applyFill="1" applyBorder="1" applyAlignment="1">
      <alignment horizontal="center" vertical="center"/>
    </xf>
    <xf numFmtId="0" fontId="79" fillId="4" borderId="40" xfId="0" applyFont="1" applyFill="1" applyBorder="1" applyAlignment="1">
      <alignment horizontal="right" vertical="center"/>
    </xf>
    <xf numFmtId="10" fontId="33" fillId="4" borderId="41" xfId="0" applyNumberFormat="1" applyFont="1" applyFill="1" applyBorder="1" applyAlignment="1">
      <alignment horizontal="right" vertical="center"/>
    </xf>
    <xf numFmtId="0" fontId="79" fillId="4" borderId="27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0" fontId="33" fillId="4" borderId="25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10" fontId="33" fillId="4" borderId="26" xfId="0" applyNumberFormat="1" applyFont="1" applyFill="1" applyBorder="1" applyAlignment="1">
      <alignment horizontal="right" vertical="center"/>
    </xf>
    <xf numFmtId="2" fontId="72" fillId="4" borderId="0" xfId="0" applyNumberFormat="1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 vertical="center"/>
    </xf>
    <xf numFmtId="2" fontId="64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89" fillId="0" borderId="27" xfId="0" applyFont="1" applyBorder="1" applyAlignment="1">
      <alignment horizontal="right" vertical="center" wrapText="1"/>
    </xf>
    <xf numFmtId="0" fontId="88" fillId="4" borderId="40" xfId="0" applyFont="1" applyFill="1" applyBorder="1" applyAlignment="1">
      <alignment horizontal="right" vertical="center"/>
    </xf>
    <xf numFmtId="1" fontId="80" fillId="4" borderId="7" xfId="0" applyNumberFormat="1" applyFont="1" applyFill="1" applyBorder="1" applyAlignment="1">
      <alignment horizontal="right" vertical="center"/>
    </xf>
    <xf numFmtId="1" fontId="81" fillId="4" borderId="7" xfId="0" applyNumberFormat="1" applyFont="1" applyFill="1" applyBorder="1" applyAlignment="1">
      <alignment horizontal="right" vertical="center"/>
    </xf>
    <xf numFmtId="1" fontId="22" fillId="4" borderId="7" xfId="0" applyNumberFormat="1" applyFont="1" applyFill="1" applyBorder="1" applyAlignment="1">
      <alignment horizontal="right" vertical="center"/>
    </xf>
    <xf numFmtId="1" fontId="91" fillId="4" borderId="7" xfId="0" applyNumberFormat="1" applyFont="1" applyFill="1" applyBorder="1" applyAlignment="1">
      <alignment horizontal="right" vertical="center"/>
    </xf>
    <xf numFmtId="0" fontId="90" fillId="0" borderId="25" xfId="0" applyFont="1" applyFill="1" applyBorder="1" applyAlignment="1">
      <alignment horizontal="right" vertical="center"/>
    </xf>
    <xf numFmtId="3" fontId="7" fillId="0" borderId="0" xfId="0" applyNumberFormat="1" applyFont="1"/>
    <xf numFmtId="3" fontId="9" fillId="0" borderId="0" xfId="0" applyNumberFormat="1" applyFont="1"/>
    <xf numFmtId="3" fontId="11" fillId="0" borderId="0" xfId="0" applyNumberFormat="1" applyFont="1"/>
    <xf numFmtId="0" fontId="92" fillId="4" borderId="40" xfId="0" applyFont="1" applyFill="1" applyBorder="1" applyAlignment="1">
      <alignment horizontal="right" vertical="center"/>
    </xf>
    <xf numFmtId="0" fontId="70" fillId="2" borderId="7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0" fontId="2" fillId="0" borderId="0" xfId="2" applyNumberFormat="1" applyFont="1"/>
    <xf numFmtId="2" fontId="71" fillId="0" borderId="0" xfId="0" applyNumberFormat="1" applyFont="1" applyAlignment="1">
      <alignment horizontal="center"/>
    </xf>
    <xf numFmtId="165" fontId="71" fillId="0" borderId="0" xfId="0" applyNumberFormat="1" applyFont="1" applyAlignment="1">
      <alignment horizontal="center"/>
    </xf>
    <xf numFmtId="0" fontId="55" fillId="17" borderId="16" xfId="0" applyFont="1" applyFill="1" applyBorder="1" applyAlignment="1">
      <alignment vertical="center"/>
    </xf>
    <xf numFmtId="0" fontId="55" fillId="17" borderId="13" xfId="0" applyFont="1" applyFill="1" applyBorder="1" applyAlignment="1">
      <alignment vertical="center"/>
    </xf>
    <xf numFmtId="0" fontId="55" fillId="17" borderId="14" xfId="0" applyFont="1" applyFill="1" applyBorder="1" applyAlignment="1">
      <alignment vertical="center"/>
    </xf>
    <xf numFmtId="0" fontId="6" fillId="4" borderId="29" xfId="0" applyFont="1" applyFill="1" applyBorder="1" applyAlignment="1">
      <alignment horizontal="left" vertical="center" wrapText="1"/>
    </xf>
    <xf numFmtId="0" fontId="92" fillId="4" borderId="27" xfId="0" applyFont="1" applyFill="1" applyBorder="1" applyAlignment="1">
      <alignment horizontal="right" vertical="center"/>
    </xf>
    <xf numFmtId="2" fontId="60" fillId="4" borderId="7" xfId="0" applyNumberFormat="1" applyFont="1" applyFill="1" applyBorder="1" applyAlignment="1">
      <alignment horizontal="center" vertical="center"/>
    </xf>
    <xf numFmtId="2" fontId="61" fillId="4" borderId="7" xfId="0" applyNumberFormat="1" applyFont="1" applyFill="1" applyBorder="1" applyAlignment="1">
      <alignment horizontal="center" vertical="center"/>
    </xf>
    <xf numFmtId="2" fontId="52" fillId="4" borderId="7" xfId="0" applyNumberFormat="1" applyFont="1" applyFill="1" applyBorder="1" applyAlignment="1">
      <alignment horizontal="center" vertical="center"/>
    </xf>
    <xf numFmtId="2" fontId="62" fillId="4" borderId="7" xfId="0" applyNumberFormat="1" applyFont="1" applyFill="1" applyBorder="1" applyAlignment="1">
      <alignment horizontal="center" vertical="center"/>
    </xf>
    <xf numFmtId="0" fontId="86" fillId="4" borderId="0" xfId="0" applyFont="1" applyFill="1" applyAlignment="1">
      <alignment horizontal="center" vertical="center"/>
    </xf>
    <xf numFmtId="2" fontId="82" fillId="4" borderId="0" xfId="0" applyNumberFormat="1" applyFont="1" applyFill="1" applyBorder="1" applyAlignment="1">
      <alignment horizontal="right" vertical="center"/>
    </xf>
    <xf numFmtId="2" fontId="83" fillId="4" borderId="0" xfId="0" applyNumberFormat="1" applyFont="1" applyFill="1" applyBorder="1" applyAlignment="1">
      <alignment horizontal="right" vertical="center"/>
    </xf>
    <xf numFmtId="2" fontId="84" fillId="4" borderId="0" xfId="0" applyNumberFormat="1" applyFont="1" applyFill="1" applyBorder="1" applyAlignment="1">
      <alignment horizontal="right" vertical="center"/>
    </xf>
    <xf numFmtId="2" fontId="85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left"/>
    </xf>
    <xf numFmtId="0" fontId="46" fillId="4" borderId="0" xfId="0" applyFont="1" applyFill="1" applyAlignment="1">
      <alignment horizontal="left" vertical="center"/>
    </xf>
    <xf numFmtId="0" fontId="4" fillId="2" borderId="16" xfId="0" applyFont="1" applyFill="1" applyBorder="1" applyAlignment="1">
      <alignment vertical="top"/>
    </xf>
    <xf numFmtId="0" fontId="5" fillId="4" borderId="29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9" fontId="2" fillId="4" borderId="39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left"/>
    </xf>
    <xf numFmtId="0" fontId="6" fillId="16" borderId="16" xfId="0" applyFont="1" applyFill="1" applyBorder="1" applyAlignment="1">
      <alignment vertical="center"/>
    </xf>
    <xf numFmtId="0" fontId="55" fillId="16" borderId="13" xfId="0" applyFont="1" applyFill="1" applyBorder="1" applyAlignment="1">
      <alignment vertical="center"/>
    </xf>
    <xf numFmtId="0" fontId="55" fillId="16" borderId="14" xfId="0" applyFont="1" applyFill="1" applyBorder="1" applyAlignment="1">
      <alignment vertical="center"/>
    </xf>
    <xf numFmtId="0" fontId="0" fillId="19" borderId="7" xfId="0" applyFill="1" applyBorder="1"/>
    <xf numFmtId="165" fontId="7" fillId="2" borderId="10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57" fillId="4" borderId="28" xfId="0" applyFont="1" applyFill="1" applyBorder="1" applyAlignment="1">
      <alignment horizontal="center" vertical="top" wrapText="1"/>
    </xf>
    <xf numFmtId="0" fontId="57" fillId="4" borderId="31" xfId="0" applyFont="1" applyFill="1" applyBorder="1" applyAlignment="1">
      <alignment horizontal="center" vertical="top" wrapText="1"/>
    </xf>
    <xf numFmtId="0" fontId="57" fillId="4" borderId="3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93" fillId="0" borderId="16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93" fillId="0" borderId="14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67" fillId="0" borderId="4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left" vertical="center" wrapText="1"/>
    </xf>
    <xf numFmtId="0" fontId="67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58" fillId="4" borderId="28" xfId="0" applyFont="1" applyFill="1" applyBorder="1" applyAlignment="1">
      <alignment horizontal="center" vertical="top" wrapText="1"/>
    </xf>
    <xf numFmtId="0" fontId="58" fillId="4" borderId="31" xfId="0" applyFont="1" applyFill="1" applyBorder="1" applyAlignment="1">
      <alignment horizontal="center" vertical="top" wrapText="1"/>
    </xf>
    <xf numFmtId="0" fontId="58" fillId="4" borderId="30" xfId="0" applyFont="1" applyFill="1" applyBorder="1" applyAlignment="1">
      <alignment horizontal="center" vertical="top" wrapText="1"/>
    </xf>
    <xf numFmtId="0" fontId="59" fillId="4" borderId="28" xfId="0" applyFont="1" applyFill="1" applyBorder="1" applyAlignment="1">
      <alignment horizontal="center" vertical="top" wrapText="1"/>
    </xf>
    <xf numFmtId="0" fontId="59" fillId="4" borderId="31" xfId="0" applyFont="1" applyFill="1" applyBorder="1" applyAlignment="1">
      <alignment horizontal="center" vertical="top" wrapText="1"/>
    </xf>
    <xf numFmtId="0" fontId="59" fillId="4" borderId="30" xfId="0" applyFont="1" applyFill="1" applyBorder="1" applyAlignment="1">
      <alignment horizontal="center" vertical="top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97" fillId="0" borderId="16" xfId="0" applyFont="1" applyBorder="1" applyAlignment="1">
      <alignment horizontal="left" vertical="center" wrapText="1"/>
    </xf>
    <xf numFmtId="0" fontId="97" fillId="0" borderId="13" xfId="0" applyFont="1" applyBorder="1" applyAlignment="1">
      <alignment horizontal="left" vertical="center" wrapText="1"/>
    </xf>
    <xf numFmtId="0" fontId="97" fillId="0" borderId="1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top" wrapText="1"/>
    </xf>
    <xf numFmtId="9" fontId="100" fillId="4" borderId="3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CCFF"/>
      <color rgb="FF0000FF"/>
      <color rgb="FFFFFF99"/>
      <color rgb="FFFF9900"/>
      <color rgb="FF008000"/>
      <color rgb="FF993300"/>
      <color rgb="FFFF0066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biográficos":</a:t>
            </a:r>
            <a:r>
              <a:rPr lang="es-ES" sz="1100" b="1">
                <a:solidFill>
                  <a:srgbClr val="006600"/>
                </a:solidFill>
              </a:rPr>
              <a:t> 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0.00</c:formatCode>
                <c:ptCount val="1"/>
                <c:pt idx="0">
                  <c:v>1.799662589624631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0.00</c:formatCode>
                <c:ptCount val="1"/>
                <c:pt idx="0">
                  <c:v>0.41702457866803577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0.00</c:formatCode>
                <c:ptCount val="1"/>
                <c:pt idx="0">
                  <c:v>14.783312831707335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446690</xdr:colOff>
      <xdr:row>0</xdr:row>
      <xdr:rowOff>105103</xdr:rowOff>
    </xdr:from>
    <xdr:to>
      <xdr:col>28</xdr:col>
      <xdr:colOff>446690</xdr:colOff>
      <xdr:row>61</xdr:row>
      <xdr:rowOff>269327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28574</xdr:colOff>
      <xdr:row>103</xdr:row>
      <xdr:rowOff>114300</xdr:rowOff>
    </xdr:from>
    <xdr:to>
      <xdr:col>5</xdr:col>
      <xdr:colOff>1142999</xdr:colOff>
      <xdr:row>132</xdr:row>
      <xdr:rowOff>131748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15811500"/>
          <a:ext cx="7705725" cy="47132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5</xdr:col>
      <xdr:colOff>1155480</xdr:colOff>
      <xdr:row>162</xdr:row>
      <xdr:rowOff>8015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20716875"/>
          <a:ext cx="7718205" cy="45419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5</xdr:col>
      <xdr:colOff>1155480</xdr:colOff>
      <xdr:row>191</xdr:row>
      <xdr:rowOff>8014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25412700"/>
          <a:ext cx="7718205" cy="4541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23</xdr:row>
      <xdr:rowOff>112945</xdr:rowOff>
    </xdr:from>
    <xdr:to>
      <xdr:col>22</xdr:col>
      <xdr:colOff>209550</xdr:colOff>
      <xdr:row>23</xdr:row>
      <xdr:rowOff>114300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781425" y="5084995"/>
          <a:ext cx="3267075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38100</xdr:colOff>
      <xdr:row>18</xdr:row>
      <xdr:rowOff>127915</xdr:rowOff>
    </xdr:from>
    <xdr:to>
      <xdr:col>12</xdr:col>
      <xdr:colOff>9525</xdr:colOff>
      <xdr:row>18</xdr:row>
      <xdr:rowOff>133350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10000" y="4328440"/>
          <a:ext cx="1285875" cy="543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28575</xdr:colOff>
      <xdr:row>18</xdr:row>
      <xdr:rowOff>114300</xdr:rowOff>
    </xdr:from>
    <xdr:to>
      <xdr:col>29</xdr:col>
      <xdr:colOff>190500</xdr:colOff>
      <xdr:row>18</xdr:row>
      <xdr:rowOff>114300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772400" y="4314825"/>
          <a:ext cx="1257300" cy="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0</xdr:colOff>
      <xdr:row>23</xdr:row>
      <xdr:rowOff>95250</xdr:rowOff>
    </xdr:from>
    <xdr:to>
      <xdr:col>31</xdr:col>
      <xdr:colOff>0</xdr:colOff>
      <xdr:row>23</xdr:row>
      <xdr:rowOff>104775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7305675" y="5067300"/>
          <a:ext cx="1533525" cy="952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333375</xdr:colOff>
      <xdr:row>24</xdr:row>
      <xdr:rowOff>85725</xdr:rowOff>
    </xdr:from>
    <xdr:to>
      <xdr:col>22</xdr:col>
      <xdr:colOff>209550</xdr:colOff>
      <xdr:row>24</xdr:row>
      <xdr:rowOff>104775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3762375" y="5267325"/>
          <a:ext cx="328612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9525</xdr:colOff>
      <xdr:row>24</xdr:row>
      <xdr:rowOff>104775</xdr:rowOff>
    </xdr:from>
    <xdr:to>
      <xdr:col>41</xdr:col>
      <xdr:colOff>9525</xdr:colOff>
      <xdr:row>24</xdr:row>
      <xdr:rowOff>123825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7315200" y="5286375"/>
          <a:ext cx="328612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42</xdr:col>
      <xdr:colOff>434977</xdr:colOff>
      <xdr:row>2</xdr:row>
      <xdr:rowOff>98798</xdr:rowOff>
    </xdr:from>
    <xdr:to>
      <xdr:col>51</xdr:col>
      <xdr:colOff>711201</xdr:colOff>
      <xdr:row>15</xdr:row>
      <xdr:rowOff>136248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15877" y="98798"/>
          <a:ext cx="7019924" cy="4037950"/>
        </a:xfrm>
        <a:prstGeom prst="rect">
          <a:avLst/>
        </a:prstGeom>
      </xdr:spPr>
    </xdr:pic>
    <xdr:clientData/>
  </xdr:twoCellAnchor>
  <xdr:twoCellAnchor editAs="oneCell">
    <xdr:from>
      <xdr:col>42</xdr:col>
      <xdr:colOff>378742</xdr:colOff>
      <xdr:row>19</xdr:row>
      <xdr:rowOff>138907</xdr:rowOff>
    </xdr:from>
    <xdr:to>
      <xdr:col>51</xdr:col>
      <xdr:colOff>727049</xdr:colOff>
      <xdr:row>42</xdr:row>
      <xdr:rowOff>43656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48013" y="4921251"/>
          <a:ext cx="7081953" cy="4190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23</xdr:row>
      <xdr:rowOff>112945</xdr:rowOff>
    </xdr:from>
    <xdr:to>
      <xdr:col>22</xdr:col>
      <xdr:colOff>209550</xdr:colOff>
      <xdr:row>23</xdr:row>
      <xdr:rowOff>114300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3781425" y="5285020"/>
          <a:ext cx="3705225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333375</xdr:colOff>
      <xdr:row>24</xdr:row>
      <xdr:rowOff>85725</xdr:rowOff>
    </xdr:from>
    <xdr:to>
      <xdr:col>22</xdr:col>
      <xdr:colOff>209550</xdr:colOff>
      <xdr:row>24</xdr:row>
      <xdr:rowOff>104775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V="1">
          <a:off x="3762375" y="5457825"/>
          <a:ext cx="372427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9525</xdr:colOff>
      <xdr:row>24</xdr:row>
      <xdr:rowOff>104775</xdr:rowOff>
    </xdr:from>
    <xdr:to>
      <xdr:col>41</xdr:col>
      <xdr:colOff>9525</xdr:colOff>
      <xdr:row>24</xdr:row>
      <xdr:rowOff>123825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7753350" y="5476875"/>
          <a:ext cx="372427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42</xdr:col>
      <xdr:colOff>619125</xdr:colOff>
      <xdr:row>3</xdr:row>
      <xdr:rowOff>484279</xdr:rowOff>
    </xdr:from>
    <xdr:to>
      <xdr:col>51</xdr:col>
      <xdr:colOff>653143</xdr:colOff>
      <xdr:row>17</xdr:row>
      <xdr:rowOff>170279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47625" y="584065"/>
          <a:ext cx="6892018" cy="4049357"/>
        </a:xfrm>
        <a:prstGeom prst="rect">
          <a:avLst/>
        </a:prstGeom>
      </xdr:spPr>
    </xdr:pic>
    <xdr:clientData/>
  </xdr:twoCellAnchor>
  <xdr:twoCellAnchor>
    <xdr:from>
      <xdr:col>24</xdr:col>
      <xdr:colOff>28575</xdr:colOff>
      <xdr:row>23</xdr:row>
      <xdr:rowOff>123825</xdr:rowOff>
    </xdr:from>
    <xdr:to>
      <xdr:col>32</xdr:col>
      <xdr:colOff>0</xdr:colOff>
      <xdr:row>23</xdr:row>
      <xdr:rowOff>123825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7743825" y="5295900"/>
          <a:ext cx="1724025" cy="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18</xdr:row>
      <xdr:rowOff>114300</xdr:rowOff>
    </xdr:from>
    <xdr:to>
      <xdr:col>13</xdr:col>
      <xdr:colOff>9525</xdr:colOff>
      <xdr:row>18</xdr:row>
      <xdr:rowOff>114300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3771900" y="4314825"/>
          <a:ext cx="1543050" cy="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38100</xdr:colOff>
      <xdr:row>18</xdr:row>
      <xdr:rowOff>123825</xdr:rowOff>
    </xdr:from>
    <xdr:to>
      <xdr:col>30</xdr:col>
      <xdr:colOff>209550</xdr:colOff>
      <xdr:row>18</xdr:row>
      <xdr:rowOff>123825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7753350" y="4324350"/>
          <a:ext cx="1485900" cy="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42</xdr:col>
      <xdr:colOff>551090</xdr:colOff>
      <xdr:row>19</xdr:row>
      <xdr:rowOff>179526</xdr:rowOff>
    </xdr:from>
    <xdr:to>
      <xdr:col>51</xdr:col>
      <xdr:colOff>653144</xdr:colOff>
      <xdr:row>41</xdr:row>
      <xdr:rowOff>63499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79590" y="5014597"/>
          <a:ext cx="6960054" cy="39026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21</xdr:row>
      <xdr:rowOff>103420</xdr:rowOff>
    </xdr:from>
    <xdr:to>
      <xdr:col>23</xdr:col>
      <xdr:colOff>9525</xdr:colOff>
      <xdr:row>21</xdr:row>
      <xdr:rowOff>104775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3800475" y="4904020"/>
          <a:ext cx="3267075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18</xdr:row>
      <xdr:rowOff>127915</xdr:rowOff>
    </xdr:from>
    <xdr:to>
      <xdr:col>11</xdr:col>
      <xdr:colOff>190500</xdr:colOff>
      <xdr:row>18</xdr:row>
      <xdr:rowOff>133350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3771900" y="4347490"/>
          <a:ext cx="1285875" cy="543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57150</xdr:colOff>
      <xdr:row>18</xdr:row>
      <xdr:rowOff>123825</xdr:rowOff>
    </xdr:from>
    <xdr:to>
      <xdr:col>31</xdr:col>
      <xdr:colOff>0</xdr:colOff>
      <xdr:row>18</xdr:row>
      <xdr:rowOff>133350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7772400" y="4343400"/>
          <a:ext cx="1476375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9525</xdr:colOff>
      <xdr:row>21</xdr:row>
      <xdr:rowOff>95250</xdr:rowOff>
    </xdr:from>
    <xdr:to>
      <xdr:col>32</xdr:col>
      <xdr:colOff>9525</xdr:colOff>
      <xdr:row>21</xdr:row>
      <xdr:rowOff>104778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7724775" y="4895850"/>
          <a:ext cx="1752600" cy="9528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22</xdr:row>
      <xdr:rowOff>123825</xdr:rowOff>
    </xdr:from>
    <xdr:to>
      <xdr:col>23</xdr:col>
      <xdr:colOff>9525</xdr:colOff>
      <xdr:row>22</xdr:row>
      <xdr:rowOff>142875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3781425" y="5124450"/>
          <a:ext cx="328612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24</xdr:col>
      <xdr:colOff>0</xdr:colOff>
      <xdr:row>22</xdr:row>
      <xdr:rowOff>104775</xdr:rowOff>
    </xdr:from>
    <xdr:to>
      <xdr:col>41</xdr:col>
      <xdr:colOff>0</xdr:colOff>
      <xdr:row>22</xdr:row>
      <xdr:rowOff>123825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7277100" y="5105400"/>
          <a:ext cx="328612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43</xdr:col>
      <xdr:colOff>101600</xdr:colOff>
      <xdr:row>0</xdr:row>
      <xdr:rowOff>0</xdr:rowOff>
    </xdr:from>
    <xdr:to>
      <xdr:col>58</xdr:col>
      <xdr:colOff>23812</xdr:colOff>
      <xdr:row>15</xdr:row>
      <xdr:rowOff>72613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0600" y="0"/>
          <a:ext cx="7208837" cy="4197312"/>
        </a:xfrm>
        <a:prstGeom prst="rect">
          <a:avLst/>
        </a:prstGeom>
      </xdr:spPr>
    </xdr:pic>
    <xdr:clientData/>
  </xdr:twoCellAnchor>
  <xdr:twoCellAnchor editAs="oneCell">
    <xdr:from>
      <xdr:col>43</xdr:col>
      <xdr:colOff>119063</xdr:colOff>
      <xdr:row>20</xdr:row>
      <xdr:rowOff>23812</xdr:rowOff>
    </xdr:from>
    <xdr:to>
      <xdr:col>57</xdr:col>
      <xdr:colOff>78214</xdr:colOff>
      <xdr:row>41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7688" y="4619625"/>
          <a:ext cx="6960026" cy="409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4"/>
  <sheetViews>
    <sheetView tabSelected="1" zoomScale="85" zoomScaleNormal="85" workbookViewId="0">
      <selection activeCell="B1" sqref="B1"/>
    </sheetView>
  </sheetViews>
  <sheetFormatPr baseColWidth="10" defaultRowHeight="13" x14ac:dyDescent="0.3"/>
  <cols>
    <col min="1" max="1" width="0.453125" style="1" customWidth="1"/>
    <col min="2" max="2" width="35.7265625" style="1" customWidth="1"/>
    <col min="3" max="3" width="23.54296875" style="1" customWidth="1"/>
    <col min="4" max="4" width="22" style="1" customWidth="1"/>
    <col min="5" max="5" width="17.1796875" style="1" customWidth="1"/>
    <col min="6" max="6" width="21.453125" style="1" customWidth="1"/>
    <col min="7" max="7" width="19.54296875" style="1" customWidth="1"/>
    <col min="8" max="8" width="14.1796875" style="1" bestFit="1" customWidth="1"/>
    <col min="9" max="9" width="5.72656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8.453125" style="1" hidden="1" customWidth="1"/>
    <col min="15" max="15" width="14.26953125" style="7" bestFit="1" customWidth="1"/>
    <col min="16" max="16" width="14.26953125" style="7" customWidth="1"/>
    <col min="17" max="17" width="1.90625" style="1" customWidth="1"/>
    <col min="18" max="18" width="14.54296875" style="1" customWidth="1"/>
    <col min="19" max="19" width="15.453125" style="1" customWidth="1"/>
    <col min="20" max="20" width="13.54296875" style="1" customWidth="1"/>
    <col min="21" max="21" width="11.81640625" style="7" customWidth="1"/>
    <col min="22" max="22" width="8.1796875" style="7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8" customFormat="1" ht="8.25" customHeight="1" thickBot="1" x14ac:dyDescent="0.35">
      <c r="B1" s="62"/>
      <c r="C1" s="63"/>
      <c r="D1" s="62"/>
      <c r="E1" s="64"/>
      <c r="F1" s="1"/>
      <c r="G1" s="1"/>
      <c r="H1" s="65"/>
      <c r="I1" s="65"/>
      <c r="J1" s="65"/>
      <c r="K1" s="65"/>
      <c r="L1" s="66"/>
      <c r="M1" s="67"/>
      <c r="N1" s="67"/>
      <c r="O1" s="5"/>
      <c r="P1" s="5"/>
      <c r="Q1" s="68"/>
      <c r="X1" s="69"/>
      <c r="Y1" s="69"/>
      <c r="Z1" s="69"/>
      <c r="AA1" s="69"/>
      <c r="AB1" s="69"/>
      <c r="AC1" s="69"/>
    </row>
    <row r="2" spans="2:30" ht="31.5" customHeight="1" thickBot="1" x14ac:dyDescent="0.35">
      <c r="B2" s="387" t="s">
        <v>132</v>
      </c>
      <c r="C2" s="388"/>
      <c r="D2" s="388"/>
      <c r="E2" s="388"/>
      <c r="F2" s="389"/>
      <c r="G2" s="70"/>
      <c r="H2" s="334" t="s">
        <v>16</v>
      </c>
      <c r="I2" s="72">
        <v>0.95</v>
      </c>
      <c r="J2" s="70"/>
      <c r="K2" s="73"/>
      <c r="L2" s="66"/>
      <c r="M2" s="74"/>
      <c r="N2" s="74"/>
      <c r="O2" s="75"/>
      <c r="P2" s="75"/>
      <c r="Q2" s="76"/>
      <c r="R2" s="415" t="s">
        <v>149</v>
      </c>
      <c r="S2" s="5"/>
      <c r="T2" s="365" t="s">
        <v>136</v>
      </c>
      <c r="U2" s="364" t="s">
        <v>134</v>
      </c>
      <c r="V2" s="363" t="s">
        <v>135</v>
      </c>
      <c r="W2" s="69"/>
      <c r="X2" s="7"/>
      <c r="Y2" s="7"/>
      <c r="Z2" s="7"/>
      <c r="AA2" s="7"/>
      <c r="AB2" s="7"/>
      <c r="AC2" s="7"/>
      <c r="AD2" s="7"/>
    </row>
    <row r="3" spans="2:30" ht="27.75" customHeight="1" thickBot="1" x14ac:dyDescent="0.35">
      <c r="B3" s="539" t="s">
        <v>145</v>
      </c>
      <c r="C3" s="540"/>
      <c r="D3" s="540"/>
      <c r="E3" s="540"/>
      <c r="F3" s="541"/>
      <c r="G3" s="77"/>
      <c r="K3" s="73"/>
      <c r="L3" s="66"/>
      <c r="M3" s="74"/>
      <c r="N3" s="74"/>
      <c r="O3" s="75"/>
      <c r="P3" s="75"/>
      <c r="Q3" s="76"/>
      <c r="R3" s="366" t="s">
        <v>11</v>
      </c>
      <c r="S3" s="367">
        <f>V3+U3+T3</f>
        <v>20.382491667874227</v>
      </c>
      <c r="T3" s="412">
        <f>J32</f>
        <v>3.3154832632951763</v>
      </c>
      <c r="U3" s="413">
        <f>J31</f>
        <v>1</v>
      </c>
      <c r="V3" s="414">
        <f>J30</f>
        <v>16.067008404579052</v>
      </c>
      <c r="W3" s="75"/>
      <c r="X3" s="7"/>
      <c r="Y3" s="7"/>
      <c r="Z3" s="7"/>
      <c r="AA3" s="7"/>
      <c r="AB3" s="7"/>
      <c r="AC3" s="7"/>
      <c r="AD3" s="7"/>
    </row>
    <row r="4" spans="2:30" ht="14.25" customHeight="1" x14ac:dyDescent="0.3">
      <c r="B4" s="83"/>
      <c r="C4" s="78"/>
      <c r="D4" s="67"/>
      <c r="E4" s="67"/>
      <c r="F4" s="6"/>
      <c r="G4" s="385" t="s">
        <v>127</v>
      </c>
      <c r="H4" s="336">
        <v>17</v>
      </c>
      <c r="I4" s="384" t="s">
        <v>151</v>
      </c>
      <c r="K4" s="79"/>
      <c r="L4" s="80"/>
      <c r="O4" s="75"/>
      <c r="P4" s="75"/>
      <c r="Q4" s="75"/>
      <c r="R4" s="75"/>
      <c r="S4" s="75"/>
      <c r="T4" s="75"/>
      <c r="U4" s="75"/>
      <c r="V4" s="75"/>
      <c r="W4" s="75"/>
      <c r="X4" s="7"/>
      <c r="Y4" s="81"/>
      <c r="Z4" s="82"/>
      <c r="AA4" s="7"/>
      <c r="AB4" s="7"/>
      <c r="AC4" s="7"/>
      <c r="AD4" s="7"/>
    </row>
    <row r="5" spans="2:30" x14ac:dyDescent="0.3">
      <c r="B5" s="83"/>
      <c r="C5" s="84"/>
      <c r="D5" s="85" t="s">
        <v>17</v>
      </c>
      <c r="E5" s="85" t="s">
        <v>18</v>
      </c>
      <c r="F5" s="86"/>
      <c r="K5" s="87"/>
      <c r="L5" s="88"/>
      <c r="M5" s="88"/>
      <c r="N5" s="88"/>
      <c r="O5" s="75"/>
      <c r="P5" s="75"/>
      <c r="Q5" s="75"/>
      <c r="R5" s="416" t="s">
        <v>150</v>
      </c>
      <c r="S5" s="362" t="str">
        <f>I4</f>
        <v>meses</v>
      </c>
      <c r="V5" s="3" t="s">
        <v>0</v>
      </c>
      <c r="W5" s="81"/>
      <c r="X5" s="7"/>
      <c r="Y5" s="81"/>
      <c r="Z5" s="82"/>
      <c r="AA5" s="7"/>
      <c r="AB5" s="7"/>
      <c r="AC5" s="7"/>
      <c r="AD5" s="7"/>
    </row>
    <row r="6" spans="2:30" x14ac:dyDescent="0.3">
      <c r="B6" s="83"/>
      <c r="C6" s="90"/>
      <c r="D6" s="91" t="s">
        <v>19</v>
      </c>
      <c r="E6" s="91" t="s">
        <v>20</v>
      </c>
      <c r="F6" s="92" t="s">
        <v>21</v>
      </c>
      <c r="G6" s="427"/>
      <c r="H6" s="428" t="s">
        <v>292</v>
      </c>
      <c r="I6" s="428" t="s">
        <v>293</v>
      </c>
      <c r="K6" s="87"/>
      <c r="L6" s="88"/>
      <c r="M6" s="88"/>
      <c r="N6" s="88"/>
      <c r="O6" s="428" t="s">
        <v>294</v>
      </c>
      <c r="P6" s="75"/>
      <c r="Q6" s="75"/>
      <c r="R6" s="12" t="s">
        <v>1</v>
      </c>
      <c r="S6" s="13">
        <f>S14</f>
        <v>1.799662589624631</v>
      </c>
      <c r="T6" s="14">
        <f>S6/S9</f>
        <v>0.10586250527203711</v>
      </c>
      <c r="V6" s="480">
        <f>S6*365.25/12</f>
        <v>54.777230071699705</v>
      </c>
      <c r="W6" s="81"/>
      <c r="X6" s="7"/>
      <c r="Y6" s="81"/>
      <c r="Z6" s="7"/>
      <c r="AA6" s="7"/>
      <c r="AB6" s="7"/>
      <c r="AC6" s="7"/>
      <c r="AD6" s="7"/>
    </row>
    <row r="7" spans="2:30" ht="12.75" customHeight="1" x14ac:dyDescent="0.3">
      <c r="C7" s="93" t="s">
        <v>22</v>
      </c>
      <c r="D7" s="94">
        <v>386</v>
      </c>
      <c r="E7" s="95">
        <f>F7-D7</f>
        <v>1987</v>
      </c>
      <c r="F7" s="96">
        <v>2373</v>
      </c>
      <c r="G7" s="429">
        <f>D7/F7</f>
        <v>0.16266329540665825</v>
      </c>
      <c r="H7" s="430">
        <v>0.11600000000000001</v>
      </c>
      <c r="I7" s="488">
        <f>(G7/H7)</f>
        <v>1.4022697879884332</v>
      </c>
      <c r="K7" s="87"/>
      <c r="L7" s="88"/>
      <c r="M7" s="88"/>
      <c r="N7" s="88"/>
      <c r="O7" s="489">
        <f>I7*12</f>
        <v>16.827237455861198</v>
      </c>
      <c r="P7" s="75"/>
      <c r="Q7" s="75"/>
      <c r="R7" s="15" t="s">
        <v>3</v>
      </c>
      <c r="S7" s="16">
        <f>R14</f>
        <v>0.41702457866803577</v>
      </c>
      <c r="T7" s="17">
        <f>S7/S9</f>
        <v>2.4530857568707987E-2</v>
      </c>
      <c r="V7" s="481">
        <f>S7*365.25/12</f>
        <v>12.693185613208337</v>
      </c>
      <c r="W7" s="81"/>
      <c r="X7" s="7"/>
      <c r="Y7" s="81"/>
      <c r="Z7" s="7"/>
      <c r="AA7" s="7"/>
      <c r="AB7" s="7"/>
      <c r="AC7" s="7"/>
      <c r="AD7" s="7"/>
    </row>
    <row r="8" spans="2:30" ht="12.75" customHeight="1" x14ac:dyDescent="0.3">
      <c r="B8" s="83"/>
      <c r="C8" s="93" t="s">
        <v>23</v>
      </c>
      <c r="D8" s="94">
        <v>502</v>
      </c>
      <c r="E8" s="95">
        <f>F8-D8</f>
        <v>1869</v>
      </c>
      <c r="F8" s="96">
        <v>2371</v>
      </c>
      <c r="G8" s="429">
        <f>D8/F8</f>
        <v>0.21172501054407422</v>
      </c>
      <c r="H8" s="430">
        <v>0.156</v>
      </c>
      <c r="I8" s="488">
        <f>(G8/H8)</f>
        <v>1.3572116060517578</v>
      </c>
      <c r="K8" s="87"/>
      <c r="L8" s="88"/>
      <c r="M8" s="97"/>
      <c r="N8" s="88"/>
      <c r="O8" s="489">
        <f t="shared" ref="O8:O9" si="0">I8*12</f>
        <v>16.286539272621095</v>
      </c>
      <c r="P8" s="75"/>
      <c r="Q8" s="75"/>
      <c r="R8" s="18" t="s">
        <v>2</v>
      </c>
      <c r="S8" s="19">
        <f>Q14</f>
        <v>14.783312831707335</v>
      </c>
      <c r="T8" s="20">
        <f>S8/S9</f>
        <v>0.86960663715925501</v>
      </c>
      <c r="V8" s="482">
        <f>S8*365.26/12</f>
        <v>449.97940374245172</v>
      </c>
      <c r="W8" s="81"/>
      <c r="X8" s="7"/>
      <c r="Y8" s="81"/>
      <c r="Z8" s="7"/>
      <c r="AA8" s="7"/>
      <c r="AB8" s="7"/>
      <c r="AC8" s="7"/>
      <c r="AD8" s="7"/>
    </row>
    <row r="9" spans="2:30" x14ac:dyDescent="0.3">
      <c r="B9" s="435"/>
      <c r="C9" s="98" t="s">
        <v>21</v>
      </c>
      <c r="D9" s="99">
        <f>SUM(D7:D8)</f>
        <v>888</v>
      </c>
      <c r="E9" s="100">
        <f>SUM(E7:E8)</f>
        <v>3856</v>
      </c>
      <c r="F9" s="101">
        <f>SUM(F7:F8)</f>
        <v>4744</v>
      </c>
      <c r="G9" s="487">
        <f>D9/F9</f>
        <v>0.18718381112984822</v>
      </c>
      <c r="H9" s="396"/>
      <c r="I9" s="485">
        <f>((I7*F7)+(I8*F8))/F9</f>
        <v>1.3797501949505204</v>
      </c>
      <c r="K9" s="87"/>
      <c r="L9" s="88"/>
      <c r="M9" s="97"/>
      <c r="N9" s="88"/>
      <c r="O9" s="486">
        <f t="shared" si="0"/>
        <v>16.557002339406246</v>
      </c>
      <c r="P9" s="75"/>
      <c r="Q9" s="103"/>
      <c r="S9" s="10">
        <f>SUM(S6:S8)</f>
        <v>17</v>
      </c>
      <c r="V9" s="21">
        <f>SUM(V6:V8)</f>
        <v>517.44981942735978</v>
      </c>
      <c r="W9" s="81"/>
      <c r="X9" s="7"/>
      <c r="Y9" s="81"/>
      <c r="Z9" s="7"/>
      <c r="AA9" s="7"/>
      <c r="AB9" s="7"/>
      <c r="AC9" s="7"/>
      <c r="AD9" s="7"/>
    </row>
    <row r="10" spans="2:30" ht="12.75" customHeight="1" x14ac:dyDescent="0.3">
      <c r="B10" s="435"/>
      <c r="C10" s="435"/>
      <c r="D10" s="435"/>
      <c r="E10" s="435"/>
      <c r="F10" s="435"/>
      <c r="G10" s="435"/>
      <c r="H10" s="88"/>
      <c r="I10" s="87"/>
      <c r="J10" s="87"/>
      <c r="K10" s="87"/>
      <c r="L10" s="88"/>
      <c r="M10" s="97"/>
      <c r="N10" s="88"/>
      <c r="P10" s="102"/>
      <c r="Q10" s="103"/>
      <c r="R10" s="103"/>
      <c r="S10" s="103"/>
      <c r="T10" s="81"/>
      <c r="V10" s="81"/>
      <c r="W10" s="81"/>
      <c r="X10" s="7"/>
      <c r="Y10" s="81"/>
      <c r="Z10" s="7"/>
      <c r="AA10" s="7"/>
      <c r="AB10" s="7"/>
      <c r="AC10" s="7"/>
      <c r="AD10" s="7"/>
    </row>
    <row r="11" spans="2:30" s="8" customFormat="1" ht="14.25" hidden="1" customHeight="1" x14ac:dyDescent="0.3">
      <c r="B11" s="104" t="s">
        <v>24</v>
      </c>
      <c r="C11" s="105"/>
      <c r="D11" s="106"/>
      <c r="E11" s="5"/>
      <c r="F11" s="107"/>
      <c r="G11" s="108"/>
      <c r="H11" s="97"/>
      <c r="I11" s="108"/>
      <c r="J11" s="97"/>
      <c r="K11" s="109"/>
      <c r="L11" s="109"/>
      <c r="M11" s="108"/>
      <c r="N11" s="109"/>
      <c r="P11" s="5"/>
      <c r="Q11" s="110"/>
      <c r="R11" s="110"/>
      <c r="S11" s="110"/>
      <c r="T11" s="5"/>
      <c r="U11" s="5"/>
      <c r="V11" s="5"/>
      <c r="W11" s="5"/>
    </row>
    <row r="12" spans="2:30" s="8" customFormat="1" ht="12.75" hidden="1" customHeight="1" x14ac:dyDescent="0.3">
      <c r="B12" s="89" t="s">
        <v>25</v>
      </c>
      <c r="C12" s="105"/>
      <c r="D12" s="106"/>
      <c r="E12" s="5"/>
      <c r="F12" s="107"/>
      <c r="G12" s="108"/>
      <c r="H12" s="97"/>
      <c r="I12" s="108"/>
      <c r="J12" s="97"/>
      <c r="K12" s="111"/>
      <c r="L12" s="109"/>
      <c r="M12" s="109"/>
      <c r="N12" s="109"/>
      <c r="O12" s="8" t="s">
        <v>124</v>
      </c>
      <c r="P12" s="5"/>
      <c r="Q12" s="110"/>
      <c r="R12" s="68"/>
      <c r="S12" s="68"/>
      <c r="T12" s="5"/>
      <c r="U12" s="5"/>
      <c r="V12" s="5"/>
      <c r="W12" s="5"/>
    </row>
    <row r="13" spans="2:30" s="8" customFormat="1" ht="45" hidden="1" customHeight="1" x14ac:dyDescent="0.3">
      <c r="B13" s="112" t="s">
        <v>26</v>
      </c>
      <c r="C13" s="112" t="s">
        <v>27</v>
      </c>
      <c r="D13" s="112" t="s">
        <v>28</v>
      </c>
      <c r="E13" s="112" t="s">
        <v>29</v>
      </c>
      <c r="F13" s="112" t="s">
        <v>30</v>
      </c>
      <c r="G13" s="112" t="s">
        <v>31</v>
      </c>
      <c r="H13" s="112" t="s">
        <v>32</v>
      </c>
      <c r="I13" s="112" t="s">
        <v>33</v>
      </c>
      <c r="J13" s="97"/>
      <c r="K13" s="113" t="s">
        <v>34</v>
      </c>
      <c r="L13" s="114" t="s">
        <v>35</v>
      </c>
      <c r="M13" s="114" t="s">
        <v>36</v>
      </c>
      <c r="N13" s="109"/>
      <c r="O13" s="335" t="s">
        <v>125</v>
      </c>
      <c r="P13" s="335" t="s">
        <v>126</v>
      </c>
      <c r="Q13" s="339" t="s">
        <v>2</v>
      </c>
      <c r="R13" s="340" t="s">
        <v>3</v>
      </c>
      <c r="S13" s="341" t="s">
        <v>1</v>
      </c>
      <c r="T13" s="5"/>
      <c r="W13" s="5"/>
    </row>
    <row r="14" spans="2:30" s="8" customFormat="1" ht="12.75" hidden="1" customHeight="1" x14ac:dyDescent="0.3">
      <c r="B14" s="115">
        <f>LN((D7/F7)/(D8/F8))</f>
        <v>-0.26360592059725635</v>
      </c>
      <c r="C14" s="115">
        <f>SQRT((E7/(D7*F7)+(E8/(D8*F8))))</f>
        <v>6.1151737320984362E-2</v>
      </c>
      <c r="D14" s="116">
        <f>-NORMSINV((1-I2)/2)</f>
        <v>1.9599639845400536</v>
      </c>
      <c r="E14" s="117">
        <f>B14-(D14*C14)</f>
        <v>-0.38346112333843957</v>
      </c>
      <c r="F14" s="118">
        <f>B14+(D14*C14)</f>
        <v>-0.14375071785607313</v>
      </c>
      <c r="G14" s="119">
        <f>(D7/F7)/(D8/F8)</f>
        <v>0.76827624185096954</v>
      </c>
      <c r="H14" s="119">
        <f>EXP(E14)</f>
        <v>0.68149857192309182</v>
      </c>
      <c r="I14" s="119">
        <f>EXP(F14)</f>
        <v>0.86610362531949647</v>
      </c>
      <c r="J14" s="97"/>
      <c r="K14" s="120">
        <f>1-G14</f>
        <v>0.23172375814903046</v>
      </c>
      <c r="L14" s="119">
        <f>1-H14</f>
        <v>0.31850142807690818</v>
      </c>
      <c r="M14" s="119">
        <f>1-I14</f>
        <v>0.13389637468050353</v>
      </c>
      <c r="N14" s="121"/>
      <c r="O14" s="337">
        <f>(D7/F7)*H4/2</f>
        <v>1.3826380109565952</v>
      </c>
      <c r="P14" s="338">
        <f>(D8/F8)*H4/2</f>
        <v>1.799662589624631</v>
      </c>
      <c r="Q14" s="342">
        <f>H4-R14-S14</f>
        <v>14.783312831707335</v>
      </c>
      <c r="R14" s="342">
        <f>P14-O14</f>
        <v>0.41702457866803577</v>
      </c>
      <c r="S14" s="342">
        <f>P14</f>
        <v>1.799662589624631</v>
      </c>
      <c r="T14" s="5" t="str">
        <f>I4</f>
        <v>meses</v>
      </c>
      <c r="W14" s="5"/>
    </row>
    <row r="15" spans="2:30" s="8" customFormat="1" ht="12.75" hidden="1" customHeight="1" x14ac:dyDescent="0.3">
      <c r="B15" s="122"/>
      <c r="C15" s="105"/>
      <c r="D15" s="105"/>
      <c r="E15" s="105"/>
      <c r="F15" s="123"/>
      <c r="G15" s="124"/>
      <c r="H15" s="97"/>
      <c r="I15" s="108"/>
      <c r="J15" s="97"/>
      <c r="K15" s="108"/>
      <c r="L15" s="108"/>
      <c r="M15" s="108"/>
      <c r="N15" s="109"/>
      <c r="P15" s="5"/>
      <c r="Q15" s="5"/>
      <c r="R15" s="5"/>
      <c r="S15" s="5"/>
      <c r="T15" s="5"/>
      <c r="U15" s="5"/>
      <c r="V15" s="5"/>
      <c r="W15" s="5"/>
    </row>
    <row r="16" spans="2:30" s="7" customFormat="1" ht="12.75" hidden="1" customHeight="1" x14ac:dyDescent="0.3">
      <c r="B16" s="125"/>
      <c r="C16" s="126"/>
      <c r="D16" s="127"/>
      <c r="E16" s="128"/>
      <c r="F16" s="129"/>
      <c r="G16" s="130"/>
      <c r="H16" s="131"/>
      <c r="I16" s="132"/>
      <c r="J16" s="132"/>
      <c r="K16" s="133"/>
      <c r="L16" s="133"/>
      <c r="M16" s="134"/>
      <c r="N16" s="134"/>
    </row>
    <row r="17" spans="2:30" ht="15.75" hidden="1" customHeight="1" x14ac:dyDescent="0.3">
      <c r="B17" s="135" t="s">
        <v>37</v>
      </c>
      <c r="C17" s="5"/>
      <c r="D17" s="136"/>
      <c r="E17" s="136"/>
      <c r="F17" s="67"/>
      <c r="G17" s="67"/>
      <c r="H17" s="137"/>
      <c r="I17" s="138"/>
      <c r="J17" s="139"/>
      <c r="K17" s="139"/>
      <c r="L17" s="8"/>
      <c r="M17" s="109"/>
      <c r="N17" s="97"/>
      <c r="O17" s="138"/>
      <c r="P17" s="5"/>
      <c r="Q17" s="5"/>
      <c r="R17" s="140"/>
      <c r="S17" s="138"/>
      <c r="T17" s="141"/>
      <c r="U17" s="141"/>
      <c r="V17" s="141"/>
      <c r="W17" s="7"/>
      <c r="X17" s="7"/>
      <c r="Y17" s="7"/>
      <c r="Z17" s="7"/>
      <c r="AA17" s="7"/>
      <c r="AB17" s="7"/>
      <c r="AC17" s="7"/>
    </row>
    <row r="18" spans="2:30" ht="12.75" hidden="1" customHeight="1" x14ac:dyDescent="0.3">
      <c r="B18" s="142" t="s">
        <v>38</v>
      </c>
      <c r="C18" s="5"/>
      <c r="D18" s="138"/>
      <c r="E18" s="138"/>
      <c r="F18" s="5"/>
      <c r="G18" s="5"/>
      <c r="H18" s="140"/>
      <c r="I18" s="138"/>
      <c r="J18" s="141"/>
      <c r="K18" s="141"/>
      <c r="L18" s="141"/>
      <c r="M18" s="109"/>
      <c r="N18" s="97"/>
      <c r="O18" s="5"/>
      <c r="P18" s="5"/>
      <c r="Q18" s="140"/>
      <c r="R18" s="138"/>
      <c r="S18" s="141"/>
      <c r="T18" s="141"/>
      <c r="U18" s="141"/>
      <c r="W18" s="7" t="s">
        <v>39</v>
      </c>
      <c r="X18" s="7"/>
      <c r="Y18" s="7"/>
      <c r="Z18" s="7"/>
      <c r="AA18" s="7"/>
      <c r="AB18" s="7"/>
    </row>
    <row r="19" spans="2:30" ht="25.5" hidden="1" customHeight="1" x14ac:dyDescent="0.3">
      <c r="B19" s="143" t="s">
        <v>40</v>
      </c>
      <c r="C19" s="1" t="s">
        <v>41</v>
      </c>
      <c r="D19" s="8"/>
      <c r="E19" s="1" t="s">
        <v>42</v>
      </c>
      <c r="G19" s="1" t="s">
        <v>43</v>
      </c>
      <c r="I19" s="1" t="s">
        <v>44</v>
      </c>
      <c r="J19" s="141"/>
      <c r="K19" s="141"/>
      <c r="L19" s="141"/>
      <c r="M19" s="109"/>
      <c r="N19" s="133"/>
      <c r="P19" s="1"/>
      <c r="T19" s="7"/>
      <c r="V19" s="1"/>
      <c r="W19" s="1" t="s">
        <v>45</v>
      </c>
      <c r="Y19" s="7"/>
      <c r="Z19" s="7"/>
      <c r="AA19" s="7"/>
      <c r="AB19" s="7"/>
      <c r="AC19" s="7"/>
      <c r="AD19" s="7"/>
    </row>
    <row r="20" spans="2:30" ht="38.25" hidden="1" customHeight="1" x14ac:dyDescent="0.4">
      <c r="B20" s="112" t="s">
        <v>46</v>
      </c>
      <c r="C20" s="112" t="s">
        <v>47</v>
      </c>
      <c r="D20" s="144" t="s">
        <v>48</v>
      </c>
      <c r="E20" s="144" t="s">
        <v>41</v>
      </c>
      <c r="F20" s="144" t="s">
        <v>49</v>
      </c>
      <c r="G20" s="144" t="s">
        <v>43</v>
      </c>
      <c r="H20" s="144" t="s">
        <v>44</v>
      </c>
      <c r="I20" s="145" t="s">
        <v>50</v>
      </c>
      <c r="J20" s="144" t="s">
        <v>51</v>
      </c>
      <c r="K20" s="144" t="s">
        <v>35</v>
      </c>
      <c r="L20" s="144" t="s">
        <v>36</v>
      </c>
      <c r="M20" s="146"/>
      <c r="N20" s="147"/>
      <c r="O20" s="148" t="s">
        <v>52</v>
      </c>
      <c r="P20" s="149" t="s">
        <v>53</v>
      </c>
      <c r="Q20" s="150"/>
      <c r="R20" s="151"/>
      <c r="S20" s="152"/>
      <c r="T20" s="152"/>
      <c r="U20" s="153"/>
      <c r="W20" s="154"/>
      <c r="X20" s="148" t="s">
        <v>54</v>
      </c>
      <c r="Y20" s="149" t="s">
        <v>55</v>
      </c>
      <c r="Z20" s="155"/>
      <c r="AA20" s="155"/>
      <c r="AB20" s="155" t="s">
        <v>56</v>
      </c>
      <c r="AC20" s="155"/>
      <c r="AD20" s="156"/>
    </row>
    <row r="21" spans="2:30" ht="12.75" hidden="1" customHeight="1" x14ac:dyDescent="0.3">
      <c r="B21" s="157">
        <f>D7</f>
        <v>386</v>
      </c>
      <c r="C21" s="158">
        <f>F7</f>
        <v>2373</v>
      </c>
      <c r="D21" s="159">
        <f>B21/C21</f>
        <v>0.16266329540665825</v>
      </c>
      <c r="E21" s="160">
        <f>2*B21+I21^2</f>
        <v>775.84145882069413</v>
      </c>
      <c r="F21" s="160">
        <f>I21*SQRT((I21^2)+(4*B21*(1-D21)))</f>
        <v>70.577465717937898</v>
      </c>
      <c r="G21" s="161">
        <f>2*(C21+I21^2)</f>
        <v>4753.6829176413885</v>
      </c>
      <c r="H21" s="162" t="s">
        <v>57</v>
      </c>
      <c r="I21" s="116">
        <f>-NORMSINV((1-I2)/2)</f>
        <v>1.9599639845400536</v>
      </c>
      <c r="J21" s="163">
        <f>D21</f>
        <v>0.16266329540665825</v>
      </c>
      <c r="K21" s="163">
        <f>(E21-F21)/G21</f>
        <v>0.14836159780145444</v>
      </c>
      <c r="L21" s="163">
        <f>(E21+F21)/G21</f>
        <v>0.17805540234866896</v>
      </c>
      <c r="M21" s="146"/>
      <c r="N21" s="164">
        <f>F9/2</f>
        <v>2372</v>
      </c>
      <c r="O21" s="9" t="s">
        <v>58</v>
      </c>
      <c r="P21" s="5"/>
      <c r="Q21" s="140"/>
      <c r="R21" s="138"/>
      <c r="S21" s="141"/>
      <c r="T21" s="141"/>
      <c r="U21" s="165"/>
      <c r="W21" s="166">
        <f>ABS(D21-D22)</f>
        <v>4.9061715137415973E-2</v>
      </c>
      <c r="X21" s="9" t="s">
        <v>59</v>
      </c>
      <c r="Y21" s="5"/>
      <c r="Z21" s="9"/>
      <c r="AA21" s="9"/>
      <c r="AB21" s="9" t="s">
        <v>60</v>
      </c>
      <c r="AC21" s="9"/>
      <c r="AD21" s="167"/>
    </row>
    <row r="22" spans="2:30" ht="14.25" hidden="1" customHeight="1" x14ac:dyDescent="0.4">
      <c r="B22" s="157">
        <f>D8</f>
        <v>502</v>
      </c>
      <c r="C22" s="158">
        <f>F8</f>
        <v>2371</v>
      </c>
      <c r="D22" s="159">
        <f>B22/C22</f>
        <v>0.21172501054407422</v>
      </c>
      <c r="E22" s="160">
        <f>2*B22+I22^2</f>
        <v>1007.8414588206941</v>
      </c>
      <c r="F22" s="160">
        <f>I22*SQRT((I22^2)+(4*B22*(1-D22)))</f>
        <v>78.071977276857666</v>
      </c>
      <c r="G22" s="161">
        <f>2*(C22+I22^2)</f>
        <v>4749.6829176413885</v>
      </c>
      <c r="H22" s="162" t="s">
        <v>57</v>
      </c>
      <c r="I22" s="116">
        <f>-NORMSINV((1-I2)/2)</f>
        <v>1.9599639845400536</v>
      </c>
      <c r="J22" s="163">
        <f>D22</f>
        <v>0.21172501054407422</v>
      </c>
      <c r="K22" s="163">
        <f>(E22-F22)/G22</f>
        <v>0.1957540108815399</v>
      </c>
      <c r="L22" s="163">
        <f>(E22+F22)/G22</f>
        <v>0.22862861688392408</v>
      </c>
      <c r="M22" s="146"/>
      <c r="N22" s="168">
        <f>J26</f>
        <v>4.9061715137415973E-2</v>
      </c>
      <c r="O22" s="9" t="s">
        <v>61</v>
      </c>
      <c r="P22" s="9"/>
      <c r="Q22" s="9"/>
      <c r="R22" s="9"/>
      <c r="S22" s="9"/>
      <c r="T22" s="9"/>
      <c r="U22" s="169"/>
      <c r="W22" s="170">
        <f>SQRT((D23*(1-D23)/C21)+(D23*(1-D23)/C22))</f>
        <v>1.1326298659939116E-2</v>
      </c>
      <c r="X22" s="142" t="s">
        <v>62</v>
      </c>
      <c r="Y22" s="9"/>
      <c r="Z22" s="9"/>
      <c r="AA22" s="9"/>
      <c r="AB22" s="9"/>
      <c r="AC22" s="9"/>
      <c r="AD22" s="167"/>
    </row>
    <row r="23" spans="2:30" ht="12.75" hidden="1" customHeight="1" x14ac:dyDescent="0.3">
      <c r="B23" s="157">
        <f>D9</f>
        <v>888</v>
      </c>
      <c r="C23" s="158">
        <f>F9</f>
        <v>4744</v>
      </c>
      <c r="D23" s="159">
        <f>B23/C23</f>
        <v>0.18718381112984822</v>
      </c>
      <c r="E23" s="160">
        <f>2*B23+I23^2</f>
        <v>1779.841458820694</v>
      </c>
      <c r="F23" s="160">
        <f>I23*SQRT((I23^2)+(4*B23*(1-D23)))</f>
        <v>105.38273727612348</v>
      </c>
      <c r="G23" s="161">
        <f>2*(C23+I23^2)</f>
        <v>9495.6829176413885</v>
      </c>
      <c r="H23" s="162" t="s">
        <v>57</v>
      </c>
      <c r="I23" s="116">
        <f>-NORMSINV((1-I2)/2)</f>
        <v>1.9599639845400536</v>
      </c>
      <c r="J23" s="163">
        <f>D23</f>
        <v>0.18718381112984822</v>
      </c>
      <c r="K23" s="163">
        <f>(E23-F23)/G23</f>
        <v>0.17633894645257234</v>
      </c>
      <c r="L23" s="163">
        <f>(E23+F23)/G23</f>
        <v>0.19853487236756681</v>
      </c>
      <c r="M23" s="146"/>
      <c r="N23" s="171">
        <f>(B21+B22)/(C21+C22)</f>
        <v>0.18718381112984822</v>
      </c>
      <c r="O23" s="9" t="s">
        <v>63</v>
      </c>
      <c r="P23" s="5"/>
      <c r="Q23" s="140"/>
      <c r="R23" s="138"/>
      <c r="S23" s="141"/>
      <c r="T23" s="141"/>
      <c r="U23" s="167"/>
      <c r="W23" s="172">
        <f>W21/W22</f>
        <v>4.3316635566874329</v>
      </c>
      <c r="X23" s="9" t="s">
        <v>64</v>
      </c>
      <c r="Y23" s="5"/>
      <c r="Z23" s="9"/>
      <c r="AA23" s="9"/>
      <c r="AB23" s="9"/>
      <c r="AC23" s="9"/>
      <c r="AD23" s="167"/>
    </row>
    <row r="24" spans="2:30" ht="15" hidden="1" customHeight="1" x14ac:dyDescent="0.3">
      <c r="B24" s="89"/>
      <c r="C24" s="173" t="s">
        <v>65</v>
      </c>
      <c r="F24" s="174"/>
      <c r="G24" s="132"/>
      <c r="H24" s="132"/>
      <c r="I24" s="132"/>
      <c r="J24" s="132"/>
      <c r="K24" s="133"/>
      <c r="L24" s="88"/>
      <c r="M24" s="146"/>
      <c r="N24" s="175">
        <f>SQRT(N21*N22^2/(2*N23*(1-N23)))-I21</f>
        <v>2.3716999570894788</v>
      </c>
      <c r="O24" s="9" t="s">
        <v>66</v>
      </c>
      <c r="P24" s="9"/>
      <c r="Q24" s="9"/>
      <c r="R24" s="9"/>
      <c r="S24" s="9"/>
      <c r="T24" s="8"/>
      <c r="U24" s="165"/>
      <c r="W24" s="176">
        <f>NORMSDIST(-W23)</f>
        <v>7.3993477780401442E-6</v>
      </c>
      <c r="X24" s="135" t="s">
        <v>67</v>
      </c>
      <c r="Y24" s="9"/>
      <c r="Z24" s="8"/>
      <c r="AA24" s="8"/>
      <c r="AB24" s="8"/>
      <c r="AC24" s="8"/>
      <c r="AD24" s="169"/>
    </row>
    <row r="25" spans="2:30" ht="13.5" hidden="1" customHeight="1" x14ac:dyDescent="0.3">
      <c r="B25" s="89"/>
      <c r="C25" s="173" t="s">
        <v>68</v>
      </c>
      <c r="D25" s="3"/>
      <c r="E25" s="177"/>
      <c r="F25" s="174"/>
      <c r="G25" s="132"/>
      <c r="H25" s="88"/>
      <c r="I25" s="88"/>
      <c r="J25" s="178"/>
      <c r="K25" s="178"/>
      <c r="L25" s="178"/>
      <c r="M25" s="146"/>
      <c r="N25" s="179">
        <f>NORMSDIST(N24)</f>
        <v>0.99114676852671035</v>
      </c>
      <c r="O25" s="135" t="s">
        <v>69</v>
      </c>
      <c r="P25" s="180"/>
      <c r="Q25" s="9"/>
      <c r="R25" s="9"/>
      <c r="S25" s="9"/>
      <c r="T25" s="9"/>
      <c r="U25" s="167"/>
      <c r="W25" s="181">
        <f>1-W24</f>
        <v>0.99999260065222195</v>
      </c>
      <c r="X25" s="182" t="s">
        <v>70</v>
      </c>
      <c r="Y25" s="180"/>
      <c r="Z25" s="8"/>
      <c r="AA25" s="8"/>
      <c r="AB25" s="8"/>
      <c r="AC25" s="8"/>
      <c r="AD25" s="169"/>
    </row>
    <row r="26" spans="2:30" ht="15" hidden="1" customHeight="1" x14ac:dyDescent="0.35">
      <c r="F26" s="183"/>
      <c r="G26" s="88"/>
      <c r="H26" s="88"/>
      <c r="I26" s="71" t="s">
        <v>71</v>
      </c>
      <c r="J26" s="184">
        <f>D22-D21</f>
        <v>4.9061715137415973E-2</v>
      </c>
      <c r="K26" s="185">
        <f>J26+SQRT((D22-K22)^2+(L21-D21)^2)</f>
        <v>7.1242557915249402E-2</v>
      </c>
      <c r="L26" s="186">
        <f>J26-SQRT((D21-K21)^2+(L22-D22)^2)</f>
        <v>2.6919663252296912E-2</v>
      </c>
      <c r="M26" s="87"/>
      <c r="N26" s="187">
        <f>1-N25</f>
        <v>8.8532314732896467E-3</v>
      </c>
      <c r="O26" s="188" t="s">
        <v>72</v>
      </c>
      <c r="P26" s="189"/>
      <c r="Q26" s="190"/>
      <c r="R26" s="189"/>
      <c r="S26" s="189"/>
      <c r="T26" s="189"/>
      <c r="U26" s="191"/>
      <c r="W26" s="192"/>
      <c r="X26" s="193"/>
      <c r="Y26" s="189"/>
      <c r="Z26" s="193"/>
      <c r="AA26" s="193"/>
      <c r="AB26" s="193"/>
      <c r="AC26" s="193"/>
      <c r="AD26" s="194"/>
    </row>
    <row r="27" spans="2:30" ht="13.5" hidden="1" customHeight="1" x14ac:dyDescent="0.3">
      <c r="F27" s="195"/>
      <c r="G27" s="88"/>
      <c r="H27" s="88"/>
      <c r="I27" s="71" t="s">
        <v>73</v>
      </c>
      <c r="J27" s="196">
        <f>1/J26</f>
        <v>20.382491667874231</v>
      </c>
      <c r="K27" s="197">
        <f>1/K26</f>
        <v>14.036553841730477</v>
      </c>
      <c r="L27" s="198">
        <f>1/L26</f>
        <v>37.147567212404681</v>
      </c>
      <c r="M27" s="87"/>
      <c r="N27" s="88"/>
      <c r="O27" s="1"/>
      <c r="P27" s="1"/>
      <c r="U27" s="1"/>
      <c r="V27" s="1"/>
      <c r="W27" s="7"/>
      <c r="X27" s="7"/>
      <c r="Y27" s="7"/>
      <c r="Z27" s="7"/>
      <c r="AA27" s="7"/>
      <c r="AB27" s="7"/>
      <c r="AC27" s="7"/>
    </row>
    <row r="28" spans="2:30" ht="14.25" hidden="1" customHeight="1" x14ac:dyDescent="0.4">
      <c r="G28" s="88"/>
      <c r="H28" s="88"/>
      <c r="K28" s="199"/>
      <c r="L28" s="199"/>
      <c r="M28" s="200"/>
      <c r="N28" s="147"/>
      <c r="O28" s="201"/>
      <c r="P28" s="201" t="s">
        <v>62</v>
      </c>
      <c r="Q28" s="202">
        <f>SQRT((D23*(1-D23)/C21)+(D23*(1-D23)/C22))</f>
        <v>1.1326298659939116E-2</v>
      </c>
      <c r="R28" s="203"/>
      <c r="S28" s="203"/>
      <c r="T28" s="203"/>
      <c r="U28" s="156"/>
      <c r="V28" s="1"/>
    </row>
    <row r="29" spans="2:30" ht="31.5" hidden="1" customHeight="1" x14ac:dyDescent="0.35">
      <c r="F29" s="204"/>
      <c r="G29" s="205"/>
      <c r="H29" s="206" t="s">
        <v>74</v>
      </c>
      <c r="I29" s="207" t="s">
        <v>11</v>
      </c>
      <c r="J29" s="208">
        <f>J27</f>
        <v>20.382491667874231</v>
      </c>
      <c r="K29" s="208">
        <f>K27</f>
        <v>14.036553841730477</v>
      </c>
      <c r="L29" s="208">
        <f>L27</f>
        <v>37.147567212404681</v>
      </c>
      <c r="M29" s="88"/>
      <c r="N29" s="209" t="s">
        <v>75</v>
      </c>
      <c r="O29" s="210"/>
      <c r="P29" s="9" t="s">
        <v>76</v>
      </c>
      <c r="Q29" s="9"/>
      <c r="R29" s="140"/>
      <c r="S29" s="211" t="s">
        <v>77</v>
      </c>
      <c r="T29" s="9"/>
      <c r="U29" s="167"/>
      <c r="V29" s="1"/>
    </row>
    <row r="30" spans="2:30" s="8" customFormat="1" ht="14.25" hidden="1" customHeight="1" x14ac:dyDescent="0.4">
      <c r="F30" s="212"/>
      <c r="G30" s="213"/>
      <c r="H30" s="214"/>
      <c r="I30" s="215" t="s">
        <v>78</v>
      </c>
      <c r="J30" s="360">
        <f>(1-D22)*J27</f>
        <v>16.067008404579052</v>
      </c>
      <c r="K30" s="216">
        <f>(1-D22)*K27</f>
        <v>11.064664331587625</v>
      </c>
      <c r="L30" s="216">
        <f>(1-D22)*L27</f>
        <v>29.282498152671593</v>
      </c>
      <c r="M30" s="88"/>
      <c r="N30" s="217"/>
      <c r="O30" s="218" t="s">
        <v>79</v>
      </c>
      <c r="Q30" s="219" t="s">
        <v>80</v>
      </c>
      <c r="R30" s="218" t="s">
        <v>81</v>
      </c>
      <c r="S30" s="9"/>
      <c r="T30" s="9"/>
      <c r="U30" s="169"/>
    </row>
    <row r="31" spans="2:30" s="8" customFormat="1" ht="14.25" hidden="1" customHeight="1" x14ac:dyDescent="0.4">
      <c r="F31" s="220"/>
      <c r="G31" s="221"/>
      <c r="H31" s="222"/>
      <c r="I31" s="223" t="s">
        <v>82</v>
      </c>
      <c r="J31" s="224">
        <f>J27*J26</f>
        <v>1</v>
      </c>
      <c r="K31" s="224">
        <f>K27*K26</f>
        <v>1</v>
      </c>
      <c r="L31" s="224">
        <f>L27*L26</f>
        <v>0.99999999999999989</v>
      </c>
      <c r="M31" s="109"/>
      <c r="N31" s="175">
        <f>ABS((J26/Q28))-I21</f>
        <v>2.3716995721473793</v>
      </c>
      <c r="O31" s="218" t="s">
        <v>83</v>
      </c>
      <c r="P31" s="9"/>
      <c r="Q31" s="9"/>
      <c r="R31" s="138"/>
      <c r="S31" s="141"/>
      <c r="T31" s="141"/>
      <c r="U31" s="165"/>
    </row>
    <row r="32" spans="2:30" s="8" customFormat="1" ht="12.75" hidden="1" customHeight="1" x14ac:dyDescent="0.3">
      <c r="B32" s="225"/>
      <c r="C32" s="226"/>
      <c r="E32" s="227"/>
      <c r="G32" s="228"/>
      <c r="H32" s="229"/>
      <c r="I32" s="230" t="s">
        <v>84</v>
      </c>
      <c r="J32" s="359">
        <f>(D22-J26)*J27</f>
        <v>3.3154832632951763</v>
      </c>
      <c r="K32" s="231">
        <f>(D22-K26)*K27</f>
        <v>1.9718895101428506</v>
      </c>
      <c r="L32" s="231">
        <f>(D22-L26)*L27</f>
        <v>6.865069059733087</v>
      </c>
      <c r="M32" s="109"/>
      <c r="N32" s="179">
        <f>NORMSDIST(N31)</f>
        <v>0.99114675930394869</v>
      </c>
      <c r="O32" s="142" t="s">
        <v>85</v>
      </c>
      <c r="P32" s="180"/>
      <c r="Q32" s="9"/>
      <c r="R32" s="9"/>
      <c r="S32" s="9"/>
      <c r="T32" s="9"/>
      <c r="U32" s="169"/>
    </row>
    <row r="33" spans="2:22" s="8" customFormat="1" ht="12.75" hidden="1" customHeight="1" x14ac:dyDescent="0.3">
      <c r="B33" s="225"/>
      <c r="G33" s="232"/>
      <c r="H33" s="233"/>
      <c r="I33" s="233"/>
      <c r="J33" s="234"/>
      <c r="K33" s="234"/>
      <c r="L33" s="234"/>
      <c r="M33" s="109"/>
      <c r="N33" s="187">
        <f>1-N32</f>
        <v>8.8532406960513121E-3</v>
      </c>
      <c r="O33" s="189" t="s">
        <v>86</v>
      </c>
      <c r="P33" s="189"/>
      <c r="Q33" s="190"/>
      <c r="R33" s="235"/>
      <c r="S33" s="236"/>
      <c r="T33" s="236"/>
      <c r="U33" s="191"/>
    </row>
    <row r="34" spans="2:22" s="8" customFormat="1" ht="31.5" hidden="1" customHeight="1" x14ac:dyDescent="0.3">
      <c r="B34" s="122"/>
      <c r="F34" s="106"/>
      <c r="G34" s="237"/>
      <c r="H34" s="206" t="s">
        <v>87</v>
      </c>
      <c r="I34" s="238" t="s">
        <v>88</v>
      </c>
      <c r="J34" s="239">
        <f>ABS(J27)</f>
        <v>20.382491667874231</v>
      </c>
      <c r="K34" s="239">
        <f>ABS(L27)</f>
        <v>37.147567212404681</v>
      </c>
      <c r="L34" s="239">
        <f>ABS(K27)</f>
        <v>14.036553841730477</v>
      </c>
      <c r="M34" s="109"/>
      <c r="N34" s="87"/>
      <c r="O34" s="9"/>
      <c r="P34" s="9"/>
      <c r="Q34" s="9"/>
      <c r="R34" s="9"/>
      <c r="S34" s="9"/>
      <c r="T34" s="9"/>
      <c r="U34" s="9"/>
      <c r="V34" s="9"/>
    </row>
    <row r="35" spans="2:22" s="8" customFormat="1" ht="13.5" hidden="1" customHeight="1" x14ac:dyDescent="0.3">
      <c r="B35" s="122"/>
      <c r="G35" s="213"/>
      <c r="H35" s="214"/>
      <c r="I35" s="215" t="s">
        <v>78</v>
      </c>
      <c r="J35" s="216">
        <f>ABS((1-(D22-J26))*J27)</f>
        <v>17.067008404579052</v>
      </c>
      <c r="K35" s="216">
        <f>ABS((1-(D22-L26))*L27)</f>
        <v>30.282498152671593</v>
      </c>
      <c r="L35" s="216">
        <f>ABS((1-(D22-K26))*K27)</f>
        <v>12.064664331587625</v>
      </c>
      <c r="M35" s="109"/>
      <c r="N35" s="87"/>
      <c r="O35" s="9"/>
      <c r="P35" s="9"/>
      <c r="Q35" s="9"/>
      <c r="R35" s="9"/>
      <c r="S35" s="9"/>
      <c r="T35" s="9"/>
      <c r="U35" s="9"/>
      <c r="V35" s="9"/>
    </row>
    <row r="36" spans="2:22" s="8" customFormat="1" ht="12.75" hidden="1" customHeight="1" x14ac:dyDescent="0.3">
      <c r="B36" s="122"/>
      <c r="F36" s="240"/>
      <c r="G36" s="241"/>
      <c r="H36" s="242"/>
      <c r="I36" s="243" t="s">
        <v>89</v>
      </c>
      <c r="J36" s="244">
        <f>J27*J26</f>
        <v>1</v>
      </c>
      <c r="K36" s="244">
        <f>L27*L26</f>
        <v>0.99999999999999989</v>
      </c>
      <c r="L36" s="244">
        <f>K27*K26</f>
        <v>1</v>
      </c>
      <c r="M36" s="109"/>
      <c r="N36" s="87"/>
      <c r="O36" s="9"/>
      <c r="P36" s="9"/>
      <c r="Q36" s="9"/>
      <c r="R36" s="9"/>
      <c r="S36" s="9"/>
      <c r="T36" s="9"/>
      <c r="U36" s="9"/>
      <c r="V36" s="9"/>
    </row>
    <row r="37" spans="2:22" ht="15.75" hidden="1" customHeight="1" x14ac:dyDescent="0.35">
      <c r="B37" s="245" t="s">
        <v>90</v>
      </c>
      <c r="C37" s="246"/>
      <c r="D37" s="246"/>
      <c r="E37" s="246"/>
      <c r="F37" s="247"/>
      <c r="G37" s="228"/>
      <c r="H37" s="229"/>
      <c r="I37" s="230" t="s">
        <v>91</v>
      </c>
      <c r="J37" s="231">
        <f>ABS(D22*J27)</f>
        <v>4.3154832632951763</v>
      </c>
      <c r="K37" s="231">
        <f>ABS(D22*L27)</f>
        <v>7.865069059733087</v>
      </c>
      <c r="L37" s="231">
        <f>ABS(D22*K27)</f>
        <v>2.9718895101428506</v>
      </c>
      <c r="M37" s="88"/>
      <c r="N37" s="87"/>
      <c r="O37" s="9"/>
      <c r="P37" s="9"/>
      <c r="Q37" s="9"/>
      <c r="R37" s="9"/>
      <c r="S37" s="9"/>
      <c r="T37" s="9"/>
      <c r="U37" s="9"/>
      <c r="V37" s="9"/>
    </row>
    <row r="38" spans="2:22" s="7" customFormat="1" ht="12.75" hidden="1" customHeight="1" x14ac:dyDescent="0.3">
      <c r="B38" s="89"/>
      <c r="C38" s="248" t="s">
        <v>17</v>
      </c>
      <c r="D38" s="249" t="s">
        <v>18</v>
      </c>
      <c r="E38" s="9"/>
      <c r="F38" s="247"/>
      <c r="G38" s="250"/>
      <c r="H38" s="251"/>
      <c r="I38" s="252"/>
      <c r="J38" s="253"/>
      <c r="K38" s="253"/>
      <c r="L38" s="253"/>
      <c r="M38" s="133"/>
      <c r="N38" s="109"/>
      <c r="O38" s="8"/>
      <c r="P38" s="8"/>
      <c r="Q38" s="8"/>
      <c r="R38" s="8"/>
    </row>
    <row r="39" spans="2:22" ht="12.75" hidden="1" customHeight="1" x14ac:dyDescent="0.3">
      <c r="B39" s="254" t="s">
        <v>92</v>
      </c>
      <c r="C39" s="255" t="s">
        <v>19</v>
      </c>
      <c r="D39" s="256" t="s">
        <v>20</v>
      </c>
      <c r="E39" s="4" t="s">
        <v>21</v>
      </c>
      <c r="G39" s="88"/>
      <c r="H39" s="88"/>
      <c r="I39" s="88"/>
      <c r="J39" s="88"/>
      <c r="K39" s="88"/>
      <c r="L39" s="88"/>
      <c r="M39" s="88"/>
      <c r="N39" s="109"/>
      <c r="O39" s="8"/>
      <c r="P39" s="8"/>
      <c r="Q39" s="8"/>
      <c r="R39" s="8"/>
      <c r="U39" s="1"/>
      <c r="V39" s="1"/>
    </row>
    <row r="40" spans="2:22" ht="12.75" hidden="1" customHeight="1" x14ac:dyDescent="0.3">
      <c r="B40" s="257" t="s">
        <v>93</v>
      </c>
      <c r="C40" s="258">
        <f>F7*D9/F9</f>
        <v>444.18718381112984</v>
      </c>
      <c r="D40" s="258">
        <f>F7*E9/F9</f>
        <v>1928.8128161888701</v>
      </c>
      <c r="E40" s="258">
        <f>F7</f>
        <v>2373</v>
      </c>
      <c r="G40" s="11"/>
      <c r="H40" s="259" t="s">
        <v>94</v>
      </c>
      <c r="I40" s="260">
        <f>CHIINV(0.05,K41)</f>
        <v>3.8414588206941236</v>
      </c>
      <c r="J40" s="88"/>
      <c r="K40" s="88"/>
      <c r="L40" s="88"/>
      <c r="M40" s="88"/>
      <c r="N40" s="109"/>
      <c r="O40" s="261"/>
      <c r="P40" s="261"/>
      <c r="Q40" s="261"/>
      <c r="R40" s="8"/>
      <c r="U40" s="1"/>
      <c r="V40" s="1"/>
    </row>
    <row r="41" spans="2:22" ht="12.75" hidden="1" customHeight="1" x14ac:dyDescent="0.3">
      <c r="B41" s="262" t="s">
        <v>95</v>
      </c>
      <c r="C41" s="258">
        <f>F8*D9/F9</f>
        <v>443.81281618887016</v>
      </c>
      <c r="D41" s="258">
        <f>F8*E9/F9</f>
        <v>1927.1871838111299</v>
      </c>
      <c r="E41" s="258">
        <f>F8</f>
        <v>2371</v>
      </c>
      <c r="F41" s="7"/>
      <c r="G41" s="263"/>
      <c r="H41" s="263"/>
      <c r="I41" s="264"/>
      <c r="J41" s="265" t="s">
        <v>96</v>
      </c>
      <c r="K41" s="266">
        <f>(COUNT(C40:D40)-1)*(COUNT(C40:C41)-1)</f>
        <v>1</v>
      </c>
      <c r="L41" s="88"/>
      <c r="M41" s="88"/>
      <c r="N41" s="88"/>
      <c r="O41" s="261"/>
      <c r="P41" s="261"/>
      <c r="Q41" s="261"/>
      <c r="R41" s="8"/>
      <c r="U41" s="1"/>
      <c r="V41" s="1"/>
    </row>
    <row r="42" spans="2:22" ht="12.75" hidden="1" customHeight="1" x14ac:dyDescent="0.3">
      <c r="B42" s="267" t="s">
        <v>97</v>
      </c>
      <c r="C42" s="258">
        <f>SUM(C40:C41)</f>
        <v>888</v>
      </c>
      <c r="D42" s="258">
        <f>SUM(D40:D41)</f>
        <v>3856</v>
      </c>
      <c r="E42" s="268">
        <f>SUM(E40:E41)</f>
        <v>4744</v>
      </c>
      <c r="F42" s="7"/>
      <c r="G42" s="133"/>
      <c r="H42" s="269" t="s">
        <v>98</v>
      </c>
      <c r="I42" s="270" t="s">
        <v>99</v>
      </c>
      <c r="J42" s="88"/>
      <c r="K42" s="88"/>
      <c r="L42" s="88"/>
      <c r="M42" s="88"/>
      <c r="N42" s="88"/>
      <c r="O42" s="261"/>
      <c r="P42" s="271"/>
      <c r="Q42" s="261"/>
      <c r="R42" s="8"/>
      <c r="U42" s="1"/>
      <c r="V42" s="1"/>
    </row>
    <row r="43" spans="2:22" ht="12.75" hidden="1" customHeight="1" x14ac:dyDescent="0.3">
      <c r="B43" s="267"/>
      <c r="C43" s="272"/>
      <c r="D43" s="272"/>
      <c r="E43" s="273"/>
      <c r="F43" s="7"/>
      <c r="G43" s="133"/>
      <c r="H43" s="269" t="s">
        <v>100</v>
      </c>
      <c r="I43" s="270" t="s">
        <v>101</v>
      </c>
      <c r="J43" s="88"/>
      <c r="K43" s="88"/>
      <c r="L43" s="88"/>
      <c r="M43" s="88"/>
      <c r="N43" s="88"/>
      <c r="O43" s="274"/>
      <c r="P43" s="274"/>
      <c r="Q43" s="274"/>
      <c r="R43" s="8"/>
      <c r="U43" s="1"/>
      <c r="V43" s="1"/>
    </row>
    <row r="44" spans="2:22" ht="26.25" hidden="1" customHeight="1" x14ac:dyDescent="0.3">
      <c r="B44" s="275"/>
      <c r="C44" s="542" t="s">
        <v>102</v>
      </c>
      <c r="D44" s="543"/>
      <c r="G44" s="88"/>
      <c r="H44" s="276"/>
      <c r="I44" s="88"/>
      <c r="J44" s="88"/>
      <c r="K44" s="88"/>
      <c r="L44" s="88"/>
      <c r="M44" s="88"/>
      <c r="N44" s="88"/>
      <c r="O44" s="1"/>
      <c r="P44" s="1"/>
      <c r="U44" s="1"/>
      <c r="V44" s="1"/>
    </row>
    <row r="45" spans="2:22" ht="12.75" hidden="1" customHeight="1" x14ac:dyDescent="0.3">
      <c r="B45" s="275"/>
      <c r="C45" s="277">
        <f>(D7-C40)^2/C40</f>
        <v>7.6223459011591927</v>
      </c>
      <c r="D45" s="277">
        <f>(E7-D40)^2/D40</f>
        <v>1.7553535166569962</v>
      </c>
      <c r="F45" s="278"/>
      <c r="G45" s="279"/>
      <c r="H45" s="88"/>
      <c r="I45" s="88"/>
      <c r="J45" s="109"/>
      <c r="K45" s="109"/>
      <c r="L45" s="280"/>
      <c r="M45" s="88"/>
      <c r="N45" s="88"/>
      <c r="O45" s="1"/>
      <c r="P45" s="1"/>
      <c r="U45" s="1"/>
      <c r="V45" s="1"/>
    </row>
    <row r="46" spans="2:22" ht="12.75" hidden="1" customHeight="1" x14ac:dyDescent="0.3">
      <c r="B46" s="275"/>
      <c r="C46" s="277">
        <f>(D8-C41)^2/C41</f>
        <v>7.6287755476384502</v>
      </c>
      <c r="D46" s="277">
        <f>(E8-D41)^2/D41</f>
        <v>1.7568342028793975</v>
      </c>
      <c r="E46" s="80"/>
      <c r="F46" s="281" t="s">
        <v>103</v>
      </c>
      <c r="G46" s="282">
        <f>C48-I40</f>
        <v>14.921850347639912</v>
      </c>
      <c r="H46" s="88"/>
      <c r="I46" s="88"/>
      <c r="J46" s="109"/>
      <c r="K46" s="109"/>
      <c r="L46" s="88"/>
      <c r="M46" s="88"/>
      <c r="N46" s="88"/>
      <c r="O46" s="1"/>
      <c r="P46" s="1"/>
      <c r="U46" s="1"/>
      <c r="V46" s="1"/>
    </row>
    <row r="47" spans="2:22" ht="12.75" hidden="1" customHeight="1" x14ac:dyDescent="0.3">
      <c r="B47" s="270" t="s">
        <v>104</v>
      </c>
      <c r="D47" s="283"/>
      <c r="G47" s="284" t="s">
        <v>105</v>
      </c>
      <c r="H47" s="88"/>
      <c r="I47" s="88"/>
      <c r="J47" s="109"/>
      <c r="K47" s="109"/>
      <c r="L47" s="88"/>
      <c r="M47" s="88"/>
      <c r="N47" s="88"/>
      <c r="O47" s="1"/>
      <c r="P47" s="1"/>
      <c r="U47" s="1"/>
      <c r="V47" s="1"/>
    </row>
    <row r="48" spans="2:22" ht="13.5" hidden="1" customHeight="1" x14ac:dyDescent="0.3">
      <c r="B48" s="285" t="s">
        <v>106</v>
      </c>
      <c r="C48" s="286">
        <f>SUM(C45:D46)</f>
        <v>18.763309168334036</v>
      </c>
      <c r="D48" s="9"/>
      <c r="G48" s="284" t="s">
        <v>107</v>
      </c>
      <c r="H48" s="88"/>
      <c r="I48" s="287"/>
      <c r="J48" s="109"/>
      <c r="K48" s="109"/>
      <c r="L48" s="288"/>
      <c r="M48" s="88"/>
      <c r="N48" s="88"/>
      <c r="O48" s="1"/>
      <c r="P48" s="1"/>
      <c r="U48" s="1"/>
      <c r="V48" s="1"/>
    </row>
    <row r="49" spans="1:22" ht="12.75" hidden="1" customHeight="1" x14ac:dyDescent="0.3">
      <c r="B49" s="289" t="s">
        <v>108</v>
      </c>
      <c r="C49" s="290">
        <f>CHIDIST(C48,1)</f>
        <v>1.4798695556080144E-5</v>
      </c>
      <c r="E49" s="9"/>
      <c r="F49" s="9"/>
      <c r="G49" s="87"/>
      <c r="H49" s="291"/>
      <c r="I49" s="87"/>
      <c r="J49" s="109"/>
      <c r="K49" s="109"/>
      <c r="L49" s="87"/>
      <c r="M49" s="88"/>
      <c r="N49" s="88"/>
      <c r="O49" s="1"/>
      <c r="P49" s="1"/>
      <c r="U49" s="1"/>
      <c r="V49" s="1"/>
    </row>
    <row r="50" spans="1:22" s="8" customFormat="1" ht="12.75" hidden="1" customHeight="1" x14ac:dyDescent="0.3">
      <c r="B50" s="122"/>
      <c r="E50" s="292"/>
      <c r="F50" s="292"/>
      <c r="G50" s="109"/>
      <c r="H50" s="109"/>
      <c r="I50" s="293"/>
      <c r="J50" s="109"/>
      <c r="K50" s="109"/>
      <c r="L50" s="109"/>
      <c r="M50" s="109"/>
      <c r="N50" s="109"/>
    </row>
    <row r="51" spans="1:22" ht="13.5" hidden="1" customHeight="1" x14ac:dyDescent="0.3">
      <c r="B51" s="89"/>
      <c r="G51" s="88"/>
      <c r="H51" s="88"/>
      <c r="I51" s="88"/>
      <c r="J51" s="109"/>
      <c r="K51" s="109"/>
      <c r="L51" s="88"/>
      <c r="M51" s="88"/>
      <c r="N51" s="88"/>
      <c r="O51" s="1"/>
      <c r="P51" s="1"/>
      <c r="U51" s="1"/>
      <c r="V51" s="1"/>
    </row>
    <row r="52" spans="1:22" ht="12.75" hidden="1" customHeight="1" x14ac:dyDescent="0.3">
      <c r="B52" s="294" t="s">
        <v>109</v>
      </c>
      <c r="C52" s="295"/>
      <c r="D52" s="295"/>
      <c r="E52" s="295"/>
      <c r="F52" s="295"/>
      <c r="G52" s="295"/>
      <c r="H52" s="296"/>
      <c r="I52" s="88"/>
      <c r="J52" s="297" t="s">
        <v>110</v>
      </c>
      <c r="K52" s="298"/>
      <c r="L52" s="299"/>
      <c r="M52" s="299"/>
      <c r="N52" s="299"/>
      <c r="O52" s="156"/>
      <c r="P52" s="1"/>
      <c r="U52" s="1"/>
      <c r="V52" s="1"/>
    </row>
    <row r="53" spans="1:22" ht="12.75" hidden="1" customHeight="1" x14ac:dyDescent="0.3">
      <c r="B53" s="300">
        <f>I2*100</f>
        <v>95</v>
      </c>
      <c r="C53" s="247"/>
      <c r="D53" s="247"/>
      <c r="E53" s="8"/>
      <c r="F53" s="8"/>
      <c r="G53" s="8"/>
      <c r="H53" s="169"/>
      <c r="I53" s="88"/>
      <c r="J53" s="301"/>
      <c r="K53" s="109"/>
      <c r="L53" s="87"/>
      <c r="M53" s="87"/>
      <c r="N53" s="87"/>
      <c r="O53" s="167"/>
      <c r="P53" s="1"/>
      <c r="U53" s="1"/>
      <c r="V53" s="1"/>
    </row>
    <row r="54" spans="1:22" ht="12.75" hidden="1" customHeight="1" x14ac:dyDescent="0.3">
      <c r="B54" s="302" t="s">
        <v>111</v>
      </c>
      <c r="C54" s="303"/>
      <c r="D54" s="303"/>
      <c r="E54" s="304">
        <f>ROUND(G14,2)</f>
        <v>0.77</v>
      </c>
      <c r="F54" s="305">
        <f>ROUND(J26,4)</f>
        <v>4.9099999999999998E-2</v>
      </c>
      <c r="G54" s="306">
        <f>ROUND(J27,0)</f>
        <v>20</v>
      </c>
      <c r="H54" s="307"/>
      <c r="I54" s="88"/>
      <c r="J54" s="308" t="s">
        <v>111</v>
      </c>
      <c r="K54" s="8"/>
      <c r="L54" s="8"/>
      <c r="M54" s="8"/>
      <c r="N54" s="87"/>
      <c r="O54" s="167"/>
      <c r="P54" s="1"/>
      <c r="U54" s="1"/>
      <c r="V54" s="1"/>
    </row>
    <row r="55" spans="1:22" ht="12.75" hidden="1" customHeight="1" x14ac:dyDescent="0.3">
      <c r="B55" s="302" t="s">
        <v>112</v>
      </c>
      <c r="C55" s="9"/>
      <c r="D55" s="9"/>
      <c r="E55" s="304">
        <f>ROUND(H14,2)</f>
        <v>0.68</v>
      </c>
      <c r="F55" s="305">
        <f>ROUND(L26,4)</f>
        <v>2.69E-2</v>
      </c>
      <c r="G55" s="306">
        <f>ROUND(L27,0)</f>
        <v>37</v>
      </c>
      <c r="H55" s="307"/>
      <c r="I55" s="88"/>
      <c r="J55" s="308" t="s">
        <v>112</v>
      </c>
      <c r="K55" s="309" t="str">
        <f>ROUND(J21,4)*100&amp;J57</f>
        <v>16,27%</v>
      </c>
      <c r="L55" s="309" t="str">
        <f>ROUND(K21,4)*100&amp;J57</f>
        <v>14,84%</v>
      </c>
      <c r="M55" s="309" t="str">
        <f>ROUND(L21,4)*100&amp;J57</f>
        <v>17,81%</v>
      </c>
      <c r="N55" s="310" t="str">
        <f>CONCATENATE(K55," ",J54,L55," ",J58," ",M55,J56)</f>
        <v>16,27% (14,84% a 17,81%)</v>
      </c>
      <c r="O55" s="167"/>
      <c r="P55" s="1"/>
      <c r="U55" s="1"/>
      <c r="V55" s="1"/>
    </row>
    <row r="56" spans="1:22" s="7" customFormat="1" ht="12.75" hidden="1" customHeight="1" x14ac:dyDescent="0.3">
      <c r="B56" s="302" t="s">
        <v>113</v>
      </c>
      <c r="C56" s="303">
        <f>ROUND(D7,0)</f>
        <v>386</v>
      </c>
      <c r="D56" s="303">
        <f>ROUND(D8,0)</f>
        <v>502</v>
      </c>
      <c r="E56" s="304">
        <f>ROUND(I14,2)</f>
        <v>0.87</v>
      </c>
      <c r="F56" s="305">
        <f>ROUND(K26,4)</f>
        <v>7.1199999999999999E-2</v>
      </c>
      <c r="G56" s="306">
        <f>ROUND(K27,0)</f>
        <v>14</v>
      </c>
      <c r="H56" s="311">
        <f>ROUND(N32,4)</f>
        <v>0.99109999999999998</v>
      </c>
      <c r="I56" s="133"/>
      <c r="J56" s="308" t="s">
        <v>113</v>
      </c>
      <c r="K56" s="312" t="str">
        <f>ROUND(J22,4)*100&amp;J57</f>
        <v>21,17%</v>
      </c>
      <c r="L56" s="312" t="str">
        <f>ROUND(K22,4)*100&amp;J57</f>
        <v>19,58%</v>
      </c>
      <c r="M56" s="312" t="str">
        <f>ROUND(L22,4)*100&amp;J57</f>
        <v>22,86%</v>
      </c>
      <c r="N56" s="310" t="str">
        <f>CONCATENATE(K56," ",J54,L56," ",J58," ",M56,J56)</f>
        <v>21,17% (19,58% a 22,86%)</v>
      </c>
      <c r="O56" s="169"/>
    </row>
    <row r="57" spans="1:22" ht="12.75" hidden="1" customHeight="1" x14ac:dyDescent="0.3">
      <c r="B57" s="302" t="s">
        <v>114</v>
      </c>
      <c r="C57" s="313" t="s">
        <v>115</v>
      </c>
      <c r="D57" s="313" t="s">
        <v>116</v>
      </c>
      <c r="E57" s="313" t="s">
        <v>31</v>
      </c>
      <c r="F57" s="313" t="s">
        <v>117</v>
      </c>
      <c r="G57" s="314" t="s">
        <v>11</v>
      </c>
      <c r="H57" s="11" t="s">
        <v>118</v>
      </c>
      <c r="I57" s="88"/>
      <c r="J57" s="308" t="s">
        <v>114</v>
      </c>
      <c r="K57" s="312" t="str">
        <f>ROUND(J23,4)*100&amp;J57</f>
        <v>18,72%</v>
      </c>
      <c r="L57" s="312" t="str">
        <f>ROUND(K23,4)*100&amp;J57</f>
        <v>17,63%</v>
      </c>
      <c r="M57" s="312" t="str">
        <f>ROUND(L23,4)*100&amp;J57</f>
        <v>19,85%</v>
      </c>
      <c r="N57" s="310" t="str">
        <f>CONCATENATE(K57," ",J54,L57," ",J58," ",M57,J56)</f>
        <v>18,72% (17,63% a 19,85%)</v>
      </c>
      <c r="O57" s="169"/>
    </row>
    <row r="58" spans="1:22" ht="12.75" hidden="1" customHeight="1" x14ac:dyDescent="0.3">
      <c r="B58" s="315" t="s">
        <v>119</v>
      </c>
      <c r="C58" s="316" t="str">
        <f>CONCATENATE(C56,B59,C21," ",B54,K55,B56)</f>
        <v>386/2373 (16,27%)</v>
      </c>
      <c r="D58" s="71" t="str">
        <f>CONCATENATE(D56,B59,C22," ",B54,K56,B56)</f>
        <v>502/2371 (21,17%)</v>
      </c>
      <c r="E58" s="316" t="str">
        <f>CONCATENATE(E54," ",B54,E55,B55,E56,B56)</f>
        <v>0,77 (0,68-0,87)</v>
      </c>
      <c r="F58" s="316" t="str">
        <f>CONCATENATE(F54*100,B57," ",B54,F55*100,B57," ",B58," ",F56*100,B57,B56)</f>
        <v>4,91% (2,69% a 7,12%)</v>
      </c>
      <c r="G58" s="11" t="str">
        <f>CONCATENATE(G54," ",B54,G56," ",B58," ",G55,B56)</f>
        <v>20 (14 a 37)</v>
      </c>
      <c r="H58" s="11" t="str">
        <f>CONCATENATE(H56*100,B57)</f>
        <v>99,11%</v>
      </c>
      <c r="I58" s="88"/>
      <c r="J58" s="317" t="s">
        <v>119</v>
      </c>
      <c r="K58" s="9"/>
      <c r="L58" s="9"/>
      <c r="M58" s="9"/>
      <c r="N58" s="87"/>
      <c r="O58" s="167"/>
      <c r="P58" s="1"/>
      <c r="U58" s="1"/>
      <c r="V58" s="1"/>
    </row>
    <row r="59" spans="1:22" ht="13.5" hidden="1" customHeight="1" x14ac:dyDescent="0.3">
      <c r="B59" s="318" t="s">
        <v>120</v>
      </c>
      <c r="C59" s="193"/>
      <c r="D59" s="193"/>
      <c r="E59" s="193"/>
      <c r="F59" s="193"/>
      <c r="G59" s="319"/>
      <c r="H59" s="320"/>
      <c r="I59" s="88"/>
      <c r="J59" s="321" t="s">
        <v>120</v>
      </c>
      <c r="K59" s="193"/>
      <c r="L59" s="193"/>
      <c r="M59" s="193"/>
      <c r="N59" s="322"/>
      <c r="O59" s="191"/>
      <c r="P59" s="1"/>
      <c r="U59" s="1"/>
      <c r="V59" s="1"/>
    </row>
    <row r="60" spans="1:22" x14ac:dyDescent="0.3">
      <c r="B60" s="89"/>
      <c r="G60" s="88"/>
      <c r="H60" s="88"/>
      <c r="I60" s="88"/>
      <c r="J60" s="88"/>
      <c r="K60" s="88"/>
      <c r="L60" s="109"/>
      <c r="M60" s="88"/>
      <c r="N60" s="88"/>
      <c r="O60" s="1"/>
      <c r="P60" s="1"/>
      <c r="U60" s="1"/>
      <c r="V60" s="1"/>
    </row>
    <row r="61" spans="1:22" ht="27" customHeight="1" x14ac:dyDescent="0.3">
      <c r="B61" s="89"/>
      <c r="C61" s="323" t="s">
        <v>115</v>
      </c>
      <c r="D61" s="323" t="s">
        <v>116</v>
      </c>
      <c r="E61" s="324" t="str">
        <f>CONCATENATE(E57," ",B54,H2," ",B53,B57,B56)</f>
        <v>RR (IC 95%)</v>
      </c>
      <c r="F61" s="324" t="str">
        <f>CONCATENATE(F57," ",B54,H2," ",B53,B57,B56)</f>
        <v>RAR (IC 95%)</v>
      </c>
      <c r="G61" s="324" t="str">
        <f>CONCATENATE(G57," ",B54,H2," ",B53,B57,B56)</f>
        <v>NNT (IC 95%)</v>
      </c>
      <c r="H61" s="324" t="s">
        <v>75</v>
      </c>
      <c r="I61" s="325"/>
      <c r="J61" s="361" t="s">
        <v>131</v>
      </c>
      <c r="L61" s="333" t="s">
        <v>122</v>
      </c>
      <c r="M61" s="333" t="s">
        <v>123</v>
      </c>
      <c r="O61" s="395" t="s">
        <v>143</v>
      </c>
      <c r="P61" s="395" t="s">
        <v>123</v>
      </c>
      <c r="R61" s="343" t="s">
        <v>2</v>
      </c>
      <c r="S61" s="344" t="s">
        <v>3</v>
      </c>
      <c r="T61" s="390" t="s">
        <v>1</v>
      </c>
      <c r="U61" s="334" t="s">
        <v>141</v>
      </c>
      <c r="V61" s="1"/>
    </row>
    <row r="62" spans="1:22" ht="21" customHeight="1" x14ac:dyDescent="0.3">
      <c r="B62" s="89"/>
      <c r="C62" s="71" t="str">
        <f t="shared" ref="C62:H62" si="1">C58</f>
        <v>386/2373 (16,27%)</v>
      </c>
      <c r="D62" s="71" t="str">
        <f t="shared" si="1"/>
        <v>502/2371 (21,17%)</v>
      </c>
      <c r="E62" s="71" t="str">
        <f t="shared" si="1"/>
        <v>0,77 (0,68-0,87)</v>
      </c>
      <c r="F62" s="71" t="str">
        <f t="shared" si="1"/>
        <v>4,91% (2,69% a 7,12%)</v>
      </c>
      <c r="G62" s="71" t="str">
        <f t="shared" si="1"/>
        <v>20 (14 a 37)</v>
      </c>
      <c r="H62" s="71" t="str">
        <f t="shared" si="1"/>
        <v>99,11%</v>
      </c>
      <c r="I62" s="326"/>
      <c r="J62" s="327">
        <f>C49</f>
        <v>1.4798695556080144E-5</v>
      </c>
      <c r="L62" s="328">
        <f>IF((K26*L26&lt;0),J23,J21)</f>
        <v>0.16266329540665825</v>
      </c>
      <c r="M62" s="328">
        <f>IF((K26*L26&lt;0),J23,J22)</f>
        <v>0.21172501054407422</v>
      </c>
      <c r="O62" s="393">
        <f>L62*100</f>
        <v>16.266329540665826</v>
      </c>
      <c r="P62" s="394">
        <f>M62*100</f>
        <v>21.172501054407423</v>
      </c>
      <c r="R62" s="345">
        <f>Q14</f>
        <v>14.783312831707335</v>
      </c>
      <c r="S62" s="346">
        <f>R14</f>
        <v>0.41702457866803577</v>
      </c>
      <c r="T62" s="391">
        <f>S14</f>
        <v>1.799662589624631</v>
      </c>
      <c r="U62" s="392">
        <f>R62+S62+T62</f>
        <v>17</v>
      </c>
      <c r="V62" s="284" t="str">
        <f>I4</f>
        <v>meses</v>
      </c>
    </row>
    <row r="63" spans="1:22" x14ac:dyDescent="0.3">
      <c r="B63" s="89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329"/>
    </row>
    <row r="64" spans="1:22" x14ac:dyDescent="0.3">
      <c r="A64" s="400"/>
      <c r="B64" s="411" t="s">
        <v>164</v>
      </c>
      <c r="C64" s="330"/>
      <c r="D64" s="330"/>
      <c r="E64" s="330"/>
      <c r="F64" s="330"/>
      <c r="G64" s="330"/>
      <c r="H64" s="330"/>
      <c r="I64" s="331"/>
      <c r="J64" s="332"/>
      <c r="K64" s="284"/>
      <c r="L64" s="284"/>
      <c r="M64" s="284"/>
      <c r="N64" s="284"/>
      <c r="O64" s="329"/>
    </row>
    <row r="65" spans="1:22" ht="13.5" thickBot="1" x14ac:dyDescent="0.35">
      <c r="A65" s="400"/>
      <c r="B65" s="410" t="s">
        <v>159</v>
      </c>
      <c r="C65" s="330"/>
      <c r="D65" s="330"/>
      <c r="E65" s="330"/>
      <c r="F65" s="330"/>
      <c r="G65" s="330"/>
      <c r="H65" s="330"/>
      <c r="I65" s="331"/>
      <c r="J65" s="332"/>
      <c r="K65" s="284"/>
      <c r="L65" s="284"/>
      <c r="M65" s="284"/>
      <c r="N65" s="284"/>
      <c r="O65" s="329"/>
    </row>
    <row r="66" spans="1:22" ht="39.75" customHeight="1" thickBot="1" x14ac:dyDescent="0.35">
      <c r="A66" s="400"/>
      <c r="B66" s="490" t="s">
        <v>160</v>
      </c>
      <c r="C66" s="491"/>
      <c r="D66" s="491"/>
      <c r="E66" s="491"/>
      <c r="F66" s="491"/>
      <c r="G66" s="491"/>
      <c r="H66" s="492"/>
      <c r="I66" s="400"/>
      <c r="J66" s="400"/>
      <c r="K66" s="400"/>
      <c r="L66" s="400"/>
      <c r="M66" s="400"/>
      <c r="N66" s="400"/>
      <c r="O66" s="550" t="s">
        <v>146</v>
      </c>
      <c r="P66" s="551"/>
      <c r="Q66" s="400"/>
      <c r="R66" s="544" t="s">
        <v>138</v>
      </c>
      <c r="S66" s="547" t="s">
        <v>139</v>
      </c>
      <c r="T66" s="526" t="s">
        <v>140</v>
      </c>
      <c r="U66" s="536" t="s">
        <v>142</v>
      </c>
      <c r="V66" s="400"/>
    </row>
    <row r="67" spans="1:22" ht="38.25" customHeight="1" thickBot="1" x14ac:dyDescent="0.35">
      <c r="A67" s="400"/>
      <c r="B67" s="529" t="s">
        <v>163</v>
      </c>
      <c r="C67" s="419" t="s">
        <v>184</v>
      </c>
      <c r="D67" s="401" t="s">
        <v>161</v>
      </c>
      <c r="E67" s="531" t="s">
        <v>162</v>
      </c>
      <c r="F67" s="532"/>
      <c r="G67" s="532"/>
      <c r="H67" s="533"/>
      <c r="I67" s="400"/>
      <c r="J67" s="400"/>
      <c r="K67" s="400"/>
      <c r="L67" s="400"/>
      <c r="M67" s="400"/>
      <c r="N67" s="400"/>
      <c r="O67" s="520" t="s">
        <v>226</v>
      </c>
      <c r="P67" s="521"/>
      <c r="Q67" s="400"/>
      <c r="R67" s="545"/>
      <c r="S67" s="548"/>
      <c r="T67" s="527"/>
      <c r="U67" s="537"/>
      <c r="V67" s="400"/>
    </row>
    <row r="68" spans="1:22" ht="26.25" customHeight="1" thickBot="1" x14ac:dyDescent="0.35">
      <c r="A68" s="400"/>
      <c r="B68" s="530"/>
      <c r="C68" s="402" t="s">
        <v>147</v>
      </c>
      <c r="D68" s="403" t="s">
        <v>147</v>
      </c>
      <c r="E68" s="404" t="s">
        <v>137</v>
      </c>
      <c r="F68" s="405" t="s">
        <v>271</v>
      </c>
      <c r="G68" s="405" t="s">
        <v>268</v>
      </c>
      <c r="H68" s="406" t="s">
        <v>121</v>
      </c>
      <c r="I68" s="400"/>
      <c r="J68" s="407" t="s">
        <v>148</v>
      </c>
      <c r="L68" s="112" t="s">
        <v>122</v>
      </c>
      <c r="M68" s="112" t="s">
        <v>123</v>
      </c>
      <c r="N68" s="400"/>
      <c r="O68" s="408" t="s">
        <v>185</v>
      </c>
      <c r="P68" s="409" t="s">
        <v>14</v>
      </c>
      <c r="Q68" s="400"/>
      <c r="R68" s="546"/>
      <c r="S68" s="549"/>
      <c r="T68" s="528"/>
      <c r="U68" s="538"/>
      <c r="V68" s="400"/>
    </row>
    <row r="69" spans="1:22" ht="22" customHeight="1" thickBot="1" x14ac:dyDescent="0.4">
      <c r="A69" s="400"/>
      <c r="B69" s="512" t="s">
        <v>300</v>
      </c>
      <c r="C69" s="371"/>
      <c r="D69" s="371"/>
      <c r="E69" s="372"/>
      <c r="F69" s="372"/>
      <c r="G69" s="372"/>
      <c r="H69" s="372"/>
      <c r="I69" s="368"/>
      <c r="J69" s="373"/>
      <c r="K69" s="374"/>
      <c r="L69" s="374"/>
      <c r="M69" s="374"/>
      <c r="N69" s="374"/>
      <c r="O69" s="374"/>
      <c r="P69" s="374"/>
      <c r="Q69" s="400"/>
      <c r="R69" s="400"/>
      <c r="S69" s="400"/>
      <c r="T69" s="400"/>
      <c r="U69" s="400"/>
      <c r="V69" s="400"/>
    </row>
    <row r="70" spans="1:22" ht="32.15" customHeight="1" x14ac:dyDescent="0.3">
      <c r="A70" s="400"/>
      <c r="B70" s="493" t="s">
        <v>228</v>
      </c>
      <c r="C70" s="459" t="s">
        <v>166</v>
      </c>
      <c r="D70" s="459" t="s">
        <v>167</v>
      </c>
      <c r="E70" s="459" t="s">
        <v>168</v>
      </c>
      <c r="F70" s="459" t="s">
        <v>169</v>
      </c>
      <c r="G70" s="460" t="s">
        <v>170</v>
      </c>
      <c r="H70" s="461" t="s">
        <v>171</v>
      </c>
      <c r="I70" s="368"/>
      <c r="J70" s="386">
        <v>2.0450940602679223E-2</v>
      </c>
      <c r="K70" s="369"/>
      <c r="L70" s="375">
        <v>0.11630847029077118</v>
      </c>
      <c r="M70" s="375">
        <v>0.13876001687051878</v>
      </c>
      <c r="N70" s="369"/>
      <c r="O70" s="420">
        <v>11.630847029077119</v>
      </c>
      <c r="P70" s="421">
        <v>13.876001687051879</v>
      </c>
      <c r="Q70" s="400"/>
      <c r="R70" s="495">
        <v>15.629701710672734</v>
      </c>
      <c r="S70" s="496">
        <v>0.19083814592785453</v>
      </c>
      <c r="T70" s="497">
        <v>1.1794601433994096</v>
      </c>
      <c r="U70" s="498">
        <v>16.999999999999996</v>
      </c>
      <c r="V70" s="505" t="s">
        <v>151</v>
      </c>
    </row>
    <row r="71" spans="1:22" ht="24" customHeight="1" x14ac:dyDescent="0.3">
      <c r="A71" s="400"/>
      <c r="B71" s="462" t="s">
        <v>229</v>
      </c>
      <c r="C71" s="452" t="s">
        <v>260</v>
      </c>
      <c r="D71" s="453" t="s">
        <v>261</v>
      </c>
      <c r="E71" s="453" t="s">
        <v>262</v>
      </c>
      <c r="F71" s="453" t="s">
        <v>263</v>
      </c>
      <c r="G71" s="454" t="s">
        <v>264</v>
      </c>
      <c r="H71" s="463" t="s">
        <v>265</v>
      </c>
      <c r="I71" s="455"/>
      <c r="J71" s="456">
        <v>2.6491070952513355E-2</v>
      </c>
      <c r="K71" s="457"/>
      <c r="L71" s="458">
        <v>0.13302325581395349</v>
      </c>
      <c r="M71" s="458">
        <v>0.16729323308270677</v>
      </c>
      <c r="N71" s="457"/>
      <c r="O71" s="475">
        <v>13.302325581395349</v>
      </c>
      <c r="P71" s="476">
        <v>16.729323308270676</v>
      </c>
      <c r="Q71" s="400"/>
      <c r="R71" s="400"/>
      <c r="S71" s="400"/>
      <c r="T71" s="400"/>
      <c r="U71" s="400"/>
      <c r="V71" s="504"/>
    </row>
    <row r="72" spans="1:22" ht="24" customHeight="1" thickBot="1" x14ac:dyDescent="0.35">
      <c r="A72" s="400"/>
      <c r="B72" s="494" t="s">
        <v>266</v>
      </c>
      <c r="C72" s="465" t="s">
        <v>254</v>
      </c>
      <c r="D72" s="466" t="s">
        <v>255</v>
      </c>
      <c r="E72" s="466" t="s">
        <v>256</v>
      </c>
      <c r="F72" s="466" t="s">
        <v>257</v>
      </c>
      <c r="G72" s="479" t="s">
        <v>258</v>
      </c>
      <c r="H72" s="468" t="s">
        <v>259</v>
      </c>
      <c r="I72" s="455"/>
      <c r="J72" s="456">
        <v>0.28466907264294555</v>
      </c>
      <c r="K72" s="457"/>
      <c r="L72" s="458">
        <v>0.109021113243762</v>
      </c>
      <c r="M72" s="458">
        <v>0.109021113243762</v>
      </c>
      <c r="N72" s="457"/>
      <c r="O72" s="478">
        <v>10.9021113243762</v>
      </c>
      <c r="P72" s="478">
        <v>10.9021113243762</v>
      </c>
      <c r="Q72" s="400"/>
      <c r="R72" s="400"/>
      <c r="S72" s="400"/>
      <c r="T72" s="400"/>
      <c r="U72" s="400"/>
      <c r="V72" s="504"/>
    </row>
    <row r="73" spans="1:22" ht="5" customHeight="1" thickBot="1" x14ac:dyDescent="0.35">
      <c r="A73" s="400"/>
      <c r="B73" s="370"/>
      <c r="C73" s="371"/>
      <c r="D73" s="371"/>
      <c r="E73" s="372"/>
      <c r="F73" s="372"/>
      <c r="G73" s="372"/>
      <c r="H73" s="372"/>
      <c r="I73" s="368"/>
      <c r="J73" s="373"/>
      <c r="K73" s="374"/>
      <c r="L73" s="374"/>
      <c r="M73" s="374"/>
      <c r="N73" s="374"/>
      <c r="O73" s="374"/>
      <c r="P73" s="374"/>
      <c r="Q73" s="400"/>
      <c r="R73" s="400"/>
      <c r="S73" s="400"/>
      <c r="T73" s="400"/>
      <c r="U73" s="400"/>
      <c r="V73" s="504"/>
    </row>
    <row r="74" spans="1:22" ht="32.15" customHeight="1" x14ac:dyDescent="0.3">
      <c r="A74" s="400"/>
      <c r="B74" s="493" t="s">
        <v>227</v>
      </c>
      <c r="C74" s="459" t="s">
        <v>172</v>
      </c>
      <c r="D74" s="459" t="s">
        <v>173</v>
      </c>
      <c r="E74" s="459" t="s">
        <v>174</v>
      </c>
      <c r="F74" s="459" t="s">
        <v>175</v>
      </c>
      <c r="G74" s="460" t="s">
        <v>176</v>
      </c>
      <c r="H74" s="562">
        <v>0.58899999999999997</v>
      </c>
      <c r="I74" s="368"/>
      <c r="J74" s="386">
        <v>2.889192139381587E-2</v>
      </c>
      <c r="K74" s="369"/>
      <c r="L74" s="375">
        <v>9.5659502739148763E-2</v>
      </c>
      <c r="M74" s="375">
        <v>0.11514129059468578</v>
      </c>
      <c r="N74" s="369"/>
      <c r="O74" s="420">
        <v>9.5659502739148756</v>
      </c>
      <c r="P74" s="421">
        <v>11.514129059468578</v>
      </c>
      <c r="Q74" s="400"/>
      <c r="R74" s="495">
        <v>15.855703833173107</v>
      </c>
      <c r="S74" s="496">
        <v>0.16559519677206469</v>
      </c>
      <c r="T74" s="497">
        <v>0.97870097005482914</v>
      </c>
      <c r="U74" s="498">
        <v>17</v>
      </c>
      <c r="V74" s="505" t="s">
        <v>151</v>
      </c>
    </row>
    <row r="75" spans="1:22" ht="24" customHeight="1" x14ac:dyDescent="0.3">
      <c r="A75" s="400"/>
      <c r="B75" s="483" t="s">
        <v>230</v>
      </c>
      <c r="C75" s="452" t="s">
        <v>242</v>
      </c>
      <c r="D75" s="453" t="s">
        <v>243</v>
      </c>
      <c r="E75" s="453" t="s">
        <v>244</v>
      </c>
      <c r="F75" s="453" t="s">
        <v>245</v>
      </c>
      <c r="G75" s="452" t="s">
        <v>246</v>
      </c>
      <c r="H75" s="463" t="s">
        <v>247</v>
      </c>
      <c r="I75" s="455"/>
      <c r="J75" s="456">
        <v>6.4187012122711315E-2</v>
      </c>
      <c r="K75" s="457"/>
      <c r="L75" s="458">
        <v>0.1257597007947639</v>
      </c>
      <c r="M75" s="458">
        <v>0.1257597007947639</v>
      </c>
      <c r="N75" s="457"/>
      <c r="O75" s="477">
        <v>12.57597007947639</v>
      </c>
      <c r="P75" s="477">
        <v>12.57597007947639</v>
      </c>
      <c r="Q75" s="400"/>
      <c r="R75" s="400"/>
      <c r="S75" s="400"/>
      <c r="T75" s="400"/>
      <c r="U75" s="400"/>
      <c r="V75" s="504"/>
    </row>
    <row r="76" spans="1:22" ht="24" customHeight="1" thickBot="1" x14ac:dyDescent="0.35">
      <c r="A76" s="400"/>
      <c r="B76" s="494" t="s">
        <v>267</v>
      </c>
      <c r="C76" s="465" t="s">
        <v>248</v>
      </c>
      <c r="D76" s="466" t="s">
        <v>249</v>
      </c>
      <c r="E76" s="466" t="s">
        <v>250</v>
      </c>
      <c r="F76" s="466" t="s">
        <v>251</v>
      </c>
      <c r="G76" s="479" t="s">
        <v>252</v>
      </c>
      <c r="H76" s="468" t="s">
        <v>253</v>
      </c>
      <c r="I76" s="455"/>
      <c r="J76" s="456">
        <v>0.20965336969043064</v>
      </c>
      <c r="K76" s="457"/>
      <c r="L76" s="458">
        <v>8.8675623800383879E-2</v>
      </c>
      <c r="M76" s="458">
        <v>8.8675623800383879E-2</v>
      </c>
      <c r="N76" s="457"/>
      <c r="O76" s="478">
        <v>8.8675623800383878</v>
      </c>
      <c r="P76" s="478">
        <v>8.8675623800383878</v>
      </c>
      <c r="Q76" s="400"/>
      <c r="R76" s="400"/>
      <c r="S76" s="400"/>
      <c r="T76" s="400"/>
      <c r="U76" s="400"/>
      <c r="V76" s="504"/>
    </row>
    <row r="77" spans="1:22" ht="4.5" customHeight="1" thickBot="1" x14ac:dyDescent="0.35">
      <c r="A77" s="400"/>
      <c r="B77" s="370"/>
      <c r="C77" s="371"/>
      <c r="D77" s="371"/>
      <c r="E77" s="372"/>
      <c r="F77" s="372"/>
      <c r="G77" s="372"/>
      <c r="H77" s="372"/>
      <c r="I77" s="368"/>
      <c r="J77" s="373"/>
      <c r="K77" s="374"/>
      <c r="L77" s="374"/>
      <c r="M77" s="374"/>
      <c r="N77" s="374"/>
      <c r="O77" s="374"/>
      <c r="P77" s="374"/>
      <c r="Q77" s="400"/>
      <c r="R77" s="400"/>
      <c r="S77" s="400"/>
      <c r="T77" s="400"/>
      <c r="U77" s="400"/>
      <c r="V77" s="504"/>
    </row>
    <row r="78" spans="1:22" ht="45.5" customHeight="1" x14ac:dyDescent="0.3">
      <c r="A78" s="400"/>
      <c r="B78" s="507" t="s">
        <v>298</v>
      </c>
      <c r="C78" s="459" t="s">
        <v>177</v>
      </c>
      <c r="D78" s="459" t="s">
        <v>178</v>
      </c>
      <c r="E78" s="459" t="s">
        <v>179</v>
      </c>
      <c r="F78" s="459" t="s">
        <v>180</v>
      </c>
      <c r="G78" s="460" t="s">
        <v>181</v>
      </c>
      <c r="H78" s="461" t="s">
        <v>241</v>
      </c>
      <c r="I78" s="368"/>
      <c r="J78" s="386">
        <v>7.5241791887383039E-5</v>
      </c>
      <c r="K78" s="369"/>
      <c r="L78" s="375">
        <v>9.7345132743362831E-2</v>
      </c>
      <c r="M78" s="375">
        <v>0.13412062420919443</v>
      </c>
      <c r="N78" s="369"/>
      <c r="O78" s="420">
        <v>9.7345132743362832</v>
      </c>
      <c r="P78" s="421">
        <v>13.412062420919444</v>
      </c>
      <c r="Q78" s="400"/>
      <c r="R78" s="495">
        <v>15.547383016762279</v>
      </c>
      <c r="S78" s="496">
        <v>0.31259167745956862</v>
      </c>
      <c r="T78" s="497">
        <v>1.1400253057781526</v>
      </c>
      <c r="U78" s="498">
        <v>17</v>
      </c>
      <c r="V78" s="505" t="s">
        <v>151</v>
      </c>
    </row>
    <row r="79" spans="1:22" ht="24" customHeight="1" x14ac:dyDescent="0.3">
      <c r="A79" s="400"/>
      <c r="B79" s="462" t="s">
        <v>290</v>
      </c>
      <c r="C79" s="452" t="s">
        <v>231</v>
      </c>
      <c r="D79" s="453" t="s">
        <v>232</v>
      </c>
      <c r="E79" s="453" t="s">
        <v>233</v>
      </c>
      <c r="F79" s="453" t="s">
        <v>234</v>
      </c>
      <c r="G79" s="454" t="s">
        <v>235</v>
      </c>
      <c r="H79" s="463">
        <v>0.58950000000000002</v>
      </c>
      <c r="I79" s="455"/>
      <c r="J79" s="456">
        <v>2.8796258191832538E-2</v>
      </c>
      <c r="K79" s="457"/>
      <c r="L79" s="458">
        <v>0.12837209302325581</v>
      </c>
      <c r="M79" s="458">
        <v>0.16165413533834586</v>
      </c>
      <c r="N79" s="457"/>
      <c r="O79" s="475">
        <v>12.837209302325581</v>
      </c>
      <c r="P79" s="476">
        <v>16.165413533834585</v>
      </c>
      <c r="Q79" s="400"/>
      <c r="R79" s="400"/>
      <c r="S79" s="400"/>
      <c r="T79" s="400"/>
      <c r="U79" s="400"/>
      <c r="V79" s="504"/>
    </row>
    <row r="80" spans="1:22" ht="24" customHeight="1" thickBot="1" x14ac:dyDescent="0.35">
      <c r="A80" s="400"/>
      <c r="B80" s="464" t="s">
        <v>289</v>
      </c>
      <c r="C80" s="465" t="s">
        <v>236</v>
      </c>
      <c r="D80" s="466" t="s">
        <v>237</v>
      </c>
      <c r="E80" s="466" t="s">
        <v>238</v>
      </c>
      <c r="F80" s="466" t="s">
        <v>239</v>
      </c>
      <c r="G80" s="467" t="s">
        <v>240</v>
      </c>
      <c r="H80" s="468" t="s">
        <v>291</v>
      </c>
      <c r="I80" s="455"/>
      <c r="J80" s="456">
        <v>3.982358779557272E-4</v>
      </c>
      <c r="K80" s="457"/>
      <c r="L80" s="458">
        <v>7.1648690292758083E-2</v>
      </c>
      <c r="M80" s="458">
        <v>0.11170619739862279</v>
      </c>
      <c r="N80" s="457"/>
      <c r="O80" s="475">
        <v>7.1648690292758079</v>
      </c>
      <c r="P80" s="476">
        <v>11.17061973986228</v>
      </c>
      <c r="Q80" s="400"/>
      <c r="R80" s="400"/>
      <c r="S80" s="400"/>
      <c r="T80" s="400"/>
      <c r="U80" s="400"/>
      <c r="V80" s="504"/>
    </row>
    <row r="81" spans="1:22" ht="25" customHeight="1" thickBot="1" x14ac:dyDescent="0.4">
      <c r="A81" s="400"/>
      <c r="B81" s="512" t="s">
        <v>301</v>
      </c>
      <c r="C81" s="374"/>
      <c r="D81" s="374"/>
      <c r="E81" s="374"/>
      <c r="F81" s="374"/>
      <c r="G81" s="374"/>
      <c r="H81" s="374"/>
      <c r="I81" s="374"/>
      <c r="J81" s="440"/>
      <c r="K81" s="369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504"/>
    </row>
    <row r="82" spans="1:22" ht="46" customHeight="1" x14ac:dyDescent="0.3">
      <c r="A82" s="400"/>
      <c r="B82" s="508" t="s">
        <v>296</v>
      </c>
      <c r="C82" s="509" t="s">
        <v>272</v>
      </c>
      <c r="D82" s="509" t="s">
        <v>273</v>
      </c>
      <c r="E82" s="509" t="s">
        <v>165</v>
      </c>
      <c r="F82" s="509" t="s">
        <v>274</v>
      </c>
      <c r="G82" s="510" t="s">
        <v>275</v>
      </c>
      <c r="H82" s="511" t="s">
        <v>276</v>
      </c>
      <c r="I82" s="368"/>
      <c r="J82" s="386">
        <v>1.4798695556080144E-5</v>
      </c>
      <c r="K82" s="369"/>
      <c r="L82" s="375">
        <v>0.16266329540665825</v>
      </c>
      <c r="M82" s="375">
        <v>0.21172501054407422</v>
      </c>
      <c r="N82" s="369"/>
      <c r="O82" s="420">
        <v>16.266329540665826</v>
      </c>
      <c r="P82" s="421">
        <v>21.172501054407423</v>
      </c>
      <c r="Q82" s="400"/>
      <c r="R82" s="495">
        <v>14.783312831707335</v>
      </c>
      <c r="S82" s="496">
        <v>0.41702457866803577</v>
      </c>
      <c r="T82" s="497">
        <v>1.799662589624631</v>
      </c>
      <c r="U82" s="498">
        <v>17</v>
      </c>
      <c r="V82" s="505" t="s">
        <v>151</v>
      </c>
    </row>
    <row r="83" spans="1:22" ht="24" customHeight="1" x14ac:dyDescent="0.3">
      <c r="A83" s="400"/>
      <c r="B83" s="474" t="s">
        <v>277</v>
      </c>
      <c r="C83" s="452" t="s">
        <v>279</v>
      </c>
      <c r="D83" s="453" t="s">
        <v>280</v>
      </c>
      <c r="E83" s="453" t="s">
        <v>281</v>
      </c>
      <c r="F83" s="453" t="s">
        <v>282</v>
      </c>
      <c r="G83" s="454" t="s">
        <v>283</v>
      </c>
      <c r="H83" s="463">
        <v>0.99870000000000003</v>
      </c>
      <c r="I83" s="455"/>
      <c r="J83" s="456">
        <v>6.6353830881482815E-7</v>
      </c>
      <c r="K83" s="457"/>
      <c r="L83" s="458">
        <v>0.11830635118306351</v>
      </c>
      <c r="M83" s="458">
        <v>0.18096430807764557</v>
      </c>
      <c r="N83" s="457"/>
      <c r="O83" s="475">
        <v>11.830635118306351</v>
      </c>
      <c r="P83" s="476">
        <v>18.096430807764559</v>
      </c>
      <c r="Q83" s="400"/>
      <c r="R83" s="400"/>
      <c r="S83" s="400"/>
      <c r="T83" s="400"/>
      <c r="U83" s="400"/>
      <c r="V83" s="499"/>
    </row>
    <row r="84" spans="1:22" ht="24" customHeight="1" thickBot="1" x14ac:dyDescent="0.35">
      <c r="A84" s="400"/>
      <c r="B84" s="473" t="s">
        <v>278</v>
      </c>
      <c r="C84" s="465" t="s">
        <v>284</v>
      </c>
      <c r="D84" s="466" t="s">
        <v>285</v>
      </c>
      <c r="E84" s="466" t="s">
        <v>286</v>
      </c>
      <c r="F84" s="466" t="s">
        <v>287</v>
      </c>
      <c r="G84" s="465" t="s">
        <v>288</v>
      </c>
      <c r="H84" s="468">
        <v>0.13869999999999999</v>
      </c>
      <c r="I84" s="455"/>
      <c r="J84" s="456">
        <v>0.38234175649585461</v>
      </c>
      <c r="K84" s="457"/>
      <c r="L84" s="458">
        <v>0.2654120700843608</v>
      </c>
      <c r="M84" s="458">
        <v>0.2654120700843608</v>
      </c>
      <c r="N84" s="457"/>
      <c r="O84" s="477">
        <v>26.541207008436078</v>
      </c>
      <c r="P84" s="477">
        <v>26.541207008436078</v>
      </c>
      <c r="Q84" s="400"/>
      <c r="R84" s="500"/>
      <c r="S84" s="501"/>
      <c r="T84" s="502"/>
      <c r="U84" s="503"/>
      <c r="V84" s="499"/>
    </row>
    <row r="85" spans="1:22" ht="7.5" customHeight="1" x14ac:dyDescent="0.3">
      <c r="A85" s="400"/>
      <c r="B85" s="379"/>
      <c r="C85" s="374"/>
      <c r="D85" s="374"/>
      <c r="E85" s="374"/>
      <c r="F85" s="374"/>
      <c r="G85" s="448"/>
      <c r="H85" s="439"/>
      <c r="I85" s="368"/>
      <c r="J85" s="440"/>
      <c r="K85" s="369"/>
      <c r="L85" s="375"/>
      <c r="M85" s="375"/>
      <c r="N85" s="369"/>
      <c r="O85" s="441"/>
      <c r="P85" s="442"/>
      <c r="Q85" s="400"/>
      <c r="R85" s="469"/>
      <c r="S85" s="470"/>
      <c r="T85" s="471"/>
      <c r="U85" s="472"/>
      <c r="V85" s="369"/>
    </row>
    <row r="86" spans="1:22" ht="42.75" customHeight="1" x14ac:dyDescent="0.3">
      <c r="A86" s="400"/>
      <c r="B86" s="522" t="s">
        <v>295</v>
      </c>
      <c r="C86" s="522"/>
      <c r="D86" s="522"/>
      <c r="E86" s="522"/>
      <c r="F86" s="522"/>
      <c r="G86" s="522"/>
      <c r="H86" s="522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</row>
    <row r="87" spans="1:22" ht="12" customHeight="1" x14ac:dyDescent="0.3">
      <c r="A87" s="400"/>
      <c r="B87" s="379"/>
      <c r="C87" s="374"/>
      <c r="D87" s="374"/>
      <c r="E87" s="374"/>
      <c r="F87" s="374"/>
      <c r="G87" s="448"/>
      <c r="H87" s="439"/>
      <c r="I87" s="368"/>
      <c r="J87" s="440"/>
      <c r="K87" s="369"/>
      <c r="L87" s="375"/>
      <c r="M87" s="375"/>
      <c r="N87" s="369"/>
      <c r="O87" s="441"/>
      <c r="P87" s="442"/>
      <c r="U87" s="1"/>
      <c r="V87" s="329"/>
    </row>
    <row r="88" spans="1:22" ht="12" customHeight="1" thickBot="1" x14ac:dyDescent="0.35">
      <c r="A88" s="400"/>
      <c r="B88" s="379"/>
      <c r="C88" s="374"/>
      <c r="D88" s="374"/>
      <c r="E88" s="374"/>
      <c r="F88" s="374"/>
      <c r="G88" s="448"/>
      <c r="H88" s="439"/>
      <c r="I88" s="368"/>
      <c r="J88" s="440"/>
      <c r="K88" s="369"/>
      <c r="L88" s="375"/>
      <c r="M88" s="375"/>
      <c r="N88" s="369"/>
      <c r="O88" s="441"/>
      <c r="P88" s="442"/>
      <c r="U88" s="1"/>
      <c r="V88" s="329"/>
    </row>
    <row r="89" spans="1:22" ht="39.75" customHeight="1" thickBot="1" x14ac:dyDescent="0.35">
      <c r="A89" s="400"/>
      <c r="B89" s="513" t="s">
        <v>302</v>
      </c>
      <c r="C89" s="514"/>
      <c r="D89" s="514"/>
      <c r="E89" s="514"/>
      <c r="F89" s="514"/>
      <c r="G89" s="514"/>
      <c r="H89" s="515"/>
      <c r="I89" s="400"/>
      <c r="J89" s="400"/>
      <c r="K89" s="400"/>
      <c r="L89" s="400"/>
      <c r="M89" s="400"/>
      <c r="N89" s="400"/>
      <c r="O89" s="534" t="s">
        <v>146</v>
      </c>
      <c r="P89" s="535"/>
      <c r="U89" s="1"/>
    </row>
    <row r="90" spans="1:22" ht="38.25" customHeight="1" thickBot="1" x14ac:dyDescent="0.35">
      <c r="A90" s="400"/>
      <c r="B90" s="529" t="s">
        <v>163</v>
      </c>
      <c r="C90" s="419" t="s">
        <v>269</v>
      </c>
      <c r="D90" s="401" t="s">
        <v>270</v>
      </c>
      <c r="E90" s="531" t="s">
        <v>162</v>
      </c>
      <c r="F90" s="532"/>
      <c r="G90" s="532"/>
      <c r="H90" s="533"/>
      <c r="I90" s="400"/>
      <c r="J90" s="400"/>
      <c r="K90" s="400"/>
      <c r="L90" s="400"/>
      <c r="M90" s="400"/>
      <c r="N90" s="400"/>
      <c r="O90" s="520" t="s">
        <v>226</v>
      </c>
      <c r="P90" s="521"/>
      <c r="R90" s="443"/>
      <c r="S90" s="444"/>
      <c r="T90" s="445"/>
      <c r="U90" s="446"/>
    </row>
    <row r="91" spans="1:22" ht="27.75" customHeight="1" thickBot="1" x14ac:dyDescent="0.35">
      <c r="A91" s="400"/>
      <c r="B91" s="530"/>
      <c r="C91" s="402" t="s">
        <v>147</v>
      </c>
      <c r="D91" s="403" t="s">
        <v>147</v>
      </c>
      <c r="E91" s="404" t="s">
        <v>137</v>
      </c>
      <c r="F91" s="405" t="s">
        <v>271</v>
      </c>
      <c r="G91" s="405" t="s">
        <v>268</v>
      </c>
      <c r="H91" s="406" t="s">
        <v>121</v>
      </c>
      <c r="I91" s="400"/>
      <c r="J91" s="407" t="s">
        <v>148</v>
      </c>
      <c r="L91" s="112" t="s">
        <v>122</v>
      </c>
      <c r="M91" s="112" t="s">
        <v>123</v>
      </c>
      <c r="N91" s="400"/>
      <c r="O91" s="408" t="s">
        <v>185</v>
      </c>
      <c r="P91" s="409" t="s">
        <v>14</v>
      </c>
      <c r="R91" s="443"/>
      <c r="S91" s="444"/>
      <c r="T91" s="445"/>
      <c r="U91" s="446"/>
    </row>
    <row r="92" spans="1:22" ht="7.5" customHeight="1" x14ac:dyDescent="0.3">
      <c r="A92" s="400"/>
      <c r="B92" s="447"/>
      <c r="C92" s="374"/>
      <c r="D92" s="374"/>
      <c r="E92" s="374"/>
      <c r="F92" s="374"/>
      <c r="G92" s="448"/>
      <c r="H92" s="439"/>
      <c r="I92" s="368"/>
      <c r="J92" s="440"/>
      <c r="K92" s="369"/>
      <c r="L92" s="375"/>
      <c r="M92" s="375"/>
      <c r="N92" s="369"/>
      <c r="O92" s="441"/>
      <c r="P92" s="442"/>
      <c r="R92" s="443"/>
      <c r="S92" s="444"/>
      <c r="T92" s="445"/>
      <c r="U92" s="446"/>
      <c r="V92" s="329"/>
    </row>
    <row r="93" spans="1:22" ht="26" x14ac:dyDescent="0.3">
      <c r="A93" s="400"/>
      <c r="B93" s="438" t="s">
        <v>153</v>
      </c>
      <c r="C93" s="376" t="s">
        <v>216</v>
      </c>
      <c r="D93" s="376" t="s">
        <v>217</v>
      </c>
      <c r="E93" s="376" t="s">
        <v>218</v>
      </c>
      <c r="F93" s="376" t="s">
        <v>219</v>
      </c>
      <c r="G93" s="484" t="s">
        <v>220</v>
      </c>
      <c r="H93" s="437">
        <v>0.83589999999999998</v>
      </c>
      <c r="I93" s="368"/>
      <c r="J93" s="386">
        <v>3.3048454810733169E-3</v>
      </c>
      <c r="K93" s="369"/>
      <c r="L93" s="375">
        <v>0.37795608108108109</v>
      </c>
      <c r="M93" s="375">
        <v>0.41976351351351349</v>
      </c>
      <c r="N93" s="369"/>
      <c r="O93" s="420">
        <v>37.795608108108105</v>
      </c>
      <c r="P93" s="421">
        <v>41.976351351351347</v>
      </c>
      <c r="U93" s="1"/>
      <c r="V93" s="1"/>
    </row>
    <row r="94" spans="1:22" ht="21" x14ac:dyDescent="0.3">
      <c r="A94" s="400"/>
      <c r="B94" s="438" t="s">
        <v>186</v>
      </c>
      <c r="C94" s="376" t="s">
        <v>187</v>
      </c>
      <c r="D94" s="376" t="s">
        <v>188</v>
      </c>
      <c r="E94" s="376" t="s">
        <v>189</v>
      </c>
      <c r="F94" s="376" t="s">
        <v>190</v>
      </c>
      <c r="G94" s="377" t="s">
        <v>191</v>
      </c>
      <c r="H94" s="437">
        <v>5.2600000000000001E-2</v>
      </c>
      <c r="I94" s="368"/>
      <c r="J94" s="386">
        <v>0.73377168408107929</v>
      </c>
      <c r="K94" s="369"/>
      <c r="L94" s="375">
        <v>4.7930743243243243E-2</v>
      </c>
      <c r="M94" s="375">
        <v>4.7930743243243243E-2</v>
      </c>
      <c r="N94" s="369"/>
      <c r="O94" s="422">
        <v>4.7930743243243246</v>
      </c>
      <c r="P94" s="422">
        <v>4.7930743243243246</v>
      </c>
      <c r="U94" s="1"/>
      <c r="V94" s="1"/>
    </row>
    <row r="95" spans="1:22" ht="26" x14ac:dyDescent="0.3">
      <c r="A95" s="400"/>
      <c r="B95" s="438" t="s">
        <v>155</v>
      </c>
      <c r="C95" s="376" t="s">
        <v>202</v>
      </c>
      <c r="D95" s="376" t="s">
        <v>202</v>
      </c>
      <c r="E95" s="376" t="s">
        <v>203</v>
      </c>
      <c r="F95" s="376" t="s">
        <v>204</v>
      </c>
      <c r="G95" s="377" t="e">
        <v>#DIV/0!</v>
      </c>
      <c r="H95" s="437">
        <v>2.5000000000000001E-2</v>
      </c>
      <c r="I95" s="368"/>
      <c r="J95" s="386">
        <v>1</v>
      </c>
      <c r="K95" s="369"/>
      <c r="L95" s="375">
        <v>1.6891891891891893E-3</v>
      </c>
      <c r="M95" s="375">
        <v>1.6891891891891893E-3</v>
      </c>
      <c r="N95" s="369"/>
      <c r="O95" s="450">
        <v>0.16891891891891891</v>
      </c>
      <c r="P95" s="450">
        <v>0.16891891891891891</v>
      </c>
    </row>
    <row r="96" spans="1:22" ht="21" x14ac:dyDescent="0.3">
      <c r="A96" s="400"/>
      <c r="B96" s="438" t="s">
        <v>210</v>
      </c>
      <c r="C96" s="376" t="s">
        <v>211</v>
      </c>
      <c r="D96" s="376" t="s">
        <v>212</v>
      </c>
      <c r="E96" s="451" t="s">
        <v>215</v>
      </c>
      <c r="F96" s="376" t="s">
        <v>213</v>
      </c>
      <c r="G96" s="377" t="s">
        <v>214</v>
      </c>
      <c r="H96" s="437">
        <v>0.41010000000000002</v>
      </c>
      <c r="I96" s="368"/>
      <c r="J96" s="386">
        <v>8.3166851768494879E-2</v>
      </c>
      <c r="K96" s="369"/>
      <c r="L96" s="375">
        <v>6.3344594594594598E-4</v>
      </c>
      <c r="M96" s="375">
        <v>6.3344594594594598E-4</v>
      </c>
      <c r="N96" s="369"/>
      <c r="O96" s="450">
        <v>6.33445945945946E-2</v>
      </c>
      <c r="P96" s="450">
        <v>6.33445945945946E-2</v>
      </c>
    </row>
    <row r="97" spans="1:16" ht="26" x14ac:dyDescent="0.3">
      <c r="A97" s="400"/>
      <c r="B97" s="438" t="s">
        <v>182</v>
      </c>
      <c r="C97" s="376" t="s">
        <v>192</v>
      </c>
      <c r="D97" s="376" t="s">
        <v>193</v>
      </c>
      <c r="E97" s="376" t="s">
        <v>194</v>
      </c>
      <c r="F97" s="376" t="s">
        <v>195</v>
      </c>
      <c r="G97" s="377" t="s">
        <v>196</v>
      </c>
      <c r="H97" s="437">
        <v>0.1447</v>
      </c>
      <c r="I97" s="368"/>
      <c r="J97" s="386">
        <v>0.36777281331297662</v>
      </c>
      <c r="K97" s="369"/>
      <c r="L97" s="375">
        <v>7.1790540540540543E-2</v>
      </c>
      <c r="M97" s="375">
        <v>7.1790540540540543E-2</v>
      </c>
      <c r="N97" s="369"/>
      <c r="O97" s="422">
        <v>7.1790540540540544</v>
      </c>
      <c r="P97" s="422">
        <v>7.1790540540540544</v>
      </c>
    </row>
    <row r="98" spans="1:16" ht="21" x14ac:dyDescent="0.3">
      <c r="A98" s="400"/>
      <c r="B98" s="438" t="s">
        <v>156</v>
      </c>
      <c r="C98" s="376" t="s">
        <v>221</v>
      </c>
      <c r="D98" s="376" t="s">
        <v>222</v>
      </c>
      <c r="E98" s="376" t="s">
        <v>223</v>
      </c>
      <c r="F98" s="376" t="s">
        <v>224</v>
      </c>
      <c r="G98" s="377" t="s">
        <v>225</v>
      </c>
      <c r="H98" s="437">
        <v>0.20530000000000001</v>
      </c>
      <c r="I98" s="368"/>
      <c r="J98" s="386">
        <v>0.25542951237991063</v>
      </c>
      <c r="K98" s="369"/>
      <c r="L98" s="375">
        <v>5.9121621621621625E-3</v>
      </c>
      <c r="M98" s="375">
        <v>5.9121621621621625E-3</v>
      </c>
      <c r="N98" s="369"/>
      <c r="O98" s="422">
        <v>0.59121621621621623</v>
      </c>
      <c r="P98" s="422">
        <v>0.59121621621621623</v>
      </c>
    </row>
    <row r="99" spans="1:16" ht="21" x14ac:dyDescent="0.3">
      <c r="A99" s="400"/>
      <c r="B99" s="438" t="s">
        <v>157</v>
      </c>
      <c r="C99" s="376" t="s">
        <v>197</v>
      </c>
      <c r="D99" s="376" t="s">
        <v>198</v>
      </c>
      <c r="E99" s="376" t="s">
        <v>199</v>
      </c>
      <c r="F99" s="376" t="s">
        <v>200</v>
      </c>
      <c r="G99" s="377" t="s">
        <v>201</v>
      </c>
      <c r="H99" s="437">
        <v>3.1600000000000003E-2</v>
      </c>
      <c r="I99" s="368"/>
      <c r="J99" s="386">
        <v>0.91909720396375361</v>
      </c>
      <c r="K99" s="369"/>
      <c r="L99" s="375">
        <v>2.0903716216216218E-2</v>
      </c>
      <c r="M99" s="375">
        <v>2.0903716216216218E-2</v>
      </c>
      <c r="N99" s="369"/>
      <c r="O99" s="422">
        <v>2.0903716216216219</v>
      </c>
      <c r="P99" s="422">
        <v>2.0903716216216219</v>
      </c>
    </row>
    <row r="100" spans="1:16" ht="26" x14ac:dyDescent="0.3">
      <c r="A100" s="400"/>
      <c r="B100" s="438" t="s">
        <v>158</v>
      </c>
      <c r="C100" s="376" t="s">
        <v>205</v>
      </c>
      <c r="D100" s="376" t="s">
        <v>206</v>
      </c>
      <c r="E100" s="376" t="s">
        <v>207</v>
      </c>
      <c r="F100" s="376" t="s">
        <v>208</v>
      </c>
      <c r="G100" s="377" t="s">
        <v>209</v>
      </c>
      <c r="H100" s="437">
        <v>3.9300000000000002E-2</v>
      </c>
      <c r="I100" s="368"/>
      <c r="J100" s="386">
        <v>0.84106612074997789</v>
      </c>
      <c r="K100" s="369"/>
      <c r="L100" s="375">
        <v>5.2787162162162161E-3</v>
      </c>
      <c r="M100" s="375">
        <v>5.2787162162162161E-3</v>
      </c>
      <c r="N100" s="369"/>
      <c r="O100" s="422">
        <v>0.5278716216216216</v>
      </c>
      <c r="P100" s="422">
        <v>0.5278716216216216</v>
      </c>
    </row>
    <row r="101" spans="1:16" ht="6.75" customHeight="1" x14ac:dyDescent="0.3">
      <c r="A101" s="400"/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</row>
    <row r="102" spans="1:16" ht="44.25" customHeight="1" x14ac:dyDescent="0.3">
      <c r="A102" s="400"/>
      <c r="B102" s="523" t="s">
        <v>154</v>
      </c>
      <c r="C102" s="524"/>
      <c r="D102" s="524"/>
      <c r="E102" s="524"/>
      <c r="F102" s="524"/>
      <c r="G102" s="524"/>
      <c r="H102" s="525"/>
      <c r="I102" s="400"/>
      <c r="J102" s="400"/>
      <c r="K102" s="400"/>
      <c r="L102" s="400"/>
      <c r="M102" s="400"/>
      <c r="N102" s="400"/>
      <c r="O102" s="400"/>
      <c r="P102" s="400"/>
    </row>
    <row r="103" spans="1:16" ht="29" customHeight="1" x14ac:dyDescent="0.3">
      <c r="A103" s="400"/>
      <c r="B103" s="522" t="s">
        <v>297</v>
      </c>
      <c r="C103" s="522"/>
      <c r="D103" s="522"/>
      <c r="E103" s="522"/>
      <c r="F103" s="522"/>
      <c r="G103" s="522"/>
      <c r="H103" s="522"/>
      <c r="I103" s="400"/>
      <c r="J103" s="400"/>
      <c r="K103" s="400"/>
      <c r="L103" s="400"/>
      <c r="M103" s="400"/>
      <c r="N103" s="400"/>
      <c r="O103" s="400"/>
      <c r="P103" s="400"/>
    </row>
    <row r="104" spans="1:16" x14ac:dyDescent="0.3">
      <c r="A104" s="400"/>
    </row>
  </sheetData>
  <mergeCells count="17">
    <mergeCell ref="U66:U68"/>
    <mergeCell ref="B3:F3"/>
    <mergeCell ref="C44:D44"/>
    <mergeCell ref="R66:R68"/>
    <mergeCell ref="S66:S68"/>
    <mergeCell ref="O66:P66"/>
    <mergeCell ref="E67:H67"/>
    <mergeCell ref="O67:P67"/>
    <mergeCell ref="B67:B68"/>
    <mergeCell ref="O90:P90"/>
    <mergeCell ref="B86:H86"/>
    <mergeCell ref="B103:H103"/>
    <mergeCell ref="B102:H102"/>
    <mergeCell ref="T66:T68"/>
    <mergeCell ref="B90:B91"/>
    <mergeCell ref="E90:H90"/>
    <mergeCell ref="O89:P89"/>
  </mergeCells>
  <pageMargins left="0.7" right="0.7" top="0.75" bottom="0.75" header="0.3" footer="0.3"/>
  <pageSetup paperSize="9" orientation="portrait" horizontalDpi="300" verticalDpi="300" r:id="rId1"/>
  <ignoredErrors>
    <ignoredError sqref="H80:H82 H77:H78 H70:H74 H75:H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67"/>
  <sheetViews>
    <sheetView topLeftCell="A3" zoomScale="85" zoomScaleNormal="85" workbookViewId="0">
      <selection activeCell="R7" sqref="R7"/>
    </sheetView>
  </sheetViews>
  <sheetFormatPr baseColWidth="10" defaultRowHeight="14.5" x14ac:dyDescent="0.35"/>
  <cols>
    <col min="1" max="1" width="13" customWidth="1"/>
    <col min="3" max="4" width="10.54296875" customWidth="1"/>
    <col min="5" max="5" width="5.81640625" customWidth="1"/>
    <col min="6" max="6" width="5.1796875" customWidth="1"/>
    <col min="7" max="13" width="3.26953125" customWidth="1"/>
    <col min="14" max="23" width="3.26953125" style="24" customWidth="1"/>
    <col min="24" max="24" width="3.7265625" style="24" customWidth="1"/>
    <col min="25" max="36" width="3.26953125" style="24" customWidth="1"/>
    <col min="37" max="41" width="3.26953125" customWidth="1"/>
    <col min="42" max="42" width="4.81640625" customWidth="1"/>
    <col min="43" max="43" width="9.26953125" customWidth="1"/>
    <col min="53" max="53" width="2.81640625" customWidth="1"/>
  </cols>
  <sheetData>
    <row r="1" spans="1:43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43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45 pacientes, a los 17 meses</v>
      </c>
      <c r="F2" s="23"/>
      <c r="G2" s="25"/>
      <c r="H2" s="25"/>
      <c r="I2" s="2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43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43" ht="56" customHeight="1" thickBot="1" x14ac:dyDescent="0.4">
      <c r="A4" s="558" t="s">
        <v>305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60"/>
    </row>
    <row r="5" spans="1:43" ht="26" x14ac:dyDescent="0.35">
      <c r="A5" s="417" t="s">
        <v>149</v>
      </c>
      <c r="B5" s="28">
        <f>C5+D5+E5</f>
        <v>45</v>
      </c>
      <c r="C5" s="378">
        <v>5</v>
      </c>
      <c r="D5" s="29">
        <v>1</v>
      </c>
      <c r="E5" s="30">
        <v>39</v>
      </c>
      <c r="H5" s="26"/>
      <c r="I5" s="26"/>
      <c r="J5" s="411" t="s">
        <v>164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43" ht="13.5" customHeight="1" x14ac:dyDescent="0.35">
      <c r="A6" s="26"/>
      <c r="C6" s="31"/>
      <c r="D6" s="32"/>
      <c r="E6" s="33"/>
      <c r="F6" s="26"/>
      <c r="G6" s="26"/>
      <c r="H6" s="26"/>
      <c r="I6" s="26"/>
      <c r="J6" s="410" t="s">
        <v>159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43" ht="39.75" customHeight="1" x14ac:dyDescent="0.35">
      <c r="A7" s="418" t="s">
        <v>150</v>
      </c>
      <c r="B7" s="34" t="s">
        <v>151</v>
      </c>
      <c r="C7" s="35" t="str">
        <f>CONCATENATE(A1," ",B1," ",B5," ",C1)</f>
        <v>meses de los 45 del grupo Interv</v>
      </c>
      <c r="D7" s="35" t="str">
        <f>CONCATENATE(A1," ",B1," ",B5," ",D1)</f>
        <v>meses de los 45 del grupo Contr</v>
      </c>
      <c r="E7" s="26"/>
      <c r="F7" s="26"/>
      <c r="G7" s="26"/>
      <c r="H7" s="26"/>
      <c r="I7" s="26"/>
      <c r="J7" s="2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43" ht="26.5" x14ac:dyDescent="0.35">
      <c r="A8" s="36" t="s">
        <v>1</v>
      </c>
      <c r="B8" s="37">
        <v>1.1794601433994096</v>
      </c>
      <c r="C8" s="423">
        <f>B8*B5</f>
        <v>53.075706452973435</v>
      </c>
      <c r="D8" s="552">
        <f>(B8+B9)*B5</f>
        <v>61.663423019726885</v>
      </c>
      <c r="E8" s="38"/>
      <c r="F8" s="38"/>
      <c r="G8" s="39"/>
      <c r="H8" s="39"/>
      <c r="I8" s="39"/>
      <c r="J8" s="2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43" ht="26.5" x14ac:dyDescent="0.35">
      <c r="A9" s="40" t="s">
        <v>3</v>
      </c>
      <c r="B9" s="41">
        <v>0.19083814592785453</v>
      </c>
      <c r="C9" s="553">
        <f>(B10+B9)*B5</f>
        <v>711.92429354702642</v>
      </c>
      <c r="D9" s="552"/>
      <c r="E9" s="32"/>
      <c r="F9" s="42"/>
      <c r="G9" s="39"/>
      <c r="H9" s="39"/>
      <c r="I9" s="39"/>
      <c r="J9" s="2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43" ht="26.5" x14ac:dyDescent="0.35">
      <c r="A10" s="43" t="s">
        <v>2</v>
      </c>
      <c r="B10" s="44">
        <v>15.629701710672734</v>
      </c>
      <c r="C10" s="553"/>
      <c r="D10" s="45">
        <f>B10*B5</f>
        <v>703.33657698027298</v>
      </c>
      <c r="E10" s="31"/>
      <c r="F10" s="42"/>
      <c r="G10" s="46"/>
      <c r="H10" s="46"/>
      <c r="I10" s="46"/>
      <c r="J10" s="2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43" x14ac:dyDescent="0.35">
      <c r="A11" s="3"/>
      <c r="B11" s="47">
        <v>16.999999999999996</v>
      </c>
      <c r="C11" s="48">
        <f>C8+C9</f>
        <v>764.99999999999989</v>
      </c>
      <c r="D11" s="48">
        <f>D8+D10</f>
        <v>764.99999999999989</v>
      </c>
      <c r="E11" s="49"/>
      <c r="F11" s="49"/>
      <c r="G11" s="49"/>
      <c r="H11" s="49"/>
      <c r="I11" s="49"/>
      <c r="J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43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43" x14ac:dyDescent="0.35">
      <c r="A13" s="26"/>
      <c r="B13" s="26"/>
      <c r="C13" s="22">
        <f>(E5+D5)*B11</f>
        <v>679.99999999999989</v>
      </c>
      <c r="D13" s="22">
        <f>E5*B11</f>
        <v>662.99999999999989</v>
      </c>
      <c r="E13" s="26"/>
      <c r="F13" s="50" t="s">
        <v>12</v>
      </c>
      <c r="G13" s="26"/>
      <c r="H13" s="26"/>
      <c r="I13" s="26"/>
      <c r="J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43" ht="36" customHeight="1" x14ac:dyDescent="0.35">
      <c r="A14" s="554" t="s">
        <v>13</v>
      </c>
      <c r="B14" s="554"/>
      <c r="C14" s="51">
        <f>C9-C13</f>
        <v>31.924293547026537</v>
      </c>
      <c r="D14" s="51">
        <f>D10-D13</f>
        <v>40.336576980273094</v>
      </c>
      <c r="F14" s="555" t="str">
        <f>IF((AND(((B9+B10)/B11)&gt;((D5+E5)/B5),(B10/B11)&gt;(E5/B5))),E2,#REF!)</f>
        <v>puede representarse llegando los 45 pacientes, a los 17 meses</v>
      </c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/>
      <c r="V14"/>
      <c r="W14"/>
      <c r="X14"/>
      <c r="Y14"/>
      <c r="Z14"/>
      <c r="AA14"/>
      <c r="AB14"/>
      <c r="AC14"/>
      <c r="AD14"/>
    </row>
    <row r="15" spans="1:43" ht="18.75" customHeight="1" thickBot="1" x14ac:dyDescent="0.4">
      <c r="A15" s="52"/>
      <c r="B15" s="52"/>
      <c r="C15" s="52"/>
      <c r="D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/>
      <c r="V15"/>
      <c r="W15"/>
      <c r="X15"/>
      <c r="Y15"/>
      <c r="Z15"/>
      <c r="AA15"/>
      <c r="AB15"/>
      <c r="AC15"/>
      <c r="AD15"/>
    </row>
    <row r="16" spans="1:43" ht="17.25" customHeight="1" thickBot="1" x14ac:dyDescent="0.4">
      <c r="A16" s="436" t="s">
        <v>183</v>
      </c>
      <c r="B16" s="380"/>
      <c r="C16" s="381"/>
      <c r="G16" s="54" t="s">
        <v>185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3"/>
      <c r="X16" s="53"/>
      <c r="Y16" s="54" t="s">
        <v>14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3"/>
      <c r="AP16" s="53"/>
      <c r="AQ16" s="53"/>
    </row>
    <row r="17" spans="1:43" x14ac:dyDescent="0.35">
      <c r="A17" s="379" t="s">
        <v>184</v>
      </c>
      <c r="G17" s="54" t="s">
        <v>152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/>
      <c r="Y17" s="54" t="s">
        <v>152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P17" s="24"/>
      <c r="AQ17" s="24"/>
    </row>
    <row r="18" spans="1:43" x14ac:dyDescent="0.35">
      <c r="A18" s="379" t="s">
        <v>161</v>
      </c>
      <c r="F18" s="24"/>
      <c r="G18" s="449">
        <v>1</v>
      </c>
      <c r="H18" s="449">
        <v>2</v>
      </c>
      <c r="I18" s="449">
        <v>3</v>
      </c>
      <c r="J18" s="449">
        <v>4</v>
      </c>
      <c r="K18" s="449">
        <v>5</v>
      </c>
      <c r="L18" s="449">
        <v>6</v>
      </c>
      <c r="M18" s="449">
        <v>7</v>
      </c>
      <c r="N18" s="449">
        <v>8</v>
      </c>
      <c r="O18" s="449">
        <v>9</v>
      </c>
      <c r="P18" s="449">
        <v>10</v>
      </c>
      <c r="Q18" s="449">
        <v>11</v>
      </c>
      <c r="R18" s="449">
        <v>12</v>
      </c>
      <c r="S18" s="449">
        <v>13</v>
      </c>
      <c r="T18" s="449">
        <v>14</v>
      </c>
      <c r="U18" s="449">
        <v>15</v>
      </c>
      <c r="V18" s="449">
        <v>16</v>
      </c>
      <c r="W18" s="449">
        <v>17</v>
      </c>
      <c r="Y18" s="449">
        <v>1</v>
      </c>
      <c r="Z18" s="449">
        <v>2</v>
      </c>
      <c r="AA18" s="449">
        <v>3</v>
      </c>
      <c r="AB18" s="449">
        <v>4</v>
      </c>
      <c r="AC18" s="449">
        <v>5</v>
      </c>
      <c r="AD18" s="449">
        <v>6</v>
      </c>
      <c r="AE18" s="449">
        <v>7</v>
      </c>
      <c r="AF18" s="449">
        <v>8</v>
      </c>
      <c r="AG18" s="449">
        <v>9</v>
      </c>
      <c r="AH18" s="449">
        <v>10</v>
      </c>
      <c r="AI18" s="449">
        <v>11</v>
      </c>
      <c r="AJ18" s="449">
        <v>12</v>
      </c>
      <c r="AK18" s="449">
        <v>13</v>
      </c>
      <c r="AL18" s="449">
        <v>14</v>
      </c>
      <c r="AM18" s="449">
        <v>15</v>
      </c>
      <c r="AN18" s="449">
        <v>16</v>
      </c>
      <c r="AO18" s="449">
        <v>17</v>
      </c>
      <c r="AP18" s="24"/>
      <c r="AQ18" s="24"/>
    </row>
    <row r="19" spans="1:43" x14ac:dyDescent="0.35">
      <c r="E19" s="55" t="s">
        <v>15</v>
      </c>
      <c r="F19" s="61">
        <v>45</v>
      </c>
      <c r="G19" s="58"/>
      <c r="H19" s="58"/>
      <c r="I19" s="58"/>
      <c r="J19" s="58"/>
      <c r="K19" s="58"/>
      <c r="L19" s="58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Y19" s="58"/>
      <c r="Z19" s="58"/>
      <c r="AA19" s="58"/>
      <c r="AB19" s="58"/>
      <c r="AC19" s="58"/>
      <c r="AD19" s="58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61">
        <v>45</v>
      </c>
      <c r="AQ19" s="56" t="s">
        <v>15</v>
      </c>
    </row>
    <row r="20" spans="1:43" ht="15" thickBot="1" x14ac:dyDescent="0.4">
      <c r="F20" s="61">
        <v>44</v>
      </c>
      <c r="G20" s="58"/>
      <c r="H20" s="58"/>
      <c r="I20" s="58"/>
      <c r="J20" s="58"/>
      <c r="K20" s="58"/>
      <c r="L20" s="58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Y20" s="58"/>
      <c r="Z20" s="58"/>
      <c r="AA20" s="58"/>
      <c r="AB20" s="58"/>
      <c r="AC20" s="58"/>
      <c r="AD20" s="58"/>
      <c r="AE20" s="58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61">
        <v>44</v>
      </c>
      <c r="AQ20" s="57"/>
    </row>
    <row r="21" spans="1:43" x14ac:dyDescent="0.35">
      <c r="A21" s="347" t="s">
        <v>133</v>
      </c>
      <c r="B21" s="348"/>
      <c r="C21" s="348"/>
      <c r="D21" s="349"/>
      <c r="F21" s="61">
        <v>43</v>
      </c>
      <c r="G21" s="58"/>
      <c r="H21" s="58"/>
      <c r="I21" s="58"/>
      <c r="J21" s="58"/>
      <c r="K21" s="58"/>
      <c r="L21" s="58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Y21" s="58"/>
      <c r="Z21" s="58"/>
      <c r="AA21" s="58"/>
      <c r="AB21" s="58"/>
      <c r="AC21" s="58"/>
      <c r="AD21" s="58"/>
      <c r="AE21" s="58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61">
        <v>43</v>
      </c>
      <c r="AQ21" s="57"/>
    </row>
    <row r="22" spans="1:43" x14ac:dyDescent="0.35">
      <c r="A22" s="350" t="s">
        <v>128</v>
      </c>
      <c r="B22" s="351" t="s">
        <v>129</v>
      </c>
      <c r="C22" s="351" t="s">
        <v>117</v>
      </c>
      <c r="D22" s="352" t="s">
        <v>11</v>
      </c>
      <c r="F22" s="61">
        <v>42</v>
      </c>
      <c r="G22" s="58"/>
      <c r="H22" s="58"/>
      <c r="I22" s="58"/>
      <c r="J22" s="58"/>
      <c r="K22" s="58"/>
      <c r="L22" s="58"/>
      <c r="M22" s="58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Y22" s="58"/>
      <c r="Z22" s="58"/>
      <c r="AA22" s="58"/>
      <c r="AB22" s="58"/>
      <c r="AC22" s="58"/>
      <c r="AD22" s="58"/>
      <c r="AE22" s="58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61">
        <v>42</v>
      </c>
      <c r="AQ22" s="57"/>
    </row>
    <row r="23" spans="1:43" x14ac:dyDescent="0.35">
      <c r="A23" s="353">
        <v>0.11630847029077118</v>
      </c>
      <c r="B23" s="354">
        <v>0.13876001687051878</v>
      </c>
      <c r="C23" s="355">
        <f>B23-A23</f>
        <v>2.24515465797476E-2</v>
      </c>
      <c r="D23" s="356">
        <f>1/C23</f>
        <v>44.540361460089755</v>
      </c>
      <c r="F23" s="61">
        <v>41</v>
      </c>
      <c r="G23" s="58"/>
      <c r="H23" s="58"/>
      <c r="I23" s="58"/>
      <c r="J23" s="58"/>
      <c r="K23" s="58"/>
      <c r="L23" s="58"/>
      <c r="M23" s="58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Y23" s="58"/>
      <c r="Z23" s="58"/>
      <c r="AA23" s="58"/>
      <c r="AB23" s="58"/>
      <c r="AC23" s="58"/>
      <c r="AD23" s="58"/>
      <c r="AE23" s="58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61">
        <v>41</v>
      </c>
      <c r="AQ23" s="57"/>
    </row>
    <row r="24" spans="1:43" ht="16" thickBot="1" x14ac:dyDescent="0.4">
      <c r="A24" s="357" t="s">
        <v>130</v>
      </c>
      <c r="B24" s="399">
        <f>A23*D23</f>
        <v>5.1804213076210592</v>
      </c>
      <c r="C24" s="358">
        <f>C23*D23</f>
        <v>1</v>
      </c>
      <c r="D24" s="398">
        <f>(1-B23)*D23</f>
        <v>38.359940152468695</v>
      </c>
      <c r="F24" s="382">
        <v>40</v>
      </c>
      <c r="G24" s="432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Y24" s="432"/>
      <c r="Z24" s="383"/>
      <c r="AA24" s="383"/>
      <c r="AB24" s="383"/>
      <c r="AC24" s="383"/>
      <c r="AD24" s="383"/>
      <c r="AE24" s="383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434">
        <v>40</v>
      </c>
      <c r="AQ24" s="57"/>
    </row>
    <row r="25" spans="1:43" x14ac:dyDescent="0.35">
      <c r="F25" s="59">
        <v>39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>
        <v>39</v>
      </c>
      <c r="AQ25" s="57"/>
    </row>
    <row r="26" spans="1:43" x14ac:dyDescent="0.35">
      <c r="F26" s="59">
        <v>38</v>
      </c>
      <c r="G26" s="433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60"/>
      <c r="Y26" s="433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>
        <v>38</v>
      </c>
      <c r="AQ26" s="57"/>
    </row>
    <row r="27" spans="1:43" x14ac:dyDescent="0.35">
      <c r="F27" s="59">
        <v>37</v>
      </c>
      <c r="G27" s="433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60"/>
      <c r="Y27" s="433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9">
        <v>37</v>
      </c>
      <c r="AQ27" s="57"/>
    </row>
    <row r="28" spans="1:43" x14ac:dyDescent="0.35">
      <c r="F28" s="59">
        <v>36</v>
      </c>
      <c r="G28" s="433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/>
      <c r="Y28" s="433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9">
        <v>36</v>
      </c>
      <c r="AQ28" s="24"/>
    </row>
    <row r="29" spans="1:43" x14ac:dyDescent="0.35">
      <c r="F29" s="59">
        <v>35</v>
      </c>
      <c r="G29" s="43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/>
      <c r="Y29" s="433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>
        <v>35</v>
      </c>
      <c r="AQ29" s="24"/>
    </row>
    <row r="30" spans="1:43" x14ac:dyDescent="0.35">
      <c r="F30" s="59">
        <v>34</v>
      </c>
      <c r="G30" s="433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/>
      <c r="Y30" s="433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9">
        <v>34</v>
      </c>
      <c r="AQ30" s="24"/>
    </row>
    <row r="31" spans="1:43" x14ac:dyDescent="0.35">
      <c r="F31" s="59">
        <v>33</v>
      </c>
      <c r="G31" s="433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/>
      <c r="Y31" s="433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9">
        <v>33</v>
      </c>
      <c r="AQ31" s="24"/>
    </row>
    <row r="32" spans="1:43" x14ac:dyDescent="0.35">
      <c r="F32" s="59">
        <v>32</v>
      </c>
      <c r="G32" s="433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/>
      <c r="Y32" s="433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>
        <v>32</v>
      </c>
      <c r="AQ32" s="24"/>
    </row>
    <row r="33" spans="6:43" x14ac:dyDescent="0.35">
      <c r="F33" s="59">
        <v>31</v>
      </c>
      <c r="G33" s="433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/>
      <c r="Y33" s="433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>
        <v>31</v>
      </c>
      <c r="AQ33" s="24"/>
    </row>
    <row r="34" spans="6:43" x14ac:dyDescent="0.35">
      <c r="F34" s="59">
        <v>30</v>
      </c>
      <c r="G34" s="433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/>
      <c r="Y34" s="433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>
        <v>30</v>
      </c>
      <c r="AQ34" s="24"/>
    </row>
    <row r="35" spans="6:43" x14ac:dyDescent="0.35">
      <c r="F35" s="59">
        <v>29</v>
      </c>
      <c r="G35" s="433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/>
      <c r="Y35" s="43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9">
        <v>29</v>
      </c>
      <c r="AQ35" s="24"/>
    </row>
    <row r="36" spans="6:43" x14ac:dyDescent="0.35">
      <c r="F36" s="59">
        <v>28</v>
      </c>
      <c r="G36" s="433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/>
      <c r="Y36" s="433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9">
        <v>28</v>
      </c>
      <c r="AQ36" s="24"/>
    </row>
    <row r="37" spans="6:43" x14ac:dyDescent="0.35">
      <c r="F37" s="59">
        <v>27</v>
      </c>
      <c r="G37" s="433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/>
      <c r="Y37" s="433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9">
        <v>27</v>
      </c>
      <c r="AQ37" s="24"/>
    </row>
    <row r="38" spans="6:43" x14ac:dyDescent="0.35">
      <c r="F38" s="59">
        <v>26</v>
      </c>
      <c r="G38" s="433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/>
      <c r="Y38" s="433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>
        <v>26</v>
      </c>
      <c r="AQ38" s="24"/>
    </row>
    <row r="39" spans="6:43" x14ac:dyDescent="0.35">
      <c r="F39" s="59">
        <v>25</v>
      </c>
      <c r="G39" s="433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/>
      <c r="Y39" s="433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>
        <v>25</v>
      </c>
      <c r="AQ39" s="24"/>
    </row>
    <row r="40" spans="6:43" x14ac:dyDescent="0.35">
      <c r="F40" s="59">
        <v>24</v>
      </c>
      <c r="G40" s="433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/>
      <c r="Y40" s="433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9">
        <v>24</v>
      </c>
      <c r="AQ40" s="24"/>
    </row>
    <row r="41" spans="6:43" x14ac:dyDescent="0.35">
      <c r="F41" s="59">
        <v>23</v>
      </c>
      <c r="G41" s="433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/>
      <c r="Y41" s="433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>
        <v>23</v>
      </c>
      <c r="AQ41" s="24"/>
    </row>
    <row r="42" spans="6:43" x14ac:dyDescent="0.35">
      <c r="F42" s="59">
        <v>22</v>
      </c>
      <c r="G42" s="433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/>
      <c r="Y42" s="433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>
        <v>22</v>
      </c>
      <c r="AQ42" s="24"/>
    </row>
    <row r="43" spans="6:43" x14ac:dyDescent="0.35">
      <c r="F43" s="59">
        <v>21</v>
      </c>
      <c r="G43" s="43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/>
      <c r="Y43" s="433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>
        <v>21</v>
      </c>
      <c r="AQ43" s="24"/>
    </row>
    <row r="44" spans="6:43" x14ac:dyDescent="0.35">
      <c r="F44" s="59">
        <v>20</v>
      </c>
      <c r="G44" s="43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/>
      <c r="Y44" s="433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9">
        <v>20</v>
      </c>
      <c r="AQ44" s="24"/>
    </row>
    <row r="45" spans="6:43" x14ac:dyDescent="0.35">
      <c r="F45" s="59">
        <v>19</v>
      </c>
      <c r="G45" s="433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/>
      <c r="Y45" s="433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9">
        <v>19</v>
      </c>
      <c r="AQ45" s="24"/>
    </row>
    <row r="46" spans="6:43" x14ac:dyDescent="0.35">
      <c r="F46" s="59">
        <v>18</v>
      </c>
      <c r="G46" s="433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/>
      <c r="Y46" s="433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9">
        <v>18</v>
      </c>
      <c r="AQ46" s="24"/>
    </row>
    <row r="47" spans="6:43" x14ac:dyDescent="0.35">
      <c r="F47" s="59">
        <v>17</v>
      </c>
      <c r="G47" s="433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/>
      <c r="Y47" s="433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9">
        <v>17</v>
      </c>
      <c r="AQ47" s="24"/>
    </row>
    <row r="48" spans="6:43" x14ac:dyDescent="0.35">
      <c r="F48" s="59">
        <v>16</v>
      </c>
      <c r="G48" s="433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/>
      <c r="Y48" s="433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9">
        <v>16</v>
      </c>
      <c r="AQ48" s="24"/>
    </row>
    <row r="49" spans="6:43" x14ac:dyDescent="0.35">
      <c r="F49" s="59">
        <v>15</v>
      </c>
      <c r="G49" s="433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/>
      <c r="Y49" s="433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>
        <v>15</v>
      </c>
      <c r="AQ49" s="24"/>
    </row>
    <row r="50" spans="6:43" x14ac:dyDescent="0.35">
      <c r="F50" s="59">
        <v>14</v>
      </c>
      <c r="G50" s="433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/>
      <c r="Y50" s="433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9">
        <v>14</v>
      </c>
      <c r="AQ50" s="24"/>
    </row>
    <row r="51" spans="6:43" x14ac:dyDescent="0.35">
      <c r="F51" s="59">
        <v>13</v>
      </c>
      <c r="G51" s="433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/>
      <c r="Y51" s="433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9">
        <v>13</v>
      </c>
      <c r="AQ51" s="24"/>
    </row>
    <row r="52" spans="6:43" x14ac:dyDescent="0.35">
      <c r="F52" s="59">
        <v>12</v>
      </c>
      <c r="G52" s="433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/>
      <c r="Y52" s="433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9">
        <v>12</v>
      </c>
      <c r="AQ52" s="24"/>
    </row>
    <row r="53" spans="6:43" x14ac:dyDescent="0.35">
      <c r="F53" s="59">
        <v>11</v>
      </c>
      <c r="G53" s="433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/>
      <c r="Y53" s="433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9">
        <v>11</v>
      </c>
      <c r="AQ53" s="24"/>
    </row>
    <row r="54" spans="6:43" x14ac:dyDescent="0.35">
      <c r="F54" s="59">
        <v>10</v>
      </c>
      <c r="G54" s="433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/>
      <c r="Y54" s="433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9">
        <v>10</v>
      </c>
      <c r="AQ54" s="24"/>
    </row>
    <row r="55" spans="6:43" x14ac:dyDescent="0.35">
      <c r="F55" s="59">
        <v>9</v>
      </c>
      <c r="G55" s="433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/>
      <c r="Y55" s="433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9">
        <v>9</v>
      </c>
      <c r="AQ55" s="24"/>
    </row>
    <row r="56" spans="6:43" x14ac:dyDescent="0.35">
      <c r="F56" s="59">
        <v>8</v>
      </c>
      <c r="G56" s="433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/>
      <c r="Y56" s="433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9">
        <v>8</v>
      </c>
      <c r="AQ56" s="24"/>
    </row>
    <row r="57" spans="6:43" x14ac:dyDescent="0.35">
      <c r="F57" s="59">
        <v>7</v>
      </c>
      <c r="G57" s="433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/>
      <c r="Y57" s="433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9">
        <v>7</v>
      </c>
      <c r="AQ57" s="24"/>
    </row>
    <row r="58" spans="6:43" x14ac:dyDescent="0.35">
      <c r="F58" s="59">
        <v>6</v>
      </c>
      <c r="G58" s="433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/>
      <c r="Y58" s="433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9">
        <v>6</v>
      </c>
      <c r="AQ58" s="24"/>
    </row>
    <row r="59" spans="6:43" x14ac:dyDescent="0.35">
      <c r="F59" s="59">
        <v>5</v>
      </c>
      <c r="G59" s="433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/>
      <c r="Y59" s="433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9">
        <v>5</v>
      </c>
      <c r="AQ59" s="24"/>
    </row>
    <row r="60" spans="6:43" x14ac:dyDescent="0.35">
      <c r="F60" s="59">
        <v>4</v>
      </c>
      <c r="G60" s="43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/>
      <c r="Y60" s="433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9">
        <v>4</v>
      </c>
    </row>
    <row r="61" spans="6:43" x14ac:dyDescent="0.35">
      <c r="F61" s="59">
        <v>3</v>
      </c>
      <c r="G61" s="433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/>
      <c r="Y61" s="433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9">
        <v>3</v>
      </c>
    </row>
    <row r="62" spans="6:43" x14ac:dyDescent="0.35">
      <c r="F62" s="59">
        <v>2</v>
      </c>
      <c r="G62" s="433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/>
      <c r="Y62" s="433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9">
        <v>2</v>
      </c>
    </row>
    <row r="63" spans="6:43" x14ac:dyDescent="0.35">
      <c r="F63" s="59">
        <v>1</v>
      </c>
      <c r="G63" s="433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/>
      <c r="Y63" s="433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9">
        <v>1</v>
      </c>
    </row>
    <row r="64" spans="6:43" x14ac:dyDescent="0.35">
      <c r="G64" s="426">
        <v>1</v>
      </c>
      <c r="H64" s="426">
        <v>2</v>
      </c>
      <c r="I64" s="426">
        <v>3</v>
      </c>
      <c r="J64" s="426">
        <v>4</v>
      </c>
      <c r="K64" s="426">
        <v>5</v>
      </c>
      <c r="L64" s="426">
        <v>6</v>
      </c>
      <c r="M64" s="426">
        <v>7</v>
      </c>
      <c r="N64" s="426">
        <v>8</v>
      </c>
      <c r="O64" s="426">
        <v>9</v>
      </c>
      <c r="P64" s="426">
        <v>10</v>
      </c>
      <c r="Q64" s="426">
        <v>11</v>
      </c>
      <c r="R64" s="426">
        <v>12</v>
      </c>
      <c r="S64" s="426">
        <v>13</v>
      </c>
      <c r="T64" s="426">
        <v>14</v>
      </c>
      <c r="U64" s="426">
        <v>15</v>
      </c>
      <c r="V64" s="426">
        <v>16</v>
      </c>
      <c r="W64" s="426">
        <v>17</v>
      </c>
      <c r="X64" s="425"/>
      <c r="Y64" s="426">
        <v>1</v>
      </c>
      <c r="Z64" s="426">
        <v>2</v>
      </c>
      <c r="AA64" s="426">
        <v>3</v>
      </c>
      <c r="AB64" s="426">
        <v>4</v>
      </c>
      <c r="AC64" s="426">
        <v>5</v>
      </c>
      <c r="AD64" s="426">
        <v>6</v>
      </c>
      <c r="AE64" s="426">
        <v>7</v>
      </c>
      <c r="AF64" s="426">
        <v>8</v>
      </c>
      <c r="AG64" s="426">
        <v>9</v>
      </c>
      <c r="AH64" s="426">
        <v>10</v>
      </c>
      <c r="AI64" s="426">
        <v>11</v>
      </c>
      <c r="AJ64" s="426">
        <v>12</v>
      </c>
      <c r="AK64" s="426">
        <v>13</v>
      </c>
      <c r="AL64" s="426">
        <v>14</v>
      </c>
      <c r="AM64" s="426">
        <v>15</v>
      </c>
      <c r="AN64" s="426">
        <v>16</v>
      </c>
      <c r="AO64" s="426">
        <v>17</v>
      </c>
    </row>
    <row r="65" spans="7:27" x14ac:dyDescent="0.35">
      <c r="G65" s="54" t="s">
        <v>152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/>
      <c r="Y65" s="54" t="s">
        <v>152</v>
      </c>
    </row>
    <row r="66" spans="7:27" x14ac:dyDescent="0.35">
      <c r="G66" s="54" t="s">
        <v>185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3"/>
      <c r="X66" s="53"/>
      <c r="Y66" s="54" t="s">
        <v>14</v>
      </c>
      <c r="Z66" s="54"/>
      <c r="AA66"/>
    </row>
    <row r="67" spans="7:27" x14ac:dyDescent="0.35">
      <c r="G67" s="54"/>
      <c r="H67" s="54"/>
      <c r="I67" s="54"/>
      <c r="J67" s="53"/>
    </row>
  </sheetData>
  <mergeCells count="5">
    <mergeCell ref="D8:D9"/>
    <mergeCell ref="C9:C10"/>
    <mergeCell ref="A14:B14"/>
    <mergeCell ref="F14:T14"/>
    <mergeCell ref="A4:A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3"/>
  <sheetViews>
    <sheetView topLeftCell="A4" zoomScale="85" zoomScaleNormal="85" workbookViewId="0">
      <selection activeCell="A4" sqref="A4:AP4"/>
    </sheetView>
  </sheetViews>
  <sheetFormatPr baseColWidth="10" defaultRowHeight="14.5" x14ac:dyDescent="0.35"/>
  <cols>
    <col min="1" max="1" width="13" customWidth="1"/>
    <col min="3" max="4" width="10.54296875" customWidth="1"/>
    <col min="5" max="5" width="5.81640625" customWidth="1"/>
    <col min="6" max="6" width="5.1796875" customWidth="1"/>
    <col min="7" max="13" width="3.26953125" customWidth="1"/>
    <col min="14" max="32" width="3.26953125" style="24" customWidth="1"/>
    <col min="33" max="41" width="3.26953125" customWidth="1"/>
    <col min="42" max="42" width="4" customWidth="1"/>
  </cols>
  <sheetData>
    <row r="1" spans="1:43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43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51 pacientes, a los 17 meses</v>
      </c>
      <c r="F2" s="23"/>
      <c r="G2" s="25"/>
      <c r="H2" s="25"/>
      <c r="I2" s="2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43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43" ht="62" customHeight="1" thickBot="1" x14ac:dyDescent="0.4">
      <c r="A4" s="558" t="s">
        <v>304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60"/>
    </row>
    <row r="5" spans="1:43" ht="26" x14ac:dyDescent="0.35">
      <c r="A5" s="417" t="s">
        <v>149</v>
      </c>
      <c r="B5" s="28">
        <f>C5+D5+E5</f>
        <v>51</v>
      </c>
      <c r="C5" s="378">
        <v>5</v>
      </c>
      <c r="D5" s="29">
        <v>1</v>
      </c>
      <c r="E5" s="30">
        <v>45</v>
      </c>
      <c r="H5" s="26"/>
      <c r="I5" s="26"/>
      <c r="J5" s="411" t="s">
        <v>164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43" ht="13.5" customHeight="1" x14ac:dyDescent="0.35">
      <c r="A6" s="26"/>
      <c r="C6" s="31"/>
      <c r="D6" s="32"/>
      <c r="E6" s="33"/>
      <c r="F6" s="26"/>
      <c r="G6" s="26"/>
      <c r="H6" s="26"/>
      <c r="I6" s="26"/>
      <c r="J6" s="410" t="s">
        <v>159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43" ht="39.75" customHeight="1" x14ac:dyDescent="0.35">
      <c r="A7" s="418" t="s">
        <v>150</v>
      </c>
      <c r="B7" s="34" t="s">
        <v>151</v>
      </c>
      <c r="C7" s="35" t="str">
        <f>CONCATENATE(A1," ",B1," ",B5," ",C1)</f>
        <v>meses de los 51 del grupo Interv</v>
      </c>
      <c r="D7" s="35" t="str">
        <f>CONCATENATE(A1," ",B1," ",B5," ",D1)</f>
        <v>meses de los 51 del grupo Contr</v>
      </c>
      <c r="E7" s="26"/>
      <c r="F7" s="26"/>
      <c r="G7" s="26"/>
      <c r="H7" s="26"/>
      <c r="I7" s="26"/>
      <c r="J7" s="2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43" ht="26.5" x14ac:dyDescent="0.35">
      <c r="A8" s="36" t="s">
        <v>1</v>
      </c>
      <c r="B8" s="37">
        <v>0.97870097005482914</v>
      </c>
      <c r="C8" s="423">
        <f>B8*B5</f>
        <v>49.913749472796283</v>
      </c>
      <c r="D8" s="552">
        <f>(B8+B9)*B5</f>
        <v>58.359104508171583</v>
      </c>
      <c r="E8" s="38"/>
      <c r="F8" s="38"/>
      <c r="G8" s="39"/>
      <c r="H8" s="39"/>
      <c r="I8" s="39"/>
      <c r="J8" s="2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43" ht="26.5" x14ac:dyDescent="0.35">
      <c r="A9" s="40" t="s">
        <v>3</v>
      </c>
      <c r="B9" s="41">
        <v>0.16559519677206469</v>
      </c>
      <c r="C9" s="553">
        <f>(B10+B9)*B5</f>
        <v>817.08625052720379</v>
      </c>
      <c r="D9" s="552"/>
      <c r="E9" s="32"/>
      <c r="F9" s="42"/>
      <c r="G9" s="39"/>
      <c r="H9" s="39"/>
      <c r="I9" s="39"/>
      <c r="J9" s="2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43" ht="26.5" x14ac:dyDescent="0.35">
      <c r="A10" s="43" t="s">
        <v>2</v>
      </c>
      <c r="B10" s="44">
        <v>15.855703833173107</v>
      </c>
      <c r="C10" s="553"/>
      <c r="D10" s="45">
        <f>B10*B5</f>
        <v>808.64089549182847</v>
      </c>
      <c r="E10" s="31"/>
      <c r="F10" s="42"/>
      <c r="G10" s="46"/>
      <c r="H10" s="46"/>
      <c r="I10" s="46"/>
      <c r="J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43" x14ac:dyDescent="0.35">
      <c r="A11" s="3"/>
      <c r="B11" s="47">
        <v>17</v>
      </c>
      <c r="C11" s="48">
        <f>C8+C9</f>
        <v>867.00000000000011</v>
      </c>
      <c r="D11" s="48">
        <f>D8+D10</f>
        <v>867</v>
      </c>
      <c r="E11" s="49"/>
      <c r="F11" s="49"/>
      <c r="G11" s="49"/>
      <c r="H11" s="49"/>
      <c r="I11" s="49"/>
      <c r="J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43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43" x14ac:dyDescent="0.35">
      <c r="A13" s="26"/>
      <c r="B13" s="26"/>
      <c r="C13" s="22">
        <f>(E5+D5)*B11</f>
        <v>782</v>
      </c>
      <c r="D13" s="22">
        <f>E5*B11</f>
        <v>765</v>
      </c>
      <c r="E13" s="26"/>
      <c r="F13" s="50" t="s">
        <v>12</v>
      </c>
      <c r="G13" s="26"/>
      <c r="H13" s="26"/>
      <c r="I13" s="26"/>
      <c r="J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43" ht="36" customHeight="1" x14ac:dyDescent="0.35">
      <c r="A14" s="554" t="s">
        <v>13</v>
      </c>
      <c r="B14" s="554"/>
      <c r="C14" s="51">
        <f>C9-C13</f>
        <v>35.086250527203788</v>
      </c>
      <c r="D14" s="51">
        <f>D10-D13</f>
        <v>43.640895491828473</v>
      </c>
      <c r="F14" s="555" t="str">
        <f>IF((AND(((B9+B10)/B11)&gt;((D5+E5)/B5),(B10/B11)&gt;(E5/B5))),E2,#REF!)</f>
        <v>puede representarse llegando los 51 pacientes, a los 17 meses</v>
      </c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7"/>
      <c r="S14"/>
      <c r="T14"/>
      <c r="U14"/>
      <c r="V14"/>
      <c r="W14"/>
      <c r="X14"/>
      <c r="Y14"/>
      <c r="Z14"/>
      <c r="AA14"/>
      <c r="AB14"/>
    </row>
    <row r="15" spans="1:43" ht="18.75" customHeight="1" thickBot="1" x14ac:dyDescent="0.4">
      <c r="A15" s="52"/>
      <c r="B15" s="52"/>
      <c r="C15" s="52"/>
      <c r="D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/>
      <c r="T15"/>
      <c r="U15"/>
      <c r="V15"/>
      <c r="W15"/>
      <c r="X15"/>
      <c r="Y15"/>
      <c r="Z15"/>
      <c r="AA15"/>
      <c r="AB15"/>
    </row>
    <row r="16" spans="1:43" ht="17.25" customHeight="1" thickBot="1" x14ac:dyDescent="0.4">
      <c r="A16" s="436" t="s">
        <v>144</v>
      </c>
      <c r="B16" s="380"/>
      <c r="C16" s="381"/>
      <c r="G16" s="54" t="s">
        <v>185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3"/>
      <c r="X16" s="53"/>
      <c r="Y16" s="54" t="s">
        <v>14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3"/>
      <c r="AP16" s="53"/>
      <c r="AQ16" s="53"/>
    </row>
    <row r="17" spans="1:43" x14ac:dyDescent="0.35">
      <c r="A17" s="379" t="s">
        <v>184</v>
      </c>
      <c r="G17" s="54" t="s">
        <v>152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/>
      <c r="Y17" s="54" t="s">
        <v>152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P17" s="24"/>
      <c r="AQ17" s="24"/>
    </row>
    <row r="18" spans="1:43" x14ac:dyDescent="0.35">
      <c r="A18" s="379" t="s">
        <v>161</v>
      </c>
      <c r="F18" s="24"/>
      <c r="G18" s="449">
        <v>1</v>
      </c>
      <c r="H18" s="449">
        <v>2</v>
      </c>
      <c r="I18" s="449">
        <v>3</v>
      </c>
      <c r="J18" s="449">
        <v>4</v>
      </c>
      <c r="K18" s="449">
        <v>5</v>
      </c>
      <c r="L18" s="449">
        <v>6</v>
      </c>
      <c r="M18" s="449">
        <v>7</v>
      </c>
      <c r="N18" s="449">
        <v>8</v>
      </c>
      <c r="O18" s="449">
        <v>9</v>
      </c>
      <c r="P18" s="449">
        <v>10</v>
      </c>
      <c r="Q18" s="449">
        <v>11</v>
      </c>
      <c r="R18" s="449">
        <v>12</v>
      </c>
      <c r="S18" s="449">
        <v>13</v>
      </c>
      <c r="T18" s="449">
        <v>14</v>
      </c>
      <c r="U18" s="449">
        <v>15</v>
      </c>
      <c r="V18" s="449">
        <v>16</v>
      </c>
      <c r="W18" s="449">
        <v>17</v>
      </c>
      <c r="Y18" s="449">
        <v>1</v>
      </c>
      <c r="Z18" s="449">
        <v>2</v>
      </c>
      <c r="AA18" s="449">
        <v>3</v>
      </c>
      <c r="AB18" s="449">
        <v>4</v>
      </c>
      <c r="AC18" s="449">
        <v>5</v>
      </c>
      <c r="AD18" s="449">
        <v>6</v>
      </c>
      <c r="AE18" s="449">
        <v>7</v>
      </c>
      <c r="AF18" s="449">
        <v>8</v>
      </c>
      <c r="AG18" s="449">
        <v>9</v>
      </c>
      <c r="AH18" s="449">
        <v>10</v>
      </c>
      <c r="AI18" s="449">
        <v>11</v>
      </c>
      <c r="AJ18" s="449">
        <v>12</v>
      </c>
      <c r="AK18" s="449">
        <v>13</v>
      </c>
      <c r="AL18" s="449">
        <v>14</v>
      </c>
      <c r="AM18" s="449">
        <v>15</v>
      </c>
      <c r="AN18" s="449">
        <v>16</v>
      </c>
      <c r="AO18" s="449">
        <v>17</v>
      </c>
      <c r="AP18" s="24"/>
      <c r="AQ18" s="24"/>
    </row>
    <row r="19" spans="1:43" ht="15" thickBot="1" x14ac:dyDescent="0.4">
      <c r="E19" s="55" t="s">
        <v>15</v>
      </c>
      <c r="F19" s="61">
        <v>51</v>
      </c>
      <c r="G19" s="58"/>
      <c r="H19" s="58"/>
      <c r="I19" s="58"/>
      <c r="J19" s="58"/>
      <c r="K19" s="58"/>
      <c r="L19" s="58"/>
      <c r="M19" s="58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Y19" s="58"/>
      <c r="Z19" s="58"/>
      <c r="AA19" s="58"/>
      <c r="AB19" s="58"/>
      <c r="AC19" s="58"/>
      <c r="AD19" s="58"/>
      <c r="AE19" s="58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61">
        <v>51</v>
      </c>
      <c r="AQ19" s="56" t="s">
        <v>15</v>
      </c>
    </row>
    <row r="20" spans="1:43" x14ac:dyDescent="0.35">
      <c r="A20" s="347" t="s">
        <v>133</v>
      </c>
      <c r="B20" s="348"/>
      <c r="C20" s="348"/>
      <c r="D20" s="349"/>
      <c r="F20" s="61">
        <v>50</v>
      </c>
      <c r="G20" s="58"/>
      <c r="H20" s="58"/>
      <c r="I20" s="58"/>
      <c r="J20" s="58"/>
      <c r="K20" s="58"/>
      <c r="L20" s="58"/>
      <c r="M20" s="58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Y20" s="58"/>
      <c r="Z20" s="58"/>
      <c r="AA20" s="58"/>
      <c r="AB20" s="58"/>
      <c r="AC20" s="58"/>
      <c r="AD20" s="58"/>
      <c r="AE20" s="58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61">
        <v>50</v>
      </c>
      <c r="AQ20" s="57"/>
    </row>
    <row r="21" spans="1:43" x14ac:dyDescent="0.35">
      <c r="A21" s="350" t="s">
        <v>128</v>
      </c>
      <c r="B21" s="351" t="s">
        <v>129</v>
      </c>
      <c r="C21" s="351" t="s">
        <v>117</v>
      </c>
      <c r="D21" s="352" t="s">
        <v>11</v>
      </c>
      <c r="F21" s="61">
        <v>49</v>
      </c>
      <c r="G21" s="58"/>
      <c r="H21" s="58"/>
      <c r="I21" s="58"/>
      <c r="J21" s="58"/>
      <c r="K21" s="58"/>
      <c r="L21" s="58"/>
      <c r="M21" s="58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Y21" s="58"/>
      <c r="Z21" s="58"/>
      <c r="AA21" s="58"/>
      <c r="AB21" s="58"/>
      <c r="AC21" s="58"/>
      <c r="AD21" s="58"/>
      <c r="AE21" s="58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61">
        <v>49</v>
      </c>
      <c r="AQ21" s="57"/>
    </row>
    <row r="22" spans="1:43" x14ac:dyDescent="0.35">
      <c r="A22" s="353">
        <v>9.5659502739148763E-2</v>
      </c>
      <c r="B22" s="354">
        <v>0.11514129059468578</v>
      </c>
      <c r="C22" s="355">
        <f>B22-A22</f>
        <v>1.9481787855537017E-2</v>
      </c>
      <c r="D22" s="356">
        <f>1/C22</f>
        <v>51.329991241834868</v>
      </c>
      <c r="F22" s="61">
        <v>48</v>
      </c>
      <c r="G22" s="58"/>
      <c r="H22" s="58"/>
      <c r="I22" s="58"/>
      <c r="J22" s="58"/>
      <c r="K22" s="58"/>
      <c r="L22" s="58"/>
      <c r="M22" s="58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Y22" s="58"/>
      <c r="Z22" s="58"/>
      <c r="AA22" s="58"/>
      <c r="AB22" s="58"/>
      <c r="AC22" s="58"/>
      <c r="AD22" s="58"/>
      <c r="AE22" s="58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61">
        <v>48</v>
      </c>
      <c r="AQ22" s="57"/>
    </row>
    <row r="23" spans="1:43" ht="15" thickBot="1" x14ac:dyDescent="0.4">
      <c r="A23" s="357" t="s">
        <v>130</v>
      </c>
      <c r="B23" s="399">
        <f>A22*D22</f>
        <v>4.9102014377987846</v>
      </c>
      <c r="C23" s="358">
        <f>C22*D22</f>
        <v>1</v>
      </c>
      <c r="D23" s="398">
        <f>(1-B22)*D22</f>
        <v>45.419789804036085</v>
      </c>
      <c r="F23" s="61">
        <v>47</v>
      </c>
      <c r="G23" s="58"/>
      <c r="H23" s="58"/>
      <c r="I23" s="58"/>
      <c r="J23" s="58"/>
      <c r="K23" s="58"/>
      <c r="L23" s="58"/>
      <c r="M23" s="58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Y23" s="58"/>
      <c r="Z23" s="58"/>
      <c r="AA23" s="58"/>
      <c r="AB23" s="58"/>
      <c r="AC23" s="58"/>
      <c r="AD23" s="58"/>
      <c r="AE23" s="58"/>
      <c r="AF23" s="58"/>
      <c r="AG23" s="397"/>
      <c r="AH23" s="397"/>
      <c r="AI23" s="397"/>
      <c r="AJ23" s="397"/>
      <c r="AK23" s="397"/>
      <c r="AL23" s="397"/>
      <c r="AM23" s="397"/>
      <c r="AN23" s="397"/>
      <c r="AO23" s="397"/>
      <c r="AP23" s="61">
        <v>47</v>
      </c>
      <c r="AQ23" s="57"/>
    </row>
    <row r="24" spans="1:43" ht="15.5" x14ac:dyDescent="0.35">
      <c r="F24" s="382">
        <v>46</v>
      </c>
      <c r="G24" s="432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Y24" s="432"/>
      <c r="Z24" s="383"/>
      <c r="AA24" s="383"/>
      <c r="AB24" s="383"/>
      <c r="AC24" s="383"/>
      <c r="AD24" s="383"/>
      <c r="AE24" s="383"/>
      <c r="AF24" s="383"/>
      <c r="AG24" s="397"/>
      <c r="AH24" s="397"/>
      <c r="AI24" s="397"/>
      <c r="AJ24" s="397"/>
      <c r="AK24" s="397"/>
      <c r="AL24" s="397"/>
      <c r="AM24" s="397"/>
      <c r="AN24" s="397"/>
      <c r="AO24" s="397"/>
      <c r="AP24" s="434">
        <v>46</v>
      </c>
      <c r="AQ24" s="57"/>
    </row>
    <row r="25" spans="1:43" x14ac:dyDescent="0.35">
      <c r="F25" s="59">
        <v>45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>
        <v>45</v>
      </c>
      <c r="AQ25" s="57"/>
    </row>
    <row r="26" spans="1:43" x14ac:dyDescent="0.35">
      <c r="F26" s="59">
        <v>44</v>
      </c>
      <c r="G26" s="433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60"/>
      <c r="Y26" s="433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>
        <v>44</v>
      </c>
      <c r="AQ26" s="57"/>
    </row>
    <row r="27" spans="1:43" x14ac:dyDescent="0.35">
      <c r="F27" s="59">
        <v>43</v>
      </c>
      <c r="G27" s="433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60"/>
      <c r="Y27" s="433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9">
        <v>43</v>
      </c>
      <c r="AQ27" s="57"/>
    </row>
    <row r="28" spans="1:43" x14ac:dyDescent="0.35">
      <c r="F28" s="59">
        <v>42</v>
      </c>
      <c r="G28" s="433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/>
      <c r="Y28" s="433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9">
        <v>42</v>
      </c>
      <c r="AQ28" s="24"/>
    </row>
    <row r="29" spans="1:43" x14ac:dyDescent="0.35">
      <c r="F29" s="59">
        <v>41</v>
      </c>
      <c r="G29" s="43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/>
      <c r="Y29" s="433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>
        <v>41</v>
      </c>
      <c r="AQ29" s="24"/>
    </row>
    <row r="30" spans="1:43" x14ac:dyDescent="0.35">
      <c r="F30" s="59">
        <v>40</v>
      </c>
      <c r="G30" s="433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/>
      <c r="Y30" s="433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9">
        <v>40</v>
      </c>
      <c r="AQ30" s="24"/>
    </row>
    <row r="31" spans="1:43" x14ac:dyDescent="0.35">
      <c r="F31" s="59">
        <v>39</v>
      </c>
      <c r="G31" s="433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/>
      <c r="Y31" s="433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9">
        <v>39</v>
      </c>
      <c r="AQ31" s="24"/>
    </row>
    <row r="32" spans="1:43" x14ac:dyDescent="0.35">
      <c r="F32" s="59">
        <v>38</v>
      </c>
      <c r="G32" s="433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/>
      <c r="Y32" s="433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>
        <v>38</v>
      </c>
      <c r="AQ32" s="24"/>
    </row>
    <row r="33" spans="6:43" x14ac:dyDescent="0.35">
      <c r="F33" s="59">
        <v>37</v>
      </c>
      <c r="G33" s="433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/>
      <c r="Y33" s="433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>
        <v>37</v>
      </c>
      <c r="AQ33" s="24"/>
    </row>
    <row r="34" spans="6:43" x14ac:dyDescent="0.35">
      <c r="F34" s="59">
        <v>36</v>
      </c>
      <c r="G34" s="433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/>
      <c r="Y34" s="433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>
        <v>36</v>
      </c>
      <c r="AQ34" s="24"/>
    </row>
    <row r="35" spans="6:43" x14ac:dyDescent="0.35">
      <c r="F35" s="59">
        <v>35</v>
      </c>
      <c r="G35" s="433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/>
      <c r="Y35" s="43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9">
        <v>35</v>
      </c>
      <c r="AQ35" s="24"/>
    </row>
    <row r="36" spans="6:43" x14ac:dyDescent="0.35">
      <c r="F36" s="59">
        <v>34</v>
      </c>
      <c r="G36" s="433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/>
      <c r="Y36" s="433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9">
        <v>34</v>
      </c>
      <c r="AQ36" s="24"/>
    </row>
    <row r="37" spans="6:43" x14ac:dyDescent="0.35">
      <c r="F37" s="59">
        <v>33</v>
      </c>
      <c r="G37" s="433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/>
      <c r="Y37" s="433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9">
        <v>33</v>
      </c>
      <c r="AQ37" s="24"/>
    </row>
    <row r="38" spans="6:43" x14ac:dyDescent="0.35">
      <c r="F38" s="59">
        <v>32</v>
      </c>
      <c r="G38" s="433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/>
      <c r="Y38" s="433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>
        <v>32</v>
      </c>
      <c r="AQ38" s="24"/>
    </row>
    <row r="39" spans="6:43" x14ac:dyDescent="0.35">
      <c r="F39" s="59">
        <v>31</v>
      </c>
      <c r="G39" s="433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/>
      <c r="Y39" s="433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>
        <v>31</v>
      </c>
      <c r="AQ39" s="24"/>
    </row>
    <row r="40" spans="6:43" x14ac:dyDescent="0.35">
      <c r="F40" s="59">
        <v>30</v>
      </c>
      <c r="G40" s="433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/>
      <c r="Y40" s="433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9">
        <v>30</v>
      </c>
      <c r="AQ40" s="24"/>
    </row>
    <row r="41" spans="6:43" x14ac:dyDescent="0.35">
      <c r="F41" s="59">
        <v>29</v>
      </c>
      <c r="G41" s="433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/>
      <c r="Y41" s="433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>
        <v>29</v>
      </c>
      <c r="AQ41" s="24"/>
    </row>
    <row r="42" spans="6:43" x14ac:dyDescent="0.35">
      <c r="F42" s="59">
        <v>28</v>
      </c>
      <c r="G42" s="433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/>
      <c r="Y42" s="433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>
        <v>28</v>
      </c>
      <c r="AQ42" s="24"/>
    </row>
    <row r="43" spans="6:43" x14ac:dyDescent="0.35">
      <c r="F43" s="59">
        <v>27</v>
      </c>
      <c r="G43" s="43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/>
      <c r="Y43" s="433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>
        <v>27</v>
      </c>
      <c r="AQ43" s="24"/>
    </row>
    <row r="44" spans="6:43" x14ac:dyDescent="0.35">
      <c r="F44" s="59">
        <v>26</v>
      </c>
      <c r="G44" s="43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/>
      <c r="Y44" s="433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9">
        <v>26</v>
      </c>
      <c r="AQ44" s="24"/>
    </row>
    <row r="45" spans="6:43" x14ac:dyDescent="0.35">
      <c r="F45" s="59">
        <v>25</v>
      </c>
      <c r="G45" s="433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/>
      <c r="Y45" s="433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9">
        <v>25</v>
      </c>
      <c r="AQ45" s="24"/>
    </row>
    <row r="46" spans="6:43" x14ac:dyDescent="0.35">
      <c r="F46" s="59">
        <v>24</v>
      </c>
      <c r="G46" s="433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/>
      <c r="Y46" s="433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9">
        <v>24</v>
      </c>
      <c r="AQ46" s="24"/>
    </row>
    <row r="47" spans="6:43" x14ac:dyDescent="0.35">
      <c r="F47" s="59">
        <v>23</v>
      </c>
      <c r="G47" s="433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/>
      <c r="Y47" s="433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9">
        <v>23</v>
      </c>
      <c r="AQ47" s="24"/>
    </row>
    <row r="48" spans="6:43" x14ac:dyDescent="0.35">
      <c r="F48" s="59">
        <v>22</v>
      </c>
      <c r="G48" s="433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/>
      <c r="Y48" s="433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9">
        <v>22</v>
      </c>
      <c r="AQ48" s="24"/>
    </row>
    <row r="49" spans="6:43" x14ac:dyDescent="0.35">
      <c r="F49" s="59">
        <v>21</v>
      </c>
      <c r="G49" s="433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/>
      <c r="Y49" s="433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>
        <v>21</v>
      </c>
      <c r="AQ49" s="24"/>
    </row>
    <row r="50" spans="6:43" x14ac:dyDescent="0.35">
      <c r="F50" s="59">
        <v>20</v>
      </c>
      <c r="G50" s="433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/>
      <c r="Y50" s="433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9">
        <v>20</v>
      </c>
      <c r="AQ50" s="24"/>
    </row>
    <row r="51" spans="6:43" x14ac:dyDescent="0.35">
      <c r="F51" s="59">
        <v>19</v>
      </c>
      <c r="G51" s="433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/>
      <c r="Y51" s="433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9">
        <v>19</v>
      </c>
      <c r="AQ51" s="24"/>
    </row>
    <row r="52" spans="6:43" x14ac:dyDescent="0.35">
      <c r="F52" s="59">
        <v>18</v>
      </c>
      <c r="G52" s="433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/>
      <c r="Y52" s="433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9">
        <v>18</v>
      </c>
      <c r="AQ52" s="24"/>
    </row>
    <row r="53" spans="6:43" x14ac:dyDescent="0.35">
      <c r="F53" s="59">
        <v>17</v>
      </c>
      <c r="G53" s="433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/>
      <c r="Y53" s="433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9">
        <v>17</v>
      </c>
      <c r="AQ53" s="24"/>
    </row>
    <row r="54" spans="6:43" x14ac:dyDescent="0.35">
      <c r="F54" s="59">
        <v>16</v>
      </c>
      <c r="G54" s="433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/>
      <c r="Y54" s="433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9">
        <v>16</v>
      </c>
      <c r="AQ54" s="24"/>
    </row>
    <row r="55" spans="6:43" x14ac:dyDescent="0.35">
      <c r="F55" s="59">
        <v>15</v>
      </c>
      <c r="G55" s="433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/>
      <c r="Y55" s="433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9">
        <v>15</v>
      </c>
      <c r="AQ55" s="24"/>
    </row>
    <row r="56" spans="6:43" x14ac:dyDescent="0.35">
      <c r="F56" s="59">
        <v>14</v>
      </c>
      <c r="G56" s="433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/>
      <c r="Y56" s="433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9">
        <v>14</v>
      </c>
      <c r="AQ56" s="24"/>
    </row>
    <row r="57" spans="6:43" x14ac:dyDescent="0.35">
      <c r="F57" s="59">
        <v>13</v>
      </c>
      <c r="G57" s="433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/>
      <c r="Y57" s="433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9">
        <v>13</v>
      </c>
      <c r="AQ57" s="24"/>
    </row>
    <row r="58" spans="6:43" x14ac:dyDescent="0.35">
      <c r="F58" s="59">
        <v>12</v>
      </c>
      <c r="G58" s="433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/>
      <c r="Y58" s="433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9">
        <v>12</v>
      </c>
      <c r="AQ58" s="24"/>
    </row>
    <row r="59" spans="6:43" x14ac:dyDescent="0.35">
      <c r="F59" s="59">
        <v>11</v>
      </c>
      <c r="G59" s="433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/>
      <c r="Y59" s="433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9">
        <v>11</v>
      </c>
      <c r="AQ59" s="24"/>
    </row>
    <row r="60" spans="6:43" x14ac:dyDescent="0.35">
      <c r="F60" s="59">
        <v>10</v>
      </c>
      <c r="G60" s="43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/>
      <c r="Y60" s="433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9">
        <v>10</v>
      </c>
      <c r="AQ60" s="24"/>
    </row>
    <row r="61" spans="6:43" x14ac:dyDescent="0.35">
      <c r="F61" s="59">
        <v>9</v>
      </c>
      <c r="G61" s="433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/>
      <c r="Y61" s="433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9">
        <v>9</v>
      </c>
      <c r="AQ61" s="24"/>
    </row>
    <row r="62" spans="6:43" x14ac:dyDescent="0.35">
      <c r="F62" s="59">
        <v>8</v>
      </c>
      <c r="G62" s="433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/>
      <c r="Y62" s="433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9">
        <v>8</v>
      </c>
      <c r="AQ62" s="24"/>
    </row>
    <row r="63" spans="6:43" x14ac:dyDescent="0.35">
      <c r="F63" s="59">
        <v>7</v>
      </c>
      <c r="G63" s="433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/>
      <c r="Y63" s="433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9">
        <v>7</v>
      </c>
      <c r="AQ63" s="24"/>
    </row>
    <row r="64" spans="6:43" x14ac:dyDescent="0.35">
      <c r="F64" s="59">
        <v>6</v>
      </c>
      <c r="G64" s="433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/>
      <c r="Y64" s="433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9">
        <v>6</v>
      </c>
      <c r="AQ64" s="24"/>
    </row>
    <row r="65" spans="6:43" x14ac:dyDescent="0.35">
      <c r="F65" s="59">
        <v>5</v>
      </c>
      <c r="G65" s="433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/>
      <c r="Y65" s="433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9">
        <v>5</v>
      </c>
      <c r="AQ65" s="24"/>
    </row>
    <row r="66" spans="6:43" x14ac:dyDescent="0.35">
      <c r="F66" s="59">
        <v>4</v>
      </c>
      <c r="G66" s="433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/>
      <c r="Y66" s="433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9">
        <v>4</v>
      </c>
    </row>
    <row r="67" spans="6:43" x14ac:dyDescent="0.35">
      <c r="F67" s="59">
        <v>3</v>
      </c>
      <c r="G67" s="433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/>
      <c r="Y67" s="433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9">
        <v>3</v>
      </c>
    </row>
    <row r="68" spans="6:43" x14ac:dyDescent="0.35">
      <c r="F68" s="59">
        <v>2</v>
      </c>
      <c r="G68" s="433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/>
      <c r="Y68" s="433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9">
        <v>2</v>
      </c>
    </row>
    <row r="69" spans="6:43" x14ac:dyDescent="0.35">
      <c r="F69" s="59">
        <v>1</v>
      </c>
      <c r="G69" s="433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/>
      <c r="Y69" s="433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9">
        <v>1</v>
      </c>
    </row>
    <row r="70" spans="6:43" x14ac:dyDescent="0.35">
      <c r="G70" s="426">
        <v>1</v>
      </c>
      <c r="H70" s="426">
        <v>2</v>
      </c>
      <c r="I70" s="426">
        <v>3</v>
      </c>
      <c r="J70" s="426">
        <v>4</v>
      </c>
      <c r="K70" s="426">
        <v>5</v>
      </c>
      <c r="L70" s="426">
        <v>6</v>
      </c>
      <c r="M70" s="426">
        <v>7</v>
      </c>
      <c r="N70" s="426">
        <v>8</v>
      </c>
      <c r="O70" s="426">
        <v>9</v>
      </c>
      <c r="P70" s="426">
        <v>10</v>
      </c>
      <c r="Q70" s="426">
        <v>11</v>
      </c>
      <c r="R70" s="426">
        <v>12</v>
      </c>
      <c r="S70" s="426">
        <v>13</v>
      </c>
      <c r="T70" s="426">
        <v>14</v>
      </c>
      <c r="U70" s="426">
        <v>15</v>
      </c>
      <c r="V70" s="426">
        <v>16</v>
      </c>
      <c r="W70" s="426">
        <v>17</v>
      </c>
      <c r="X70" s="425"/>
      <c r="Y70" s="426">
        <v>1</v>
      </c>
      <c r="Z70" s="426">
        <v>2</v>
      </c>
      <c r="AA70" s="426">
        <v>3</v>
      </c>
      <c r="AB70" s="426">
        <v>4</v>
      </c>
      <c r="AC70" s="426">
        <v>5</v>
      </c>
      <c r="AD70" s="426">
        <v>6</v>
      </c>
      <c r="AE70" s="426">
        <v>7</v>
      </c>
      <c r="AF70" s="426">
        <v>8</v>
      </c>
      <c r="AG70" s="426">
        <v>9</v>
      </c>
      <c r="AH70" s="426">
        <v>10</v>
      </c>
      <c r="AI70" s="426">
        <v>11</v>
      </c>
      <c r="AJ70" s="426">
        <v>12</v>
      </c>
      <c r="AK70" s="426">
        <v>13</v>
      </c>
      <c r="AL70" s="426">
        <v>14</v>
      </c>
      <c r="AM70" s="426">
        <v>15</v>
      </c>
      <c r="AN70" s="426">
        <v>16</v>
      </c>
      <c r="AO70" s="426">
        <v>17</v>
      </c>
    </row>
    <row r="71" spans="6:43" x14ac:dyDescent="0.35">
      <c r="G71" s="54" t="s">
        <v>152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/>
      <c r="Y71" s="54" t="s">
        <v>152</v>
      </c>
      <c r="AG71" s="24"/>
      <c r="AH71" s="24"/>
      <c r="AI71" s="24"/>
      <c r="AJ71" s="24"/>
    </row>
    <row r="72" spans="6:43" x14ac:dyDescent="0.35">
      <c r="G72" s="54" t="s">
        <v>185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3"/>
      <c r="X72" s="53"/>
      <c r="Y72" s="54" t="s">
        <v>14</v>
      </c>
      <c r="Z72" s="54"/>
      <c r="AA72"/>
      <c r="AG72" s="24"/>
      <c r="AH72" s="24"/>
      <c r="AI72" s="24"/>
      <c r="AJ72" s="24"/>
    </row>
    <row r="73" spans="6:43" x14ac:dyDescent="0.35">
      <c r="F73" s="59"/>
    </row>
  </sheetData>
  <mergeCells count="5">
    <mergeCell ref="D8:D9"/>
    <mergeCell ref="C9:C10"/>
    <mergeCell ref="A14:B14"/>
    <mergeCell ref="F14:R14"/>
    <mergeCell ref="A4:AP4"/>
  </mergeCells>
  <phoneticPr fontId="2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49"/>
  <sheetViews>
    <sheetView topLeftCell="A3" zoomScale="85" zoomScaleNormal="85" workbookViewId="0">
      <selection activeCell="A4" sqref="A4:AP4"/>
    </sheetView>
  </sheetViews>
  <sheetFormatPr baseColWidth="10" defaultRowHeight="14.5" x14ac:dyDescent="0.35"/>
  <cols>
    <col min="1" max="1" width="13" customWidth="1"/>
    <col min="3" max="4" width="10.54296875" customWidth="1"/>
    <col min="5" max="5" width="5.81640625" customWidth="1"/>
    <col min="6" max="6" width="5.1796875" customWidth="1"/>
    <col min="7" max="41" width="3.26953125" customWidth="1"/>
    <col min="42" max="42" width="5.453125" style="24" customWidth="1"/>
    <col min="43" max="50" width="3.7265625" style="24" customWidth="1"/>
    <col min="58" max="58" width="2.54296875" customWidth="1"/>
  </cols>
  <sheetData>
    <row r="1" spans="1:46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AP1"/>
      <c r="AQ1"/>
      <c r="AR1"/>
      <c r="AS1"/>
      <c r="AT1"/>
    </row>
    <row r="2" spans="1:46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27 pacientes, a los 17 meses</v>
      </c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AP2"/>
      <c r="AQ2"/>
      <c r="AR2"/>
      <c r="AS2"/>
      <c r="AT2"/>
    </row>
    <row r="3" spans="1:46" ht="6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AP3"/>
      <c r="AQ3"/>
      <c r="AR3"/>
      <c r="AS3"/>
      <c r="AT3"/>
    </row>
    <row r="4" spans="1:46" ht="60.5" customHeight="1" thickBot="1" x14ac:dyDescent="0.4">
      <c r="A4" s="558" t="s">
        <v>303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60"/>
      <c r="AQ4"/>
      <c r="AR4"/>
      <c r="AS4"/>
      <c r="AT4"/>
    </row>
    <row r="5" spans="1:46" ht="26" x14ac:dyDescent="0.35">
      <c r="A5" s="417" t="s">
        <v>149</v>
      </c>
      <c r="B5" s="28">
        <f>C5+D5+E5</f>
        <v>27</v>
      </c>
      <c r="C5" s="517">
        <v>3</v>
      </c>
      <c r="D5" s="518">
        <v>1</v>
      </c>
      <c r="E5" s="519">
        <v>23</v>
      </c>
      <c r="G5" s="26"/>
      <c r="H5" s="26"/>
      <c r="I5" s="26"/>
      <c r="J5" s="411" t="s">
        <v>164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"/>
      <c r="AP5"/>
      <c r="AQ5"/>
      <c r="AR5"/>
      <c r="AS5"/>
      <c r="AT5"/>
    </row>
    <row r="6" spans="1:46" ht="15" customHeight="1" x14ac:dyDescent="0.35">
      <c r="A6" s="26"/>
      <c r="C6" s="31"/>
      <c r="D6" s="32"/>
      <c r="E6" s="33"/>
      <c r="F6" s="26"/>
      <c r="G6" s="26"/>
      <c r="H6" s="26"/>
      <c r="I6" s="26"/>
      <c r="J6" s="410" t="s">
        <v>159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AP6"/>
      <c r="AQ6"/>
      <c r="AR6"/>
      <c r="AS6"/>
      <c r="AT6"/>
    </row>
    <row r="7" spans="1:46" ht="39.75" customHeight="1" x14ac:dyDescent="0.35">
      <c r="A7" s="418" t="s">
        <v>150</v>
      </c>
      <c r="B7" s="34" t="s">
        <v>151</v>
      </c>
      <c r="C7" s="35" t="str">
        <f>CONCATENATE(A1," ",B1," ",B5," ",C1)</f>
        <v>meses de los 27 del grupo Interv</v>
      </c>
      <c r="D7" s="35" t="str">
        <f>CONCATENATE(A1," ",B1," ",B5," ",D1)</f>
        <v>meses de los 27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AP7"/>
      <c r="AQ7"/>
      <c r="AR7"/>
      <c r="AS7"/>
      <c r="AT7"/>
    </row>
    <row r="8" spans="1:46" ht="26.5" x14ac:dyDescent="0.35">
      <c r="A8" s="36" t="s">
        <v>1</v>
      </c>
      <c r="B8" s="37">
        <v>1.1400253057781526</v>
      </c>
      <c r="C8" s="423">
        <f>B8*B5</f>
        <v>30.780683256010121</v>
      </c>
      <c r="D8" s="552">
        <f>(B8+B9)*B5</f>
        <v>39.220658547418481</v>
      </c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26"/>
      <c r="X8" s="26"/>
      <c r="AP8"/>
      <c r="AQ8"/>
      <c r="AR8"/>
      <c r="AS8"/>
      <c r="AT8"/>
    </row>
    <row r="9" spans="1:46" ht="26.5" x14ac:dyDescent="0.35">
      <c r="A9" s="40" t="s">
        <v>3</v>
      </c>
      <c r="B9" s="41">
        <v>0.31259167745956862</v>
      </c>
      <c r="C9" s="553">
        <f>(B10+B9)*B5</f>
        <v>428.21931674398991</v>
      </c>
      <c r="D9" s="552"/>
      <c r="E9" s="32"/>
      <c r="F9" s="4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26"/>
      <c r="X9" s="26"/>
      <c r="AP9"/>
      <c r="AQ9"/>
      <c r="AR9"/>
      <c r="AS9"/>
      <c r="AT9"/>
    </row>
    <row r="10" spans="1:46" ht="26.5" x14ac:dyDescent="0.35">
      <c r="A10" s="43" t="s">
        <v>2</v>
      </c>
      <c r="B10" s="44">
        <v>15.547383016762279</v>
      </c>
      <c r="C10" s="553"/>
      <c r="D10" s="45">
        <f>B10*B5</f>
        <v>419.77934145258155</v>
      </c>
      <c r="E10" s="31"/>
      <c r="F10" s="42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6"/>
      <c r="X10" s="26"/>
      <c r="AP10"/>
      <c r="AQ10"/>
      <c r="AR10"/>
      <c r="AS10"/>
      <c r="AT10"/>
    </row>
    <row r="11" spans="1:46" ht="19" customHeight="1" x14ac:dyDescent="0.35">
      <c r="A11" s="3"/>
      <c r="B11" s="47">
        <v>17</v>
      </c>
      <c r="C11" s="48">
        <f>C8+C9</f>
        <v>459</v>
      </c>
      <c r="D11" s="48">
        <f>D8+D10</f>
        <v>459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9"/>
      <c r="Q12" s="49"/>
      <c r="R12" s="49"/>
      <c r="S12" s="49"/>
      <c r="T12" s="49"/>
      <c r="U12" s="49"/>
      <c r="V12" s="49"/>
      <c r="W12" s="49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x14ac:dyDescent="0.35">
      <c r="A13" s="26"/>
      <c r="B13" s="26"/>
      <c r="C13" s="22">
        <f>(E5+D5)*B11</f>
        <v>408</v>
      </c>
      <c r="D13" s="22">
        <f>E5*B11</f>
        <v>391</v>
      </c>
      <c r="E13" s="26"/>
      <c r="F13" s="50" t="s">
        <v>12</v>
      </c>
      <c r="G13" s="26"/>
      <c r="H13" s="26"/>
      <c r="I13" s="26"/>
      <c r="J13" s="26"/>
      <c r="K13" s="26"/>
      <c r="L13" s="26"/>
      <c r="M13" s="26"/>
      <c r="N13" s="26"/>
      <c r="O13" s="26"/>
      <c r="P13" s="49"/>
      <c r="Q13" s="49"/>
      <c r="R13" s="49"/>
      <c r="S13" s="49"/>
      <c r="T13" s="49"/>
      <c r="U13" s="49"/>
      <c r="V13" s="49"/>
      <c r="W13" s="4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36" customHeight="1" x14ac:dyDescent="0.35">
      <c r="A14" s="554" t="s">
        <v>13</v>
      </c>
      <c r="B14" s="554"/>
      <c r="C14" s="51">
        <f>C9-C13</f>
        <v>20.219316743989907</v>
      </c>
      <c r="D14" s="51">
        <f>D10-D13</f>
        <v>28.779341452581548</v>
      </c>
      <c r="F14" s="561" t="str">
        <f>IF((AND(((B9+B10)/B11)&gt;((D5+E5)/B5),(B10/B11)&gt;(E5/B5))),E2,#REF!)</f>
        <v>puede representarse llegando los 27 pacientes, a los 17 meses</v>
      </c>
      <c r="G14" s="561"/>
      <c r="H14" s="561"/>
      <c r="I14" s="561"/>
      <c r="J14" s="561"/>
      <c r="K14" s="561"/>
      <c r="L14" s="561"/>
      <c r="M14" s="561"/>
      <c r="N14" s="561"/>
      <c r="O14" s="561"/>
      <c r="P14" s="49"/>
      <c r="Q14" s="49"/>
      <c r="R14" s="49"/>
      <c r="S14" s="49"/>
      <c r="T14" s="49"/>
      <c r="U14" s="49"/>
      <c r="V14" s="49"/>
      <c r="W14" s="49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ht="18.75" customHeight="1" thickBot="1" x14ac:dyDescent="0.4">
      <c r="A15" s="52"/>
      <c r="B15" s="52"/>
      <c r="C15" s="52"/>
      <c r="D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9"/>
      <c r="Q15" s="49"/>
      <c r="R15" s="49"/>
      <c r="S15" s="49"/>
      <c r="T15" s="49"/>
      <c r="U15" s="49"/>
      <c r="V15" s="49"/>
      <c r="W15" s="49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17.25" customHeight="1" thickBot="1" x14ac:dyDescent="0.4">
      <c r="A16" s="506" t="s">
        <v>299</v>
      </c>
      <c r="B16" s="380"/>
      <c r="C16" s="381"/>
      <c r="D16" s="381"/>
      <c r="G16" s="54" t="s">
        <v>185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3"/>
      <c r="X16" s="53"/>
      <c r="Y16" s="54" t="s">
        <v>14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3"/>
      <c r="AP16" s="53"/>
      <c r="AQ16" s="53"/>
      <c r="AR16" s="53"/>
      <c r="AS16" s="53"/>
      <c r="AT16" s="53"/>
    </row>
    <row r="17" spans="1:50" x14ac:dyDescent="0.35">
      <c r="A17" s="379" t="s">
        <v>184</v>
      </c>
      <c r="G17" s="54" t="s">
        <v>152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Y17" s="54" t="s">
        <v>152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</row>
    <row r="18" spans="1:50" x14ac:dyDescent="0.35">
      <c r="A18" s="379" t="s">
        <v>161</v>
      </c>
      <c r="F18" s="24"/>
      <c r="G18" s="424">
        <v>1</v>
      </c>
      <c r="H18" s="424">
        <v>2</v>
      </c>
      <c r="I18" s="426">
        <v>3</v>
      </c>
      <c r="J18" s="426">
        <v>4</v>
      </c>
      <c r="K18" s="426">
        <v>5</v>
      </c>
      <c r="L18" s="426">
        <v>6</v>
      </c>
      <c r="M18" s="426">
        <v>7</v>
      </c>
      <c r="N18" s="426">
        <v>8</v>
      </c>
      <c r="O18" s="426">
        <v>9</v>
      </c>
      <c r="P18" s="426">
        <v>10</v>
      </c>
      <c r="Q18" s="426">
        <v>11</v>
      </c>
      <c r="R18" s="426">
        <v>12</v>
      </c>
      <c r="S18" s="426">
        <v>13</v>
      </c>
      <c r="T18" s="426">
        <v>14</v>
      </c>
      <c r="U18" s="426">
        <v>15</v>
      </c>
      <c r="V18" s="426">
        <v>16</v>
      </c>
      <c r="W18" s="426">
        <v>17</v>
      </c>
      <c r="X18" s="425"/>
      <c r="Y18" s="426">
        <v>1</v>
      </c>
      <c r="Z18" s="426">
        <v>2</v>
      </c>
      <c r="AA18" s="426">
        <v>3</v>
      </c>
      <c r="AB18" s="426">
        <v>4</v>
      </c>
      <c r="AC18" s="426">
        <v>5</v>
      </c>
      <c r="AD18" s="426">
        <v>6</v>
      </c>
      <c r="AE18" s="426">
        <v>7</v>
      </c>
      <c r="AF18" s="426">
        <v>8</v>
      </c>
      <c r="AG18" s="426">
        <v>9</v>
      </c>
      <c r="AH18" s="426">
        <v>10</v>
      </c>
      <c r="AI18" s="426">
        <v>11</v>
      </c>
      <c r="AJ18" s="426">
        <v>12</v>
      </c>
      <c r="AK18" s="426">
        <v>13</v>
      </c>
      <c r="AL18" s="426">
        <v>14</v>
      </c>
      <c r="AM18" s="426">
        <v>15</v>
      </c>
      <c r="AN18" s="426">
        <v>16</v>
      </c>
      <c r="AO18" s="426">
        <v>17</v>
      </c>
    </row>
    <row r="19" spans="1:50" x14ac:dyDescent="0.35">
      <c r="E19" s="55" t="s">
        <v>15</v>
      </c>
      <c r="F19" s="61">
        <v>27</v>
      </c>
      <c r="G19" s="58"/>
      <c r="H19" s="58"/>
      <c r="I19" s="58"/>
      <c r="J19" s="58"/>
      <c r="K19" s="58"/>
      <c r="L19" s="58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24"/>
      <c r="Y19" s="58"/>
      <c r="Z19" s="58"/>
      <c r="AA19" s="58"/>
      <c r="AB19" s="58"/>
      <c r="AC19" s="58"/>
      <c r="AD19" s="58"/>
      <c r="AE19" s="58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61">
        <v>27</v>
      </c>
      <c r="AQ19" s="56" t="s">
        <v>15</v>
      </c>
      <c r="AR19" s="57"/>
      <c r="AS19" s="57"/>
      <c r="AT19" s="57"/>
      <c r="AU19" s="57"/>
      <c r="AV19" s="57"/>
      <c r="AW19" s="57"/>
      <c r="AX19" s="57"/>
    </row>
    <row r="20" spans="1:50" x14ac:dyDescent="0.35">
      <c r="F20" s="61">
        <v>26</v>
      </c>
      <c r="G20" s="58"/>
      <c r="H20" s="58"/>
      <c r="I20" s="58"/>
      <c r="J20" s="58"/>
      <c r="K20" s="58"/>
      <c r="L20" s="58"/>
      <c r="M20" s="58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Y20" s="58"/>
      <c r="Z20" s="58"/>
      <c r="AA20" s="58"/>
      <c r="AB20" s="58"/>
      <c r="AC20" s="58"/>
      <c r="AD20" s="58"/>
      <c r="AE20" s="58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61">
        <v>26</v>
      </c>
      <c r="AQ20" s="57"/>
      <c r="AR20" s="57"/>
      <c r="AS20" s="57"/>
      <c r="AT20" s="57"/>
      <c r="AU20" s="57"/>
      <c r="AV20" s="57"/>
      <c r="AW20" s="57"/>
      <c r="AX20" s="57"/>
    </row>
    <row r="21" spans="1:50" ht="15" thickBot="1" x14ac:dyDescent="0.4">
      <c r="F21" s="61">
        <v>25</v>
      </c>
      <c r="G21" s="58"/>
      <c r="H21" s="58"/>
      <c r="I21" s="58"/>
      <c r="J21" s="58"/>
      <c r="K21" s="58"/>
      <c r="L21" s="58"/>
      <c r="M21" s="58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24"/>
      <c r="Y21" s="58"/>
      <c r="Z21" s="58"/>
      <c r="AA21" s="58"/>
      <c r="AB21" s="58"/>
      <c r="AC21" s="58"/>
      <c r="AD21" s="58"/>
      <c r="AE21" s="58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61">
        <v>25</v>
      </c>
      <c r="AQ21" s="57"/>
      <c r="AR21" s="57"/>
      <c r="AS21" s="57"/>
      <c r="AT21" s="57"/>
      <c r="AU21" s="57"/>
      <c r="AV21" s="57"/>
      <c r="AW21" s="57"/>
      <c r="AX21" s="57"/>
    </row>
    <row r="22" spans="1:50" ht="15.5" x14ac:dyDescent="0.35">
      <c r="A22" s="347" t="s">
        <v>133</v>
      </c>
      <c r="B22" s="348"/>
      <c r="C22" s="348"/>
      <c r="D22" s="349"/>
      <c r="F22" s="382">
        <v>24</v>
      </c>
      <c r="G22" s="432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24"/>
      <c r="Y22" s="432"/>
      <c r="Z22" s="383"/>
      <c r="AA22" s="383"/>
      <c r="AB22" s="383"/>
      <c r="AC22" s="383"/>
      <c r="AD22" s="383"/>
      <c r="AE22" s="383"/>
      <c r="AF22" s="383"/>
      <c r="AG22" s="516"/>
      <c r="AH22" s="516"/>
      <c r="AI22" s="516"/>
      <c r="AJ22" s="516"/>
      <c r="AK22" s="516"/>
      <c r="AL22" s="516"/>
      <c r="AM22" s="516"/>
      <c r="AN22" s="516"/>
      <c r="AO22" s="516"/>
      <c r="AP22" s="434">
        <v>24</v>
      </c>
      <c r="AQ22" s="57"/>
      <c r="AR22" s="57"/>
      <c r="AS22" s="57"/>
      <c r="AT22" s="57"/>
      <c r="AU22" s="57"/>
      <c r="AV22" s="57"/>
      <c r="AW22" s="57"/>
      <c r="AX22" s="57"/>
    </row>
    <row r="23" spans="1:50" x14ac:dyDescent="0.35">
      <c r="A23" s="350" t="s">
        <v>128</v>
      </c>
      <c r="B23" s="351" t="s">
        <v>129</v>
      </c>
      <c r="C23" s="351" t="s">
        <v>117</v>
      </c>
      <c r="D23" s="352" t="s">
        <v>11</v>
      </c>
      <c r="F23" s="59">
        <v>23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24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>
        <v>23</v>
      </c>
      <c r="AQ23" s="57"/>
      <c r="AR23" s="57"/>
      <c r="AS23" s="57"/>
      <c r="AT23" s="57"/>
      <c r="AU23" s="57"/>
      <c r="AV23" s="57"/>
      <c r="AW23" s="57"/>
      <c r="AX23" s="57"/>
    </row>
    <row r="24" spans="1:50" x14ac:dyDescent="0.35">
      <c r="A24" s="353">
        <v>9.7345132743362831E-2</v>
      </c>
      <c r="B24" s="354">
        <v>0.13412062420919443</v>
      </c>
      <c r="C24" s="355">
        <f>B24-A24</f>
        <v>3.6775491465831603E-2</v>
      </c>
      <c r="D24" s="356">
        <f>1/C24</f>
        <v>27.19202273419263</v>
      </c>
      <c r="F24" s="59">
        <v>22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24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>
        <v>22</v>
      </c>
      <c r="AQ24" s="57"/>
      <c r="AR24" s="57"/>
      <c r="AS24" s="57"/>
      <c r="AT24" s="57"/>
      <c r="AU24" s="57"/>
      <c r="AV24" s="57"/>
      <c r="AW24" s="57"/>
      <c r="AX24" s="57"/>
    </row>
    <row r="25" spans="1:50" ht="15" thickBot="1" x14ac:dyDescent="0.4">
      <c r="A25" s="357" t="s">
        <v>130</v>
      </c>
      <c r="B25" s="399">
        <f>A24*D24</f>
        <v>2.6470110626205217</v>
      </c>
      <c r="C25" s="358">
        <f>C24*D24</f>
        <v>1</v>
      </c>
      <c r="D25" s="398">
        <f>(1-B24)*D24</f>
        <v>23.545011671572109</v>
      </c>
      <c r="F25" s="59">
        <v>21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24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>
        <v>21</v>
      </c>
      <c r="AQ25" s="57"/>
      <c r="AR25" s="57"/>
      <c r="AS25" s="57"/>
      <c r="AT25" s="57"/>
      <c r="AU25" s="57"/>
      <c r="AV25" s="57"/>
      <c r="AW25" s="57"/>
      <c r="AX25" s="57"/>
    </row>
    <row r="26" spans="1:50" x14ac:dyDescent="0.35">
      <c r="F26" s="59">
        <v>20</v>
      </c>
      <c r="G26" s="433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60"/>
      <c r="Y26" s="433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>
        <v>20</v>
      </c>
      <c r="AQ26" s="57"/>
      <c r="AR26" s="57"/>
      <c r="AS26" s="57"/>
      <c r="AT26" s="57"/>
      <c r="AU26" s="57"/>
      <c r="AV26" s="57"/>
      <c r="AW26" s="57"/>
      <c r="AX26" s="57"/>
    </row>
    <row r="27" spans="1:50" x14ac:dyDescent="0.35">
      <c r="F27" s="59">
        <v>19</v>
      </c>
      <c r="G27" s="433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60"/>
      <c r="Y27" s="433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9">
        <v>19</v>
      </c>
      <c r="AQ27" s="57"/>
      <c r="AR27" s="57"/>
      <c r="AS27" s="57"/>
      <c r="AT27" s="57"/>
      <c r="AU27" s="57"/>
      <c r="AV27" s="57"/>
      <c r="AW27" s="57"/>
      <c r="AX27" s="57"/>
    </row>
    <row r="28" spans="1:50" x14ac:dyDescent="0.35">
      <c r="F28" s="59">
        <v>18</v>
      </c>
      <c r="G28" s="433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Y28" s="433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9">
        <v>18</v>
      </c>
    </row>
    <row r="29" spans="1:50" x14ac:dyDescent="0.35">
      <c r="F29" s="59">
        <v>17</v>
      </c>
      <c r="G29" s="43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Y29" s="433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>
        <v>17</v>
      </c>
    </row>
    <row r="30" spans="1:50" x14ac:dyDescent="0.35">
      <c r="F30" s="59">
        <v>16</v>
      </c>
      <c r="G30" s="433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Y30" s="433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9">
        <v>16</v>
      </c>
    </row>
    <row r="31" spans="1:50" x14ac:dyDescent="0.35">
      <c r="F31" s="59">
        <v>15</v>
      </c>
      <c r="G31" s="433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Y31" s="433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9">
        <v>15</v>
      </c>
    </row>
    <row r="32" spans="1:50" x14ac:dyDescent="0.35">
      <c r="F32" s="59">
        <v>14</v>
      </c>
      <c r="G32" s="433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Y32" s="433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>
        <v>14</v>
      </c>
    </row>
    <row r="33" spans="6:42" x14ac:dyDescent="0.35">
      <c r="F33" s="59">
        <v>13</v>
      </c>
      <c r="G33" s="433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Y33" s="433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>
        <v>13</v>
      </c>
    </row>
    <row r="34" spans="6:42" x14ac:dyDescent="0.35">
      <c r="F34" s="59">
        <v>12</v>
      </c>
      <c r="G34" s="433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Y34" s="433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>
        <v>12</v>
      </c>
    </row>
    <row r="35" spans="6:42" x14ac:dyDescent="0.35">
      <c r="F35" s="59">
        <v>11</v>
      </c>
      <c r="G35" s="433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Y35" s="43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9">
        <v>11</v>
      </c>
    </row>
    <row r="36" spans="6:42" x14ac:dyDescent="0.35">
      <c r="F36" s="59">
        <v>10</v>
      </c>
      <c r="G36" s="433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Y36" s="433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9">
        <v>10</v>
      </c>
    </row>
    <row r="37" spans="6:42" x14ac:dyDescent="0.35">
      <c r="F37" s="59">
        <v>9</v>
      </c>
      <c r="G37" s="433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Y37" s="433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9">
        <v>9</v>
      </c>
    </row>
    <row r="38" spans="6:42" x14ac:dyDescent="0.35">
      <c r="F38" s="59">
        <v>8</v>
      </c>
      <c r="G38" s="433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Y38" s="433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>
        <v>8</v>
      </c>
    </row>
    <row r="39" spans="6:42" x14ac:dyDescent="0.35">
      <c r="F39" s="59">
        <v>7</v>
      </c>
      <c r="G39" s="433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Y39" s="433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>
        <v>7</v>
      </c>
    </row>
    <row r="40" spans="6:42" x14ac:dyDescent="0.35">
      <c r="F40" s="59">
        <v>6</v>
      </c>
      <c r="G40" s="433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Y40" s="433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9">
        <v>6</v>
      </c>
    </row>
    <row r="41" spans="6:42" x14ac:dyDescent="0.35">
      <c r="F41" s="59">
        <v>5</v>
      </c>
      <c r="G41" s="433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Y41" s="433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>
        <v>5</v>
      </c>
    </row>
    <row r="42" spans="6:42" x14ac:dyDescent="0.35">
      <c r="F42" s="59">
        <v>4</v>
      </c>
      <c r="G42" s="433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Y42" s="433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>
        <v>4</v>
      </c>
    </row>
    <row r="43" spans="6:42" x14ac:dyDescent="0.35">
      <c r="F43" s="59">
        <v>3</v>
      </c>
      <c r="G43" s="43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Y43" s="433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>
        <v>3</v>
      </c>
    </row>
    <row r="44" spans="6:42" x14ac:dyDescent="0.35">
      <c r="F44" s="59">
        <v>2</v>
      </c>
      <c r="G44" s="43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Y44" s="433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9">
        <v>2</v>
      </c>
    </row>
    <row r="45" spans="6:42" x14ac:dyDescent="0.35">
      <c r="F45" s="59">
        <v>1</v>
      </c>
      <c r="G45" s="433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Y45" s="433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9">
        <v>1</v>
      </c>
    </row>
    <row r="46" spans="6:42" x14ac:dyDescent="0.35">
      <c r="G46" s="424">
        <v>1</v>
      </c>
      <c r="H46" s="424">
        <v>2</v>
      </c>
      <c r="I46" s="426">
        <v>3</v>
      </c>
      <c r="J46" s="426">
        <v>4</v>
      </c>
      <c r="K46" s="426">
        <v>5</v>
      </c>
      <c r="L46" s="426">
        <v>6</v>
      </c>
      <c r="M46" s="426">
        <v>7</v>
      </c>
      <c r="N46" s="426">
        <v>8</v>
      </c>
      <c r="O46" s="426">
        <v>9</v>
      </c>
      <c r="P46" s="426">
        <v>10</v>
      </c>
      <c r="Q46" s="426"/>
      <c r="R46" s="426"/>
      <c r="S46" s="426">
        <v>11</v>
      </c>
      <c r="T46" s="426">
        <v>12</v>
      </c>
      <c r="U46" s="426">
        <v>13</v>
      </c>
      <c r="V46" s="426">
        <v>14</v>
      </c>
      <c r="W46" s="426">
        <v>15</v>
      </c>
      <c r="X46" s="425"/>
      <c r="Y46" s="431">
        <v>1</v>
      </c>
      <c r="Z46" s="426">
        <v>2</v>
      </c>
      <c r="AA46" s="426">
        <v>3</v>
      </c>
      <c r="AB46" s="426">
        <v>4</v>
      </c>
      <c r="AC46" s="426">
        <v>5</v>
      </c>
      <c r="AD46" s="426">
        <v>6</v>
      </c>
      <c r="AE46" s="426">
        <v>7</v>
      </c>
      <c r="AF46" s="426">
        <v>8</v>
      </c>
      <c r="AG46" s="426"/>
      <c r="AH46" s="426"/>
      <c r="AI46" s="426">
        <v>9</v>
      </c>
      <c r="AJ46" s="426">
        <v>10</v>
      </c>
      <c r="AK46" s="426">
        <v>11</v>
      </c>
      <c r="AL46" s="426">
        <v>12</v>
      </c>
      <c r="AM46" s="426">
        <v>13</v>
      </c>
      <c r="AN46" s="426">
        <v>14</v>
      </c>
      <c r="AO46" s="426">
        <v>15</v>
      </c>
    </row>
    <row r="47" spans="6:42" x14ac:dyDescent="0.35">
      <c r="F47" s="24"/>
      <c r="G47" s="54" t="s">
        <v>152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Y47" s="54" t="s">
        <v>152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6:42" x14ac:dyDescent="0.35">
      <c r="G48" s="54" t="s">
        <v>185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3"/>
      <c r="X48" s="53"/>
      <c r="Y48" s="54" t="s">
        <v>14</v>
      </c>
      <c r="Z48" s="54"/>
    </row>
    <row r="49" spans="26:26" x14ac:dyDescent="0.35">
      <c r="Z49" s="54"/>
    </row>
  </sheetData>
  <mergeCells count="5">
    <mergeCell ref="A4:AP4"/>
    <mergeCell ref="D8:D9"/>
    <mergeCell ref="C9:C10"/>
    <mergeCell ref="A14:B14"/>
    <mergeCell ref="F14: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IncAcum</vt:lpstr>
      <vt:lpstr>Gráf PtSLEv1 x Rg1</vt:lpstr>
      <vt:lpstr>Gráf PtSLEv2 x Rg1</vt:lpstr>
      <vt:lpstr>Gráf PtSLEv3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2021-10-01T12:29:07Z</dcterms:modified>
</cp:coreProperties>
</file>