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PARAGON-HF\"/>
    </mc:Choice>
  </mc:AlternateContent>
  <xr:revisionPtr revIDLastSave="0" documentId="13_ncr:1_{49F60283-4068-4522-8BFF-4F4FBB781961}" xr6:coauthVersionLast="47" xr6:coauthVersionMax="47" xr10:uidLastSave="{00000000-0000-0000-0000-000000000000}"/>
  <bookViews>
    <workbookView xWindow="-120" yWindow="-120" windowWidth="20730" windowHeight="11160" tabRatio="642" xr2:uid="{00000000-000D-0000-FFFF-FFFF00000000}"/>
  </bookViews>
  <sheets>
    <sheet name="IncAcum" sheetId="6" r:id="rId1"/>
    <sheet name="Gráf1 PtSLEv 3x3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6" l="1"/>
  <c r="H8" i="6" s="1"/>
  <c r="N8" i="6" s="1"/>
  <c r="F7" i="6"/>
  <c r="H7" i="6" s="1"/>
  <c r="N7" i="6" l="1"/>
  <c r="C23" i="8" l="1"/>
  <c r="D13" i="8"/>
  <c r="C13" i="8"/>
  <c r="E2" i="8"/>
  <c r="G2" i="8" s="1"/>
  <c r="A1" i="8"/>
  <c r="F14" i="8" l="1"/>
  <c r="D7" i="8"/>
  <c r="D10" i="8"/>
  <c r="D14" i="8" s="1"/>
  <c r="C7" i="8"/>
  <c r="C8" i="8"/>
  <c r="D23" i="8"/>
  <c r="D8" i="8"/>
  <c r="C9" i="8"/>
  <c r="C14" i="8" s="1"/>
  <c r="D11" i="8" l="1"/>
  <c r="B24" i="8"/>
  <c r="D24" i="8"/>
  <c r="C24" i="8"/>
  <c r="C11" i="8"/>
  <c r="R5" i="6" l="1"/>
  <c r="U62" i="6" l="1"/>
  <c r="O14" i="6"/>
  <c r="S14" i="6"/>
  <c r="N14" i="6"/>
  <c r="R14" i="6" l="1"/>
  <c r="Q14" i="6"/>
  <c r="P14" i="6" l="1"/>
  <c r="R7" i="6"/>
  <c r="U7" i="6" s="1"/>
  <c r="S62" i="6"/>
  <c r="R6" i="6"/>
  <c r="U6" i="6" s="1"/>
  <c r="R62" i="6"/>
  <c r="Q62" i="6" l="1"/>
  <c r="T62" i="6" s="1"/>
  <c r="R8" i="6"/>
  <c r="U8" i="6" s="1"/>
  <c r="U9" i="6" s="1"/>
  <c r="C56" i="6"/>
  <c r="A53" i="6"/>
  <c r="F61" i="6" s="1"/>
  <c r="D41" i="6"/>
  <c r="D40" i="6"/>
  <c r="H23" i="6"/>
  <c r="H22" i="6"/>
  <c r="B22" i="6"/>
  <c r="A22" i="6"/>
  <c r="H21" i="6"/>
  <c r="B21" i="6"/>
  <c r="F14" i="6"/>
  <c r="D54" i="6" s="1"/>
  <c r="C14" i="6"/>
  <c r="E9" i="6"/>
  <c r="H9" i="6" s="1"/>
  <c r="N9" i="6" s="1"/>
  <c r="C9" i="6"/>
  <c r="F9" i="6" s="1"/>
  <c r="D8" i="6"/>
  <c r="B23" i="6" l="1"/>
  <c r="F23" i="6" s="1"/>
  <c r="R9" i="6"/>
  <c r="S8" i="6" s="1"/>
  <c r="D22" i="6"/>
  <c r="D42" i="6"/>
  <c r="M21" i="6"/>
  <c r="B41" i="6"/>
  <c r="B46" i="6" s="1"/>
  <c r="F21" i="6"/>
  <c r="F22" i="6"/>
  <c r="C22" i="6"/>
  <c r="I22" i="6" s="1"/>
  <c r="J56" i="6" s="1"/>
  <c r="C58" i="6" s="1"/>
  <c r="C62" i="6" s="1"/>
  <c r="D7" i="6"/>
  <c r="A21" i="6"/>
  <c r="A23" i="6"/>
  <c r="B56" i="6"/>
  <c r="D61" i="6"/>
  <c r="A14" i="6"/>
  <c r="J14" i="6"/>
  <c r="E61" i="6"/>
  <c r="B40" i="6"/>
  <c r="S7" i="6" l="1"/>
  <c r="S6" i="6"/>
  <c r="E22" i="6"/>
  <c r="K22" i="6" s="1"/>
  <c r="L56" i="6" s="1"/>
  <c r="B42" i="6"/>
  <c r="D21" i="6"/>
  <c r="M23" i="6"/>
  <c r="C21" i="6"/>
  <c r="E21" i="6" s="1"/>
  <c r="D9" i="6"/>
  <c r="B14" i="6"/>
  <c r="E14" i="6" s="1"/>
  <c r="H14" i="6" s="1"/>
  <c r="B45" i="6"/>
  <c r="D23" i="6"/>
  <c r="C23" i="6"/>
  <c r="E23" i="6" s="1"/>
  <c r="J22" i="6" l="1"/>
  <c r="K56" i="6" s="1"/>
  <c r="M56" i="6" s="1"/>
  <c r="D14" i="6"/>
  <c r="G14" i="6" s="1"/>
  <c r="D55" i="6" s="1"/>
  <c r="L14" i="6"/>
  <c r="D56" i="6"/>
  <c r="P28" i="6"/>
  <c r="I23" i="6"/>
  <c r="J57" i="6" s="1"/>
  <c r="V22" i="6"/>
  <c r="V21" i="6"/>
  <c r="I21" i="6"/>
  <c r="J55" i="6" s="1"/>
  <c r="I26" i="6"/>
  <c r="K23" i="6"/>
  <c r="L57" i="6" s="1"/>
  <c r="J23" i="6"/>
  <c r="K57" i="6" s="1"/>
  <c r="C41" i="6"/>
  <c r="C46" i="6" s="1"/>
  <c r="C40" i="6"/>
  <c r="K21" i="6"/>
  <c r="L55" i="6" s="1"/>
  <c r="J21" i="6"/>
  <c r="K55" i="6" s="1"/>
  <c r="K14" i="6" l="1"/>
  <c r="D58" i="6"/>
  <c r="D62" i="6" s="1"/>
  <c r="C42" i="6"/>
  <c r="C45" i="6"/>
  <c r="B48" i="6" s="1"/>
  <c r="J41" i="6"/>
  <c r="H40" i="6" s="1"/>
  <c r="E54" i="6"/>
  <c r="M31" i="6"/>
  <c r="M32" i="6" s="1"/>
  <c r="J26" i="6"/>
  <c r="K26" i="6"/>
  <c r="M22" i="6"/>
  <c r="M24" i="6" s="1"/>
  <c r="M25" i="6" s="1"/>
  <c r="M26" i="6" s="1"/>
  <c r="I27" i="6"/>
  <c r="I35" i="6" s="1"/>
  <c r="M57" i="6"/>
  <c r="M55" i="6"/>
  <c r="B58" i="6"/>
  <c r="B62" i="6" s="1"/>
  <c r="V23" i="6"/>
  <c r="V24" i="6" s="1"/>
  <c r="V25" i="6" s="1"/>
  <c r="I32" i="6" l="1"/>
  <c r="S3" i="6" s="1"/>
  <c r="E55" i="6"/>
  <c r="K27" i="6"/>
  <c r="J35" i="6" s="1"/>
  <c r="L62" i="6"/>
  <c r="O62" i="6" s="1"/>
  <c r="E56" i="6"/>
  <c r="K62" i="6"/>
  <c r="N62" i="6" s="1"/>
  <c r="J27" i="6"/>
  <c r="K35" i="6" s="1"/>
  <c r="F46" i="6"/>
  <c r="B49" i="6"/>
  <c r="I62" i="6" s="1"/>
  <c r="I34" i="6"/>
  <c r="I36" i="6"/>
  <c r="I31" i="6"/>
  <c r="T3" i="6" s="1"/>
  <c r="F54" i="6"/>
  <c r="I29" i="6"/>
  <c r="I37" i="6"/>
  <c r="I30" i="6"/>
  <c r="U3" i="6" s="1"/>
  <c r="G56" i="6"/>
  <c r="G58" i="6" s="1"/>
  <c r="G62" i="6" s="1"/>
  <c r="M33" i="6"/>
  <c r="R3" i="6" l="1"/>
  <c r="J32" i="6"/>
  <c r="E58" i="6"/>
  <c r="E62" i="6" s="1"/>
  <c r="F55" i="6"/>
  <c r="J36" i="6"/>
  <c r="K29" i="6"/>
  <c r="J34" i="6"/>
  <c r="K31" i="6"/>
  <c r="K30" i="6"/>
  <c r="J37" i="6"/>
  <c r="K36" i="6"/>
  <c r="J31" i="6"/>
  <c r="K34" i="6"/>
  <c r="J29" i="6"/>
  <c r="F56" i="6"/>
  <c r="J30" i="6"/>
  <c r="K37" i="6"/>
  <c r="K32" i="6"/>
  <c r="F58" i="6" l="1"/>
  <c r="F62" i="6" s="1"/>
</calcChain>
</file>

<file path=xl/sharedStrings.xml><?xml version="1.0" encoding="utf-8"?>
<sst xmlns="http://schemas.openxmlformats.org/spreadsheetml/2006/main" count="319" uniqueCount="259">
  <si>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</si>
  <si>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</si>
  <si>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</si>
  <si>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</si>
  <si>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</si>
  <si>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</si>
  <si>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</si>
  <si>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</si>
  <si>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</si>
  <si>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</si>
  <si>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</si>
  <si>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</si>
  <si>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</si>
  <si>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</si>
  <si>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IC</t>
  </si>
  <si>
    <t xml:space="preserve"> </t>
  </si>
  <si>
    <t>Enferman</t>
  </si>
  <si>
    <t>No enferman</t>
  </si>
  <si>
    <t>Con eventos</t>
  </si>
  <si>
    <t>Sin eventos</t>
  </si>
  <si>
    <t>Total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</si>
  <si>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</si>
  <si>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</si>
  <si>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</si>
  <si>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</si>
  <si>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</si>
  <si>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</si>
  <si>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</si>
  <si>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</si>
  <si>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</si>
  <si>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</si>
  <si>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</si>
  <si>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</si>
  <si>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</si>
  <si>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</si>
  <si>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</si>
  <si>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</si>
  <si>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</si>
  <si>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</si>
  <si>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</si>
  <si>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</si>
  <si>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</si>
  <si>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</si>
  <si>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</si>
  <si>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</si>
  <si>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</si>
  <si>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</si>
  <si>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</si>
  <si>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</si>
  <si>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</si>
  <si>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</si>
  <si>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</si>
  <si>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</si>
  <si>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</si>
  <si>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</si>
  <si>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</si>
  <si>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</si>
  <si>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</si>
  <si>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</si>
  <si>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</si>
  <si>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</si>
  <si>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</si>
  <si>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</si>
  <si>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</si>
  <si>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</si>
  <si>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</si>
  <si>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</si>
  <si>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</si>
  <si>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</si>
  <si>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</si>
  <si>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</si>
  <si>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</si>
  <si>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</si>
  <si>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</si>
  <si>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</si>
  <si>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</si>
  <si>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</si>
  <si>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</si>
  <si>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</si>
  <si>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</si>
  <si>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</si>
  <si>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</si>
  <si>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</si>
  <si>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</si>
  <si>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</si>
  <si>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</si>
  <si>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</si>
  <si>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</si>
  <si>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</si>
  <si>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</si>
  <si>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</si>
  <si>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</si>
  <si>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</si>
  <si>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</si>
  <si>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</si>
  <si>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</si>
  <si>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</si>
  <si>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</si>
  <si>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</si>
  <si>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</si>
  <si>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</si>
  <si>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</si>
  <si>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</si>
  <si>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</si>
  <si>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</si>
  <si>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</si>
  <si>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</si>
  <si>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</si>
  <si>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</si>
  <si>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</si>
  <si>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</si>
  <si>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</si>
  <si>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</si>
  <si>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</si>
  <si>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</si>
  <si>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</si>
  <si>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</si>
  <si>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</si>
  <si>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</si>
  <si>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</si>
  <si>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</si>
  <si>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</si>
  <si>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</si>
  <si>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</si>
  <si>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</si>
  <si>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</si>
  <si>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</si>
  <si>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</si>
  <si>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</si>
  <si>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t>destinos NNT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</si>
  <si>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</si>
  <si>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</si>
  <si>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</si>
  <si>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</si>
  <si>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</si>
  <si>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</si>
  <si>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</si>
  <si>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RAR (IC 95%)</t>
  </si>
  <si>
    <t>NNT (IC 95%)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</si>
  <si>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</si>
  <si>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</si>
  <si>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</si>
  <si>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</si>
  <si>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</si>
  <si>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% Interv (Fact Box)</t>
  </si>
  <si>
    <t>años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</si>
  <si>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</si>
  <si>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</si>
  <si>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</si>
  <si>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</si>
  <si>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Hospitalización por insuficiencia cardíaca</t>
  </si>
  <si>
    <t>Nº eventos crudos (%)</t>
  </si>
  <si>
    <t>Creatinina sérica ≥ 2,5 mg/dl</t>
  </si>
  <si>
    <t>Creatinina sérica ≥ 3 mg/dl</t>
  </si>
  <si>
    <t>Angioedema</t>
  </si>
  <si>
    <t>Hoja información al usuario que no se maneja con los IC</t>
  </si>
  <si>
    <t>Medidas del efecto en 27 meses, calculadas por incidencias acumuladas</t>
  </si>
  <si>
    <r>
      <t>% de pacientes con evento en</t>
    </r>
    <r>
      <rPr>
        <b/>
        <sz val="10"/>
        <rFont val="Calibri"/>
        <family val="2"/>
      </rPr>
      <t xml:space="preserve"> 27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</si>
  <si>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sz val="10"/>
        <rFont val="Calibri"/>
        <family val="2"/>
      </rPr>
      <t>para la diferencia</t>
    </r>
  </si>
  <si>
    <t>Sacubitril-Valsartán</t>
  </si>
  <si>
    <t>Enalapril</t>
  </si>
  <si>
    <t>Solomon SD, McMurray JJV, Anand IS, Ge J, Lam CSP, on behalf ot the PARAGON-HF Investigators and Committees.  Angiotensin-Neprilysin Inhibition in Heart Failure with Preserved Ejection Fraction. N Engl J Med. 2019 Oct 24;381(17):1609-162</t>
  </si>
  <si>
    <t>por año</t>
  </si>
  <si>
    <t>nº años</t>
  </si>
  <si>
    <t>nº meses</t>
  </si>
  <si>
    <t>Los 3 destinos del NNT (3dNNT)</t>
  </si>
  <si>
    <t>Los 3 tiempos biográficos (3tB)</t>
  </si>
  <si>
    <t>Valsartan-sacubitril, n= 2.407</t>
  </si>
  <si>
    <t>Valsartan, n= 2.389</t>
  </si>
  <si>
    <t>Variables experienciales</t>
  </si>
  <si>
    <t>Variables no experienciales</t>
  </si>
  <si>
    <t>ECA PARAGON-HF; media de seguimiento 34,8 meses</t>
  </si>
  <si>
    <t>204/2407 (8,48%)</t>
  </si>
  <si>
    <t>212/2389 (8,87%)</t>
  </si>
  <si>
    <t>0,96 (0,79-1,15)</t>
  </si>
  <si>
    <t>0,4% (-1,2% a 2%)</t>
  </si>
  <si>
    <t>251 (50 a -83)</t>
  </si>
  <si>
    <t>Mortalidad por causa CV</t>
  </si>
  <si>
    <t>Primeros y recurrentes eventos de [Mort CV u Hosp InsCard], Cohorte completa</t>
  </si>
  <si>
    <t>526/2407 (21,85%)</t>
  </si>
  <si>
    <t>557/2389 (23,32%)</t>
  </si>
  <si>
    <t>0,94 (0,84-1,04)</t>
  </si>
  <si>
    <t>1,46% (-0,9% a 3,83%)</t>
  </si>
  <si>
    <t>68 (26 a -111)</t>
  </si>
  <si>
    <t>322/2407 (13,38%)</t>
  </si>
  <si>
    <t>345/2389 (14,44%)</t>
  </si>
  <si>
    <t>0,93 (0,8-1,07)</t>
  </si>
  <si>
    <t>1,06% (-0,9% a 3,02%)</t>
  </si>
  <si>
    <t>94 (33 a -111)</t>
  </si>
  <si>
    <t>Nº de pacientes con un primer evento de Hospitalización Insuf Cardíaca</t>
  </si>
  <si>
    <t>Primeros y recurrentes eventos de Hospitalización Insuf Cardiaca</t>
  </si>
  <si>
    <t>Valsartán</t>
  </si>
  <si>
    <t>Mortalidad por cualquier causa</t>
  </si>
  <si>
    <t>342/2407 (14,21%)</t>
  </si>
  <si>
    <t>349/2389 (14,61%)</t>
  </si>
  <si>
    <t>0,97 (0,85-1,12)</t>
  </si>
  <si>
    <t>0,4% (-1,59% a 2,39%)</t>
  </si>
  <si>
    <t>250 (42 a -63)</t>
  </si>
  <si>
    <t>Valsartán-Sacubitril</t>
  </si>
  <si>
    <r>
      <rPr>
        <b/>
        <sz val="14"/>
        <color rgb="FF993300"/>
        <rFont val="Calibri"/>
        <family val="2"/>
        <scheme val="minor"/>
      </rPr>
      <t xml:space="preserve">Gráfico g-1: </t>
    </r>
    <r>
      <rPr>
        <b/>
        <sz val="14"/>
        <color theme="1"/>
        <rFont val="Calibri"/>
        <family val="2"/>
        <scheme val="minor"/>
      </rPr>
      <t>Cruce de "Los 3 tiempos biográficos (3tB)” con "Los 3 destinos del NNT (3dNNT)” en "…..............................", durante un seguimiento de …....... meses.</t>
    </r>
  </si>
  <si>
    <t>Hipotensión sintomática con PAS &lt; 100 mmHg</t>
  </si>
  <si>
    <t>ECA PARAGON-HF</t>
  </si>
  <si>
    <t>1,47 (1,27-1,7)</t>
  </si>
  <si>
    <t>-5,03% (-6,95% a -3,11%)</t>
  </si>
  <si>
    <t>-20 (-32 a -14)</t>
  </si>
  <si>
    <r>
      <t xml:space="preserve">Nº eventos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</si>
  <si>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Creatinina sérica ≥ 2 mg/dl</t>
  </si>
  <si>
    <t>0,79 (0,68-0,92)</t>
  </si>
  <si>
    <t>2,89% (1,03% a 4,74%)</t>
  </si>
  <si>
    <t>35 (21 a 98)</t>
  </si>
  <si>
    <t>86,1%</t>
  </si>
  <si>
    <t>0,88 (0,68-1,15)</t>
  </si>
  <si>
    <t>0,53% (-0,63% a 1,69%)</t>
  </si>
  <si>
    <t>188 (59 a -160)</t>
  </si>
  <si>
    <t>14,68%</t>
  </si>
  <si>
    <t>0,94 (0,61-1,46)</t>
  </si>
  <si>
    <t>0,1% (-0,64% a 0,83%)</t>
  </si>
  <si>
    <t>1046 (121 a -157)</t>
  </si>
  <si>
    <t>4,47%</t>
  </si>
  <si>
    <t>0,87 (0,76-1)</t>
  </si>
  <si>
    <t>1,98% (0,01% a 3,95%)</t>
  </si>
  <si>
    <t>50 (25 a 10296)</t>
  </si>
  <si>
    <t>50,46%</t>
  </si>
  <si>
    <t>3,47 (1,15-10,54)</t>
  </si>
  <si>
    <t>-0,41% (-0,77% a -0,01%)</t>
  </si>
  <si>
    <t>-241 (-11431 a -131)</t>
  </si>
  <si>
    <t>0,84 (0,68-1,04)</t>
  </si>
  <si>
    <t>1,18% (-0,26% a 2,61%)</t>
  </si>
  <si>
    <t>85 (38 a -382)</t>
  </si>
  <si>
    <t>0,74 (0,55-0,99)</t>
  </si>
  <si>
    <t>1,11% (0,03% a 2,18%)</t>
  </si>
  <si>
    <t>90 (46 a 3208)</t>
  </si>
  <si>
    <t>EA relacionados con el hígado</t>
  </si>
  <si>
    <t>380 (15,79%)</t>
  </si>
  <si>
    <t>261 (10,84%)</t>
  </si>
  <si>
    <t>97 (4,03%)</t>
  </si>
  <si>
    <t>38 (1,58%)</t>
  </si>
  <si>
    <t>316 (13,13%)</t>
  </si>
  <si>
    <t>75 (3,12%)</t>
  </si>
  <si>
    <t>14 (0,58%)</t>
  </si>
  <si>
    <t>151 (6,27%)</t>
  </si>
  <si>
    <t>257 (10,76%)</t>
  </si>
  <si>
    <t>328 (13,73%)</t>
  </si>
  <si>
    <t>109 (4,56%)</t>
  </si>
  <si>
    <t>40 (1,67%)</t>
  </si>
  <si>
    <t>361 (15,11%)</t>
  </si>
  <si>
    <t>101 (4,23%)</t>
  </si>
  <si>
    <t>4 (0,17%)</t>
  </si>
  <si>
    <t>178 (7,45%)</t>
  </si>
  <si>
    <t>Nº de pacientes con un primer evento de [Mort CV u Hosp Insuf Cardiaca]</t>
  </si>
  <si>
    <t>20191024-ECA PARAGON-HF 2,9y ICC FEVI +45pc[Sacub-Val vs Val], =MACE. Solomon</t>
  </si>
  <si>
    <t>Potasio sérico ≥ 6 mmol /litro (hiperpotasemia severa)</t>
  </si>
  <si>
    <t>Potasio sérico ≥ 5,5 mmol /litro (hiperpotasemia)</t>
  </si>
  <si>
    <r>
      <rPr>
        <b/>
        <sz val="12"/>
        <color rgb="FF993300"/>
        <rFont val="Calibri"/>
        <family val="2"/>
        <scheme val="minor"/>
      </rPr>
      <t>Tabla 2:</t>
    </r>
    <r>
      <rPr>
        <b/>
        <sz val="12"/>
        <rFont val="Calibri"/>
        <family val="2"/>
        <scheme val="minor"/>
      </rPr>
      <t xml:space="preserve"> EFECTOS ADVERSOS ACUMULADOS MÁS RELEVANTES DESPUÉS LA ALEATORIZACIÓN</t>
    </r>
  </si>
  <si>
    <r>
      <rPr>
        <b/>
        <sz val="14"/>
        <color indexed="60"/>
        <rFont val="Calibri"/>
        <family val="2"/>
      </rPr>
      <t xml:space="preserve">Tabla nnt-1: </t>
    </r>
    <r>
      <rPr>
        <b/>
        <sz val="14"/>
        <rFont val="Calibri"/>
        <family val="2"/>
      </rPr>
      <t>Pacientes de 73 años (DE 8,5) con insuficiencia cardíaca clase II ó III de la NYHA y FEVI 57,5% (DE 8).</t>
    </r>
  </si>
  <si>
    <t>Medidas del efecto en 35 meses calculadas por incidencias acumuladas</t>
  </si>
  <si>
    <r>
      <t>Nº de pacientes con evento en</t>
    </r>
    <r>
      <rPr>
        <b/>
        <sz val="10"/>
        <rFont val="Calibri"/>
        <family val="2"/>
      </rPr>
      <t xml:space="preserve"> 35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</si>
  <si>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r>
      <rPr>
        <u/>
        <sz val="11"/>
        <rFont val="Calibri"/>
        <family val="2"/>
      </rPr>
      <t>Abreviaturas</t>
    </r>
    <r>
      <rPr>
        <sz val="11"/>
        <rFont val="Calibri"/>
        <family val="2"/>
      </rPr>
      <t xml:space="preserve">:  </t>
    </r>
    <r>
      <rPr>
        <b/>
        <sz val="11"/>
        <rFont val="Calibri"/>
        <family val="2"/>
      </rPr>
      <t xml:space="preserve">CV: </t>
    </r>
    <r>
      <rPr>
        <sz val="11"/>
        <rFont val="Calibri"/>
        <family val="2"/>
      </rPr>
      <t xml:space="preserve">cardiovascular; </t>
    </r>
    <r>
      <rPr>
        <b/>
        <sz val="11"/>
        <rFont val="Calibri"/>
        <family val="2"/>
      </rPr>
      <t xml:space="preserve">FEVI: </t>
    </r>
    <r>
      <rPr>
        <sz val="11"/>
        <rFont val="Calibri"/>
        <family val="2"/>
      </rPr>
      <t xml:space="preserve">fracción (en %) de eyección del ventrículo izquierdo; </t>
    </r>
    <r>
      <rPr>
        <b/>
        <sz val="11"/>
        <rFont val="Calibri"/>
        <family val="2"/>
      </rPr>
      <t>IC 95%:</t>
    </r>
    <r>
      <rPr>
        <sz val="11"/>
        <rFont val="Calibri"/>
        <family val="2"/>
      </rPr>
      <t xml:space="preserve"> intervalo de confianza al 95%; </t>
    </r>
    <r>
      <rPr>
        <b/>
        <sz val="11"/>
        <rFont val="Calibri"/>
        <family val="2"/>
      </rPr>
      <t>Hosp:</t>
    </r>
    <r>
      <rPr>
        <sz val="11"/>
        <rFont val="Calibri"/>
        <family val="2"/>
      </rPr>
      <t xml:space="preserve"> hospitalización; </t>
    </r>
    <r>
      <rPr>
        <b/>
        <sz val="11"/>
        <rFont val="Calibri"/>
        <family val="2"/>
      </rPr>
      <t>InsCard:</t>
    </r>
    <r>
      <rPr>
        <sz val="11"/>
        <rFont val="Calibri"/>
        <family val="2"/>
      </rPr>
      <t xml:space="preserve"> insuficiencia cardíaca; </t>
    </r>
    <r>
      <rPr>
        <b/>
        <sz val="11"/>
        <rFont val="Calibri"/>
        <family val="2"/>
      </rPr>
      <t xml:space="preserve">Insuf: </t>
    </r>
    <r>
      <rPr>
        <sz val="11"/>
        <rFont val="Calibri"/>
        <family val="2"/>
      </rPr>
      <t xml:space="preserve">insuficiencia; </t>
    </r>
    <r>
      <rPr>
        <b/>
        <sz val="11"/>
        <rFont val="Calibri"/>
        <family val="2"/>
      </rPr>
      <t xml:space="preserve">NNT: </t>
    </r>
    <r>
      <rPr>
        <sz val="11"/>
        <rFont val="Calibri"/>
        <family val="2"/>
      </rPr>
      <t xml:space="preserve">número necesario a tratar con la intervención para evitar 1 evento más que con el control;  </t>
    </r>
    <r>
      <rPr>
        <b/>
        <sz val="11"/>
        <rFont val="Calibri"/>
        <family val="2"/>
      </rPr>
      <t>NYHA:</t>
    </r>
    <r>
      <rPr>
        <sz val="11"/>
        <rFont val="Calibri"/>
        <family val="2"/>
      </rPr>
      <t xml:space="preserve"> escala de clasificación de síntomas en 5 niveles de la New York Heart Association; </t>
    </r>
    <r>
      <rPr>
        <b/>
        <sz val="11"/>
        <rFont val="Calibri"/>
        <family val="2"/>
      </rPr>
      <t>Mort CV:</t>
    </r>
    <r>
      <rPr>
        <sz val="11"/>
        <rFont val="Calibri"/>
        <family val="2"/>
      </rPr>
      <t xml:space="preserve"> mortalidad por causa cardiovascular; </t>
    </r>
    <r>
      <rPr>
        <b/>
        <sz val="11"/>
        <rFont val="Calibri"/>
        <family val="2"/>
      </rPr>
      <t xml:space="preserve">RAR: </t>
    </r>
    <r>
      <rPr>
        <sz val="11"/>
        <rFont val="Calibri"/>
        <family val="2"/>
      </rPr>
      <t xml:space="preserve">reducción absoluta del riesgo; </t>
    </r>
    <r>
      <rPr>
        <b/>
        <sz val="11"/>
        <rFont val="Calibri"/>
        <family val="2"/>
      </rPr>
      <t>RR:</t>
    </r>
    <r>
      <rPr>
        <sz val="11"/>
        <rFont val="Calibri"/>
        <family val="2"/>
      </rPr>
      <t xml:space="preserve"> riesgo relativo.</t>
    </r>
  </si>
  <si>
    <r>
      <rPr>
        <u/>
        <sz val="11"/>
        <rFont val="Calibri"/>
        <family val="2"/>
      </rPr>
      <t>Abreviaturas</t>
    </r>
    <r>
      <rPr>
        <sz val="11"/>
        <rFont val="Calibri"/>
        <family val="2"/>
      </rPr>
      <t xml:space="preserve">:  </t>
    </r>
    <r>
      <rPr>
        <b/>
        <sz val="11"/>
        <rFont val="Calibri"/>
        <family val="2"/>
      </rPr>
      <t>EA:</t>
    </r>
    <r>
      <rPr>
        <sz val="11"/>
        <rFont val="Calibri"/>
        <family val="2"/>
      </rPr>
      <t xml:space="preserve"> efectos adversos; </t>
    </r>
    <r>
      <rPr>
        <b/>
        <sz val="11"/>
        <rFont val="Calibri"/>
        <family val="2"/>
      </rPr>
      <t>IC 95%:</t>
    </r>
    <r>
      <rPr>
        <sz val="11"/>
        <rFont val="Calibri"/>
        <family val="2"/>
      </rPr>
      <t xml:space="preserve"> intervalo de confianza al 95%; </t>
    </r>
    <r>
      <rPr>
        <b/>
        <sz val="11"/>
        <rFont val="Calibri"/>
        <family val="2"/>
      </rPr>
      <t xml:space="preserve">NNT: </t>
    </r>
    <r>
      <rPr>
        <sz val="11"/>
        <rFont val="Calibri"/>
        <family val="2"/>
      </rPr>
      <t xml:space="preserve">número necesario a tratar con la intervención para evitar 1 evento más que con el control; </t>
    </r>
    <r>
      <rPr>
        <b/>
        <sz val="11"/>
        <rFont val="Calibri"/>
        <family val="2"/>
      </rPr>
      <t>PAS:</t>
    </r>
    <r>
      <rPr>
        <sz val="11"/>
        <rFont val="Calibri"/>
        <family val="2"/>
      </rPr>
      <t xml:space="preserve"> presión arterial sistólica; </t>
    </r>
    <r>
      <rPr>
        <b/>
        <sz val="11"/>
        <rFont val="Calibri"/>
        <family val="2"/>
      </rPr>
      <t xml:space="preserve">RAR: </t>
    </r>
    <r>
      <rPr>
        <sz val="11"/>
        <rFont val="Calibri"/>
        <family val="2"/>
      </rPr>
      <t xml:space="preserve">reducción absoluta del riesgo; </t>
    </r>
    <r>
      <rPr>
        <b/>
        <sz val="11"/>
        <rFont val="Calibri"/>
        <family val="2"/>
      </rPr>
      <t>RR:</t>
    </r>
    <r>
      <rPr>
        <sz val="11"/>
        <rFont val="Calibri"/>
        <family val="2"/>
      </rPr>
      <t xml:space="preserve"> riesgo relativo.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</si>
</sst>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0.0%"/>
    <numFmt numFmtId="168" formatCode="#,##0.0"/>
    <numFmt numFmtId="169" formatCode="_-* #,##0\ _€_-;\-* #,##0\ _€_-;_-* &quot;-&quot;??\ _€_-;_-@_-"/>
    <numFmt numFmtId="170" formatCode="_-* #,##0.000\ _€_-;\-* #,##0.000\ _€_-;_-* &quot;-&quot;??\ _€_-;_-@_-"/>
    <numFmt numFmtId="171" formatCode="#,##0.00_ ;\-#,##0.00\ 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.0\ _€_-;\-* #,##0.0\ _€_-;_-* &quot;-&quot;?\ _€_-;_-@_-"/>
    <numFmt numFmtId="175" formatCode="_-* #,##0.000000\ _€_-;\-* #,##0.000000\ _€_-;_-* &quot;-&quot;??\ _€_-;_-@_-"/>
    <numFmt numFmtId="176" formatCode="_-* #,##0.0000\ _€_-;\-* #,##0.0000\ _€_-;_-* &quot;-&quot;?\ _€_-;_-@_-"/>
    <numFmt numFmtId="177" formatCode="0.000"/>
    <numFmt numFmtId="178" formatCode="_-* #,##0.000\ _€_-;\-* #,##0.000\ _€_-;_-* &quot;-&quot;???\ _€_-;_-@_-"/>
    <numFmt numFmtId="179" formatCode="0.0000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C99FF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9"/>
      <color theme="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7030A0"/>
      <name val="Calibri"/>
      <family val="2"/>
      <scheme val="minor"/>
    </font>
    <font>
      <i/>
      <sz val="9"/>
      <color rgb="FF0066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2"/>
      <color rgb="FF993300"/>
      <name val="Calibri"/>
      <family val="2"/>
      <scheme val="minor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color rgb="FF0099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99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3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167" fontId="7" fillId="0" borderId="0" xfId="2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7" fontId="9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/>
    <xf numFmtId="167" fontId="11" fillId="0" borderId="0" xfId="2" applyNumberFormat="1" applyFont="1" applyAlignment="1">
      <alignment horizontal="center"/>
    </xf>
    <xf numFmtId="3" fontId="3" fillId="0" borderId="7" xfId="0" applyNumberFormat="1" applyFont="1" applyBorder="1"/>
    <xf numFmtId="1" fontId="10" fillId="0" borderId="0" xfId="0" applyNumberFormat="1" applyFont="1"/>
    <xf numFmtId="0" fontId="13" fillId="0" borderId="0" xfId="0" applyFont="1" applyAlignment="1">
      <alignment vertical="center"/>
    </xf>
    <xf numFmtId="0" fontId="0" fillId="0" borderId="0" xfId="0" applyBorder="1"/>
    <xf numFmtId="167" fontId="13" fillId="0" borderId="0" xfId="2" applyNumberFormat="1" applyFont="1" applyAlignment="1">
      <alignment horizontal="left" vertical="center"/>
    </xf>
    <xf numFmtId="0" fontId="13" fillId="0" borderId="0" xfId="0" applyFont="1"/>
    <xf numFmtId="49" fontId="13" fillId="0" borderId="0" xfId="0" applyNumberFormat="1" applyFont="1"/>
    <xf numFmtId="1" fontId="13" fillId="3" borderId="0" xfId="0" applyNumberFormat="1" applyFont="1" applyFill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wrapText="1"/>
    </xf>
    <xf numFmtId="2" fontId="6" fillId="2" borderId="7" xfId="0" applyNumberFormat="1" applyFont="1" applyFill="1" applyBorder="1" applyAlignment="1">
      <alignment vertical="center"/>
    </xf>
    <xf numFmtId="1" fontId="6" fillId="0" borderId="7" xfId="0" applyNumberFormat="1" applyFont="1" applyBorder="1" applyAlignment="1">
      <alignment vertical="center"/>
    </xf>
    <xf numFmtId="167" fontId="7" fillId="0" borderId="0" xfId="2" applyNumberFormat="1" applyFont="1" applyAlignment="1">
      <alignment horizontal="center" vertical="center"/>
    </xf>
    <xf numFmtId="167" fontId="7" fillId="0" borderId="0" xfId="0" applyNumberFormat="1" applyFont="1" applyAlignment="1">
      <alignment vertical="center" wrapText="1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167" fontId="11" fillId="0" borderId="0" xfId="2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right" wrapText="1"/>
    </xf>
    <xf numFmtId="2" fontId="10" fillId="2" borderId="7" xfId="0" applyNumberFormat="1" applyFont="1" applyFill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167" fontId="11" fillId="0" borderId="0" xfId="2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vertical="center"/>
    </xf>
    <xf numFmtId="1" fontId="17" fillId="0" borderId="7" xfId="0" applyNumberFormat="1" applyFont="1" applyBorder="1" applyAlignment="1">
      <alignment horizontal="right" vertical="center"/>
    </xf>
    <xf numFmtId="9" fontId="13" fillId="0" borderId="0" xfId="0" applyNumberFormat="1" applyFont="1"/>
    <xf numFmtId="0" fontId="13" fillId="0" borderId="0" xfId="0" applyFont="1" applyAlignment="1">
      <alignment horizontal="left" vertical="top"/>
    </xf>
    <xf numFmtId="165" fontId="10" fillId="3" borderId="7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/>
    <xf numFmtId="0" fontId="0" fillId="0" borderId="0" xfId="0" applyFill="1" applyBorder="1"/>
    <xf numFmtId="169" fontId="3" fillId="0" borderId="0" xfId="1" applyNumberFormat="1" applyFont="1" applyFill="1" applyBorder="1" applyAlignment="1"/>
    <xf numFmtId="169" fontId="18" fillId="0" borderId="0" xfId="1" applyNumberFormat="1" applyFont="1" applyFill="1" applyBorder="1" applyAlignment="1"/>
    <xf numFmtId="169" fontId="19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0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5" fillId="0" borderId="0" xfId="0" applyFont="1"/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164" fontId="2" fillId="0" borderId="0" xfId="0" applyNumberFormat="1" applyFont="1"/>
    <xf numFmtId="164" fontId="26" fillId="0" borderId="0" xfId="1" applyFont="1" applyFill="1" applyBorder="1" applyAlignment="1">
      <alignment horizontal="center"/>
    </xf>
    <xf numFmtId="164" fontId="2" fillId="0" borderId="0" xfId="1" applyFont="1" applyFill="1"/>
    <xf numFmtId="0" fontId="27" fillId="0" borderId="0" xfId="0" applyFont="1" applyFill="1"/>
    <xf numFmtId="170" fontId="2" fillId="0" borderId="0" xfId="0" applyNumberFormat="1" applyFont="1" applyBorder="1" applyAlignment="1">
      <alignment horizontal="left" vertical="center"/>
    </xf>
    <xf numFmtId="166" fontId="3" fillId="0" borderId="1" xfId="1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9" fontId="2" fillId="5" borderId="7" xfId="0" applyNumberFormat="1" applyFont="1" applyFill="1" applyBorder="1" applyAlignment="1">
      <alignment vertical="center"/>
    </xf>
    <xf numFmtId="169" fontId="2" fillId="0" borderId="7" xfId="0" applyNumberFormat="1" applyFont="1" applyBorder="1" applyAlignment="1">
      <alignment vertical="center"/>
    </xf>
    <xf numFmtId="169" fontId="2" fillId="5" borderId="7" xfId="1" applyNumberFormat="1" applyFont="1" applyFill="1" applyBorder="1" applyAlignment="1">
      <alignment vertical="center"/>
    </xf>
    <xf numFmtId="164" fontId="2" fillId="0" borderId="0" xfId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right"/>
    </xf>
    <xf numFmtId="169" fontId="3" fillId="0" borderId="4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3" fillId="0" borderId="6" xfId="0" applyNumberFormat="1" applyFont="1" applyBorder="1" applyAlignment="1">
      <alignment horizontal="right"/>
    </xf>
    <xf numFmtId="10" fontId="2" fillId="0" borderId="0" xfId="2" applyNumberFormat="1" applyFont="1" applyFill="1"/>
    <xf numFmtId="10" fontId="2" fillId="0" borderId="0" xfId="0" applyNumberFormat="1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5" xfId="1" applyFont="1" applyFill="1" applyBorder="1" applyAlignment="1">
      <alignment horizontal="center" vertical="center" wrapText="1"/>
    </xf>
    <xf numFmtId="164" fontId="3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71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7" fontId="3" fillId="0" borderId="7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30" fillId="0" borderId="0" xfId="1" applyFont="1" applyFill="1" applyBorder="1"/>
    <xf numFmtId="17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64" fontId="30" fillId="0" borderId="0" xfId="1" applyFont="1" applyFill="1" applyAlignment="1">
      <alignment horizontal="right"/>
    </xf>
    <xf numFmtId="0" fontId="30" fillId="0" borderId="0" xfId="0" applyFont="1" applyFill="1" applyBorder="1"/>
    <xf numFmtId="164" fontId="2" fillId="0" borderId="0" xfId="0" applyNumberFormat="1" applyFont="1" applyFill="1"/>
    <xf numFmtId="172" fontId="2" fillId="0" borderId="0" xfId="0" applyNumberFormat="1" applyFont="1" applyFill="1" applyBorder="1" applyAlignment="1">
      <alignment horizontal="center" vertical="center" wrapText="1"/>
    </xf>
    <xf numFmtId="173" fontId="2" fillId="0" borderId="0" xfId="1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64" fontId="2" fillId="0" borderId="0" xfId="1" applyFont="1" applyBorder="1" applyAlignment="1">
      <alignment horizontal="center"/>
    </xf>
    <xf numFmtId="175" fontId="2" fillId="0" borderId="0" xfId="1" applyNumberFormat="1" applyFont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0" fontId="3" fillId="0" borderId="0" xfId="2" applyNumberFormat="1" applyFont="1" applyFill="1" applyBorder="1" applyAlignment="1"/>
    <xf numFmtId="175" fontId="2" fillId="0" borderId="0" xfId="1" applyNumberFormat="1" applyFont="1" applyFill="1" applyBorder="1" applyAlignment="1">
      <alignment horizontal="center"/>
    </xf>
    <xf numFmtId="164" fontId="3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4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5" fontId="2" fillId="0" borderId="2" xfId="1" applyNumberFormat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3" fillId="0" borderId="2" xfId="1" applyFont="1" applyFill="1" applyBorder="1" applyAlignment="1"/>
    <xf numFmtId="164" fontId="3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69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0" fontId="3" fillId="0" borderId="7" xfId="2" applyNumberFormat="1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3" fillId="6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164" fontId="3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6" fontId="2" fillId="0" borderId="23" xfId="0" applyNumberFormat="1" applyFont="1" applyBorder="1"/>
    <xf numFmtId="167" fontId="2" fillId="0" borderId="23" xfId="2" applyNumberFormat="1" applyFont="1" applyFill="1" applyBorder="1" applyAlignment="1">
      <alignment horizontal="center" vertical="center" wrapText="1"/>
    </xf>
    <xf numFmtId="170" fontId="3" fillId="0" borderId="23" xfId="1" applyNumberFormat="1" applyFont="1" applyFill="1" applyBorder="1"/>
    <xf numFmtId="0" fontId="3" fillId="0" borderId="0" xfId="0" applyFont="1" applyAlignment="1">
      <alignment horizontal="left"/>
    </xf>
    <xf numFmtId="166" fontId="2" fillId="0" borderId="0" xfId="0" applyNumberFormat="1" applyFont="1" applyFill="1" applyBorder="1"/>
    <xf numFmtId="177" fontId="2" fillId="0" borderId="23" xfId="0" applyNumberFormat="1" applyFont="1" applyFill="1" applyBorder="1" applyAlignment="1">
      <alignment horizontal="center" vertical="center" wrapText="1"/>
    </xf>
    <xf numFmtId="172" fontId="2" fillId="7" borderId="23" xfId="1" applyNumberFormat="1" applyFont="1" applyFill="1" applyBorder="1"/>
    <xf numFmtId="0" fontId="3" fillId="0" borderId="0" xfId="0" applyFont="1" applyBorder="1"/>
    <xf numFmtId="167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5" fontId="2" fillId="0" borderId="0" xfId="0" applyNumberFormat="1" applyFont="1" applyBorder="1"/>
    <xf numFmtId="10" fontId="38" fillId="0" borderId="23" xfId="0" applyNumberFormat="1" applyFont="1" applyBorder="1"/>
    <xf numFmtId="0" fontId="39" fillId="0" borderId="0" xfId="0" applyFont="1" applyBorder="1"/>
    <xf numFmtId="49" fontId="4" fillId="0" borderId="0" xfId="0" applyNumberFormat="1" applyFont="1"/>
    <xf numFmtId="10" fontId="2" fillId="7" borderId="7" xfId="2" applyNumberFormat="1" applyFont="1" applyFill="1" applyBorder="1" applyAlignment="1">
      <alignment horizontal="center"/>
    </xf>
    <xf numFmtId="10" fontId="2" fillId="8" borderId="7" xfId="2" applyNumberFormat="1" applyFont="1" applyFill="1" applyBorder="1" applyAlignment="1">
      <alignment horizontal="center"/>
    </xf>
    <xf numFmtId="10" fontId="2" fillId="9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39" fillId="0" borderId="5" xfId="0" applyFont="1" applyBorder="1"/>
    <xf numFmtId="0" fontId="2" fillId="0" borderId="5" xfId="0" applyFont="1" applyBorder="1"/>
    <xf numFmtId="178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7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2" fillId="9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9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1" fillId="0" borderId="0" xfId="2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49" fontId="41" fillId="0" borderId="0" xfId="1" applyNumberFormat="1" applyFont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164" fontId="3" fillId="0" borderId="23" xfId="1" applyFont="1" applyFill="1" applyBorder="1" applyAlignment="1">
      <alignment horizontal="center" vertical="center" wrapText="1"/>
    </xf>
    <xf numFmtId="0" fontId="26" fillId="0" borderId="0" xfId="0" applyFont="1" applyFill="1" applyBorder="1"/>
    <xf numFmtId="164" fontId="2" fillId="0" borderId="0" xfId="1" applyFont="1" applyFill="1" applyBorder="1" applyAlignment="1"/>
    <xf numFmtId="10" fontId="21" fillId="0" borderId="0" xfId="2" applyNumberFormat="1" applyFont="1" applyFill="1" applyBorder="1" applyAlignment="1">
      <alignment horizontal="center"/>
    </xf>
    <xf numFmtId="0" fontId="40" fillId="10" borderId="0" xfId="0" applyFont="1" applyFill="1" applyBorder="1" applyAlignment="1">
      <alignment horizontal="center" vertical="center" wrapText="1"/>
    </xf>
    <xf numFmtId="0" fontId="40" fillId="10" borderId="0" xfId="0" applyFont="1" applyFill="1" applyBorder="1"/>
    <xf numFmtId="0" fontId="40" fillId="10" borderId="0" xfId="0" applyFont="1" applyFill="1" applyBorder="1" applyAlignment="1">
      <alignment horizontal="right"/>
    </xf>
    <xf numFmtId="1" fontId="40" fillId="10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9" fontId="21" fillId="0" borderId="0" xfId="1" applyNumberFormat="1" applyFont="1" applyFill="1" applyBorder="1" applyAlignment="1">
      <alignment horizontal="center"/>
    </xf>
    <xf numFmtId="0" fontId="40" fillId="11" borderId="0" xfId="0" applyFont="1" applyFill="1" applyBorder="1" applyAlignment="1">
      <alignment horizontal="center" vertical="center" wrapText="1"/>
    </xf>
    <xf numFmtId="0" fontId="40" fillId="11" borderId="0" xfId="0" applyFont="1" applyFill="1" applyBorder="1"/>
    <xf numFmtId="0" fontId="40" fillId="11" borderId="0" xfId="0" applyFont="1" applyFill="1" applyBorder="1" applyAlignment="1">
      <alignment horizontal="right"/>
    </xf>
    <xf numFmtId="1" fontId="40" fillId="11" borderId="0" xfId="0" applyNumberFormat="1" applyFont="1" applyFill="1" applyBorder="1" applyAlignment="1">
      <alignment horizontal="center" vertical="distributed"/>
    </xf>
    <xf numFmtId="164" fontId="2" fillId="0" borderId="0" xfId="0" applyNumberFormat="1" applyFont="1" applyFill="1" applyBorder="1" applyAlignment="1">
      <alignment horizontal="left" vertical="center"/>
    </xf>
    <xf numFmtId="170" fontId="2" fillId="0" borderId="0" xfId="0" applyNumberFormat="1" applyFont="1" applyFill="1" applyBorder="1"/>
    <xf numFmtId="164" fontId="2" fillId="0" borderId="0" xfId="0" applyNumberFormat="1" applyFont="1" applyFill="1" applyBorder="1"/>
    <xf numFmtId="169" fontId="40" fillId="12" borderId="0" xfId="0" applyNumberFormat="1" applyFont="1" applyFill="1" applyBorder="1" applyAlignment="1">
      <alignment horizontal="center" vertical="center" wrapText="1"/>
    </xf>
    <xf numFmtId="164" fontId="42" fillId="12" borderId="0" xfId="1" applyFont="1" applyFill="1" applyBorder="1"/>
    <xf numFmtId="164" fontId="40" fillId="12" borderId="0" xfId="1" applyFont="1" applyFill="1" applyBorder="1" applyAlignment="1">
      <alignment horizontal="right"/>
    </xf>
    <xf numFmtId="1" fontId="40" fillId="12" borderId="0" xfId="0" applyNumberFormat="1" applyFont="1" applyFill="1" applyBorder="1" applyAlignment="1">
      <alignment horizontal="center" vertical="distributed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/>
    <xf numFmtId="1" fontId="40" fillId="0" borderId="0" xfId="0" applyNumberFormat="1" applyFont="1" applyBorder="1" applyAlignment="1">
      <alignment horizontal="center"/>
    </xf>
    <xf numFmtId="164" fontId="2" fillId="0" borderId="5" xfId="1" applyFont="1" applyFill="1" applyBorder="1" applyAlignment="1">
      <alignment horizontal="center"/>
    </xf>
    <xf numFmtId="164" fontId="3" fillId="0" borderId="5" xfId="1" applyFont="1" applyFill="1" applyBorder="1" applyAlignment="1"/>
    <xf numFmtId="0" fontId="40" fillId="0" borderId="0" xfId="0" applyFont="1" applyFill="1" applyBorder="1" applyAlignment="1">
      <alignment horizontal="right" vertical="center"/>
    </xf>
    <xf numFmtId="49" fontId="40" fillId="0" borderId="0" xfId="1" applyNumberFormat="1" applyFont="1" applyBorder="1" applyAlignment="1">
      <alignment horizontal="right"/>
    </xf>
    <xf numFmtId="1" fontId="40" fillId="0" borderId="0" xfId="0" applyNumberFormat="1" applyFont="1" applyFill="1" applyBorder="1" applyAlignment="1">
      <alignment horizontal="center"/>
    </xf>
    <xf numFmtId="49" fontId="20" fillId="0" borderId="0" xfId="0" applyNumberFormat="1" applyFont="1"/>
    <xf numFmtId="0" fontId="40" fillId="9" borderId="0" xfId="0" applyFont="1" applyFill="1" applyBorder="1" applyAlignment="1">
      <alignment horizontal="center" vertical="center" wrapText="1"/>
    </xf>
    <xf numFmtId="0" fontId="40" fillId="9" borderId="0" xfId="0" applyFont="1" applyFill="1" applyBorder="1"/>
    <xf numFmtId="0" fontId="40" fillId="9" borderId="0" xfId="0" applyFont="1" applyFill="1" applyBorder="1" applyAlignment="1">
      <alignment horizontal="right"/>
    </xf>
    <xf numFmtId="1" fontId="40" fillId="9" borderId="0" xfId="0" applyNumberFormat="1" applyFont="1" applyFill="1" applyBorder="1" applyAlignment="1">
      <alignment horizontal="center" vertical="distributed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6" fillId="0" borderId="0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left" vertical="center"/>
    </xf>
    <xf numFmtId="169" fontId="20" fillId="0" borderId="7" xfId="1" applyNumberFormat="1" applyFont="1" applyFill="1" applyBorder="1"/>
    <xf numFmtId="0" fontId="19" fillId="0" borderId="7" xfId="0" applyFont="1" applyFill="1" applyBorder="1" applyAlignment="1">
      <alignment horizontal="right" vertical="center"/>
    </xf>
    <xf numFmtId="164" fontId="2" fillId="0" borderId="7" xfId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/>
    <xf numFmtId="0" fontId="30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9" fontId="3" fillId="0" borderId="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9" fontId="22" fillId="0" borderId="7" xfId="1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9" fontId="3" fillId="0" borderId="0" xfId="0" applyNumberFormat="1" applyFont="1" applyFill="1" applyBorder="1" applyAlignment="1">
      <alignment horizontal="center"/>
    </xf>
    <xf numFmtId="169" fontId="20" fillId="0" borderId="0" xfId="1" applyNumberFormat="1" applyFont="1" applyFill="1" applyBorder="1"/>
    <xf numFmtId="169" fontId="22" fillId="0" borderId="0" xfId="1" applyNumberFormat="1" applyFont="1" applyFill="1" applyBorder="1"/>
    <xf numFmtId="169" fontId="31" fillId="0" borderId="0" xfId="0" applyNumberFormat="1" applyFont="1" applyFill="1" applyBorder="1"/>
    <xf numFmtId="0" fontId="45" fillId="0" borderId="20" xfId="0" applyFont="1" applyBorder="1" applyAlignment="1">
      <alignment horizontal="left" vertical="center"/>
    </xf>
    <xf numFmtId="169" fontId="2" fillId="0" borderId="0" xfId="1" applyNumberFormat="1" applyFont="1" applyAlignment="1">
      <alignment horizontal="center" vertical="center" wrapText="1"/>
    </xf>
    <xf numFmtId="164" fontId="45" fillId="0" borderId="7" xfId="1" applyFont="1" applyBorder="1"/>
    <xf numFmtId="0" fontId="22" fillId="0" borderId="0" xfId="0" applyFont="1" applyAlignment="1">
      <alignment horizontal="right"/>
    </xf>
    <xf numFmtId="164" fontId="3" fillId="0" borderId="0" xfId="1" applyFont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64" fontId="2" fillId="3" borderId="0" xfId="0" applyNumberFormat="1" applyFont="1" applyFill="1" applyAlignment="1">
      <alignment horizontal="center" vertical="center" wrapText="1"/>
    </xf>
    <xf numFmtId="164" fontId="2" fillId="0" borderId="0" xfId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7" xfId="0" applyNumberFormat="1" applyFont="1" applyBorder="1"/>
    <xf numFmtId="164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70" fontId="3" fillId="3" borderId="7" xfId="1" applyNumberFormat="1" applyFont="1" applyFill="1" applyBorder="1"/>
    <xf numFmtId="175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9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7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3" fillId="13" borderId="7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0" fontId="2" fillId="0" borderId="0" xfId="0" applyNumberFormat="1" applyFont="1" applyAlignment="1">
      <alignment vertical="center"/>
    </xf>
    <xf numFmtId="177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2" fillId="0" borderId="0" xfId="0" applyNumberFormat="1" applyFont="1" applyBorder="1"/>
    <xf numFmtId="177" fontId="2" fillId="0" borderId="0" xfId="0" applyNumberFormat="1" applyFont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9" fontId="2" fillId="0" borderId="0" xfId="1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2" fontId="10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0" fontId="13" fillId="0" borderId="20" xfId="0" applyNumberFormat="1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165" fontId="13" fillId="2" borderId="21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165" fontId="15" fillId="2" borderId="25" xfId="0" applyNumberFormat="1" applyFont="1" applyFill="1" applyBorder="1" applyAlignment="1">
      <alignment horizontal="center" vertical="center"/>
    </xf>
    <xf numFmtId="2" fontId="10" fillId="2" borderId="26" xfId="0" applyNumberFormat="1" applyFont="1" applyFill="1" applyBorder="1" applyAlignment="1">
      <alignment horizontal="center" vertical="center"/>
    </xf>
    <xf numFmtId="2" fontId="40" fillId="12" borderId="0" xfId="0" applyNumberFormat="1" applyFont="1" applyFill="1" applyBorder="1" applyAlignment="1">
      <alignment horizontal="center" vertical="distributed"/>
    </xf>
    <xf numFmtId="165" fontId="40" fillId="10" borderId="0" xfId="0" applyNumberFormat="1" applyFont="1" applyFill="1" applyBorder="1" applyAlignment="1">
      <alignment horizontal="center" vertical="distributed"/>
    </xf>
    <xf numFmtId="2" fontId="6" fillId="2" borderId="25" xfId="0" applyNumberFormat="1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47" fillId="0" borderId="7" xfId="0" applyNumberFormat="1" applyFont="1" applyFill="1" applyBorder="1" applyAlignment="1">
      <alignment horizontal="center" vertical="center" wrapText="1"/>
    </xf>
    <xf numFmtId="1" fontId="48" fillId="0" borderId="7" xfId="0" applyNumberFormat="1" applyFont="1" applyFill="1" applyBorder="1" applyAlignment="1">
      <alignment horizontal="center" vertical="center" wrapText="1"/>
    </xf>
    <xf numFmtId="1" fontId="49" fillId="0" borderId="7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68" fontId="6" fillId="0" borderId="0" xfId="0" applyNumberFormat="1" applyFont="1"/>
    <xf numFmtId="168" fontId="8" fillId="0" borderId="0" xfId="0" applyNumberFormat="1" applyFont="1"/>
    <xf numFmtId="168" fontId="10" fillId="0" borderId="0" xfId="0" applyNumberFormat="1" applyFont="1"/>
    <xf numFmtId="170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77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43" fillId="4" borderId="7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6" fillId="2" borderId="7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177" fontId="2" fillId="4" borderId="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2" fontId="57" fillId="0" borderId="7" xfId="0" applyNumberFormat="1" applyFont="1" applyBorder="1" applyAlignment="1">
      <alignment horizontal="center" vertical="center"/>
    </xf>
    <xf numFmtId="2" fontId="58" fillId="0" borderId="7" xfId="0" applyNumberFormat="1" applyFont="1" applyBorder="1" applyAlignment="1">
      <alignment horizontal="center" vertical="center"/>
    </xf>
    <xf numFmtId="2" fontId="50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59" fillId="0" borderId="7" xfId="0" applyNumberFormat="1" applyFont="1" applyBorder="1" applyAlignment="1">
      <alignment horizontal="center" vertical="center"/>
    </xf>
    <xf numFmtId="1" fontId="60" fillId="4" borderId="7" xfId="0" applyNumberFormat="1" applyFont="1" applyFill="1" applyBorder="1" applyAlignment="1">
      <alignment horizontal="center" vertical="center"/>
    </xf>
    <xf numFmtId="1" fontId="61" fillId="4" borderId="7" xfId="0" applyNumberFormat="1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 wrapText="1"/>
    </xf>
    <xf numFmtId="170" fontId="62" fillId="0" borderId="0" xfId="1" applyNumberFormat="1" applyFont="1"/>
    <xf numFmtId="10" fontId="43" fillId="4" borderId="7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3" fillId="0" borderId="7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0" fontId="13" fillId="0" borderId="0" xfId="0" applyFont="1" applyBorder="1"/>
    <xf numFmtId="2" fontId="66" fillId="0" borderId="0" xfId="0" applyNumberFormat="1" applyFont="1" applyBorder="1"/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51" fillId="15" borderId="13" xfId="0" applyFont="1" applyFill="1" applyBorder="1" applyAlignment="1">
      <alignment vertical="center"/>
    </xf>
    <xf numFmtId="0" fontId="51" fillId="15" borderId="1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7" fontId="31" fillId="0" borderId="7" xfId="0" applyNumberFormat="1" applyFont="1" applyBorder="1" applyAlignment="1">
      <alignment horizontal="center" vertical="center"/>
    </xf>
    <xf numFmtId="9" fontId="68" fillId="0" borderId="7" xfId="2" applyNumberFormat="1" applyFont="1" applyBorder="1" applyAlignment="1">
      <alignment horizontal="center" vertical="center" wrapText="1"/>
    </xf>
    <xf numFmtId="9" fontId="69" fillId="0" borderId="7" xfId="2" applyNumberFormat="1" applyFont="1" applyBorder="1" applyAlignment="1">
      <alignment horizontal="center" vertical="center" wrapText="1"/>
    </xf>
    <xf numFmtId="9" fontId="14" fillId="0" borderId="7" xfId="2" applyNumberFormat="1" applyFont="1" applyBorder="1" applyAlignment="1">
      <alignment horizontal="center" vertical="center" wrapText="1"/>
    </xf>
    <xf numFmtId="167" fontId="14" fillId="0" borderId="7" xfId="2" applyNumberFormat="1" applyFont="1" applyBorder="1" applyAlignment="1">
      <alignment horizontal="center" vertical="center" wrapText="1"/>
    </xf>
    <xf numFmtId="0" fontId="53" fillId="0" borderId="0" xfId="0" applyFont="1"/>
    <xf numFmtId="0" fontId="52" fillId="0" borderId="0" xfId="0" applyFont="1" applyAlignment="1">
      <alignment vertical="center"/>
    </xf>
    <xf numFmtId="0" fontId="70" fillId="0" borderId="0" xfId="0" applyFont="1"/>
    <xf numFmtId="0" fontId="70" fillId="0" borderId="0" xfId="0" applyFont="1" applyAlignment="1">
      <alignment horizontal="center"/>
    </xf>
    <xf numFmtId="10" fontId="70" fillId="0" borderId="0" xfId="2" applyNumberFormat="1" applyFont="1"/>
    <xf numFmtId="10" fontId="70" fillId="0" borderId="0" xfId="2" applyNumberFormat="1" applyFont="1" applyAlignment="1">
      <alignment horizontal="center"/>
    </xf>
    <xf numFmtId="2" fontId="70" fillId="0" borderId="0" xfId="0" applyNumberFormat="1" applyFont="1" applyAlignment="1">
      <alignment horizontal="center"/>
    </xf>
    <xf numFmtId="165" fontId="70" fillId="0" borderId="0" xfId="0" applyNumberFormat="1" applyFont="1" applyAlignment="1">
      <alignment horizontal="center"/>
    </xf>
    <xf numFmtId="10" fontId="2" fillId="0" borderId="0" xfId="2" applyNumberFormat="1" applyFont="1"/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3" fillId="0" borderId="1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7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2" fillId="2" borderId="16" xfId="0" applyFont="1" applyFill="1" applyBorder="1" applyAlignment="1">
      <alignment vertical="center"/>
    </xf>
    <xf numFmtId="0" fontId="12" fillId="2" borderId="13" xfId="0" applyFont="1" applyFill="1" applyBorder="1"/>
    <xf numFmtId="0" fontId="17" fillId="2" borderId="44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4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3" fillId="4" borderId="0" xfId="0" applyFont="1" applyFill="1" applyAlignment="1">
      <alignment horizontal="center" vertical="center"/>
    </xf>
    <xf numFmtId="170" fontId="2" fillId="4" borderId="0" xfId="0" applyNumberFormat="1" applyFont="1" applyFill="1"/>
    <xf numFmtId="177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9" fontId="2" fillId="4" borderId="0" xfId="2" applyFont="1" applyFill="1" applyAlignment="1">
      <alignment horizontal="center" vertical="center"/>
    </xf>
    <xf numFmtId="2" fontId="73" fillId="0" borderId="7" xfId="0" applyNumberFormat="1" applyFont="1" applyBorder="1" applyAlignment="1">
      <alignment horizontal="center" vertical="center"/>
    </xf>
    <xf numFmtId="2" fontId="74" fillId="0" borderId="7" xfId="0" applyNumberFormat="1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77" fontId="2" fillId="4" borderId="0" xfId="0" applyNumberFormat="1" applyFont="1" applyFill="1" applyAlignment="1">
      <alignment horizontal="center" vertical="center"/>
    </xf>
    <xf numFmtId="1" fontId="19" fillId="4" borderId="0" xfId="0" applyNumberFormat="1" applyFont="1" applyFill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1" fontId="59" fillId="4" borderId="7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/>
    <xf numFmtId="177" fontId="2" fillId="0" borderId="7" xfId="0" applyNumberFormat="1" applyFont="1" applyFill="1" applyBorder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43" fillId="4" borderId="7" xfId="0" applyFont="1" applyFill="1" applyBorder="1" applyAlignment="1">
      <alignment horizontal="left" vertical="center"/>
    </xf>
    <xf numFmtId="0" fontId="43" fillId="4" borderId="7" xfId="0" applyFont="1" applyFill="1" applyBorder="1" applyAlignment="1">
      <alignment horizontal="left" vertical="center" wrapText="1"/>
    </xf>
    <xf numFmtId="2" fontId="57" fillId="0" borderId="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2" fontId="59" fillId="0" borderId="0" xfId="0" applyNumberFormat="1" applyFont="1" applyBorder="1" applyAlignment="1">
      <alignment horizontal="center" vertical="center"/>
    </xf>
    <xf numFmtId="0" fontId="46" fillId="0" borderId="7" xfId="0" applyFont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0" fontId="75" fillId="4" borderId="0" xfId="0" applyFont="1" applyFill="1" applyAlignment="1">
      <alignment horizontal="right" vertical="center"/>
    </xf>
    <xf numFmtId="10" fontId="75" fillId="4" borderId="0" xfId="0" applyNumberFormat="1" applyFont="1" applyFill="1" applyAlignment="1">
      <alignment horizontal="right" vertical="center"/>
    </xf>
    <xf numFmtId="0" fontId="76" fillId="4" borderId="7" xfId="0" applyFont="1" applyFill="1" applyBorder="1" applyAlignment="1">
      <alignment horizontal="right" vertical="center" wrapText="1"/>
    </xf>
    <xf numFmtId="0" fontId="43" fillId="0" borderId="35" xfId="0" applyFont="1" applyBorder="1" applyAlignment="1">
      <alignment horizontal="center" vertical="center" wrapText="1"/>
    </xf>
    <xf numFmtId="0" fontId="77" fillId="4" borderId="7" xfId="0" applyFont="1" applyFill="1" applyBorder="1" applyAlignment="1">
      <alignment horizontal="right" vertical="center"/>
    </xf>
    <xf numFmtId="0" fontId="78" fillId="4" borderId="7" xfId="0" applyFont="1" applyFill="1" applyBorder="1" applyAlignment="1">
      <alignment horizontal="right" vertical="center"/>
    </xf>
    <xf numFmtId="0" fontId="79" fillId="4" borderId="7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63" fillId="0" borderId="4" xfId="0" applyFont="1" applyBorder="1" applyAlignment="1">
      <alignment horizontal="left" vertical="center" wrapText="1"/>
    </xf>
    <xf numFmtId="0" fontId="63" fillId="0" borderId="5" xfId="0" applyFont="1" applyBorder="1" applyAlignment="1">
      <alignment horizontal="left" vertical="center" wrapText="1"/>
    </xf>
    <xf numFmtId="0" fontId="63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55" fillId="0" borderId="28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center" vertical="top" wrapText="1"/>
    </xf>
    <xf numFmtId="0" fontId="56" fillId="0" borderId="29" xfId="0" applyFont="1" applyBorder="1" applyAlignment="1">
      <alignment horizontal="center" vertical="top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top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top" wrapText="1"/>
    </xf>
    <xf numFmtId="0" fontId="71" fillId="0" borderId="16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43" fillId="0" borderId="7" xfId="0" applyFont="1" applyBorder="1" applyAlignment="1">
      <alignment vertical="center" wrapText="1"/>
    </xf>
    <xf numFmtId="0" fontId="81" fillId="0" borderId="42" xfId="0" applyFont="1" applyBorder="1" applyAlignment="1">
      <alignment horizontal="left" vertical="center" wrapText="1"/>
    </xf>
    <xf numFmtId="0" fontId="81" fillId="0" borderId="32" xfId="0" applyFont="1" applyBorder="1" applyAlignment="1">
      <alignment horizontal="left" vertical="center" wrapText="1"/>
    </xf>
    <xf numFmtId="177" fontId="2" fillId="4" borderId="0" xfId="0" applyNumberFormat="1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left" vertical="center" wrapText="1"/>
    </xf>
    <xf numFmtId="0" fontId="4" fillId="16" borderId="13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 wrapText="1"/>
    </xf>
    <xf numFmtId="0" fontId="4" fillId="16" borderId="19" xfId="0" applyFont="1" applyFill="1" applyBorder="1" applyAlignment="1">
      <alignment horizontal="left" vertical="center" wrapText="1"/>
    </xf>
    <xf numFmtId="0" fontId="52" fillId="4" borderId="0" xfId="0" applyFont="1" applyFill="1" applyAlignment="1">
      <alignment horizontal="left" vertical="center"/>
    </xf>
    <xf numFmtId="0" fontId="83" fillId="15" borderId="16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5" fillId="4" borderId="7" xfId="0" applyFont="1" applyFill="1" applyBorder="1" applyAlignment="1">
      <alignment horizontal="left" vertical="center" wrapText="1"/>
    </xf>
    <xf numFmtId="0" fontId="43" fillId="0" borderId="7" xfId="0" applyFont="1" applyBorder="1" applyAlignment="1">
      <alignment horizontal="center" vertical="center"/>
    </xf>
    <xf numFmtId="0" fontId="80" fillId="2" borderId="7" xfId="0" applyFont="1" applyFill="1" applyBorder="1" applyAlignment="1">
      <alignment horizontal="center" vertical="center"/>
    </xf>
    <xf numFmtId="10" fontId="43" fillId="0" borderId="7" xfId="0" applyNumberFormat="1" applyFont="1" applyBorder="1" applyAlignment="1">
      <alignment horizontal="center" vertical="center"/>
    </xf>
    <xf numFmtId="0" fontId="87" fillId="2" borderId="7" xfId="0" applyFont="1" applyFill="1" applyBorder="1" applyAlignment="1">
      <alignment horizontal="center" vertical="center"/>
    </xf>
    <xf numFmtId="49" fontId="43" fillId="0" borderId="7" xfId="0" applyNumberFormat="1" applyFont="1" applyBorder="1" applyAlignment="1">
      <alignment horizontal="center" vertical="center"/>
    </xf>
    <xf numFmtId="1" fontId="88" fillId="0" borderId="7" xfId="0" applyNumberFormat="1" applyFont="1" applyFill="1" applyBorder="1" applyAlignment="1">
      <alignment horizontal="center" vertical="center"/>
    </xf>
    <xf numFmtId="1" fontId="89" fillId="4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65" fontId="88" fillId="0" borderId="7" xfId="0" applyNumberFormat="1" applyFont="1" applyFill="1" applyBorder="1" applyAlignment="1">
      <alignment horizontal="center" vertical="center"/>
    </xf>
    <xf numFmtId="165" fontId="89" fillId="4" borderId="7" xfId="0" applyNumberFormat="1" applyFont="1" applyFill="1" applyBorder="1" applyAlignment="1">
      <alignment horizontal="center" vertical="center"/>
    </xf>
    <xf numFmtId="0" fontId="51" fillId="0" borderId="28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  <color rgb="FFFFFF99"/>
      <color rgb="FFFFFFCC"/>
      <color rgb="FF993300"/>
      <color rgb="FF00FF00"/>
      <color rgb="FFFFCCFF"/>
      <color rgb="FFFFCCCC"/>
      <color rgb="FFFF0066"/>
      <color rgb="FFFF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</a:t>
            </a:r>
            <a:r>
              <a:rPr lang="es-ES" sz="1100" b="1" baseline="0">
                <a:solidFill>
                  <a:srgbClr val="993300"/>
                </a:solidFill>
              </a:rPr>
              <a:t> biográficos (3tB)": </a:t>
            </a:r>
            <a:r>
              <a:rPr lang="es-ES" sz="1100" b="1">
                <a:solidFill>
                  <a:srgbClr val="006600"/>
                </a:solidFill>
              </a:rPr>
              <a:t>Prolongación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606714785651792"/>
          <c:y val="0.23534156683635096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IncAcum!$Q$6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IncAcum!$R$5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IncAcum!$R$6</c:f>
              <c:numCache>
                <c:formatCode>0.00</c:formatCode>
                <c:ptCount val="1"/>
                <c:pt idx="0">
                  <c:v>0.63352867308497274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IncAcum!$Q$7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IncAcum!$R$5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IncAcum!$R$7</c:f>
              <c:numCache>
                <c:formatCode>0.00</c:formatCode>
                <c:ptCount val="1"/>
                <c:pt idx="0">
                  <c:v>7.6403621153107393E-2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IncAcum!$Q$8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IncAcum!$R$5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IncAcum!$R$8</c:f>
              <c:numCache>
                <c:formatCode>0.00</c:formatCode>
                <c:ptCount val="1"/>
                <c:pt idx="0">
                  <c:v>2.2900677057619196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446690</xdr:colOff>
      <xdr:row>0</xdr:row>
      <xdr:rowOff>105103</xdr:rowOff>
    </xdr:from>
    <xdr:to>
      <xdr:col>27</xdr:col>
      <xdr:colOff>446690</xdr:colOff>
      <xdr:row>61</xdr:row>
      <xdr:rowOff>269327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7"/>
  <sheetViews>
    <sheetView tabSelected="1" zoomScaleNormal="100" workbookViewId="0"/>
  </sheetViews>
  <sheetFormatPr baseColWidth="10" defaultRowHeight="12.75" x14ac:dyDescent="0.2"/>
  <cols>
    <col min="1" max="1" width="35.42578125" style="1" customWidth="1"/>
    <col min="2" max="2" width="21.7109375" style="1" customWidth="1"/>
    <col min="3" max="3" width="19.42578125" style="1" customWidth="1"/>
    <col min="4" max="4" width="16.28515625" style="1" customWidth="1"/>
    <col min="5" max="5" width="21.42578125" style="1" customWidth="1"/>
    <col min="6" max="6" width="19.5703125" style="1" customWidth="1"/>
    <col min="7" max="7" width="14.140625" style="1" bestFit="1" customWidth="1"/>
    <col min="8" max="8" width="6" style="1" customWidth="1"/>
    <col min="9" max="9" width="10.42578125" style="1" hidden="1" customWidth="1"/>
    <col min="10" max="10" width="7" style="1" hidden="1" customWidth="1"/>
    <col min="11" max="11" width="14.42578125" style="1" hidden="1" customWidth="1"/>
    <col min="12" max="12" width="13.42578125" style="1" hidden="1" customWidth="1"/>
    <col min="13" max="13" width="8.42578125" style="1" hidden="1" customWidth="1"/>
    <col min="14" max="14" width="14.28515625" style="6" bestFit="1" customWidth="1"/>
    <col min="15" max="15" width="14.28515625" style="6" customWidth="1"/>
    <col min="16" max="16" width="8.5703125" style="1" customWidth="1"/>
    <col min="17" max="17" width="15.85546875" style="1" customWidth="1"/>
    <col min="18" max="18" width="16" style="1" customWidth="1"/>
    <col min="19" max="19" width="14.85546875" style="1" customWidth="1"/>
    <col min="20" max="20" width="13.5703125" style="6" customWidth="1"/>
    <col min="21" max="21" width="8" style="6" customWidth="1"/>
    <col min="22" max="256" width="11.42578125" style="1"/>
    <col min="257" max="257" width="20.28515625" style="1" customWidth="1"/>
    <col min="258" max="258" width="21.7109375" style="1" customWidth="1"/>
    <col min="259" max="259" width="22" style="1" customWidth="1"/>
    <col min="260" max="260" width="17.140625" style="1" customWidth="1"/>
    <col min="261" max="261" width="21.42578125" style="1" customWidth="1"/>
    <col min="262" max="262" width="19.5703125" style="1" customWidth="1"/>
    <col min="263" max="263" width="14.140625" style="1" bestFit="1" customWidth="1"/>
    <col min="264" max="264" width="8.42578125" style="1" customWidth="1"/>
    <col min="265" max="265" width="14.42578125" style="1" bestFit="1" customWidth="1"/>
    <col min="266" max="266" width="4.42578125" style="1" customWidth="1"/>
    <col min="267" max="267" width="14.42578125" style="1" bestFit="1" customWidth="1"/>
    <col min="268" max="268" width="13.42578125" style="1" customWidth="1"/>
    <col min="269" max="269" width="14.7109375" style="1" bestFit="1" customWidth="1"/>
    <col min="270" max="270" width="14.28515625" style="1" bestFit="1" customWidth="1"/>
    <col min="271" max="271" width="14.28515625" style="1" customWidth="1"/>
    <col min="272" max="272" width="14" style="1" bestFit="1" customWidth="1"/>
    <col min="273" max="273" width="11.5703125" style="1" bestFit="1" customWidth="1"/>
    <col min="274" max="274" width="13.85546875" style="1" bestFit="1" customWidth="1"/>
    <col min="275" max="512" width="11.42578125" style="1"/>
    <col min="513" max="513" width="20.28515625" style="1" customWidth="1"/>
    <col min="514" max="514" width="21.7109375" style="1" customWidth="1"/>
    <col min="515" max="515" width="22" style="1" customWidth="1"/>
    <col min="516" max="516" width="17.140625" style="1" customWidth="1"/>
    <col min="517" max="517" width="21.42578125" style="1" customWidth="1"/>
    <col min="518" max="518" width="19.5703125" style="1" customWidth="1"/>
    <col min="519" max="519" width="14.140625" style="1" bestFit="1" customWidth="1"/>
    <col min="520" max="520" width="8.42578125" style="1" customWidth="1"/>
    <col min="521" max="521" width="14.42578125" style="1" bestFit="1" customWidth="1"/>
    <col min="522" max="522" width="4.42578125" style="1" customWidth="1"/>
    <col min="523" max="523" width="14.42578125" style="1" bestFit="1" customWidth="1"/>
    <col min="524" max="524" width="13.42578125" style="1" customWidth="1"/>
    <col min="525" max="525" width="14.7109375" style="1" bestFit="1" customWidth="1"/>
    <col min="526" max="526" width="14.28515625" style="1" bestFit="1" customWidth="1"/>
    <col min="527" max="527" width="14.28515625" style="1" customWidth="1"/>
    <col min="528" max="528" width="14" style="1" bestFit="1" customWidth="1"/>
    <col min="529" max="529" width="11.5703125" style="1" bestFit="1" customWidth="1"/>
    <col min="530" max="530" width="13.85546875" style="1" bestFit="1" customWidth="1"/>
    <col min="531" max="768" width="11.42578125" style="1"/>
    <col min="769" max="769" width="20.28515625" style="1" customWidth="1"/>
    <col min="770" max="770" width="21.7109375" style="1" customWidth="1"/>
    <col min="771" max="771" width="22" style="1" customWidth="1"/>
    <col min="772" max="772" width="17.140625" style="1" customWidth="1"/>
    <col min="773" max="773" width="21.42578125" style="1" customWidth="1"/>
    <col min="774" max="774" width="19.5703125" style="1" customWidth="1"/>
    <col min="775" max="775" width="14.140625" style="1" bestFit="1" customWidth="1"/>
    <col min="776" max="776" width="8.42578125" style="1" customWidth="1"/>
    <col min="777" max="777" width="14.42578125" style="1" bestFit="1" customWidth="1"/>
    <col min="778" max="778" width="4.42578125" style="1" customWidth="1"/>
    <col min="779" max="779" width="14.42578125" style="1" bestFit="1" customWidth="1"/>
    <col min="780" max="780" width="13.42578125" style="1" customWidth="1"/>
    <col min="781" max="781" width="14.7109375" style="1" bestFit="1" customWidth="1"/>
    <col min="782" max="782" width="14.28515625" style="1" bestFit="1" customWidth="1"/>
    <col min="783" max="783" width="14.28515625" style="1" customWidth="1"/>
    <col min="784" max="784" width="14" style="1" bestFit="1" customWidth="1"/>
    <col min="785" max="785" width="11.5703125" style="1" bestFit="1" customWidth="1"/>
    <col min="786" max="786" width="13.85546875" style="1" bestFit="1" customWidth="1"/>
    <col min="787" max="1024" width="11.42578125" style="1"/>
    <col min="1025" max="1025" width="20.28515625" style="1" customWidth="1"/>
    <col min="1026" max="1026" width="21.7109375" style="1" customWidth="1"/>
    <col min="1027" max="1027" width="22" style="1" customWidth="1"/>
    <col min="1028" max="1028" width="17.140625" style="1" customWidth="1"/>
    <col min="1029" max="1029" width="21.42578125" style="1" customWidth="1"/>
    <col min="1030" max="1030" width="19.5703125" style="1" customWidth="1"/>
    <col min="1031" max="1031" width="14.140625" style="1" bestFit="1" customWidth="1"/>
    <col min="1032" max="1032" width="8.42578125" style="1" customWidth="1"/>
    <col min="1033" max="1033" width="14.42578125" style="1" bestFit="1" customWidth="1"/>
    <col min="1034" max="1034" width="4.42578125" style="1" customWidth="1"/>
    <col min="1035" max="1035" width="14.42578125" style="1" bestFit="1" customWidth="1"/>
    <col min="1036" max="1036" width="13.42578125" style="1" customWidth="1"/>
    <col min="1037" max="1037" width="14.7109375" style="1" bestFit="1" customWidth="1"/>
    <col min="1038" max="1038" width="14.28515625" style="1" bestFit="1" customWidth="1"/>
    <col min="1039" max="1039" width="14.28515625" style="1" customWidth="1"/>
    <col min="1040" max="1040" width="14" style="1" bestFit="1" customWidth="1"/>
    <col min="1041" max="1041" width="11.5703125" style="1" bestFit="1" customWidth="1"/>
    <col min="1042" max="1042" width="13.85546875" style="1" bestFit="1" customWidth="1"/>
    <col min="1043" max="1280" width="11.42578125" style="1"/>
    <col min="1281" max="1281" width="20.28515625" style="1" customWidth="1"/>
    <col min="1282" max="1282" width="21.7109375" style="1" customWidth="1"/>
    <col min="1283" max="1283" width="22" style="1" customWidth="1"/>
    <col min="1284" max="1284" width="17.140625" style="1" customWidth="1"/>
    <col min="1285" max="1285" width="21.42578125" style="1" customWidth="1"/>
    <col min="1286" max="1286" width="19.5703125" style="1" customWidth="1"/>
    <col min="1287" max="1287" width="14.140625" style="1" bestFit="1" customWidth="1"/>
    <col min="1288" max="1288" width="8.42578125" style="1" customWidth="1"/>
    <col min="1289" max="1289" width="14.42578125" style="1" bestFit="1" customWidth="1"/>
    <col min="1290" max="1290" width="4.42578125" style="1" customWidth="1"/>
    <col min="1291" max="1291" width="14.42578125" style="1" bestFit="1" customWidth="1"/>
    <col min="1292" max="1292" width="13.42578125" style="1" customWidth="1"/>
    <col min="1293" max="1293" width="14.7109375" style="1" bestFit="1" customWidth="1"/>
    <col min="1294" max="1294" width="14.28515625" style="1" bestFit="1" customWidth="1"/>
    <col min="1295" max="1295" width="14.28515625" style="1" customWidth="1"/>
    <col min="1296" max="1296" width="14" style="1" bestFit="1" customWidth="1"/>
    <col min="1297" max="1297" width="11.5703125" style="1" bestFit="1" customWidth="1"/>
    <col min="1298" max="1298" width="13.85546875" style="1" bestFit="1" customWidth="1"/>
    <col min="1299" max="1536" width="11.42578125" style="1"/>
    <col min="1537" max="1537" width="20.28515625" style="1" customWidth="1"/>
    <col min="1538" max="1538" width="21.7109375" style="1" customWidth="1"/>
    <col min="1539" max="1539" width="22" style="1" customWidth="1"/>
    <col min="1540" max="1540" width="17.140625" style="1" customWidth="1"/>
    <col min="1541" max="1541" width="21.42578125" style="1" customWidth="1"/>
    <col min="1542" max="1542" width="19.5703125" style="1" customWidth="1"/>
    <col min="1543" max="1543" width="14.140625" style="1" bestFit="1" customWidth="1"/>
    <col min="1544" max="1544" width="8.42578125" style="1" customWidth="1"/>
    <col min="1545" max="1545" width="14.42578125" style="1" bestFit="1" customWidth="1"/>
    <col min="1546" max="1546" width="4.42578125" style="1" customWidth="1"/>
    <col min="1547" max="1547" width="14.42578125" style="1" bestFit="1" customWidth="1"/>
    <col min="1548" max="1548" width="13.42578125" style="1" customWidth="1"/>
    <col min="1549" max="1549" width="14.7109375" style="1" bestFit="1" customWidth="1"/>
    <col min="1550" max="1550" width="14.28515625" style="1" bestFit="1" customWidth="1"/>
    <col min="1551" max="1551" width="14.28515625" style="1" customWidth="1"/>
    <col min="1552" max="1552" width="14" style="1" bestFit="1" customWidth="1"/>
    <col min="1553" max="1553" width="11.5703125" style="1" bestFit="1" customWidth="1"/>
    <col min="1554" max="1554" width="13.85546875" style="1" bestFit="1" customWidth="1"/>
    <col min="1555" max="1792" width="11.42578125" style="1"/>
    <col min="1793" max="1793" width="20.28515625" style="1" customWidth="1"/>
    <col min="1794" max="1794" width="21.7109375" style="1" customWidth="1"/>
    <col min="1795" max="1795" width="22" style="1" customWidth="1"/>
    <col min="1796" max="1796" width="17.140625" style="1" customWidth="1"/>
    <col min="1797" max="1797" width="21.42578125" style="1" customWidth="1"/>
    <col min="1798" max="1798" width="19.5703125" style="1" customWidth="1"/>
    <col min="1799" max="1799" width="14.140625" style="1" bestFit="1" customWidth="1"/>
    <col min="1800" max="1800" width="8.42578125" style="1" customWidth="1"/>
    <col min="1801" max="1801" width="14.42578125" style="1" bestFit="1" customWidth="1"/>
    <col min="1802" max="1802" width="4.42578125" style="1" customWidth="1"/>
    <col min="1803" max="1803" width="14.42578125" style="1" bestFit="1" customWidth="1"/>
    <col min="1804" max="1804" width="13.42578125" style="1" customWidth="1"/>
    <col min="1805" max="1805" width="14.7109375" style="1" bestFit="1" customWidth="1"/>
    <col min="1806" max="1806" width="14.28515625" style="1" bestFit="1" customWidth="1"/>
    <col min="1807" max="1807" width="14.28515625" style="1" customWidth="1"/>
    <col min="1808" max="1808" width="14" style="1" bestFit="1" customWidth="1"/>
    <col min="1809" max="1809" width="11.5703125" style="1" bestFit="1" customWidth="1"/>
    <col min="1810" max="1810" width="13.85546875" style="1" bestFit="1" customWidth="1"/>
    <col min="1811" max="2048" width="11.42578125" style="1"/>
    <col min="2049" max="2049" width="20.28515625" style="1" customWidth="1"/>
    <col min="2050" max="2050" width="21.7109375" style="1" customWidth="1"/>
    <col min="2051" max="2051" width="22" style="1" customWidth="1"/>
    <col min="2052" max="2052" width="17.140625" style="1" customWidth="1"/>
    <col min="2053" max="2053" width="21.42578125" style="1" customWidth="1"/>
    <col min="2054" max="2054" width="19.5703125" style="1" customWidth="1"/>
    <col min="2055" max="2055" width="14.140625" style="1" bestFit="1" customWidth="1"/>
    <col min="2056" max="2056" width="8.42578125" style="1" customWidth="1"/>
    <col min="2057" max="2057" width="14.42578125" style="1" bestFit="1" customWidth="1"/>
    <col min="2058" max="2058" width="4.42578125" style="1" customWidth="1"/>
    <col min="2059" max="2059" width="14.42578125" style="1" bestFit="1" customWidth="1"/>
    <col min="2060" max="2060" width="13.42578125" style="1" customWidth="1"/>
    <col min="2061" max="2061" width="14.7109375" style="1" bestFit="1" customWidth="1"/>
    <col min="2062" max="2062" width="14.28515625" style="1" bestFit="1" customWidth="1"/>
    <col min="2063" max="2063" width="14.28515625" style="1" customWidth="1"/>
    <col min="2064" max="2064" width="14" style="1" bestFit="1" customWidth="1"/>
    <col min="2065" max="2065" width="11.5703125" style="1" bestFit="1" customWidth="1"/>
    <col min="2066" max="2066" width="13.85546875" style="1" bestFit="1" customWidth="1"/>
    <col min="2067" max="2304" width="11.42578125" style="1"/>
    <col min="2305" max="2305" width="20.28515625" style="1" customWidth="1"/>
    <col min="2306" max="2306" width="21.7109375" style="1" customWidth="1"/>
    <col min="2307" max="2307" width="22" style="1" customWidth="1"/>
    <col min="2308" max="2308" width="17.140625" style="1" customWidth="1"/>
    <col min="2309" max="2309" width="21.42578125" style="1" customWidth="1"/>
    <col min="2310" max="2310" width="19.5703125" style="1" customWidth="1"/>
    <col min="2311" max="2311" width="14.140625" style="1" bestFit="1" customWidth="1"/>
    <col min="2312" max="2312" width="8.42578125" style="1" customWidth="1"/>
    <col min="2313" max="2313" width="14.42578125" style="1" bestFit="1" customWidth="1"/>
    <col min="2314" max="2314" width="4.42578125" style="1" customWidth="1"/>
    <col min="2315" max="2315" width="14.42578125" style="1" bestFit="1" customWidth="1"/>
    <col min="2316" max="2316" width="13.42578125" style="1" customWidth="1"/>
    <col min="2317" max="2317" width="14.7109375" style="1" bestFit="1" customWidth="1"/>
    <col min="2318" max="2318" width="14.28515625" style="1" bestFit="1" customWidth="1"/>
    <col min="2319" max="2319" width="14.28515625" style="1" customWidth="1"/>
    <col min="2320" max="2320" width="14" style="1" bestFit="1" customWidth="1"/>
    <col min="2321" max="2321" width="11.5703125" style="1" bestFit="1" customWidth="1"/>
    <col min="2322" max="2322" width="13.85546875" style="1" bestFit="1" customWidth="1"/>
    <col min="2323" max="2560" width="11.42578125" style="1"/>
    <col min="2561" max="2561" width="20.28515625" style="1" customWidth="1"/>
    <col min="2562" max="2562" width="21.7109375" style="1" customWidth="1"/>
    <col min="2563" max="2563" width="22" style="1" customWidth="1"/>
    <col min="2564" max="2564" width="17.140625" style="1" customWidth="1"/>
    <col min="2565" max="2565" width="21.42578125" style="1" customWidth="1"/>
    <col min="2566" max="2566" width="19.5703125" style="1" customWidth="1"/>
    <col min="2567" max="2567" width="14.140625" style="1" bestFit="1" customWidth="1"/>
    <col min="2568" max="2568" width="8.42578125" style="1" customWidth="1"/>
    <col min="2569" max="2569" width="14.42578125" style="1" bestFit="1" customWidth="1"/>
    <col min="2570" max="2570" width="4.42578125" style="1" customWidth="1"/>
    <col min="2571" max="2571" width="14.42578125" style="1" bestFit="1" customWidth="1"/>
    <col min="2572" max="2572" width="13.42578125" style="1" customWidth="1"/>
    <col min="2573" max="2573" width="14.7109375" style="1" bestFit="1" customWidth="1"/>
    <col min="2574" max="2574" width="14.28515625" style="1" bestFit="1" customWidth="1"/>
    <col min="2575" max="2575" width="14.28515625" style="1" customWidth="1"/>
    <col min="2576" max="2576" width="14" style="1" bestFit="1" customWidth="1"/>
    <col min="2577" max="2577" width="11.5703125" style="1" bestFit="1" customWidth="1"/>
    <col min="2578" max="2578" width="13.85546875" style="1" bestFit="1" customWidth="1"/>
    <col min="2579" max="2816" width="11.42578125" style="1"/>
    <col min="2817" max="2817" width="20.28515625" style="1" customWidth="1"/>
    <col min="2818" max="2818" width="21.7109375" style="1" customWidth="1"/>
    <col min="2819" max="2819" width="22" style="1" customWidth="1"/>
    <col min="2820" max="2820" width="17.140625" style="1" customWidth="1"/>
    <col min="2821" max="2821" width="21.42578125" style="1" customWidth="1"/>
    <col min="2822" max="2822" width="19.5703125" style="1" customWidth="1"/>
    <col min="2823" max="2823" width="14.140625" style="1" bestFit="1" customWidth="1"/>
    <col min="2824" max="2824" width="8.42578125" style="1" customWidth="1"/>
    <col min="2825" max="2825" width="14.42578125" style="1" bestFit="1" customWidth="1"/>
    <col min="2826" max="2826" width="4.42578125" style="1" customWidth="1"/>
    <col min="2827" max="2827" width="14.42578125" style="1" bestFit="1" customWidth="1"/>
    <col min="2828" max="2828" width="13.42578125" style="1" customWidth="1"/>
    <col min="2829" max="2829" width="14.7109375" style="1" bestFit="1" customWidth="1"/>
    <col min="2830" max="2830" width="14.28515625" style="1" bestFit="1" customWidth="1"/>
    <col min="2831" max="2831" width="14.28515625" style="1" customWidth="1"/>
    <col min="2832" max="2832" width="14" style="1" bestFit="1" customWidth="1"/>
    <col min="2833" max="2833" width="11.5703125" style="1" bestFit="1" customWidth="1"/>
    <col min="2834" max="2834" width="13.85546875" style="1" bestFit="1" customWidth="1"/>
    <col min="2835" max="3072" width="11.42578125" style="1"/>
    <col min="3073" max="3073" width="20.28515625" style="1" customWidth="1"/>
    <col min="3074" max="3074" width="21.7109375" style="1" customWidth="1"/>
    <col min="3075" max="3075" width="22" style="1" customWidth="1"/>
    <col min="3076" max="3076" width="17.140625" style="1" customWidth="1"/>
    <col min="3077" max="3077" width="21.42578125" style="1" customWidth="1"/>
    <col min="3078" max="3078" width="19.5703125" style="1" customWidth="1"/>
    <col min="3079" max="3079" width="14.140625" style="1" bestFit="1" customWidth="1"/>
    <col min="3080" max="3080" width="8.42578125" style="1" customWidth="1"/>
    <col min="3081" max="3081" width="14.42578125" style="1" bestFit="1" customWidth="1"/>
    <col min="3082" max="3082" width="4.42578125" style="1" customWidth="1"/>
    <col min="3083" max="3083" width="14.42578125" style="1" bestFit="1" customWidth="1"/>
    <col min="3084" max="3084" width="13.42578125" style="1" customWidth="1"/>
    <col min="3085" max="3085" width="14.7109375" style="1" bestFit="1" customWidth="1"/>
    <col min="3086" max="3086" width="14.28515625" style="1" bestFit="1" customWidth="1"/>
    <col min="3087" max="3087" width="14.28515625" style="1" customWidth="1"/>
    <col min="3088" max="3088" width="14" style="1" bestFit="1" customWidth="1"/>
    <col min="3089" max="3089" width="11.5703125" style="1" bestFit="1" customWidth="1"/>
    <col min="3090" max="3090" width="13.85546875" style="1" bestFit="1" customWidth="1"/>
    <col min="3091" max="3328" width="11.42578125" style="1"/>
    <col min="3329" max="3329" width="20.28515625" style="1" customWidth="1"/>
    <col min="3330" max="3330" width="21.7109375" style="1" customWidth="1"/>
    <col min="3331" max="3331" width="22" style="1" customWidth="1"/>
    <col min="3332" max="3332" width="17.140625" style="1" customWidth="1"/>
    <col min="3333" max="3333" width="21.42578125" style="1" customWidth="1"/>
    <col min="3334" max="3334" width="19.5703125" style="1" customWidth="1"/>
    <col min="3335" max="3335" width="14.140625" style="1" bestFit="1" customWidth="1"/>
    <col min="3336" max="3336" width="8.42578125" style="1" customWidth="1"/>
    <col min="3337" max="3337" width="14.42578125" style="1" bestFit="1" customWidth="1"/>
    <col min="3338" max="3338" width="4.42578125" style="1" customWidth="1"/>
    <col min="3339" max="3339" width="14.42578125" style="1" bestFit="1" customWidth="1"/>
    <col min="3340" max="3340" width="13.42578125" style="1" customWidth="1"/>
    <col min="3341" max="3341" width="14.7109375" style="1" bestFit="1" customWidth="1"/>
    <col min="3342" max="3342" width="14.28515625" style="1" bestFit="1" customWidth="1"/>
    <col min="3343" max="3343" width="14.28515625" style="1" customWidth="1"/>
    <col min="3344" max="3344" width="14" style="1" bestFit="1" customWidth="1"/>
    <col min="3345" max="3345" width="11.5703125" style="1" bestFit="1" customWidth="1"/>
    <col min="3346" max="3346" width="13.85546875" style="1" bestFit="1" customWidth="1"/>
    <col min="3347" max="3584" width="11.42578125" style="1"/>
    <col min="3585" max="3585" width="20.28515625" style="1" customWidth="1"/>
    <col min="3586" max="3586" width="21.7109375" style="1" customWidth="1"/>
    <col min="3587" max="3587" width="22" style="1" customWidth="1"/>
    <col min="3588" max="3588" width="17.140625" style="1" customWidth="1"/>
    <col min="3589" max="3589" width="21.42578125" style="1" customWidth="1"/>
    <col min="3590" max="3590" width="19.5703125" style="1" customWidth="1"/>
    <col min="3591" max="3591" width="14.140625" style="1" bestFit="1" customWidth="1"/>
    <col min="3592" max="3592" width="8.42578125" style="1" customWidth="1"/>
    <col min="3593" max="3593" width="14.42578125" style="1" bestFit="1" customWidth="1"/>
    <col min="3594" max="3594" width="4.42578125" style="1" customWidth="1"/>
    <col min="3595" max="3595" width="14.42578125" style="1" bestFit="1" customWidth="1"/>
    <col min="3596" max="3596" width="13.42578125" style="1" customWidth="1"/>
    <col min="3597" max="3597" width="14.7109375" style="1" bestFit="1" customWidth="1"/>
    <col min="3598" max="3598" width="14.28515625" style="1" bestFit="1" customWidth="1"/>
    <col min="3599" max="3599" width="14.28515625" style="1" customWidth="1"/>
    <col min="3600" max="3600" width="14" style="1" bestFit="1" customWidth="1"/>
    <col min="3601" max="3601" width="11.5703125" style="1" bestFit="1" customWidth="1"/>
    <col min="3602" max="3602" width="13.85546875" style="1" bestFit="1" customWidth="1"/>
    <col min="3603" max="3840" width="11.42578125" style="1"/>
    <col min="3841" max="3841" width="20.28515625" style="1" customWidth="1"/>
    <col min="3842" max="3842" width="21.7109375" style="1" customWidth="1"/>
    <col min="3843" max="3843" width="22" style="1" customWidth="1"/>
    <col min="3844" max="3844" width="17.140625" style="1" customWidth="1"/>
    <col min="3845" max="3845" width="21.42578125" style="1" customWidth="1"/>
    <col min="3846" max="3846" width="19.5703125" style="1" customWidth="1"/>
    <col min="3847" max="3847" width="14.140625" style="1" bestFit="1" customWidth="1"/>
    <col min="3848" max="3848" width="8.42578125" style="1" customWidth="1"/>
    <col min="3849" max="3849" width="14.42578125" style="1" bestFit="1" customWidth="1"/>
    <col min="3850" max="3850" width="4.42578125" style="1" customWidth="1"/>
    <col min="3851" max="3851" width="14.42578125" style="1" bestFit="1" customWidth="1"/>
    <col min="3852" max="3852" width="13.42578125" style="1" customWidth="1"/>
    <col min="3853" max="3853" width="14.7109375" style="1" bestFit="1" customWidth="1"/>
    <col min="3854" max="3854" width="14.28515625" style="1" bestFit="1" customWidth="1"/>
    <col min="3855" max="3855" width="14.28515625" style="1" customWidth="1"/>
    <col min="3856" max="3856" width="14" style="1" bestFit="1" customWidth="1"/>
    <col min="3857" max="3857" width="11.5703125" style="1" bestFit="1" customWidth="1"/>
    <col min="3858" max="3858" width="13.85546875" style="1" bestFit="1" customWidth="1"/>
    <col min="3859" max="4096" width="11.42578125" style="1"/>
    <col min="4097" max="4097" width="20.28515625" style="1" customWidth="1"/>
    <col min="4098" max="4098" width="21.7109375" style="1" customWidth="1"/>
    <col min="4099" max="4099" width="22" style="1" customWidth="1"/>
    <col min="4100" max="4100" width="17.140625" style="1" customWidth="1"/>
    <col min="4101" max="4101" width="21.42578125" style="1" customWidth="1"/>
    <col min="4102" max="4102" width="19.5703125" style="1" customWidth="1"/>
    <col min="4103" max="4103" width="14.140625" style="1" bestFit="1" customWidth="1"/>
    <col min="4104" max="4104" width="8.42578125" style="1" customWidth="1"/>
    <col min="4105" max="4105" width="14.42578125" style="1" bestFit="1" customWidth="1"/>
    <col min="4106" max="4106" width="4.42578125" style="1" customWidth="1"/>
    <col min="4107" max="4107" width="14.42578125" style="1" bestFit="1" customWidth="1"/>
    <col min="4108" max="4108" width="13.42578125" style="1" customWidth="1"/>
    <col min="4109" max="4109" width="14.7109375" style="1" bestFit="1" customWidth="1"/>
    <col min="4110" max="4110" width="14.28515625" style="1" bestFit="1" customWidth="1"/>
    <col min="4111" max="4111" width="14.28515625" style="1" customWidth="1"/>
    <col min="4112" max="4112" width="14" style="1" bestFit="1" customWidth="1"/>
    <col min="4113" max="4113" width="11.5703125" style="1" bestFit="1" customWidth="1"/>
    <col min="4114" max="4114" width="13.85546875" style="1" bestFit="1" customWidth="1"/>
    <col min="4115" max="4352" width="11.42578125" style="1"/>
    <col min="4353" max="4353" width="20.28515625" style="1" customWidth="1"/>
    <col min="4354" max="4354" width="21.7109375" style="1" customWidth="1"/>
    <col min="4355" max="4355" width="22" style="1" customWidth="1"/>
    <col min="4356" max="4356" width="17.140625" style="1" customWidth="1"/>
    <col min="4357" max="4357" width="21.42578125" style="1" customWidth="1"/>
    <col min="4358" max="4358" width="19.5703125" style="1" customWidth="1"/>
    <col min="4359" max="4359" width="14.140625" style="1" bestFit="1" customWidth="1"/>
    <col min="4360" max="4360" width="8.42578125" style="1" customWidth="1"/>
    <col min="4361" max="4361" width="14.42578125" style="1" bestFit="1" customWidth="1"/>
    <col min="4362" max="4362" width="4.42578125" style="1" customWidth="1"/>
    <col min="4363" max="4363" width="14.42578125" style="1" bestFit="1" customWidth="1"/>
    <col min="4364" max="4364" width="13.42578125" style="1" customWidth="1"/>
    <col min="4365" max="4365" width="14.7109375" style="1" bestFit="1" customWidth="1"/>
    <col min="4366" max="4366" width="14.28515625" style="1" bestFit="1" customWidth="1"/>
    <col min="4367" max="4367" width="14.28515625" style="1" customWidth="1"/>
    <col min="4368" max="4368" width="14" style="1" bestFit="1" customWidth="1"/>
    <col min="4369" max="4369" width="11.5703125" style="1" bestFit="1" customWidth="1"/>
    <col min="4370" max="4370" width="13.85546875" style="1" bestFit="1" customWidth="1"/>
    <col min="4371" max="4608" width="11.42578125" style="1"/>
    <col min="4609" max="4609" width="20.28515625" style="1" customWidth="1"/>
    <col min="4610" max="4610" width="21.7109375" style="1" customWidth="1"/>
    <col min="4611" max="4611" width="22" style="1" customWidth="1"/>
    <col min="4612" max="4612" width="17.140625" style="1" customWidth="1"/>
    <col min="4613" max="4613" width="21.42578125" style="1" customWidth="1"/>
    <col min="4614" max="4614" width="19.5703125" style="1" customWidth="1"/>
    <col min="4615" max="4615" width="14.140625" style="1" bestFit="1" customWidth="1"/>
    <col min="4616" max="4616" width="8.42578125" style="1" customWidth="1"/>
    <col min="4617" max="4617" width="14.42578125" style="1" bestFit="1" customWidth="1"/>
    <col min="4618" max="4618" width="4.42578125" style="1" customWidth="1"/>
    <col min="4619" max="4619" width="14.42578125" style="1" bestFit="1" customWidth="1"/>
    <col min="4620" max="4620" width="13.42578125" style="1" customWidth="1"/>
    <col min="4621" max="4621" width="14.7109375" style="1" bestFit="1" customWidth="1"/>
    <col min="4622" max="4622" width="14.28515625" style="1" bestFit="1" customWidth="1"/>
    <col min="4623" max="4623" width="14.28515625" style="1" customWidth="1"/>
    <col min="4624" max="4624" width="14" style="1" bestFit="1" customWidth="1"/>
    <col min="4625" max="4625" width="11.5703125" style="1" bestFit="1" customWidth="1"/>
    <col min="4626" max="4626" width="13.85546875" style="1" bestFit="1" customWidth="1"/>
    <col min="4627" max="4864" width="11.42578125" style="1"/>
    <col min="4865" max="4865" width="20.28515625" style="1" customWidth="1"/>
    <col min="4866" max="4866" width="21.7109375" style="1" customWidth="1"/>
    <col min="4867" max="4867" width="22" style="1" customWidth="1"/>
    <col min="4868" max="4868" width="17.140625" style="1" customWidth="1"/>
    <col min="4869" max="4869" width="21.42578125" style="1" customWidth="1"/>
    <col min="4870" max="4870" width="19.5703125" style="1" customWidth="1"/>
    <col min="4871" max="4871" width="14.140625" style="1" bestFit="1" customWidth="1"/>
    <col min="4872" max="4872" width="8.42578125" style="1" customWidth="1"/>
    <col min="4873" max="4873" width="14.42578125" style="1" bestFit="1" customWidth="1"/>
    <col min="4874" max="4874" width="4.42578125" style="1" customWidth="1"/>
    <col min="4875" max="4875" width="14.42578125" style="1" bestFit="1" customWidth="1"/>
    <col min="4876" max="4876" width="13.42578125" style="1" customWidth="1"/>
    <col min="4877" max="4877" width="14.7109375" style="1" bestFit="1" customWidth="1"/>
    <col min="4878" max="4878" width="14.28515625" style="1" bestFit="1" customWidth="1"/>
    <col min="4879" max="4879" width="14.28515625" style="1" customWidth="1"/>
    <col min="4880" max="4880" width="14" style="1" bestFit="1" customWidth="1"/>
    <col min="4881" max="4881" width="11.5703125" style="1" bestFit="1" customWidth="1"/>
    <col min="4882" max="4882" width="13.85546875" style="1" bestFit="1" customWidth="1"/>
    <col min="4883" max="5120" width="11.42578125" style="1"/>
    <col min="5121" max="5121" width="20.28515625" style="1" customWidth="1"/>
    <col min="5122" max="5122" width="21.7109375" style="1" customWidth="1"/>
    <col min="5123" max="5123" width="22" style="1" customWidth="1"/>
    <col min="5124" max="5124" width="17.140625" style="1" customWidth="1"/>
    <col min="5125" max="5125" width="21.42578125" style="1" customWidth="1"/>
    <col min="5126" max="5126" width="19.5703125" style="1" customWidth="1"/>
    <col min="5127" max="5127" width="14.140625" style="1" bestFit="1" customWidth="1"/>
    <col min="5128" max="5128" width="8.42578125" style="1" customWidth="1"/>
    <col min="5129" max="5129" width="14.42578125" style="1" bestFit="1" customWidth="1"/>
    <col min="5130" max="5130" width="4.42578125" style="1" customWidth="1"/>
    <col min="5131" max="5131" width="14.42578125" style="1" bestFit="1" customWidth="1"/>
    <col min="5132" max="5132" width="13.42578125" style="1" customWidth="1"/>
    <col min="5133" max="5133" width="14.7109375" style="1" bestFit="1" customWidth="1"/>
    <col min="5134" max="5134" width="14.28515625" style="1" bestFit="1" customWidth="1"/>
    <col min="5135" max="5135" width="14.28515625" style="1" customWidth="1"/>
    <col min="5136" max="5136" width="14" style="1" bestFit="1" customWidth="1"/>
    <col min="5137" max="5137" width="11.5703125" style="1" bestFit="1" customWidth="1"/>
    <col min="5138" max="5138" width="13.85546875" style="1" bestFit="1" customWidth="1"/>
    <col min="5139" max="5376" width="11.42578125" style="1"/>
    <col min="5377" max="5377" width="20.28515625" style="1" customWidth="1"/>
    <col min="5378" max="5378" width="21.7109375" style="1" customWidth="1"/>
    <col min="5379" max="5379" width="22" style="1" customWidth="1"/>
    <col min="5380" max="5380" width="17.140625" style="1" customWidth="1"/>
    <col min="5381" max="5381" width="21.42578125" style="1" customWidth="1"/>
    <col min="5382" max="5382" width="19.5703125" style="1" customWidth="1"/>
    <col min="5383" max="5383" width="14.140625" style="1" bestFit="1" customWidth="1"/>
    <col min="5384" max="5384" width="8.42578125" style="1" customWidth="1"/>
    <col min="5385" max="5385" width="14.42578125" style="1" bestFit="1" customWidth="1"/>
    <col min="5386" max="5386" width="4.42578125" style="1" customWidth="1"/>
    <col min="5387" max="5387" width="14.42578125" style="1" bestFit="1" customWidth="1"/>
    <col min="5388" max="5388" width="13.42578125" style="1" customWidth="1"/>
    <col min="5389" max="5389" width="14.7109375" style="1" bestFit="1" customWidth="1"/>
    <col min="5390" max="5390" width="14.28515625" style="1" bestFit="1" customWidth="1"/>
    <col min="5391" max="5391" width="14.28515625" style="1" customWidth="1"/>
    <col min="5392" max="5392" width="14" style="1" bestFit="1" customWidth="1"/>
    <col min="5393" max="5393" width="11.5703125" style="1" bestFit="1" customWidth="1"/>
    <col min="5394" max="5394" width="13.85546875" style="1" bestFit="1" customWidth="1"/>
    <col min="5395" max="5632" width="11.42578125" style="1"/>
    <col min="5633" max="5633" width="20.28515625" style="1" customWidth="1"/>
    <col min="5634" max="5634" width="21.7109375" style="1" customWidth="1"/>
    <col min="5635" max="5635" width="22" style="1" customWidth="1"/>
    <col min="5636" max="5636" width="17.140625" style="1" customWidth="1"/>
    <col min="5637" max="5637" width="21.42578125" style="1" customWidth="1"/>
    <col min="5638" max="5638" width="19.5703125" style="1" customWidth="1"/>
    <col min="5639" max="5639" width="14.140625" style="1" bestFit="1" customWidth="1"/>
    <col min="5640" max="5640" width="8.42578125" style="1" customWidth="1"/>
    <col min="5641" max="5641" width="14.42578125" style="1" bestFit="1" customWidth="1"/>
    <col min="5642" max="5642" width="4.42578125" style="1" customWidth="1"/>
    <col min="5643" max="5643" width="14.42578125" style="1" bestFit="1" customWidth="1"/>
    <col min="5644" max="5644" width="13.42578125" style="1" customWidth="1"/>
    <col min="5645" max="5645" width="14.7109375" style="1" bestFit="1" customWidth="1"/>
    <col min="5646" max="5646" width="14.28515625" style="1" bestFit="1" customWidth="1"/>
    <col min="5647" max="5647" width="14.28515625" style="1" customWidth="1"/>
    <col min="5648" max="5648" width="14" style="1" bestFit="1" customWidth="1"/>
    <col min="5649" max="5649" width="11.5703125" style="1" bestFit="1" customWidth="1"/>
    <col min="5650" max="5650" width="13.85546875" style="1" bestFit="1" customWidth="1"/>
    <col min="5651" max="5888" width="11.42578125" style="1"/>
    <col min="5889" max="5889" width="20.28515625" style="1" customWidth="1"/>
    <col min="5890" max="5890" width="21.7109375" style="1" customWidth="1"/>
    <col min="5891" max="5891" width="22" style="1" customWidth="1"/>
    <col min="5892" max="5892" width="17.140625" style="1" customWidth="1"/>
    <col min="5893" max="5893" width="21.42578125" style="1" customWidth="1"/>
    <col min="5894" max="5894" width="19.5703125" style="1" customWidth="1"/>
    <col min="5895" max="5895" width="14.140625" style="1" bestFit="1" customWidth="1"/>
    <col min="5896" max="5896" width="8.42578125" style="1" customWidth="1"/>
    <col min="5897" max="5897" width="14.42578125" style="1" bestFit="1" customWidth="1"/>
    <col min="5898" max="5898" width="4.42578125" style="1" customWidth="1"/>
    <col min="5899" max="5899" width="14.42578125" style="1" bestFit="1" customWidth="1"/>
    <col min="5900" max="5900" width="13.42578125" style="1" customWidth="1"/>
    <col min="5901" max="5901" width="14.7109375" style="1" bestFit="1" customWidth="1"/>
    <col min="5902" max="5902" width="14.28515625" style="1" bestFit="1" customWidth="1"/>
    <col min="5903" max="5903" width="14.28515625" style="1" customWidth="1"/>
    <col min="5904" max="5904" width="14" style="1" bestFit="1" customWidth="1"/>
    <col min="5905" max="5905" width="11.5703125" style="1" bestFit="1" customWidth="1"/>
    <col min="5906" max="5906" width="13.85546875" style="1" bestFit="1" customWidth="1"/>
    <col min="5907" max="6144" width="11.42578125" style="1"/>
    <col min="6145" max="6145" width="20.28515625" style="1" customWidth="1"/>
    <col min="6146" max="6146" width="21.7109375" style="1" customWidth="1"/>
    <col min="6147" max="6147" width="22" style="1" customWidth="1"/>
    <col min="6148" max="6148" width="17.140625" style="1" customWidth="1"/>
    <col min="6149" max="6149" width="21.42578125" style="1" customWidth="1"/>
    <col min="6150" max="6150" width="19.5703125" style="1" customWidth="1"/>
    <col min="6151" max="6151" width="14.140625" style="1" bestFit="1" customWidth="1"/>
    <col min="6152" max="6152" width="8.42578125" style="1" customWidth="1"/>
    <col min="6153" max="6153" width="14.42578125" style="1" bestFit="1" customWidth="1"/>
    <col min="6154" max="6154" width="4.42578125" style="1" customWidth="1"/>
    <col min="6155" max="6155" width="14.42578125" style="1" bestFit="1" customWidth="1"/>
    <col min="6156" max="6156" width="13.42578125" style="1" customWidth="1"/>
    <col min="6157" max="6157" width="14.7109375" style="1" bestFit="1" customWidth="1"/>
    <col min="6158" max="6158" width="14.28515625" style="1" bestFit="1" customWidth="1"/>
    <col min="6159" max="6159" width="14.28515625" style="1" customWidth="1"/>
    <col min="6160" max="6160" width="14" style="1" bestFit="1" customWidth="1"/>
    <col min="6161" max="6161" width="11.5703125" style="1" bestFit="1" customWidth="1"/>
    <col min="6162" max="6162" width="13.85546875" style="1" bestFit="1" customWidth="1"/>
    <col min="6163" max="6400" width="11.42578125" style="1"/>
    <col min="6401" max="6401" width="20.28515625" style="1" customWidth="1"/>
    <col min="6402" max="6402" width="21.7109375" style="1" customWidth="1"/>
    <col min="6403" max="6403" width="22" style="1" customWidth="1"/>
    <col min="6404" max="6404" width="17.140625" style="1" customWidth="1"/>
    <col min="6405" max="6405" width="21.42578125" style="1" customWidth="1"/>
    <col min="6406" max="6406" width="19.5703125" style="1" customWidth="1"/>
    <col min="6407" max="6407" width="14.140625" style="1" bestFit="1" customWidth="1"/>
    <col min="6408" max="6408" width="8.42578125" style="1" customWidth="1"/>
    <col min="6409" max="6409" width="14.42578125" style="1" bestFit="1" customWidth="1"/>
    <col min="6410" max="6410" width="4.42578125" style="1" customWidth="1"/>
    <col min="6411" max="6411" width="14.42578125" style="1" bestFit="1" customWidth="1"/>
    <col min="6412" max="6412" width="13.42578125" style="1" customWidth="1"/>
    <col min="6413" max="6413" width="14.7109375" style="1" bestFit="1" customWidth="1"/>
    <col min="6414" max="6414" width="14.28515625" style="1" bestFit="1" customWidth="1"/>
    <col min="6415" max="6415" width="14.28515625" style="1" customWidth="1"/>
    <col min="6416" max="6416" width="14" style="1" bestFit="1" customWidth="1"/>
    <col min="6417" max="6417" width="11.5703125" style="1" bestFit="1" customWidth="1"/>
    <col min="6418" max="6418" width="13.85546875" style="1" bestFit="1" customWidth="1"/>
    <col min="6419" max="6656" width="11.42578125" style="1"/>
    <col min="6657" max="6657" width="20.28515625" style="1" customWidth="1"/>
    <col min="6658" max="6658" width="21.7109375" style="1" customWidth="1"/>
    <col min="6659" max="6659" width="22" style="1" customWidth="1"/>
    <col min="6660" max="6660" width="17.140625" style="1" customWidth="1"/>
    <col min="6661" max="6661" width="21.42578125" style="1" customWidth="1"/>
    <col min="6662" max="6662" width="19.5703125" style="1" customWidth="1"/>
    <col min="6663" max="6663" width="14.140625" style="1" bestFit="1" customWidth="1"/>
    <col min="6664" max="6664" width="8.42578125" style="1" customWidth="1"/>
    <col min="6665" max="6665" width="14.42578125" style="1" bestFit="1" customWidth="1"/>
    <col min="6666" max="6666" width="4.42578125" style="1" customWidth="1"/>
    <col min="6667" max="6667" width="14.42578125" style="1" bestFit="1" customWidth="1"/>
    <col min="6668" max="6668" width="13.42578125" style="1" customWidth="1"/>
    <col min="6669" max="6669" width="14.7109375" style="1" bestFit="1" customWidth="1"/>
    <col min="6670" max="6670" width="14.28515625" style="1" bestFit="1" customWidth="1"/>
    <col min="6671" max="6671" width="14.28515625" style="1" customWidth="1"/>
    <col min="6672" max="6672" width="14" style="1" bestFit="1" customWidth="1"/>
    <col min="6673" max="6673" width="11.5703125" style="1" bestFit="1" customWidth="1"/>
    <col min="6674" max="6674" width="13.85546875" style="1" bestFit="1" customWidth="1"/>
    <col min="6675" max="6912" width="11.42578125" style="1"/>
    <col min="6913" max="6913" width="20.28515625" style="1" customWidth="1"/>
    <col min="6914" max="6914" width="21.7109375" style="1" customWidth="1"/>
    <col min="6915" max="6915" width="22" style="1" customWidth="1"/>
    <col min="6916" max="6916" width="17.140625" style="1" customWidth="1"/>
    <col min="6917" max="6917" width="21.42578125" style="1" customWidth="1"/>
    <col min="6918" max="6918" width="19.5703125" style="1" customWidth="1"/>
    <col min="6919" max="6919" width="14.140625" style="1" bestFit="1" customWidth="1"/>
    <col min="6920" max="6920" width="8.42578125" style="1" customWidth="1"/>
    <col min="6921" max="6921" width="14.42578125" style="1" bestFit="1" customWidth="1"/>
    <col min="6922" max="6922" width="4.42578125" style="1" customWidth="1"/>
    <col min="6923" max="6923" width="14.42578125" style="1" bestFit="1" customWidth="1"/>
    <col min="6924" max="6924" width="13.42578125" style="1" customWidth="1"/>
    <col min="6925" max="6925" width="14.7109375" style="1" bestFit="1" customWidth="1"/>
    <col min="6926" max="6926" width="14.28515625" style="1" bestFit="1" customWidth="1"/>
    <col min="6927" max="6927" width="14.28515625" style="1" customWidth="1"/>
    <col min="6928" max="6928" width="14" style="1" bestFit="1" customWidth="1"/>
    <col min="6929" max="6929" width="11.5703125" style="1" bestFit="1" customWidth="1"/>
    <col min="6930" max="6930" width="13.85546875" style="1" bestFit="1" customWidth="1"/>
    <col min="6931" max="7168" width="11.42578125" style="1"/>
    <col min="7169" max="7169" width="20.28515625" style="1" customWidth="1"/>
    <col min="7170" max="7170" width="21.7109375" style="1" customWidth="1"/>
    <col min="7171" max="7171" width="22" style="1" customWidth="1"/>
    <col min="7172" max="7172" width="17.140625" style="1" customWidth="1"/>
    <col min="7173" max="7173" width="21.42578125" style="1" customWidth="1"/>
    <col min="7174" max="7174" width="19.5703125" style="1" customWidth="1"/>
    <col min="7175" max="7175" width="14.140625" style="1" bestFit="1" customWidth="1"/>
    <col min="7176" max="7176" width="8.42578125" style="1" customWidth="1"/>
    <col min="7177" max="7177" width="14.42578125" style="1" bestFit="1" customWidth="1"/>
    <col min="7178" max="7178" width="4.42578125" style="1" customWidth="1"/>
    <col min="7179" max="7179" width="14.42578125" style="1" bestFit="1" customWidth="1"/>
    <col min="7180" max="7180" width="13.42578125" style="1" customWidth="1"/>
    <col min="7181" max="7181" width="14.7109375" style="1" bestFit="1" customWidth="1"/>
    <col min="7182" max="7182" width="14.28515625" style="1" bestFit="1" customWidth="1"/>
    <col min="7183" max="7183" width="14.28515625" style="1" customWidth="1"/>
    <col min="7184" max="7184" width="14" style="1" bestFit="1" customWidth="1"/>
    <col min="7185" max="7185" width="11.5703125" style="1" bestFit="1" customWidth="1"/>
    <col min="7186" max="7186" width="13.85546875" style="1" bestFit="1" customWidth="1"/>
    <col min="7187" max="7424" width="11.42578125" style="1"/>
    <col min="7425" max="7425" width="20.28515625" style="1" customWidth="1"/>
    <col min="7426" max="7426" width="21.7109375" style="1" customWidth="1"/>
    <col min="7427" max="7427" width="22" style="1" customWidth="1"/>
    <col min="7428" max="7428" width="17.140625" style="1" customWidth="1"/>
    <col min="7429" max="7429" width="21.42578125" style="1" customWidth="1"/>
    <col min="7430" max="7430" width="19.5703125" style="1" customWidth="1"/>
    <col min="7431" max="7431" width="14.140625" style="1" bestFit="1" customWidth="1"/>
    <col min="7432" max="7432" width="8.42578125" style="1" customWidth="1"/>
    <col min="7433" max="7433" width="14.42578125" style="1" bestFit="1" customWidth="1"/>
    <col min="7434" max="7434" width="4.42578125" style="1" customWidth="1"/>
    <col min="7435" max="7435" width="14.42578125" style="1" bestFit="1" customWidth="1"/>
    <col min="7436" max="7436" width="13.42578125" style="1" customWidth="1"/>
    <col min="7437" max="7437" width="14.7109375" style="1" bestFit="1" customWidth="1"/>
    <col min="7438" max="7438" width="14.28515625" style="1" bestFit="1" customWidth="1"/>
    <col min="7439" max="7439" width="14.28515625" style="1" customWidth="1"/>
    <col min="7440" max="7440" width="14" style="1" bestFit="1" customWidth="1"/>
    <col min="7441" max="7441" width="11.5703125" style="1" bestFit="1" customWidth="1"/>
    <col min="7442" max="7442" width="13.85546875" style="1" bestFit="1" customWidth="1"/>
    <col min="7443" max="7680" width="11.42578125" style="1"/>
    <col min="7681" max="7681" width="20.28515625" style="1" customWidth="1"/>
    <col min="7682" max="7682" width="21.7109375" style="1" customWidth="1"/>
    <col min="7683" max="7683" width="22" style="1" customWidth="1"/>
    <col min="7684" max="7684" width="17.140625" style="1" customWidth="1"/>
    <col min="7685" max="7685" width="21.42578125" style="1" customWidth="1"/>
    <col min="7686" max="7686" width="19.5703125" style="1" customWidth="1"/>
    <col min="7687" max="7687" width="14.140625" style="1" bestFit="1" customWidth="1"/>
    <col min="7688" max="7688" width="8.42578125" style="1" customWidth="1"/>
    <col min="7689" max="7689" width="14.42578125" style="1" bestFit="1" customWidth="1"/>
    <col min="7690" max="7690" width="4.42578125" style="1" customWidth="1"/>
    <col min="7691" max="7691" width="14.42578125" style="1" bestFit="1" customWidth="1"/>
    <col min="7692" max="7692" width="13.42578125" style="1" customWidth="1"/>
    <col min="7693" max="7693" width="14.7109375" style="1" bestFit="1" customWidth="1"/>
    <col min="7694" max="7694" width="14.28515625" style="1" bestFit="1" customWidth="1"/>
    <col min="7695" max="7695" width="14.28515625" style="1" customWidth="1"/>
    <col min="7696" max="7696" width="14" style="1" bestFit="1" customWidth="1"/>
    <col min="7697" max="7697" width="11.5703125" style="1" bestFit="1" customWidth="1"/>
    <col min="7698" max="7698" width="13.85546875" style="1" bestFit="1" customWidth="1"/>
    <col min="7699" max="7936" width="11.42578125" style="1"/>
    <col min="7937" max="7937" width="20.28515625" style="1" customWidth="1"/>
    <col min="7938" max="7938" width="21.7109375" style="1" customWidth="1"/>
    <col min="7939" max="7939" width="22" style="1" customWidth="1"/>
    <col min="7940" max="7940" width="17.140625" style="1" customWidth="1"/>
    <col min="7941" max="7941" width="21.42578125" style="1" customWidth="1"/>
    <col min="7942" max="7942" width="19.5703125" style="1" customWidth="1"/>
    <col min="7943" max="7943" width="14.140625" style="1" bestFit="1" customWidth="1"/>
    <col min="7944" max="7944" width="8.42578125" style="1" customWidth="1"/>
    <col min="7945" max="7945" width="14.42578125" style="1" bestFit="1" customWidth="1"/>
    <col min="7946" max="7946" width="4.42578125" style="1" customWidth="1"/>
    <col min="7947" max="7947" width="14.42578125" style="1" bestFit="1" customWidth="1"/>
    <col min="7948" max="7948" width="13.42578125" style="1" customWidth="1"/>
    <col min="7949" max="7949" width="14.7109375" style="1" bestFit="1" customWidth="1"/>
    <col min="7950" max="7950" width="14.28515625" style="1" bestFit="1" customWidth="1"/>
    <col min="7951" max="7951" width="14.28515625" style="1" customWidth="1"/>
    <col min="7952" max="7952" width="14" style="1" bestFit="1" customWidth="1"/>
    <col min="7953" max="7953" width="11.5703125" style="1" bestFit="1" customWidth="1"/>
    <col min="7954" max="7954" width="13.85546875" style="1" bestFit="1" customWidth="1"/>
    <col min="7955" max="8192" width="11.42578125" style="1"/>
    <col min="8193" max="8193" width="20.28515625" style="1" customWidth="1"/>
    <col min="8194" max="8194" width="21.7109375" style="1" customWidth="1"/>
    <col min="8195" max="8195" width="22" style="1" customWidth="1"/>
    <col min="8196" max="8196" width="17.140625" style="1" customWidth="1"/>
    <col min="8197" max="8197" width="21.42578125" style="1" customWidth="1"/>
    <col min="8198" max="8198" width="19.5703125" style="1" customWidth="1"/>
    <col min="8199" max="8199" width="14.140625" style="1" bestFit="1" customWidth="1"/>
    <col min="8200" max="8200" width="8.42578125" style="1" customWidth="1"/>
    <col min="8201" max="8201" width="14.42578125" style="1" bestFit="1" customWidth="1"/>
    <col min="8202" max="8202" width="4.42578125" style="1" customWidth="1"/>
    <col min="8203" max="8203" width="14.42578125" style="1" bestFit="1" customWidth="1"/>
    <col min="8204" max="8204" width="13.42578125" style="1" customWidth="1"/>
    <col min="8205" max="8205" width="14.7109375" style="1" bestFit="1" customWidth="1"/>
    <col min="8206" max="8206" width="14.28515625" style="1" bestFit="1" customWidth="1"/>
    <col min="8207" max="8207" width="14.28515625" style="1" customWidth="1"/>
    <col min="8208" max="8208" width="14" style="1" bestFit="1" customWidth="1"/>
    <col min="8209" max="8209" width="11.5703125" style="1" bestFit="1" customWidth="1"/>
    <col min="8210" max="8210" width="13.85546875" style="1" bestFit="1" customWidth="1"/>
    <col min="8211" max="8448" width="11.42578125" style="1"/>
    <col min="8449" max="8449" width="20.28515625" style="1" customWidth="1"/>
    <col min="8450" max="8450" width="21.7109375" style="1" customWidth="1"/>
    <col min="8451" max="8451" width="22" style="1" customWidth="1"/>
    <col min="8452" max="8452" width="17.140625" style="1" customWidth="1"/>
    <col min="8453" max="8453" width="21.42578125" style="1" customWidth="1"/>
    <col min="8454" max="8454" width="19.5703125" style="1" customWidth="1"/>
    <col min="8455" max="8455" width="14.140625" style="1" bestFit="1" customWidth="1"/>
    <col min="8456" max="8456" width="8.42578125" style="1" customWidth="1"/>
    <col min="8457" max="8457" width="14.42578125" style="1" bestFit="1" customWidth="1"/>
    <col min="8458" max="8458" width="4.42578125" style="1" customWidth="1"/>
    <col min="8459" max="8459" width="14.42578125" style="1" bestFit="1" customWidth="1"/>
    <col min="8460" max="8460" width="13.42578125" style="1" customWidth="1"/>
    <col min="8461" max="8461" width="14.7109375" style="1" bestFit="1" customWidth="1"/>
    <col min="8462" max="8462" width="14.28515625" style="1" bestFit="1" customWidth="1"/>
    <col min="8463" max="8463" width="14.28515625" style="1" customWidth="1"/>
    <col min="8464" max="8464" width="14" style="1" bestFit="1" customWidth="1"/>
    <col min="8465" max="8465" width="11.5703125" style="1" bestFit="1" customWidth="1"/>
    <col min="8466" max="8466" width="13.85546875" style="1" bestFit="1" customWidth="1"/>
    <col min="8467" max="8704" width="11.42578125" style="1"/>
    <col min="8705" max="8705" width="20.28515625" style="1" customWidth="1"/>
    <col min="8706" max="8706" width="21.7109375" style="1" customWidth="1"/>
    <col min="8707" max="8707" width="22" style="1" customWidth="1"/>
    <col min="8708" max="8708" width="17.140625" style="1" customWidth="1"/>
    <col min="8709" max="8709" width="21.42578125" style="1" customWidth="1"/>
    <col min="8710" max="8710" width="19.5703125" style="1" customWidth="1"/>
    <col min="8711" max="8711" width="14.140625" style="1" bestFit="1" customWidth="1"/>
    <col min="8712" max="8712" width="8.42578125" style="1" customWidth="1"/>
    <col min="8713" max="8713" width="14.42578125" style="1" bestFit="1" customWidth="1"/>
    <col min="8714" max="8714" width="4.42578125" style="1" customWidth="1"/>
    <col min="8715" max="8715" width="14.42578125" style="1" bestFit="1" customWidth="1"/>
    <col min="8716" max="8716" width="13.42578125" style="1" customWidth="1"/>
    <col min="8717" max="8717" width="14.7109375" style="1" bestFit="1" customWidth="1"/>
    <col min="8718" max="8718" width="14.28515625" style="1" bestFit="1" customWidth="1"/>
    <col min="8719" max="8719" width="14.28515625" style="1" customWidth="1"/>
    <col min="8720" max="8720" width="14" style="1" bestFit="1" customWidth="1"/>
    <col min="8721" max="8721" width="11.5703125" style="1" bestFit="1" customWidth="1"/>
    <col min="8722" max="8722" width="13.85546875" style="1" bestFit="1" customWidth="1"/>
    <col min="8723" max="8960" width="11.42578125" style="1"/>
    <col min="8961" max="8961" width="20.28515625" style="1" customWidth="1"/>
    <col min="8962" max="8962" width="21.7109375" style="1" customWidth="1"/>
    <col min="8963" max="8963" width="22" style="1" customWidth="1"/>
    <col min="8964" max="8964" width="17.140625" style="1" customWidth="1"/>
    <col min="8965" max="8965" width="21.42578125" style="1" customWidth="1"/>
    <col min="8966" max="8966" width="19.5703125" style="1" customWidth="1"/>
    <col min="8967" max="8967" width="14.140625" style="1" bestFit="1" customWidth="1"/>
    <col min="8968" max="8968" width="8.42578125" style="1" customWidth="1"/>
    <col min="8969" max="8969" width="14.42578125" style="1" bestFit="1" customWidth="1"/>
    <col min="8970" max="8970" width="4.42578125" style="1" customWidth="1"/>
    <col min="8971" max="8971" width="14.42578125" style="1" bestFit="1" customWidth="1"/>
    <col min="8972" max="8972" width="13.42578125" style="1" customWidth="1"/>
    <col min="8973" max="8973" width="14.7109375" style="1" bestFit="1" customWidth="1"/>
    <col min="8974" max="8974" width="14.28515625" style="1" bestFit="1" customWidth="1"/>
    <col min="8975" max="8975" width="14.28515625" style="1" customWidth="1"/>
    <col min="8976" max="8976" width="14" style="1" bestFit="1" customWidth="1"/>
    <col min="8977" max="8977" width="11.5703125" style="1" bestFit="1" customWidth="1"/>
    <col min="8978" max="8978" width="13.85546875" style="1" bestFit="1" customWidth="1"/>
    <col min="8979" max="9216" width="11.42578125" style="1"/>
    <col min="9217" max="9217" width="20.28515625" style="1" customWidth="1"/>
    <col min="9218" max="9218" width="21.7109375" style="1" customWidth="1"/>
    <col min="9219" max="9219" width="22" style="1" customWidth="1"/>
    <col min="9220" max="9220" width="17.140625" style="1" customWidth="1"/>
    <col min="9221" max="9221" width="21.42578125" style="1" customWidth="1"/>
    <col min="9222" max="9222" width="19.5703125" style="1" customWidth="1"/>
    <col min="9223" max="9223" width="14.140625" style="1" bestFit="1" customWidth="1"/>
    <col min="9224" max="9224" width="8.42578125" style="1" customWidth="1"/>
    <col min="9225" max="9225" width="14.42578125" style="1" bestFit="1" customWidth="1"/>
    <col min="9226" max="9226" width="4.42578125" style="1" customWidth="1"/>
    <col min="9227" max="9227" width="14.42578125" style="1" bestFit="1" customWidth="1"/>
    <col min="9228" max="9228" width="13.42578125" style="1" customWidth="1"/>
    <col min="9229" max="9229" width="14.7109375" style="1" bestFit="1" customWidth="1"/>
    <col min="9230" max="9230" width="14.28515625" style="1" bestFit="1" customWidth="1"/>
    <col min="9231" max="9231" width="14.28515625" style="1" customWidth="1"/>
    <col min="9232" max="9232" width="14" style="1" bestFit="1" customWidth="1"/>
    <col min="9233" max="9233" width="11.5703125" style="1" bestFit="1" customWidth="1"/>
    <col min="9234" max="9234" width="13.85546875" style="1" bestFit="1" customWidth="1"/>
    <col min="9235" max="9472" width="11.42578125" style="1"/>
    <col min="9473" max="9473" width="20.28515625" style="1" customWidth="1"/>
    <col min="9474" max="9474" width="21.7109375" style="1" customWidth="1"/>
    <col min="9475" max="9475" width="22" style="1" customWidth="1"/>
    <col min="9476" max="9476" width="17.140625" style="1" customWidth="1"/>
    <col min="9477" max="9477" width="21.42578125" style="1" customWidth="1"/>
    <col min="9478" max="9478" width="19.5703125" style="1" customWidth="1"/>
    <col min="9479" max="9479" width="14.140625" style="1" bestFit="1" customWidth="1"/>
    <col min="9480" max="9480" width="8.42578125" style="1" customWidth="1"/>
    <col min="9481" max="9481" width="14.42578125" style="1" bestFit="1" customWidth="1"/>
    <col min="9482" max="9482" width="4.42578125" style="1" customWidth="1"/>
    <col min="9483" max="9483" width="14.42578125" style="1" bestFit="1" customWidth="1"/>
    <col min="9484" max="9484" width="13.42578125" style="1" customWidth="1"/>
    <col min="9485" max="9485" width="14.7109375" style="1" bestFit="1" customWidth="1"/>
    <col min="9486" max="9486" width="14.28515625" style="1" bestFit="1" customWidth="1"/>
    <col min="9487" max="9487" width="14.28515625" style="1" customWidth="1"/>
    <col min="9488" max="9488" width="14" style="1" bestFit="1" customWidth="1"/>
    <col min="9489" max="9489" width="11.5703125" style="1" bestFit="1" customWidth="1"/>
    <col min="9490" max="9490" width="13.85546875" style="1" bestFit="1" customWidth="1"/>
    <col min="9491" max="9728" width="11.42578125" style="1"/>
    <col min="9729" max="9729" width="20.28515625" style="1" customWidth="1"/>
    <col min="9730" max="9730" width="21.7109375" style="1" customWidth="1"/>
    <col min="9731" max="9731" width="22" style="1" customWidth="1"/>
    <col min="9732" max="9732" width="17.140625" style="1" customWidth="1"/>
    <col min="9733" max="9733" width="21.42578125" style="1" customWidth="1"/>
    <col min="9734" max="9734" width="19.5703125" style="1" customWidth="1"/>
    <col min="9735" max="9735" width="14.140625" style="1" bestFit="1" customWidth="1"/>
    <col min="9736" max="9736" width="8.42578125" style="1" customWidth="1"/>
    <col min="9737" max="9737" width="14.42578125" style="1" bestFit="1" customWidth="1"/>
    <col min="9738" max="9738" width="4.42578125" style="1" customWidth="1"/>
    <col min="9739" max="9739" width="14.42578125" style="1" bestFit="1" customWidth="1"/>
    <col min="9740" max="9740" width="13.42578125" style="1" customWidth="1"/>
    <col min="9741" max="9741" width="14.7109375" style="1" bestFit="1" customWidth="1"/>
    <col min="9742" max="9742" width="14.28515625" style="1" bestFit="1" customWidth="1"/>
    <col min="9743" max="9743" width="14.28515625" style="1" customWidth="1"/>
    <col min="9744" max="9744" width="14" style="1" bestFit="1" customWidth="1"/>
    <col min="9745" max="9745" width="11.5703125" style="1" bestFit="1" customWidth="1"/>
    <col min="9746" max="9746" width="13.85546875" style="1" bestFit="1" customWidth="1"/>
    <col min="9747" max="9984" width="11.42578125" style="1"/>
    <col min="9985" max="9985" width="20.28515625" style="1" customWidth="1"/>
    <col min="9986" max="9986" width="21.7109375" style="1" customWidth="1"/>
    <col min="9987" max="9987" width="22" style="1" customWidth="1"/>
    <col min="9988" max="9988" width="17.140625" style="1" customWidth="1"/>
    <col min="9989" max="9989" width="21.42578125" style="1" customWidth="1"/>
    <col min="9990" max="9990" width="19.5703125" style="1" customWidth="1"/>
    <col min="9991" max="9991" width="14.140625" style="1" bestFit="1" customWidth="1"/>
    <col min="9992" max="9992" width="8.42578125" style="1" customWidth="1"/>
    <col min="9993" max="9993" width="14.42578125" style="1" bestFit="1" customWidth="1"/>
    <col min="9994" max="9994" width="4.42578125" style="1" customWidth="1"/>
    <col min="9995" max="9995" width="14.42578125" style="1" bestFit="1" customWidth="1"/>
    <col min="9996" max="9996" width="13.42578125" style="1" customWidth="1"/>
    <col min="9997" max="9997" width="14.7109375" style="1" bestFit="1" customWidth="1"/>
    <col min="9998" max="9998" width="14.28515625" style="1" bestFit="1" customWidth="1"/>
    <col min="9999" max="9999" width="14.28515625" style="1" customWidth="1"/>
    <col min="10000" max="10000" width="14" style="1" bestFit="1" customWidth="1"/>
    <col min="10001" max="10001" width="11.5703125" style="1" bestFit="1" customWidth="1"/>
    <col min="10002" max="10002" width="13.85546875" style="1" bestFit="1" customWidth="1"/>
    <col min="10003" max="10240" width="11.42578125" style="1"/>
    <col min="10241" max="10241" width="20.28515625" style="1" customWidth="1"/>
    <col min="10242" max="10242" width="21.7109375" style="1" customWidth="1"/>
    <col min="10243" max="10243" width="22" style="1" customWidth="1"/>
    <col min="10244" max="10244" width="17.140625" style="1" customWidth="1"/>
    <col min="10245" max="10245" width="21.42578125" style="1" customWidth="1"/>
    <col min="10246" max="10246" width="19.5703125" style="1" customWidth="1"/>
    <col min="10247" max="10247" width="14.140625" style="1" bestFit="1" customWidth="1"/>
    <col min="10248" max="10248" width="8.42578125" style="1" customWidth="1"/>
    <col min="10249" max="10249" width="14.42578125" style="1" bestFit="1" customWidth="1"/>
    <col min="10250" max="10250" width="4.42578125" style="1" customWidth="1"/>
    <col min="10251" max="10251" width="14.42578125" style="1" bestFit="1" customWidth="1"/>
    <col min="10252" max="10252" width="13.42578125" style="1" customWidth="1"/>
    <col min="10253" max="10253" width="14.7109375" style="1" bestFit="1" customWidth="1"/>
    <col min="10254" max="10254" width="14.28515625" style="1" bestFit="1" customWidth="1"/>
    <col min="10255" max="10255" width="14.28515625" style="1" customWidth="1"/>
    <col min="10256" max="10256" width="14" style="1" bestFit="1" customWidth="1"/>
    <col min="10257" max="10257" width="11.5703125" style="1" bestFit="1" customWidth="1"/>
    <col min="10258" max="10258" width="13.85546875" style="1" bestFit="1" customWidth="1"/>
    <col min="10259" max="10496" width="11.42578125" style="1"/>
    <col min="10497" max="10497" width="20.28515625" style="1" customWidth="1"/>
    <col min="10498" max="10498" width="21.7109375" style="1" customWidth="1"/>
    <col min="10499" max="10499" width="22" style="1" customWidth="1"/>
    <col min="10500" max="10500" width="17.140625" style="1" customWidth="1"/>
    <col min="10501" max="10501" width="21.42578125" style="1" customWidth="1"/>
    <col min="10502" max="10502" width="19.5703125" style="1" customWidth="1"/>
    <col min="10503" max="10503" width="14.140625" style="1" bestFit="1" customWidth="1"/>
    <col min="10504" max="10504" width="8.42578125" style="1" customWidth="1"/>
    <col min="10505" max="10505" width="14.42578125" style="1" bestFit="1" customWidth="1"/>
    <col min="10506" max="10506" width="4.42578125" style="1" customWidth="1"/>
    <col min="10507" max="10507" width="14.42578125" style="1" bestFit="1" customWidth="1"/>
    <col min="10508" max="10508" width="13.42578125" style="1" customWidth="1"/>
    <col min="10509" max="10509" width="14.7109375" style="1" bestFit="1" customWidth="1"/>
    <col min="10510" max="10510" width="14.28515625" style="1" bestFit="1" customWidth="1"/>
    <col min="10511" max="10511" width="14.28515625" style="1" customWidth="1"/>
    <col min="10512" max="10512" width="14" style="1" bestFit="1" customWidth="1"/>
    <col min="10513" max="10513" width="11.5703125" style="1" bestFit="1" customWidth="1"/>
    <col min="10514" max="10514" width="13.85546875" style="1" bestFit="1" customWidth="1"/>
    <col min="10515" max="10752" width="11.42578125" style="1"/>
    <col min="10753" max="10753" width="20.28515625" style="1" customWidth="1"/>
    <col min="10754" max="10754" width="21.7109375" style="1" customWidth="1"/>
    <col min="10755" max="10755" width="22" style="1" customWidth="1"/>
    <col min="10756" max="10756" width="17.140625" style="1" customWidth="1"/>
    <col min="10757" max="10757" width="21.42578125" style="1" customWidth="1"/>
    <col min="10758" max="10758" width="19.5703125" style="1" customWidth="1"/>
    <col min="10759" max="10759" width="14.140625" style="1" bestFit="1" customWidth="1"/>
    <col min="10760" max="10760" width="8.42578125" style="1" customWidth="1"/>
    <col min="10761" max="10761" width="14.42578125" style="1" bestFit="1" customWidth="1"/>
    <col min="10762" max="10762" width="4.42578125" style="1" customWidth="1"/>
    <col min="10763" max="10763" width="14.42578125" style="1" bestFit="1" customWidth="1"/>
    <col min="10764" max="10764" width="13.42578125" style="1" customWidth="1"/>
    <col min="10765" max="10765" width="14.7109375" style="1" bestFit="1" customWidth="1"/>
    <col min="10766" max="10766" width="14.28515625" style="1" bestFit="1" customWidth="1"/>
    <col min="10767" max="10767" width="14.28515625" style="1" customWidth="1"/>
    <col min="10768" max="10768" width="14" style="1" bestFit="1" customWidth="1"/>
    <col min="10769" max="10769" width="11.5703125" style="1" bestFit="1" customWidth="1"/>
    <col min="10770" max="10770" width="13.85546875" style="1" bestFit="1" customWidth="1"/>
    <col min="10771" max="11008" width="11.42578125" style="1"/>
    <col min="11009" max="11009" width="20.28515625" style="1" customWidth="1"/>
    <col min="11010" max="11010" width="21.7109375" style="1" customWidth="1"/>
    <col min="11011" max="11011" width="22" style="1" customWidth="1"/>
    <col min="11012" max="11012" width="17.140625" style="1" customWidth="1"/>
    <col min="11013" max="11013" width="21.42578125" style="1" customWidth="1"/>
    <col min="11014" max="11014" width="19.5703125" style="1" customWidth="1"/>
    <col min="11015" max="11015" width="14.140625" style="1" bestFit="1" customWidth="1"/>
    <col min="11016" max="11016" width="8.42578125" style="1" customWidth="1"/>
    <col min="11017" max="11017" width="14.42578125" style="1" bestFit="1" customWidth="1"/>
    <col min="11018" max="11018" width="4.42578125" style="1" customWidth="1"/>
    <col min="11019" max="11019" width="14.42578125" style="1" bestFit="1" customWidth="1"/>
    <col min="11020" max="11020" width="13.42578125" style="1" customWidth="1"/>
    <col min="11021" max="11021" width="14.7109375" style="1" bestFit="1" customWidth="1"/>
    <col min="11022" max="11022" width="14.28515625" style="1" bestFit="1" customWidth="1"/>
    <col min="11023" max="11023" width="14.28515625" style="1" customWidth="1"/>
    <col min="11024" max="11024" width="14" style="1" bestFit="1" customWidth="1"/>
    <col min="11025" max="11025" width="11.5703125" style="1" bestFit="1" customWidth="1"/>
    <col min="11026" max="11026" width="13.85546875" style="1" bestFit="1" customWidth="1"/>
    <col min="11027" max="11264" width="11.42578125" style="1"/>
    <col min="11265" max="11265" width="20.28515625" style="1" customWidth="1"/>
    <col min="11266" max="11266" width="21.7109375" style="1" customWidth="1"/>
    <col min="11267" max="11267" width="22" style="1" customWidth="1"/>
    <col min="11268" max="11268" width="17.140625" style="1" customWidth="1"/>
    <col min="11269" max="11269" width="21.42578125" style="1" customWidth="1"/>
    <col min="11270" max="11270" width="19.5703125" style="1" customWidth="1"/>
    <col min="11271" max="11271" width="14.140625" style="1" bestFit="1" customWidth="1"/>
    <col min="11272" max="11272" width="8.42578125" style="1" customWidth="1"/>
    <col min="11273" max="11273" width="14.42578125" style="1" bestFit="1" customWidth="1"/>
    <col min="11274" max="11274" width="4.42578125" style="1" customWidth="1"/>
    <col min="11275" max="11275" width="14.42578125" style="1" bestFit="1" customWidth="1"/>
    <col min="11276" max="11276" width="13.42578125" style="1" customWidth="1"/>
    <col min="11277" max="11277" width="14.7109375" style="1" bestFit="1" customWidth="1"/>
    <col min="11278" max="11278" width="14.28515625" style="1" bestFit="1" customWidth="1"/>
    <col min="11279" max="11279" width="14.28515625" style="1" customWidth="1"/>
    <col min="11280" max="11280" width="14" style="1" bestFit="1" customWidth="1"/>
    <col min="11281" max="11281" width="11.5703125" style="1" bestFit="1" customWidth="1"/>
    <col min="11282" max="11282" width="13.85546875" style="1" bestFit="1" customWidth="1"/>
    <col min="11283" max="11520" width="11.42578125" style="1"/>
    <col min="11521" max="11521" width="20.28515625" style="1" customWidth="1"/>
    <col min="11522" max="11522" width="21.7109375" style="1" customWidth="1"/>
    <col min="11523" max="11523" width="22" style="1" customWidth="1"/>
    <col min="11524" max="11524" width="17.140625" style="1" customWidth="1"/>
    <col min="11525" max="11525" width="21.42578125" style="1" customWidth="1"/>
    <col min="11526" max="11526" width="19.5703125" style="1" customWidth="1"/>
    <col min="11527" max="11527" width="14.140625" style="1" bestFit="1" customWidth="1"/>
    <col min="11528" max="11528" width="8.42578125" style="1" customWidth="1"/>
    <col min="11529" max="11529" width="14.42578125" style="1" bestFit="1" customWidth="1"/>
    <col min="11530" max="11530" width="4.42578125" style="1" customWidth="1"/>
    <col min="11531" max="11531" width="14.42578125" style="1" bestFit="1" customWidth="1"/>
    <col min="11532" max="11532" width="13.42578125" style="1" customWidth="1"/>
    <col min="11533" max="11533" width="14.7109375" style="1" bestFit="1" customWidth="1"/>
    <col min="11534" max="11534" width="14.28515625" style="1" bestFit="1" customWidth="1"/>
    <col min="11535" max="11535" width="14.28515625" style="1" customWidth="1"/>
    <col min="11536" max="11536" width="14" style="1" bestFit="1" customWidth="1"/>
    <col min="11537" max="11537" width="11.5703125" style="1" bestFit="1" customWidth="1"/>
    <col min="11538" max="11538" width="13.85546875" style="1" bestFit="1" customWidth="1"/>
    <col min="11539" max="11776" width="11.42578125" style="1"/>
    <col min="11777" max="11777" width="20.28515625" style="1" customWidth="1"/>
    <col min="11778" max="11778" width="21.7109375" style="1" customWidth="1"/>
    <col min="11779" max="11779" width="22" style="1" customWidth="1"/>
    <col min="11780" max="11780" width="17.140625" style="1" customWidth="1"/>
    <col min="11781" max="11781" width="21.42578125" style="1" customWidth="1"/>
    <col min="11782" max="11782" width="19.5703125" style="1" customWidth="1"/>
    <col min="11783" max="11783" width="14.140625" style="1" bestFit="1" customWidth="1"/>
    <col min="11784" max="11784" width="8.42578125" style="1" customWidth="1"/>
    <col min="11785" max="11785" width="14.42578125" style="1" bestFit="1" customWidth="1"/>
    <col min="11786" max="11786" width="4.42578125" style="1" customWidth="1"/>
    <col min="11787" max="11787" width="14.42578125" style="1" bestFit="1" customWidth="1"/>
    <col min="11788" max="11788" width="13.42578125" style="1" customWidth="1"/>
    <col min="11789" max="11789" width="14.7109375" style="1" bestFit="1" customWidth="1"/>
    <col min="11790" max="11790" width="14.28515625" style="1" bestFit="1" customWidth="1"/>
    <col min="11791" max="11791" width="14.28515625" style="1" customWidth="1"/>
    <col min="11792" max="11792" width="14" style="1" bestFit="1" customWidth="1"/>
    <col min="11793" max="11793" width="11.5703125" style="1" bestFit="1" customWidth="1"/>
    <col min="11794" max="11794" width="13.85546875" style="1" bestFit="1" customWidth="1"/>
    <col min="11795" max="12032" width="11.42578125" style="1"/>
    <col min="12033" max="12033" width="20.28515625" style="1" customWidth="1"/>
    <col min="12034" max="12034" width="21.7109375" style="1" customWidth="1"/>
    <col min="12035" max="12035" width="22" style="1" customWidth="1"/>
    <col min="12036" max="12036" width="17.140625" style="1" customWidth="1"/>
    <col min="12037" max="12037" width="21.42578125" style="1" customWidth="1"/>
    <col min="12038" max="12038" width="19.5703125" style="1" customWidth="1"/>
    <col min="12039" max="12039" width="14.140625" style="1" bestFit="1" customWidth="1"/>
    <col min="12040" max="12040" width="8.42578125" style="1" customWidth="1"/>
    <col min="12041" max="12041" width="14.42578125" style="1" bestFit="1" customWidth="1"/>
    <col min="12042" max="12042" width="4.42578125" style="1" customWidth="1"/>
    <col min="12043" max="12043" width="14.42578125" style="1" bestFit="1" customWidth="1"/>
    <col min="12044" max="12044" width="13.42578125" style="1" customWidth="1"/>
    <col min="12045" max="12045" width="14.7109375" style="1" bestFit="1" customWidth="1"/>
    <col min="12046" max="12046" width="14.28515625" style="1" bestFit="1" customWidth="1"/>
    <col min="12047" max="12047" width="14.28515625" style="1" customWidth="1"/>
    <col min="12048" max="12048" width="14" style="1" bestFit="1" customWidth="1"/>
    <col min="12049" max="12049" width="11.5703125" style="1" bestFit="1" customWidth="1"/>
    <col min="12050" max="12050" width="13.85546875" style="1" bestFit="1" customWidth="1"/>
    <col min="12051" max="12288" width="11.42578125" style="1"/>
    <col min="12289" max="12289" width="20.28515625" style="1" customWidth="1"/>
    <col min="12290" max="12290" width="21.7109375" style="1" customWidth="1"/>
    <col min="12291" max="12291" width="22" style="1" customWidth="1"/>
    <col min="12292" max="12292" width="17.140625" style="1" customWidth="1"/>
    <col min="12293" max="12293" width="21.42578125" style="1" customWidth="1"/>
    <col min="12294" max="12294" width="19.5703125" style="1" customWidth="1"/>
    <col min="12295" max="12295" width="14.140625" style="1" bestFit="1" customWidth="1"/>
    <col min="12296" max="12296" width="8.42578125" style="1" customWidth="1"/>
    <col min="12297" max="12297" width="14.42578125" style="1" bestFit="1" customWidth="1"/>
    <col min="12298" max="12298" width="4.42578125" style="1" customWidth="1"/>
    <col min="12299" max="12299" width="14.42578125" style="1" bestFit="1" customWidth="1"/>
    <col min="12300" max="12300" width="13.42578125" style="1" customWidth="1"/>
    <col min="12301" max="12301" width="14.7109375" style="1" bestFit="1" customWidth="1"/>
    <col min="12302" max="12302" width="14.28515625" style="1" bestFit="1" customWidth="1"/>
    <col min="12303" max="12303" width="14.28515625" style="1" customWidth="1"/>
    <col min="12304" max="12304" width="14" style="1" bestFit="1" customWidth="1"/>
    <col min="12305" max="12305" width="11.5703125" style="1" bestFit="1" customWidth="1"/>
    <col min="12306" max="12306" width="13.85546875" style="1" bestFit="1" customWidth="1"/>
    <col min="12307" max="12544" width="11.42578125" style="1"/>
    <col min="12545" max="12545" width="20.28515625" style="1" customWidth="1"/>
    <col min="12546" max="12546" width="21.7109375" style="1" customWidth="1"/>
    <col min="12547" max="12547" width="22" style="1" customWidth="1"/>
    <col min="12548" max="12548" width="17.140625" style="1" customWidth="1"/>
    <col min="12549" max="12549" width="21.42578125" style="1" customWidth="1"/>
    <col min="12550" max="12550" width="19.5703125" style="1" customWidth="1"/>
    <col min="12551" max="12551" width="14.140625" style="1" bestFit="1" customWidth="1"/>
    <col min="12552" max="12552" width="8.42578125" style="1" customWidth="1"/>
    <col min="12553" max="12553" width="14.42578125" style="1" bestFit="1" customWidth="1"/>
    <col min="12554" max="12554" width="4.42578125" style="1" customWidth="1"/>
    <col min="12555" max="12555" width="14.42578125" style="1" bestFit="1" customWidth="1"/>
    <col min="12556" max="12556" width="13.42578125" style="1" customWidth="1"/>
    <col min="12557" max="12557" width="14.7109375" style="1" bestFit="1" customWidth="1"/>
    <col min="12558" max="12558" width="14.28515625" style="1" bestFit="1" customWidth="1"/>
    <col min="12559" max="12559" width="14.28515625" style="1" customWidth="1"/>
    <col min="12560" max="12560" width="14" style="1" bestFit="1" customWidth="1"/>
    <col min="12561" max="12561" width="11.5703125" style="1" bestFit="1" customWidth="1"/>
    <col min="12562" max="12562" width="13.85546875" style="1" bestFit="1" customWidth="1"/>
    <col min="12563" max="12800" width="11.42578125" style="1"/>
    <col min="12801" max="12801" width="20.28515625" style="1" customWidth="1"/>
    <col min="12802" max="12802" width="21.7109375" style="1" customWidth="1"/>
    <col min="12803" max="12803" width="22" style="1" customWidth="1"/>
    <col min="12804" max="12804" width="17.140625" style="1" customWidth="1"/>
    <col min="12805" max="12805" width="21.42578125" style="1" customWidth="1"/>
    <col min="12806" max="12806" width="19.5703125" style="1" customWidth="1"/>
    <col min="12807" max="12807" width="14.140625" style="1" bestFit="1" customWidth="1"/>
    <col min="12808" max="12808" width="8.42578125" style="1" customWidth="1"/>
    <col min="12809" max="12809" width="14.42578125" style="1" bestFit="1" customWidth="1"/>
    <col min="12810" max="12810" width="4.42578125" style="1" customWidth="1"/>
    <col min="12811" max="12811" width="14.42578125" style="1" bestFit="1" customWidth="1"/>
    <col min="12812" max="12812" width="13.42578125" style="1" customWidth="1"/>
    <col min="12813" max="12813" width="14.7109375" style="1" bestFit="1" customWidth="1"/>
    <col min="12814" max="12814" width="14.28515625" style="1" bestFit="1" customWidth="1"/>
    <col min="12815" max="12815" width="14.28515625" style="1" customWidth="1"/>
    <col min="12816" max="12816" width="14" style="1" bestFit="1" customWidth="1"/>
    <col min="12817" max="12817" width="11.5703125" style="1" bestFit="1" customWidth="1"/>
    <col min="12818" max="12818" width="13.85546875" style="1" bestFit="1" customWidth="1"/>
    <col min="12819" max="13056" width="11.42578125" style="1"/>
    <col min="13057" max="13057" width="20.28515625" style="1" customWidth="1"/>
    <col min="13058" max="13058" width="21.7109375" style="1" customWidth="1"/>
    <col min="13059" max="13059" width="22" style="1" customWidth="1"/>
    <col min="13060" max="13060" width="17.140625" style="1" customWidth="1"/>
    <col min="13061" max="13061" width="21.42578125" style="1" customWidth="1"/>
    <col min="13062" max="13062" width="19.5703125" style="1" customWidth="1"/>
    <col min="13063" max="13063" width="14.140625" style="1" bestFit="1" customWidth="1"/>
    <col min="13064" max="13064" width="8.42578125" style="1" customWidth="1"/>
    <col min="13065" max="13065" width="14.42578125" style="1" bestFit="1" customWidth="1"/>
    <col min="13066" max="13066" width="4.42578125" style="1" customWidth="1"/>
    <col min="13067" max="13067" width="14.42578125" style="1" bestFit="1" customWidth="1"/>
    <col min="13068" max="13068" width="13.42578125" style="1" customWidth="1"/>
    <col min="13069" max="13069" width="14.7109375" style="1" bestFit="1" customWidth="1"/>
    <col min="13070" max="13070" width="14.28515625" style="1" bestFit="1" customWidth="1"/>
    <col min="13071" max="13071" width="14.28515625" style="1" customWidth="1"/>
    <col min="13072" max="13072" width="14" style="1" bestFit="1" customWidth="1"/>
    <col min="13073" max="13073" width="11.5703125" style="1" bestFit="1" customWidth="1"/>
    <col min="13074" max="13074" width="13.85546875" style="1" bestFit="1" customWidth="1"/>
    <col min="13075" max="13312" width="11.42578125" style="1"/>
    <col min="13313" max="13313" width="20.28515625" style="1" customWidth="1"/>
    <col min="13314" max="13314" width="21.7109375" style="1" customWidth="1"/>
    <col min="13315" max="13315" width="22" style="1" customWidth="1"/>
    <col min="13316" max="13316" width="17.140625" style="1" customWidth="1"/>
    <col min="13317" max="13317" width="21.42578125" style="1" customWidth="1"/>
    <col min="13318" max="13318" width="19.5703125" style="1" customWidth="1"/>
    <col min="13319" max="13319" width="14.140625" style="1" bestFit="1" customWidth="1"/>
    <col min="13320" max="13320" width="8.42578125" style="1" customWidth="1"/>
    <col min="13321" max="13321" width="14.42578125" style="1" bestFit="1" customWidth="1"/>
    <col min="13322" max="13322" width="4.42578125" style="1" customWidth="1"/>
    <col min="13323" max="13323" width="14.42578125" style="1" bestFit="1" customWidth="1"/>
    <col min="13324" max="13324" width="13.42578125" style="1" customWidth="1"/>
    <col min="13325" max="13325" width="14.7109375" style="1" bestFit="1" customWidth="1"/>
    <col min="13326" max="13326" width="14.28515625" style="1" bestFit="1" customWidth="1"/>
    <col min="13327" max="13327" width="14.28515625" style="1" customWidth="1"/>
    <col min="13328" max="13328" width="14" style="1" bestFit="1" customWidth="1"/>
    <col min="13329" max="13329" width="11.5703125" style="1" bestFit="1" customWidth="1"/>
    <col min="13330" max="13330" width="13.85546875" style="1" bestFit="1" customWidth="1"/>
    <col min="13331" max="13568" width="11.42578125" style="1"/>
    <col min="13569" max="13569" width="20.28515625" style="1" customWidth="1"/>
    <col min="13570" max="13570" width="21.7109375" style="1" customWidth="1"/>
    <col min="13571" max="13571" width="22" style="1" customWidth="1"/>
    <col min="13572" max="13572" width="17.140625" style="1" customWidth="1"/>
    <col min="13573" max="13573" width="21.42578125" style="1" customWidth="1"/>
    <col min="13574" max="13574" width="19.5703125" style="1" customWidth="1"/>
    <col min="13575" max="13575" width="14.140625" style="1" bestFit="1" customWidth="1"/>
    <col min="13576" max="13576" width="8.42578125" style="1" customWidth="1"/>
    <col min="13577" max="13577" width="14.42578125" style="1" bestFit="1" customWidth="1"/>
    <col min="13578" max="13578" width="4.42578125" style="1" customWidth="1"/>
    <col min="13579" max="13579" width="14.42578125" style="1" bestFit="1" customWidth="1"/>
    <col min="13580" max="13580" width="13.42578125" style="1" customWidth="1"/>
    <col min="13581" max="13581" width="14.7109375" style="1" bestFit="1" customWidth="1"/>
    <col min="13582" max="13582" width="14.28515625" style="1" bestFit="1" customWidth="1"/>
    <col min="13583" max="13583" width="14.28515625" style="1" customWidth="1"/>
    <col min="13584" max="13584" width="14" style="1" bestFit="1" customWidth="1"/>
    <col min="13585" max="13585" width="11.5703125" style="1" bestFit="1" customWidth="1"/>
    <col min="13586" max="13586" width="13.85546875" style="1" bestFit="1" customWidth="1"/>
    <col min="13587" max="13824" width="11.42578125" style="1"/>
    <col min="13825" max="13825" width="20.28515625" style="1" customWidth="1"/>
    <col min="13826" max="13826" width="21.7109375" style="1" customWidth="1"/>
    <col min="13827" max="13827" width="22" style="1" customWidth="1"/>
    <col min="13828" max="13828" width="17.140625" style="1" customWidth="1"/>
    <col min="13829" max="13829" width="21.42578125" style="1" customWidth="1"/>
    <col min="13830" max="13830" width="19.5703125" style="1" customWidth="1"/>
    <col min="13831" max="13831" width="14.140625" style="1" bestFit="1" customWidth="1"/>
    <col min="13832" max="13832" width="8.42578125" style="1" customWidth="1"/>
    <col min="13833" max="13833" width="14.42578125" style="1" bestFit="1" customWidth="1"/>
    <col min="13834" max="13834" width="4.42578125" style="1" customWidth="1"/>
    <col min="13835" max="13835" width="14.42578125" style="1" bestFit="1" customWidth="1"/>
    <col min="13836" max="13836" width="13.42578125" style="1" customWidth="1"/>
    <col min="13837" max="13837" width="14.7109375" style="1" bestFit="1" customWidth="1"/>
    <col min="13838" max="13838" width="14.28515625" style="1" bestFit="1" customWidth="1"/>
    <col min="13839" max="13839" width="14.28515625" style="1" customWidth="1"/>
    <col min="13840" max="13840" width="14" style="1" bestFit="1" customWidth="1"/>
    <col min="13841" max="13841" width="11.5703125" style="1" bestFit="1" customWidth="1"/>
    <col min="13842" max="13842" width="13.85546875" style="1" bestFit="1" customWidth="1"/>
    <col min="13843" max="14080" width="11.42578125" style="1"/>
    <col min="14081" max="14081" width="20.28515625" style="1" customWidth="1"/>
    <col min="14082" max="14082" width="21.7109375" style="1" customWidth="1"/>
    <col min="14083" max="14083" width="22" style="1" customWidth="1"/>
    <col min="14084" max="14084" width="17.140625" style="1" customWidth="1"/>
    <col min="14085" max="14085" width="21.42578125" style="1" customWidth="1"/>
    <col min="14086" max="14086" width="19.5703125" style="1" customWidth="1"/>
    <col min="14087" max="14087" width="14.140625" style="1" bestFit="1" customWidth="1"/>
    <col min="14088" max="14088" width="8.42578125" style="1" customWidth="1"/>
    <col min="14089" max="14089" width="14.42578125" style="1" bestFit="1" customWidth="1"/>
    <col min="14090" max="14090" width="4.42578125" style="1" customWidth="1"/>
    <col min="14091" max="14091" width="14.42578125" style="1" bestFit="1" customWidth="1"/>
    <col min="14092" max="14092" width="13.42578125" style="1" customWidth="1"/>
    <col min="14093" max="14093" width="14.7109375" style="1" bestFit="1" customWidth="1"/>
    <col min="14094" max="14094" width="14.28515625" style="1" bestFit="1" customWidth="1"/>
    <col min="14095" max="14095" width="14.28515625" style="1" customWidth="1"/>
    <col min="14096" max="14096" width="14" style="1" bestFit="1" customWidth="1"/>
    <col min="14097" max="14097" width="11.5703125" style="1" bestFit="1" customWidth="1"/>
    <col min="14098" max="14098" width="13.85546875" style="1" bestFit="1" customWidth="1"/>
    <col min="14099" max="14336" width="11.42578125" style="1"/>
    <col min="14337" max="14337" width="20.28515625" style="1" customWidth="1"/>
    <col min="14338" max="14338" width="21.7109375" style="1" customWidth="1"/>
    <col min="14339" max="14339" width="22" style="1" customWidth="1"/>
    <col min="14340" max="14340" width="17.140625" style="1" customWidth="1"/>
    <col min="14341" max="14341" width="21.42578125" style="1" customWidth="1"/>
    <col min="14342" max="14342" width="19.5703125" style="1" customWidth="1"/>
    <col min="14343" max="14343" width="14.140625" style="1" bestFit="1" customWidth="1"/>
    <col min="14344" max="14344" width="8.42578125" style="1" customWidth="1"/>
    <col min="14345" max="14345" width="14.42578125" style="1" bestFit="1" customWidth="1"/>
    <col min="14346" max="14346" width="4.42578125" style="1" customWidth="1"/>
    <col min="14347" max="14347" width="14.42578125" style="1" bestFit="1" customWidth="1"/>
    <col min="14348" max="14348" width="13.42578125" style="1" customWidth="1"/>
    <col min="14349" max="14349" width="14.7109375" style="1" bestFit="1" customWidth="1"/>
    <col min="14350" max="14350" width="14.28515625" style="1" bestFit="1" customWidth="1"/>
    <col min="14351" max="14351" width="14.28515625" style="1" customWidth="1"/>
    <col min="14352" max="14352" width="14" style="1" bestFit="1" customWidth="1"/>
    <col min="14353" max="14353" width="11.5703125" style="1" bestFit="1" customWidth="1"/>
    <col min="14354" max="14354" width="13.85546875" style="1" bestFit="1" customWidth="1"/>
    <col min="14355" max="14592" width="11.42578125" style="1"/>
    <col min="14593" max="14593" width="20.28515625" style="1" customWidth="1"/>
    <col min="14594" max="14594" width="21.7109375" style="1" customWidth="1"/>
    <col min="14595" max="14595" width="22" style="1" customWidth="1"/>
    <col min="14596" max="14596" width="17.140625" style="1" customWidth="1"/>
    <col min="14597" max="14597" width="21.42578125" style="1" customWidth="1"/>
    <col min="14598" max="14598" width="19.5703125" style="1" customWidth="1"/>
    <col min="14599" max="14599" width="14.140625" style="1" bestFit="1" customWidth="1"/>
    <col min="14600" max="14600" width="8.42578125" style="1" customWidth="1"/>
    <col min="14601" max="14601" width="14.42578125" style="1" bestFit="1" customWidth="1"/>
    <col min="14602" max="14602" width="4.42578125" style="1" customWidth="1"/>
    <col min="14603" max="14603" width="14.42578125" style="1" bestFit="1" customWidth="1"/>
    <col min="14604" max="14604" width="13.42578125" style="1" customWidth="1"/>
    <col min="14605" max="14605" width="14.7109375" style="1" bestFit="1" customWidth="1"/>
    <col min="14606" max="14606" width="14.28515625" style="1" bestFit="1" customWidth="1"/>
    <col min="14607" max="14607" width="14.28515625" style="1" customWidth="1"/>
    <col min="14608" max="14608" width="14" style="1" bestFit="1" customWidth="1"/>
    <col min="14609" max="14609" width="11.5703125" style="1" bestFit="1" customWidth="1"/>
    <col min="14610" max="14610" width="13.85546875" style="1" bestFit="1" customWidth="1"/>
    <col min="14611" max="14848" width="11.42578125" style="1"/>
    <col min="14849" max="14849" width="20.28515625" style="1" customWidth="1"/>
    <col min="14850" max="14850" width="21.7109375" style="1" customWidth="1"/>
    <col min="14851" max="14851" width="22" style="1" customWidth="1"/>
    <col min="14852" max="14852" width="17.140625" style="1" customWidth="1"/>
    <col min="14853" max="14853" width="21.42578125" style="1" customWidth="1"/>
    <col min="14854" max="14854" width="19.5703125" style="1" customWidth="1"/>
    <col min="14855" max="14855" width="14.140625" style="1" bestFit="1" customWidth="1"/>
    <col min="14856" max="14856" width="8.42578125" style="1" customWidth="1"/>
    <col min="14857" max="14857" width="14.42578125" style="1" bestFit="1" customWidth="1"/>
    <col min="14858" max="14858" width="4.42578125" style="1" customWidth="1"/>
    <col min="14859" max="14859" width="14.42578125" style="1" bestFit="1" customWidth="1"/>
    <col min="14860" max="14860" width="13.42578125" style="1" customWidth="1"/>
    <col min="14861" max="14861" width="14.7109375" style="1" bestFit="1" customWidth="1"/>
    <col min="14862" max="14862" width="14.28515625" style="1" bestFit="1" customWidth="1"/>
    <col min="14863" max="14863" width="14.28515625" style="1" customWidth="1"/>
    <col min="14864" max="14864" width="14" style="1" bestFit="1" customWidth="1"/>
    <col min="14865" max="14865" width="11.5703125" style="1" bestFit="1" customWidth="1"/>
    <col min="14866" max="14866" width="13.85546875" style="1" bestFit="1" customWidth="1"/>
    <col min="14867" max="15104" width="11.42578125" style="1"/>
    <col min="15105" max="15105" width="20.28515625" style="1" customWidth="1"/>
    <col min="15106" max="15106" width="21.7109375" style="1" customWidth="1"/>
    <col min="15107" max="15107" width="22" style="1" customWidth="1"/>
    <col min="15108" max="15108" width="17.140625" style="1" customWidth="1"/>
    <col min="15109" max="15109" width="21.42578125" style="1" customWidth="1"/>
    <col min="15110" max="15110" width="19.5703125" style="1" customWidth="1"/>
    <col min="15111" max="15111" width="14.140625" style="1" bestFit="1" customWidth="1"/>
    <col min="15112" max="15112" width="8.42578125" style="1" customWidth="1"/>
    <col min="15113" max="15113" width="14.42578125" style="1" bestFit="1" customWidth="1"/>
    <col min="15114" max="15114" width="4.42578125" style="1" customWidth="1"/>
    <col min="15115" max="15115" width="14.42578125" style="1" bestFit="1" customWidth="1"/>
    <col min="15116" max="15116" width="13.42578125" style="1" customWidth="1"/>
    <col min="15117" max="15117" width="14.7109375" style="1" bestFit="1" customWidth="1"/>
    <col min="15118" max="15118" width="14.28515625" style="1" bestFit="1" customWidth="1"/>
    <col min="15119" max="15119" width="14.28515625" style="1" customWidth="1"/>
    <col min="15120" max="15120" width="14" style="1" bestFit="1" customWidth="1"/>
    <col min="15121" max="15121" width="11.5703125" style="1" bestFit="1" customWidth="1"/>
    <col min="15122" max="15122" width="13.85546875" style="1" bestFit="1" customWidth="1"/>
    <col min="15123" max="15360" width="11.42578125" style="1"/>
    <col min="15361" max="15361" width="20.28515625" style="1" customWidth="1"/>
    <col min="15362" max="15362" width="21.7109375" style="1" customWidth="1"/>
    <col min="15363" max="15363" width="22" style="1" customWidth="1"/>
    <col min="15364" max="15364" width="17.140625" style="1" customWidth="1"/>
    <col min="15365" max="15365" width="21.42578125" style="1" customWidth="1"/>
    <col min="15366" max="15366" width="19.5703125" style="1" customWidth="1"/>
    <col min="15367" max="15367" width="14.140625" style="1" bestFit="1" customWidth="1"/>
    <col min="15368" max="15368" width="8.42578125" style="1" customWidth="1"/>
    <col min="15369" max="15369" width="14.42578125" style="1" bestFit="1" customWidth="1"/>
    <col min="15370" max="15370" width="4.42578125" style="1" customWidth="1"/>
    <col min="15371" max="15371" width="14.42578125" style="1" bestFit="1" customWidth="1"/>
    <col min="15372" max="15372" width="13.42578125" style="1" customWidth="1"/>
    <col min="15373" max="15373" width="14.7109375" style="1" bestFit="1" customWidth="1"/>
    <col min="15374" max="15374" width="14.28515625" style="1" bestFit="1" customWidth="1"/>
    <col min="15375" max="15375" width="14.28515625" style="1" customWidth="1"/>
    <col min="15376" max="15376" width="14" style="1" bestFit="1" customWidth="1"/>
    <col min="15377" max="15377" width="11.5703125" style="1" bestFit="1" customWidth="1"/>
    <col min="15378" max="15378" width="13.85546875" style="1" bestFit="1" customWidth="1"/>
    <col min="15379" max="15616" width="11.42578125" style="1"/>
    <col min="15617" max="15617" width="20.28515625" style="1" customWidth="1"/>
    <col min="15618" max="15618" width="21.7109375" style="1" customWidth="1"/>
    <col min="15619" max="15619" width="22" style="1" customWidth="1"/>
    <col min="15620" max="15620" width="17.140625" style="1" customWidth="1"/>
    <col min="15621" max="15621" width="21.42578125" style="1" customWidth="1"/>
    <col min="15622" max="15622" width="19.5703125" style="1" customWidth="1"/>
    <col min="15623" max="15623" width="14.140625" style="1" bestFit="1" customWidth="1"/>
    <col min="15624" max="15624" width="8.42578125" style="1" customWidth="1"/>
    <col min="15625" max="15625" width="14.42578125" style="1" bestFit="1" customWidth="1"/>
    <col min="15626" max="15626" width="4.42578125" style="1" customWidth="1"/>
    <col min="15627" max="15627" width="14.42578125" style="1" bestFit="1" customWidth="1"/>
    <col min="15628" max="15628" width="13.42578125" style="1" customWidth="1"/>
    <col min="15629" max="15629" width="14.7109375" style="1" bestFit="1" customWidth="1"/>
    <col min="15630" max="15630" width="14.28515625" style="1" bestFit="1" customWidth="1"/>
    <col min="15631" max="15631" width="14.28515625" style="1" customWidth="1"/>
    <col min="15632" max="15632" width="14" style="1" bestFit="1" customWidth="1"/>
    <col min="15633" max="15633" width="11.5703125" style="1" bestFit="1" customWidth="1"/>
    <col min="15634" max="15634" width="13.85546875" style="1" bestFit="1" customWidth="1"/>
    <col min="15635" max="15872" width="11.42578125" style="1"/>
    <col min="15873" max="15873" width="20.28515625" style="1" customWidth="1"/>
    <col min="15874" max="15874" width="21.7109375" style="1" customWidth="1"/>
    <col min="15875" max="15875" width="22" style="1" customWidth="1"/>
    <col min="15876" max="15876" width="17.140625" style="1" customWidth="1"/>
    <col min="15877" max="15877" width="21.42578125" style="1" customWidth="1"/>
    <col min="15878" max="15878" width="19.5703125" style="1" customWidth="1"/>
    <col min="15879" max="15879" width="14.140625" style="1" bestFit="1" customWidth="1"/>
    <col min="15880" max="15880" width="8.42578125" style="1" customWidth="1"/>
    <col min="15881" max="15881" width="14.42578125" style="1" bestFit="1" customWidth="1"/>
    <col min="15882" max="15882" width="4.42578125" style="1" customWidth="1"/>
    <col min="15883" max="15883" width="14.42578125" style="1" bestFit="1" customWidth="1"/>
    <col min="15884" max="15884" width="13.42578125" style="1" customWidth="1"/>
    <col min="15885" max="15885" width="14.7109375" style="1" bestFit="1" customWidth="1"/>
    <col min="15886" max="15886" width="14.28515625" style="1" bestFit="1" customWidth="1"/>
    <col min="15887" max="15887" width="14.28515625" style="1" customWidth="1"/>
    <col min="15888" max="15888" width="14" style="1" bestFit="1" customWidth="1"/>
    <col min="15889" max="15889" width="11.5703125" style="1" bestFit="1" customWidth="1"/>
    <col min="15890" max="15890" width="13.85546875" style="1" bestFit="1" customWidth="1"/>
    <col min="15891" max="16128" width="11.42578125" style="1"/>
    <col min="16129" max="16129" width="20.28515625" style="1" customWidth="1"/>
    <col min="16130" max="16130" width="21.7109375" style="1" customWidth="1"/>
    <col min="16131" max="16131" width="22" style="1" customWidth="1"/>
    <col min="16132" max="16132" width="17.140625" style="1" customWidth="1"/>
    <col min="16133" max="16133" width="21.42578125" style="1" customWidth="1"/>
    <col min="16134" max="16134" width="19.5703125" style="1" customWidth="1"/>
    <col min="16135" max="16135" width="14.140625" style="1" bestFit="1" customWidth="1"/>
    <col min="16136" max="16136" width="8.42578125" style="1" customWidth="1"/>
    <col min="16137" max="16137" width="14.42578125" style="1" bestFit="1" customWidth="1"/>
    <col min="16138" max="16138" width="4.42578125" style="1" customWidth="1"/>
    <col min="16139" max="16139" width="14.42578125" style="1" bestFit="1" customWidth="1"/>
    <col min="16140" max="16140" width="13.42578125" style="1" customWidth="1"/>
    <col min="16141" max="16141" width="14.7109375" style="1" bestFit="1" customWidth="1"/>
    <col min="16142" max="16142" width="14.28515625" style="1" bestFit="1" customWidth="1"/>
    <col min="16143" max="16143" width="14.28515625" style="1" customWidth="1"/>
    <col min="16144" max="16144" width="14" style="1" bestFit="1" customWidth="1"/>
    <col min="16145" max="16145" width="11.5703125" style="1" bestFit="1" customWidth="1"/>
    <col min="16146" max="16146" width="13.85546875" style="1" bestFit="1" customWidth="1"/>
    <col min="16147" max="16384" width="11.42578125" style="1"/>
  </cols>
  <sheetData>
    <row r="1" spans="1:29" s="7" customFormat="1" ht="8.25" customHeight="1" thickBot="1" x14ac:dyDescent="0.25">
      <c r="A1" s="54"/>
      <c r="B1" s="55"/>
      <c r="C1" s="54"/>
      <c r="D1" s="56"/>
      <c r="E1" s="1"/>
      <c r="F1" s="1"/>
      <c r="G1" s="57"/>
      <c r="H1" s="57"/>
      <c r="I1" s="57"/>
      <c r="J1" s="57"/>
      <c r="K1" s="58"/>
      <c r="L1" s="59"/>
      <c r="M1" s="59"/>
      <c r="N1" s="4"/>
      <c r="O1" s="4"/>
      <c r="P1" s="60"/>
      <c r="W1" s="61"/>
      <c r="X1" s="61"/>
      <c r="Y1" s="61"/>
      <c r="Z1" s="61"/>
      <c r="AA1" s="61"/>
      <c r="AB1" s="61"/>
    </row>
    <row r="2" spans="1:29" ht="31.5" customHeight="1" thickBot="1" x14ac:dyDescent="0.25">
      <c r="A2" s="378" t="s">
        <v>131</v>
      </c>
      <c r="B2" s="379"/>
      <c r="C2" s="379"/>
      <c r="D2" s="379"/>
      <c r="E2" s="380"/>
      <c r="F2" s="62"/>
      <c r="G2" s="328" t="s">
        <v>14</v>
      </c>
      <c r="H2" s="64">
        <v>0.95</v>
      </c>
      <c r="I2" s="62"/>
      <c r="J2" s="65"/>
      <c r="K2" s="58"/>
      <c r="L2" s="66"/>
      <c r="M2" s="66"/>
      <c r="N2" s="67"/>
      <c r="O2" s="67"/>
      <c r="P2" s="68"/>
      <c r="Q2" s="98" t="s">
        <v>165</v>
      </c>
      <c r="R2" s="4"/>
      <c r="S2" s="361" t="s">
        <v>135</v>
      </c>
      <c r="T2" s="360" t="s">
        <v>133</v>
      </c>
      <c r="U2" s="359" t="s">
        <v>134</v>
      </c>
      <c r="V2" s="61"/>
      <c r="W2" s="6"/>
      <c r="X2" s="6"/>
      <c r="Y2" s="6"/>
      <c r="Z2" s="6"/>
      <c r="AA2" s="6"/>
      <c r="AB2" s="6"/>
      <c r="AC2" s="6"/>
    </row>
    <row r="3" spans="1:29" ht="27.75" customHeight="1" thickBot="1" x14ac:dyDescent="0.25">
      <c r="A3" s="487" t="s">
        <v>146</v>
      </c>
      <c r="B3" s="488"/>
      <c r="C3" s="488"/>
      <c r="D3" s="488"/>
      <c r="E3" s="489"/>
      <c r="F3" s="69"/>
      <c r="J3" s="65"/>
      <c r="K3" s="58"/>
      <c r="L3" s="66"/>
      <c r="M3" s="66"/>
      <c r="N3" s="67"/>
      <c r="O3" s="67"/>
      <c r="P3" s="68"/>
      <c r="Q3" s="436" t="s">
        <v>11</v>
      </c>
      <c r="R3" s="362">
        <f>U3+T3+S3</f>
        <v>19.632577322403449</v>
      </c>
      <c r="S3" s="397">
        <f>I32</f>
        <v>7.2918671068669232</v>
      </c>
      <c r="T3" s="398">
        <f>I31</f>
        <v>1</v>
      </c>
      <c r="U3" s="399">
        <f>I30</f>
        <v>11.340710215536525</v>
      </c>
      <c r="V3" s="67"/>
      <c r="W3" s="6"/>
      <c r="X3" s="6"/>
      <c r="Y3" s="6"/>
      <c r="Z3" s="6"/>
      <c r="AA3" s="6"/>
      <c r="AB3" s="6"/>
      <c r="AC3" s="6"/>
    </row>
    <row r="4" spans="1:29" ht="14.25" customHeight="1" x14ac:dyDescent="0.5">
      <c r="A4" s="70"/>
      <c r="B4" s="71"/>
      <c r="C4" s="59"/>
      <c r="D4" s="59"/>
      <c r="E4" s="5"/>
      <c r="F4" s="376" t="s">
        <v>126</v>
      </c>
      <c r="G4" s="330">
        <v>3</v>
      </c>
      <c r="H4" s="375" t="s">
        <v>145</v>
      </c>
      <c r="J4" s="72"/>
      <c r="K4" s="73"/>
      <c r="N4" s="67"/>
      <c r="O4" s="405"/>
      <c r="P4" s="74"/>
      <c r="Q4" s="3"/>
      <c r="R4" s="67"/>
      <c r="S4" s="67"/>
      <c r="T4" s="67"/>
      <c r="U4" s="67"/>
      <c r="V4" s="67"/>
      <c r="W4" s="6"/>
      <c r="X4" s="75"/>
      <c r="Y4" s="76"/>
      <c r="Z4" s="6"/>
      <c r="AA4" s="6"/>
      <c r="AB4" s="6"/>
      <c r="AC4" s="6"/>
    </row>
    <row r="5" spans="1:29" x14ac:dyDescent="0.2">
      <c r="A5" s="77" t="s">
        <v>15</v>
      </c>
      <c r="B5" s="78"/>
      <c r="C5" s="79" t="s">
        <v>16</v>
      </c>
      <c r="D5" s="79" t="s">
        <v>17</v>
      </c>
      <c r="E5" s="80"/>
      <c r="J5" s="81"/>
      <c r="K5" s="82"/>
      <c r="L5" s="82"/>
      <c r="M5" s="82"/>
      <c r="N5" s="67"/>
      <c r="O5" s="67"/>
      <c r="P5" s="67"/>
      <c r="Q5" s="437" t="s">
        <v>166</v>
      </c>
      <c r="R5" s="358" t="str">
        <f>H4</f>
        <v>años</v>
      </c>
      <c r="U5" s="2" t="s">
        <v>0</v>
      </c>
      <c r="V5" s="75"/>
      <c r="W5" s="6"/>
      <c r="X5" s="75"/>
      <c r="Y5" s="76"/>
      <c r="Z5" s="6"/>
      <c r="AA5" s="6"/>
      <c r="AB5" s="6"/>
      <c r="AC5" s="6"/>
    </row>
    <row r="6" spans="1:29" x14ac:dyDescent="0.2">
      <c r="A6" s="83"/>
      <c r="B6" s="84"/>
      <c r="C6" s="85" t="s">
        <v>18</v>
      </c>
      <c r="D6" s="85" t="s">
        <v>19</v>
      </c>
      <c r="E6" s="86" t="s">
        <v>20</v>
      </c>
      <c r="F6" s="427"/>
      <c r="G6" s="428" t="s">
        <v>162</v>
      </c>
      <c r="H6" s="428" t="s">
        <v>163</v>
      </c>
      <c r="J6" s="82"/>
      <c r="K6" s="82"/>
      <c r="L6" s="82"/>
      <c r="M6" s="82"/>
      <c r="N6" s="428" t="s">
        <v>164</v>
      </c>
      <c r="O6" s="67"/>
      <c r="P6" s="67"/>
      <c r="Q6" s="11" t="s">
        <v>1</v>
      </c>
      <c r="R6" s="12">
        <f>R14</f>
        <v>0.63352867308497274</v>
      </c>
      <c r="S6" s="13">
        <f>R6/R9</f>
        <v>0.21117622436165759</v>
      </c>
      <c r="U6" s="363">
        <f>R6*365.25</f>
        <v>231.39634784428628</v>
      </c>
      <c r="V6" s="75"/>
      <c r="W6" s="6"/>
      <c r="X6" s="75"/>
      <c r="Y6" s="6"/>
      <c r="Z6" s="6"/>
      <c r="AA6" s="6"/>
      <c r="AB6" s="6"/>
      <c r="AC6" s="6"/>
    </row>
    <row r="7" spans="1:29" ht="12.75" customHeight="1" x14ac:dyDescent="0.2">
      <c r="A7" s="465"/>
      <c r="B7" s="87" t="s">
        <v>21</v>
      </c>
      <c r="C7" s="88">
        <v>894</v>
      </c>
      <c r="D7" s="89">
        <f>E7-C7</f>
        <v>1513</v>
      </c>
      <c r="E7" s="90">
        <v>2407</v>
      </c>
      <c r="F7" s="429">
        <f>C7/E7</f>
        <v>0.37141670128791027</v>
      </c>
      <c r="G7" s="430">
        <v>0.128</v>
      </c>
      <c r="H7" s="431">
        <f>(F7/G7)</f>
        <v>2.9016929788117989</v>
      </c>
      <c r="J7" s="82"/>
      <c r="K7" s="82"/>
      <c r="L7" s="82"/>
      <c r="M7" s="82"/>
      <c r="N7" s="432">
        <f>H7*12</f>
        <v>34.820315745741588</v>
      </c>
      <c r="O7" s="67"/>
      <c r="P7" s="67"/>
      <c r="Q7" s="14" t="s">
        <v>3</v>
      </c>
      <c r="R7" s="15">
        <f>Q14</f>
        <v>7.6403621153107393E-2</v>
      </c>
      <c r="S7" s="16">
        <f>R7/R9</f>
        <v>2.5467873717702465E-2</v>
      </c>
      <c r="U7" s="364">
        <f>R7*365.25</f>
        <v>27.906422626172475</v>
      </c>
      <c r="V7" s="75"/>
      <c r="W7" s="6"/>
      <c r="X7" s="75"/>
      <c r="Y7" s="6"/>
      <c r="Z7" s="6"/>
      <c r="AA7" s="6"/>
      <c r="AB7" s="6"/>
      <c r="AC7" s="6"/>
    </row>
    <row r="8" spans="1:29" ht="12.75" customHeight="1" x14ac:dyDescent="0.2">
      <c r="A8" s="465"/>
      <c r="B8" s="87" t="s">
        <v>22</v>
      </c>
      <c r="C8" s="88">
        <v>1009</v>
      </c>
      <c r="D8" s="89">
        <f>E8-C8</f>
        <v>1380</v>
      </c>
      <c r="E8" s="90">
        <v>2389</v>
      </c>
      <c r="F8" s="429">
        <f>C8/E8</f>
        <v>0.42235244872331518</v>
      </c>
      <c r="G8" s="430">
        <v>0.14599999999999999</v>
      </c>
      <c r="H8" s="431">
        <f>(F8/G8)</f>
        <v>2.8928249912555835</v>
      </c>
      <c r="J8" s="82"/>
      <c r="K8" s="82"/>
      <c r="L8" s="91"/>
      <c r="M8" s="82"/>
      <c r="N8" s="432">
        <f t="shared" ref="N8:N9" si="0">H8*12</f>
        <v>34.713899895067001</v>
      </c>
      <c r="O8" s="67"/>
      <c r="P8" s="67"/>
      <c r="Q8" s="17" t="s">
        <v>2</v>
      </c>
      <c r="R8" s="18">
        <f>P14</f>
        <v>2.2900677057619196</v>
      </c>
      <c r="S8" s="19">
        <f>R8/R9</f>
        <v>0.76335590192063985</v>
      </c>
      <c r="U8" s="365">
        <f>R8*365.26</f>
        <v>836.4701302065987</v>
      </c>
      <c r="V8" s="75"/>
      <c r="W8" s="6"/>
      <c r="X8" s="75"/>
      <c r="Y8" s="6"/>
      <c r="Z8" s="6"/>
      <c r="AA8" s="6"/>
      <c r="AB8" s="6"/>
      <c r="AC8" s="6"/>
    </row>
    <row r="9" spans="1:29" x14ac:dyDescent="0.2">
      <c r="A9" s="83"/>
      <c r="B9" s="92" t="s">
        <v>20</v>
      </c>
      <c r="C9" s="93">
        <f>SUM(C7:C8)</f>
        <v>1903</v>
      </c>
      <c r="D9" s="94">
        <f>SUM(D7:D8)</f>
        <v>2893</v>
      </c>
      <c r="E9" s="95">
        <f>SUM(E7:E8)</f>
        <v>4796</v>
      </c>
      <c r="F9" s="433">
        <f>C9/E9</f>
        <v>0.39678899082568808</v>
      </c>
      <c r="G9" s="391"/>
      <c r="H9" s="434">
        <f>((H7*E7)+(H8*E8))/E9</f>
        <v>2.8972756263781463</v>
      </c>
      <c r="J9" s="82"/>
      <c r="K9" s="82"/>
      <c r="L9" s="91"/>
      <c r="M9" s="82"/>
      <c r="N9" s="435">
        <f t="shared" si="0"/>
        <v>34.767307516537755</v>
      </c>
      <c r="O9" s="96"/>
      <c r="P9" s="97"/>
      <c r="R9" s="9">
        <f>SUM(R6:R8)</f>
        <v>3</v>
      </c>
      <c r="U9" s="20">
        <f>SUM(U6:U8)</f>
        <v>1095.7729006770574</v>
      </c>
      <c r="V9" s="75"/>
      <c r="W9" s="6"/>
      <c r="X9" s="75"/>
      <c r="Y9" s="6"/>
      <c r="Z9" s="6"/>
      <c r="AA9" s="6"/>
      <c r="AB9" s="6"/>
      <c r="AC9" s="6"/>
    </row>
    <row r="10" spans="1:29" ht="12.75" customHeight="1" x14ac:dyDescent="0.2">
      <c r="A10" s="83"/>
      <c r="B10" s="83"/>
      <c r="C10" s="83"/>
      <c r="D10" s="83"/>
      <c r="E10" s="83"/>
      <c r="F10" s="172"/>
      <c r="G10" s="82"/>
      <c r="H10" s="81"/>
      <c r="I10" s="81"/>
      <c r="J10" s="81"/>
      <c r="K10" s="82"/>
      <c r="L10" s="91"/>
      <c r="M10" s="82"/>
      <c r="O10" s="96"/>
      <c r="P10" s="97"/>
      <c r="Q10" s="97"/>
      <c r="R10" s="97"/>
      <c r="S10" s="75"/>
      <c r="U10" s="75"/>
      <c r="V10" s="75"/>
      <c r="W10" s="6"/>
      <c r="X10" s="75"/>
      <c r="Y10" s="6"/>
      <c r="Z10" s="6"/>
      <c r="AA10" s="6"/>
      <c r="AB10" s="6"/>
      <c r="AC10" s="6"/>
    </row>
    <row r="11" spans="1:29" s="7" customFormat="1" ht="14.25" hidden="1" customHeight="1" x14ac:dyDescent="0.2">
      <c r="A11" s="98" t="s">
        <v>23</v>
      </c>
      <c r="B11" s="99"/>
      <c r="C11" s="100"/>
      <c r="D11" s="4"/>
      <c r="E11" s="101"/>
      <c r="F11" s="102"/>
      <c r="G11" s="91"/>
      <c r="H11" s="102"/>
      <c r="I11" s="91"/>
      <c r="J11" s="103"/>
      <c r="K11" s="103"/>
      <c r="L11" s="102"/>
      <c r="M11" s="103"/>
      <c r="O11" s="4"/>
      <c r="P11" s="104"/>
      <c r="Q11" s="104"/>
      <c r="R11" s="104"/>
      <c r="S11" s="4"/>
      <c r="T11" s="4"/>
      <c r="U11" s="4"/>
      <c r="V11" s="4"/>
    </row>
    <row r="12" spans="1:29" s="7" customFormat="1" ht="12.75" hidden="1" customHeight="1" x14ac:dyDescent="0.2">
      <c r="A12" s="83" t="s">
        <v>24</v>
      </c>
      <c r="B12" s="99"/>
      <c r="C12" s="100"/>
      <c r="D12" s="4"/>
      <c r="E12" s="101"/>
      <c r="F12" s="102"/>
      <c r="G12" s="91"/>
      <c r="H12" s="102"/>
      <c r="I12" s="91"/>
      <c r="J12" s="105"/>
      <c r="K12" s="103"/>
      <c r="L12" s="103"/>
      <c r="M12" s="103"/>
      <c r="N12" s="7" t="s">
        <v>123</v>
      </c>
      <c r="O12" s="4"/>
      <c r="P12" s="104"/>
      <c r="Q12" s="60"/>
      <c r="R12" s="60"/>
      <c r="S12" s="4"/>
      <c r="T12" s="4"/>
      <c r="U12" s="4"/>
      <c r="V12" s="4"/>
    </row>
    <row r="13" spans="1:29" s="7" customFormat="1" ht="45" hidden="1" customHeight="1" x14ac:dyDescent="0.2">
      <c r="A13" s="106" t="s">
        <v>25</v>
      </c>
      <c r="B13" s="106" t="s">
        <v>26</v>
      </c>
      <c r="C13" s="106" t="s">
        <v>27</v>
      </c>
      <c r="D13" s="106" t="s">
        <v>28</v>
      </c>
      <c r="E13" s="106" t="s">
        <v>29</v>
      </c>
      <c r="F13" s="106" t="s">
        <v>30</v>
      </c>
      <c r="G13" s="106" t="s">
        <v>31</v>
      </c>
      <c r="H13" s="106" t="s">
        <v>32</v>
      </c>
      <c r="I13" s="91"/>
      <c r="J13" s="107" t="s">
        <v>33</v>
      </c>
      <c r="K13" s="108" t="s">
        <v>34</v>
      </c>
      <c r="L13" s="108" t="s">
        <v>35</v>
      </c>
      <c r="M13" s="103"/>
      <c r="N13" s="329" t="s">
        <v>124</v>
      </c>
      <c r="O13" s="329" t="s">
        <v>125</v>
      </c>
      <c r="P13" s="333" t="s">
        <v>2</v>
      </c>
      <c r="Q13" s="334" t="s">
        <v>3</v>
      </c>
      <c r="R13" s="335" t="s">
        <v>1</v>
      </c>
      <c r="S13" s="4"/>
      <c r="V13" s="4"/>
    </row>
    <row r="14" spans="1:29" s="7" customFormat="1" ht="12.75" hidden="1" customHeight="1" x14ac:dyDescent="0.2">
      <c r="A14" s="109">
        <f>LN((C7/E7)/(C8/E8))</f>
        <v>-0.12851553563735715</v>
      </c>
      <c r="B14" s="109">
        <f>SQRT((D7/(C7*E7)+(D8/(C8*E8))))</f>
        <v>3.5715660499832234E-2</v>
      </c>
      <c r="C14" s="110">
        <f>-NORMSINV((1-H2)/2)</f>
        <v>1.9599639845400536</v>
      </c>
      <c r="D14" s="111">
        <f>A14-(C14*B14)</f>
        <v>-0.19851694390108815</v>
      </c>
      <c r="E14" s="112">
        <f>A14+(C14*B14)</f>
        <v>-5.8514127373626171E-2</v>
      </c>
      <c r="F14" s="113">
        <f>(C7/E7)/(C8/E8)</f>
        <v>0.87939990027434856</v>
      </c>
      <c r="G14" s="113">
        <f>EXP(D14)</f>
        <v>0.81994587754085602</v>
      </c>
      <c r="H14" s="113">
        <f>EXP(E14)</f>
        <v>0.94316491586238904</v>
      </c>
      <c r="I14" s="91"/>
      <c r="J14" s="114">
        <f>1-F14</f>
        <v>0.12060009972565144</v>
      </c>
      <c r="K14" s="113">
        <f>1-G14</f>
        <v>0.18005412245914398</v>
      </c>
      <c r="L14" s="113">
        <f>1-H14</f>
        <v>5.6835084137610958E-2</v>
      </c>
      <c r="M14" s="115"/>
      <c r="N14" s="331">
        <f>(C7/E7)*G4/2</f>
        <v>0.55712505193186534</v>
      </c>
      <c r="O14" s="332">
        <f>(C8/E8)*G4/2</f>
        <v>0.63352867308497274</v>
      </c>
      <c r="P14" s="336">
        <f>G4-Q14-R14</f>
        <v>2.2900677057619196</v>
      </c>
      <c r="Q14" s="336">
        <f>O14-N14</f>
        <v>7.6403621153107393E-2</v>
      </c>
      <c r="R14" s="336">
        <f>O14</f>
        <v>0.63352867308497274</v>
      </c>
      <c r="S14" s="4" t="str">
        <f>H4</f>
        <v>años</v>
      </c>
      <c r="V14" s="4"/>
    </row>
    <row r="15" spans="1:29" s="7" customFormat="1" ht="12.75" hidden="1" customHeight="1" x14ac:dyDescent="0.2">
      <c r="A15" s="116"/>
      <c r="B15" s="99"/>
      <c r="C15" s="99"/>
      <c r="D15" s="99"/>
      <c r="E15" s="117"/>
      <c r="F15" s="118"/>
      <c r="G15" s="91"/>
      <c r="H15" s="102"/>
      <c r="I15" s="91"/>
      <c r="J15" s="102"/>
      <c r="K15" s="102"/>
      <c r="L15" s="102"/>
      <c r="M15" s="103"/>
      <c r="O15" s="4"/>
      <c r="P15" s="4"/>
      <c r="Q15" s="4"/>
      <c r="R15" s="4"/>
      <c r="S15" s="4"/>
      <c r="T15" s="4"/>
      <c r="U15" s="4"/>
      <c r="V15" s="4"/>
    </row>
    <row r="16" spans="1:29" s="6" customFormat="1" ht="12.75" hidden="1" customHeight="1" x14ac:dyDescent="0.2">
      <c r="A16" s="119"/>
      <c r="B16" s="120"/>
      <c r="C16" s="121"/>
      <c r="D16" s="122"/>
      <c r="E16" s="123"/>
      <c r="F16" s="124"/>
      <c r="G16" s="125"/>
      <c r="H16" s="126"/>
      <c r="I16" s="126"/>
      <c r="J16" s="127"/>
      <c r="K16" s="127"/>
      <c r="L16" s="128"/>
      <c r="M16" s="128"/>
    </row>
    <row r="17" spans="1:29" ht="15.75" hidden="1" customHeight="1" x14ac:dyDescent="0.2">
      <c r="A17" s="129" t="s">
        <v>36</v>
      </c>
      <c r="B17" s="4"/>
      <c r="C17" s="130"/>
      <c r="D17" s="130"/>
      <c r="E17" s="59"/>
      <c r="F17" s="59"/>
      <c r="G17" s="131"/>
      <c r="H17" s="132"/>
      <c r="I17" s="133"/>
      <c r="J17" s="133"/>
      <c r="K17" s="7"/>
      <c r="L17" s="103"/>
      <c r="M17" s="91"/>
      <c r="N17" s="132"/>
      <c r="O17" s="4"/>
      <c r="P17" s="4"/>
      <c r="Q17" s="134"/>
      <c r="R17" s="132"/>
      <c r="S17" s="135"/>
      <c r="T17" s="135"/>
      <c r="U17" s="135"/>
      <c r="V17" s="6"/>
      <c r="W17" s="6"/>
      <c r="X17" s="6"/>
      <c r="Y17" s="6"/>
      <c r="Z17" s="6"/>
      <c r="AA17" s="6"/>
      <c r="AB17" s="6"/>
    </row>
    <row r="18" spans="1:29" ht="12.75" hidden="1" customHeight="1" x14ac:dyDescent="0.2">
      <c r="A18" s="136" t="s">
        <v>37</v>
      </c>
      <c r="B18" s="4"/>
      <c r="C18" s="132"/>
      <c r="D18" s="132"/>
      <c r="E18" s="4"/>
      <c r="F18" s="4"/>
      <c r="G18" s="134"/>
      <c r="H18" s="132"/>
      <c r="I18" s="135"/>
      <c r="J18" s="135"/>
      <c r="K18" s="135"/>
      <c r="L18" s="103"/>
      <c r="M18" s="91"/>
      <c r="N18" s="4"/>
      <c r="O18" s="4"/>
      <c r="P18" s="134"/>
      <c r="Q18" s="132"/>
      <c r="R18" s="135"/>
      <c r="S18" s="135"/>
      <c r="T18" s="135"/>
      <c r="V18" s="6" t="s">
        <v>38</v>
      </c>
      <c r="W18" s="6"/>
      <c r="X18" s="6"/>
      <c r="Y18" s="6"/>
      <c r="Z18" s="6"/>
      <c r="AA18" s="6"/>
    </row>
    <row r="19" spans="1:29" ht="25.5" hidden="1" customHeight="1" x14ac:dyDescent="0.2">
      <c r="A19" s="137" t="s">
        <v>39</v>
      </c>
      <c r="B19" s="1" t="s">
        <v>40</v>
      </c>
      <c r="C19" s="7"/>
      <c r="D19" s="1" t="s">
        <v>41</v>
      </c>
      <c r="F19" s="1" t="s">
        <v>42</v>
      </c>
      <c r="H19" s="1" t="s">
        <v>43</v>
      </c>
      <c r="I19" s="135"/>
      <c r="J19" s="135"/>
      <c r="K19" s="135"/>
      <c r="L19" s="103"/>
      <c r="M19" s="127"/>
      <c r="O19" s="1"/>
      <c r="S19" s="6"/>
      <c r="U19" s="1"/>
      <c r="V19" s="1" t="s">
        <v>44</v>
      </c>
      <c r="X19" s="6"/>
      <c r="Y19" s="6"/>
      <c r="Z19" s="6"/>
      <c r="AA19" s="6"/>
      <c r="AB19" s="6"/>
      <c r="AC19" s="6"/>
    </row>
    <row r="20" spans="1:29" ht="38.25" hidden="1" customHeight="1" x14ac:dyDescent="0.25">
      <c r="A20" s="106" t="s">
        <v>45</v>
      </c>
      <c r="B20" s="106" t="s">
        <v>46</v>
      </c>
      <c r="C20" s="138" t="s">
        <v>47</v>
      </c>
      <c r="D20" s="138" t="s">
        <v>40</v>
      </c>
      <c r="E20" s="138" t="s">
        <v>48</v>
      </c>
      <c r="F20" s="138" t="s">
        <v>42</v>
      </c>
      <c r="G20" s="138" t="s">
        <v>43</v>
      </c>
      <c r="H20" s="139" t="s">
        <v>49</v>
      </c>
      <c r="I20" s="138" t="s">
        <v>50</v>
      </c>
      <c r="J20" s="138" t="s">
        <v>34</v>
      </c>
      <c r="K20" s="138" t="s">
        <v>35</v>
      </c>
      <c r="L20" s="140"/>
      <c r="M20" s="141"/>
      <c r="N20" s="142" t="s">
        <v>51</v>
      </c>
      <c r="O20" s="143" t="s">
        <v>52</v>
      </c>
      <c r="P20" s="144"/>
      <c r="Q20" s="145"/>
      <c r="R20" s="146"/>
      <c r="S20" s="146"/>
      <c r="T20" s="147"/>
      <c r="V20" s="148"/>
      <c r="W20" s="142" t="s">
        <v>53</v>
      </c>
      <c r="X20" s="143" t="s">
        <v>54</v>
      </c>
      <c r="Y20" s="149"/>
      <c r="Z20" s="149"/>
      <c r="AA20" s="149" t="s">
        <v>55</v>
      </c>
      <c r="AB20" s="149"/>
      <c r="AC20" s="150"/>
    </row>
    <row r="21" spans="1:29" ht="12.75" hidden="1" customHeight="1" x14ac:dyDescent="0.2">
      <c r="A21" s="151">
        <f>C7</f>
        <v>894</v>
      </c>
      <c r="B21" s="152">
        <f>E7</f>
        <v>2407</v>
      </c>
      <c r="C21" s="153">
        <f>A21/B21</f>
        <v>0.37141670128791027</v>
      </c>
      <c r="D21" s="154">
        <f>2*A21+H21^2</f>
        <v>1791.841458820694</v>
      </c>
      <c r="E21" s="154">
        <f>H21*SQRT((H21^2)+(4*A21*(1-C21)))</f>
        <v>93.003447505223377</v>
      </c>
      <c r="F21" s="155">
        <f>2*(B21+H21^2)</f>
        <v>4821.6829176413885</v>
      </c>
      <c r="G21" s="156" t="s">
        <v>56</v>
      </c>
      <c r="H21" s="110">
        <f>-NORMSINV((1-H2)/2)</f>
        <v>1.9599639845400536</v>
      </c>
      <c r="I21" s="157">
        <f>C21</f>
        <v>0.37141670128791027</v>
      </c>
      <c r="J21" s="157">
        <f>(D21-E21)/F21</f>
        <v>0.35233300080762825</v>
      </c>
      <c r="K21" s="157">
        <f>(D21+E21)/F21</f>
        <v>0.39091017358891833</v>
      </c>
      <c r="L21" s="140"/>
      <c r="M21" s="158">
        <f>E9/2</f>
        <v>2398</v>
      </c>
      <c r="N21" s="8" t="s">
        <v>57</v>
      </c>
      <c r="O21" s="4"/>
      <c r="P21" s="134"/>
      <c r="Q21" s="132"/>
      <c r="R21" s="135"/>
      <c r="S21" s="135"/>
      <c r="T21" s="159"/>
      <c r="V21" s="160">
        <f>ABS(C21-C22)</f>
        <v>5.093574743540491E-2</v>
      </c>
      <c r="W21" s="8" t="s">
        <v>58</v>
      </c>
      <c r="X21" s="4"/>
      <c r="Y21" s="8"/>
      <c r="Z21" s="8"/>
      <c r="AA21" s="8" t="s">
        <v>59</v>
      </c>
      <c r="AB21" s="8"/>
      <c r="AC21" s="161"/>
    </row>
    <row r="22" spans="1:29" ht="14.25" hidden="1" customHeight="1" x14ac:dyDescent="0.25">
      <c r="A22" s="151">
        <f>C8</f>
        <v>1009</v>
      </c>
      <c r="B22" s="152">
        <f>E8</f>
        <v>2389</v>
      </c>
      <c r="C22" s="153">
        <f>A22/B22</f>
        <v>0.42235244872331518</v>
      </c>
      <c r="D22" s="154">
        <f>2*A22+H22^2</f>
        <v>2021.841458820694</v>
      </c>
      <c r="E22" s="154">
        <f>H22*SQRT((H22^2)+(4*A22*(1-C22)))</f>
        <v>94.713664612914044</v>
      </c>
      <c r="F22" s="155">
        <f>2*(B22+H22^2)</f>
        <v>4785.6829176413885</v>
      </c>
      <c r="G22" s="156" t="s">
        <v>56</v>
      </c>
      <c r="H22" s="110">
        <f>-NORMSINV((1-H2)/2)</f>
        <v>1.9599639845400536</v>
      </c>
      <c r="I22" s="157">
        <f>C22</f>
        <v>0.42235244872331518</v>
      </c>
      <c r="J22" s="157">
        <f>(D22-E22)/F22</f>
        <v>0.40268605910012106</v>
      </c>
      <c r="K22" s="157">
        <f>(D22+E22)/F22</f>
        <v>0.44226814852931101</v>
      </c>
      <c r="L22" s="140"/>
      <c r="M22" s="162">
        <f>I26</f>
        <v>5.093574743540491E-2</v>
      </c>
      <c r="N22" s="8" t="s">
        <v>60</v>
      </c>
      <c r="O22" s="8"/>
      <c r="P22" s="8"/>
      <c r="Q22" s="8"/>
      <c r="R22" s="8"/>
      <c r="S22" s="8"/>
      <c r="T22" s="163"/>
      <c r="V22" s="164">
        <f>SQRT((C23*(1-C23)/B21)+(C23*(1-C23)/B22))</f>
        <v>1.41288854383851E-2</v>
      </c>
      <c r="W22" s="136" t="s">
        <v>61</v>
      </c>
      <c r="X22" s="8"/>
      <c r="Y22" s="8"/>
      <c r="Z22" s="8"/>
      <c r="AA22" s="8"/>
      <c r="AB22" s="8"/>
      <c r="AC22" s="161"/>
    </row>
    <row r="23" spans="1:29" ht="12.75" hidden="1" customHeight="1" x14ac:dyDescent="0.2">
      <c r="A23" s="151">
        <f>C9</f>
        <v>1903</v>
      </c>
      <c r="B23" s="152">
        <f>E9</f>
        <v>4796</v>
      </c>
      <c r="C23" s="153">
        <f>A23/B23</f>
        <v>0.39678899082568808</v>
      </c>
      <c r="D23" s="154">
        <f>2*A23+H23^2</f>
        <v>3809.8414588206942</v>
      </c>
      <c r="E23" s="154">
        <f>H23*SQRT((H23^2)+(4*A23*(1-C23)))</f>
        <v>132.8659521607436</v>
      </c>
      <c r="F23" s="155">
        <f>2*(B23+H23^2)</f>
        <v>9599.6829176413885</v>
      </c>
      <c r="G23" s="156" t="s">
        <v>56</v>
      </c>
      <c r="H23" s="110">
        <f>-NORMSINV((1-H2)/2)</f>
        <v>1.9599639845400536</v>
      </c>
      <c r="I23" s="157">
        <f>C23</f>
        <v>0.39678899082568808</v>
      </c>
      <c r="J23" s="157">
        <f>(D23-E23)/F23</f>
        <v>0.3830309332303834</v>
      </c>
      <c r="K23" s="157">
        <f>(D23+E23)/F23</f>
        <v>0.4107122542283041</v>
      </c>
      <c r="L23" s="140"/>
      <c r="M23" s="165">
        <f>(A21+A22)/(B21+B22)</f>
        <v>0.39678899082568808</v>
      </c>
      <c r="N23" s="8" t="s">
        <v>62</v>
      </c>
      <c r="O23" s="4"/>
      <c r="P23" s="134"/>
      <c r="Q23" s="132"/>
      <c r="R23" s="135"/>
      <c r="S23" s="135"/>
      <c r="T23" s="161"/>
      <c r="V23" s="166">
        <f>V21/V22</f>
        <v>3.6050789467811519</v>
      </c>
      <c r="W23" s="8" t="s">
        <v>63</v>
      </c>
      <c r="X23" s="4"/>
      <c r="Y23" s="8"/>
      <c r="Z23" s="8"/>
      <c r="AA23" s="8"/>
      <c r="AB23" s="8"/>
      <c r="AC23" s="161"/>
    </row>
    <row r="24" spans="1:29" ht="15" hidden="1" customHeight="1" x14ac:dyDescent="0.2">
      <c r="A24" s="83"/>
      <c r="B24" s="167" t="s">
        <v>64</v>
      </c>
      <c r="E24" s="168"/>
      <c r="F24" s="126"/>
      <c r="G24" s="126"/>
      <c r="H24" s="126"/>
      <c r="I24" s="126"/>
      <c r="J24" s="127"/>
      <c r="K24" s="82"/>
      <c r="L24" s="140"/>
      <c r="M24" s="169">
        <f>SQRT(M21*M22^2/(2*M23*(1-M23)))-H21</f>
        <v>1.6451403530205697</v>
      </c>
      <c r="N24" s="8" t="s">
        <v>65</v>
      </c>
      <c r="O24" s="8"/>
      <c r="P24" s="8"/>
      <c r="Q24" s="8"/>
      <c r="R24" s="8"/>
      <c r="S24" s="7"/>
      <c r="T24" s="159"/>
      <c r="V24" s="170">
        <f>NORMSDIST(-V23)</f>
        <v>1.5602902561367732E-4</v>
      </c>
      <c r="W24" s="129" t="s">
        <v>66</v>
      </c>
      <c r="X24" s="8"/>
      <c r="Y24" s="7"/>
      <c r="Z24" s="7"/>
      <c r="AA24" s="7"/>
      <c r="AB24" s="7"/>
      <c r="AC24" s="163"/>
    </row>
    <row r="25" spans="1:29" ht="13.5" hidden="1" customHeight="1" x14ac:dyDescent="0.2">
      <c r="A25" s="83"/>
      <c r="B25" s="167" t="s">
        <v>67</v>
      </c>
      <c r="C25" s="2"/>
      <c r="D25" s="171"/>
      <c r="E25" s="168"/>
      <c r="F25" s="126"/>
      <c r="G25" s="82"/>
      <c r="H25" s="82"/>
      <c r="I25" s="172"/>
      <c r="J25" s="172"/>
      <c r="K25" s="172"/>
      <c r="L25" s="140"/>
      <c r="M25" s="173">
        <f>NORMSDIST(M24)</f>
        <v>0.95002956470410693</v>
      </c>
      <c r="N25" s="129" t="s">
        <v>68</v>
      </c>
      <c r="O25" s="174"/>
      <c r="P25" s="8"/>
      <c r="Q25" s="8"/>
      <c r="R25" s="8"/>
      <c r="S25" s="8"/>
      <c r="T25" s="161"/>
      <c r="V25" s="175">
        <f>1-V24</f>
        <v>0.99984397097438638</v>
      </c>
      <c r="W25" s="176" t="s">
        <v>69</v>
      </c>
      <c r="X25" s="174"/>
      <c r="Y25" s="7"/>
      <c r="Z25" s="7"/>
      <c r="AA25" s="7"/>
      <c r="AB25" s="7"/>
      <c r="AC25" s="163"/>
    </row>
    <row r="26" spans="1:29" ht="15" hidden="1" customHeight="1" x14ac:dyDescent="0.25">
      <c r="E26" s="177"/>
      <c r="F26" s="82"/>
      <c r="G26" s="82"/>
      <c r="H26" s="63" t="s">
        <v>70</v>
      </c>
      <c r="I26" s="178">
        <f>C22-C21</f>
        <v>5.093574743540491E-2</v>
      </c>
      <c r="J26" s="179">
        <f>I26+SQRT((C22-J22)^2+(K21-C21)^2)</f>
        <v>7.8626221305699101E-2</v>
      </c>
      <c r="K26" s="180">
        <f>I26-SQRT((C21-J21)^2+(K22-C22)^2)</f>
        <v>2.3352732321323226E-2</v>
      </c>
      <c r="L26" s="81"/>
      <c r="M26" s="181">
        <f>1-M25</f>
        <v>4.9970435295893068E-2</v>
      </c>
      <c r="N26" s="182" t="s">
        <v>71</v>
      </c>
      <c r="O26" s="183"/>
      <c r="P26" s="184"/>
      <c r="Q26" s="183"/>
      <c r="R26" s="183"/>
      <c r="S26" s="183"/>
      <c r="T26" s="185"/>
      <c r="V26" s="186"/>
      <c r="W26" s="187"/>
      <c r="X26" s="183"/>
      <c r="Y26" s="187"/>
      <c r="Z26" s="187"/>
      <c r="AA26" s="187"/>
      <c r="AB26" s="187"/>
      <c r="AC26" s="188"/>
    </row>
    <row r="27" spans="1:29" ht="13.5" hidden="1" customHeight="1" x14ac:dyDescent="0.2">
      <c r="E27" s="189"/>
      <c r="F27" s="82"/>
      <c r="G27" s="82"/>
      <c r="H27" s="63" t="s">
        <v>72</v>
      </c>
      <c r="I27" s="190">
        <f>1/I26</f>
        <v>19.632577322403449</v>
      </c>
      <c r="J27" s="191">
        <f>1/J26</f>
        <v>12.718403395121781</v>
      </c>
      <c r="K27" s="192">
        <f>1/K26</f>
        <v>42.821541661183112</v>
      </c>
      <c r="L27" s="81"/>
      <c r="M27" s="82"/>
      <c r="N27" s="1"/>
      <c r="O27" s="1"/>
      <c r="T27" s="1"/>
      <c r="U27" s="1"/>
      <c r="V27" s="6"/>
      <c r="W27" s="6"/>
      <c r="X27" s="6"/>
      <c r="Y27" s="6"/>
      <c r="Z27" s="6"/>
      <c r="AA27" s="6"/>
      <c r="AB27" s="6"/>
    </row>
    <row r="28" spans="1:29" ht="14.25" hidden="1" customHeight="1" x14ac:dyDescent="0.25">
      <c r="F28" s="82"/>
      <c r="G28" s="82"/>
      <c r="J28" s="193"/>
      <c r="K28" s="193"/>
      <c r="L28" s="194"/>
      <c r="M28" s="141"/>
      <c r="N28" s="195"/>
      <c r="O28" s="195" t="s">
        <v>61</v>
      </c>
      <c r="P28" s="196">
        <f>SQRT((C23*(1-C23)/B21)+(C23*(1-C23)/B22))</f>
        <v>1.41288854383851E-2</v>
      </c>
      <c r="Q28" s="197"/>
      <c r="R28" s="197"/>
      <c r="S28" s="197"/>
      <c r="T28" s="150"/>
      <c r="U28" s="1"/>
    </row>
    <row r="29" spans="1:29" ht="31.5" hidden="1" customHeight="1" x14ac:dyDescent="0.25">
      <c r="E29" s="198"/>
      <c r="F29" s="199"/>
      <c r="G29" s="200" t="s">
        <v>73</v>
      </c>
      <c r="H29" s="201" t="s">
        <v>11</v>
      </c>
      <c r="I29" s="202">
        <f>I27</f>
        <v>19.632577322403449</v>
      </c>
      <c r="J29" s="202">
        <f>J27</f>
        <v>12.718403395121781</v>
      </c>
      <c r="K29" s="202">
        <f>K27</f>
        <v>42.821541661183112</v>
      </c>
      <c r="L29" s="82"/>
      <c r="M29" s="203" t="s">
        <v>74</v>
      </c>
      <c r="N29" s="204"/>
      <c r="O29" s="8" t="s">
        <v>75</v>
      </c>
      <c r="P29" s="8"/>
      <c r="Q29" s="134"/>
      <c r="R29" s="205" t="s">
        <v>76</v>
      </c>
      <c r="S29" s="8"/>
      <c r="T29" s="161"/>
      <c r="U29" s="1"/>
    </row>
    <row r="30" spans="1:29" s="7" customFormat="1" ht="14.25" hidden="1" customHeight="1" x14ac:dyDescent="0.25">
      <c r="E30" s="206"/>
      <c r="F30" s="207"/>
      <c r="G30" s="208"/>
      <c r="H30" s="209" t="s">
        <v>77</v>
      </c>
      <c r="I30" s="355">
        <f>(1-C22)*I27</f>
        <v>11.340710215536525</v>
      </c>
      <c r="J30" s="210">
        <f>(1-C22)*J27</f>
        <v>7.3467545773411702</v>
      </c>
      <c r="K30" s="210">
        <f>(1-C22)*K27</f>
        <v>24.735758682474966</v>
      </c>
      <c r="L30" s="82"/>
      <c r="M30" s="211"/>
      <c r="N30" s="212" t="s">
        <v>78</v>
      </c>
      <c r="P30" s="213" t="s">
        <v>79</v>
      </c>
      <c r="Q30" s="212" t="s">
        <v>80</v>
      </c>
      <c r="R30" s="8"/>
      <c r="S30" s="8"/>
      <c r="T30" s="163"/>
    </row>
    <row r="31" spans="1:29" s="7" customFormat="1" ht="14.25" hidden="1" customHeight="1" x14ac:dyDescent="0.25">
      <c r="E31" s="214"/>
      <c r="F31" s="215"/>
      <c r="G31" s="216"/>
      <c r="H31" s="217" t="s">
        <v>81</v>
      </c>
      <c r="I31" s="218">
        <f>I27*I26</f>
        <v>1</v>
      </c>
      <c r="J31" s="218">
        <f>J27*J26</f>
        <v>1</v>
      </c>
      <c r="K31" s="218">
        <f>K27*K26</f>
        <v>0.99999999999999989</v>
      </c>
      <c r="L31" s="103"/>
      <c r="M31" s="169">
        <f>ABS((I26/P28))-H21</f>
        <v>1.6451149622410983</v>
      </c>
      <c r="N31" s="212" t="s">
        <v>82</v>
      </c>
      <c r="O31" s="8"/>
      <c r="P31" s="8"/>
      <c r="Q31" s="132"/>
      <c r="R31" s="135"/>
      <c r="S31" s="135"/>
      <c r="T31" s="159"/>
    </row>
    <row r="32" spans="1:29" s="7" customFormat="1" ht="12.75" hidden="1" customHeight="1" x14ac:dyDescent="0.2">
      <c r="A32" s="219"/>
      <c r="B32" s="220"/>
      <c r="D32" s="221"/>
      <c r="F32" s="222"/>
      <c r="G32" s="223"/>
      <c r="H32" s="224" t="s">
        <v>83</v>
      </c>
      <c r="I32" s="354">
        <f>(C22-I26)*I27</f>
        <v>7.2918671068669232</v>
      </c>
      <c r="J32" s="225">
        <f>(C22-J26)*J27</f>
        <v>4.371648817780609</v>
      </c>
      <c r="K32" s="225">
        <f>(C22-K26)*K27</f>
        <v>17.085782978708146</v>
      </c>
      <c r="L32" s="103"/>
      <c r="M32" s="173">
        <f>NORMSDIST(M31)</f>
        <v>0.95002694718998992</v>
      </c>
      <c r="N32" s="136" t="s">
        <v>84</v>
      </c>
      <c r="O32" s="174"/>
      <c r="P32" s="8"/>
      <c r="Q32" s="8"/>
      <c r="R32" s="8"/>
      <c r="S32" s="8"/>
      <c r="T32" s="163"/>
    </row>
    <row r="33" spans="1:21" s="7" customFormat="1" ht="12.75" hidden="1" customHeight="1" x14ac:dyDescent="0.2">
      <c r="A33" s="219"/>
      <c r="F33" s="226"/>
      <c r="G33" s="227"/>
      <c r="H33" s="227"/>
      <c r="I33" s="228"/>
      <c r="J33" s="228"/>
      <c r="K33" s="228"/>
      <c r="L33" s="103"/>
      <c r="M33" s="181">
        <f>1-M32</f>
        <v>4.9973052810010077E-2</v>
      </c>
      <c r="N33" s="183" t="s">
        <v>85</v>
      </c>
      <c r="O33" s="183"/>
      <c r="P33" s="184"/>
      <c r="Q33" s="229"/>
      <c r="R33" s="230"/>
      <c r="S33" s="230"/>
      <c r="T33" s="185"/>
    </row>
    <row r="34" spans="1:21" s="7" customFormat="1" ht="31.5" hidden="1" customHeight="1" x14ac:dyDescent="0.2">
      <c r="A34" s="116"/>
      <c r="E34" s="100"/>
      <c r="F34" s="231"/>
      <c r="G34" s="200" t="s">
        <v>86</v>
      </c>
      <c r="H34" s="232" t="s">
        <v>87</v>
      </c>
      <c r="I34" s="233">
        <f>ABS(I27)</f>
        <v>19.632577322403449</v>
      </c>
      <c r="J34" s="233">
        <f>ABS(K27)</f>
        <v>42.821541661183112</v>
      </c>
      <c r="K34" s="233">
        <f>ABS(J27)</f>
        <v>12.718403395121781</v>
      </c>
      <c r="L34" s="103"/>
      <c r="M34" s="81"/>
      <c r="N34" s="8"/>
      <c r="O34" s="8"/>
      <c r="P34" s="8"/>
      <c r="Q34" s="8"/>
      <c r="R34" s="8"/>
      <c r="S34" s="8"/>
      <c r="T34" s="8"/>
      <c r="U34" s="8"/>
    </row>
    <row r="35" spans="1:21" s="7" customFormat="1" ht="13.5" hidden="1" customHeight="1" x14ac:dyDescent="0.2">
      <c r="A35" s="116"/>
      <c r="F35" s="207"/>
      <c r="G35" s="208"/>
      <c r="H35" s="209" t="s">
        <v>77</v>
      </c>
      <c r="I35" s="210">
        <f>ABS((1-(C22-I26))*I27)</f>
        <v>12.340710215536527</v>
      </c>
      <c r="J35" s="210">
        <f>ABS((1-(C22-K26))*K27)</f>
        <v>25.735758682474966</v>
      </c>
      <c r="K35" s="210">
        <f>ABS((1-(C22-J26))*J27)</f>
        <v>8.3467545773411711</v>
      </c>
      <c r="L35" s="103"/>
      <c r="M35" s="81"/>
      <c r="N35" s="8"/>
      <c r="O35" s="8"/>
      <c r="P35" s="8"/>
      <c r="Q35" s="8"/>
      <c r="R35" s="8"/>
      <c r="S35" s="8"/>
      <c r="T35" s="8"/>
      <c r="U35" s="8"/>
    </row>
    <row r="36" spans="1:21" s="7" customFormat="1" ht="12.75" hidden="1" customHeight="1" x14ac:dyDescent="0.2">
      <c r="A36" s="116"/>
      <c r="E36" s="234"/>
      <c r="F36" s="235"/>
      <c r="G36" s="236"/>
      <c r="H36" s="237" t="s">
        <v>88</v>
      </c>
      <c r="I36" s="238">
        <f>I27*I26</f>
        <v>1</v>
      </c>
      <c r="J36" s="238">
        <f>K27*K26</f>
        <v>0.99999999999999989</v>
      </c>
      <c r="K36" s="238">
        <f>J27*J26</f>
        <v>1</v>
      </c>
      <c r="L36" s="103"/>
      <c r="M36" s="81"/>
      <c r="N36" s="8"/>
      <c r="O36" s="8"/>
      <c r="P36" s="8"/>
      <c r="Q36" s="8"/>
      <c r="R36" s="8"/>
      <c r="S36" s="8"/>
      <c r="T36" s="8"/>
      <c r="U36" s="8"/>
    </row>
    <row r="37" spans="1:21" ht="15.75" hidden="1" customHeight="1" x14ac:dyDescent="0.25">
      <c r="A37" s="239" t="s">
        <v>89</v>
      </c>
      <c r="B37" s="240"/>
      <c r="C37" s="240"/>
      <c r="D37" s="240"/>
      <c r="E37" s="241"/>
      <c r="F37" s="222"/>
      <c r="G37" s="223"/>
      <c r="H37" s="224" t="s">
        <v>90</v>
      </c>
      <c r="I37" s="225">
        <f>ABS(C22*I27)</f>
        <v>8.2918671068669223</v>
      </c>
      <c r="J37" s="225">
        <f>ABS(C22*K27)</f>
        <v>18.085782978708146</v>
      </c>
      <c r="K37" s="225">
        <f>ABS(C22*J27)</f>
        <v>5.3716488177806099</v>
      </c>
      <c r="L37" s="82"/>
      <c r="M37" s="81"/>
      <c r="N37" s="8"/>
      <c r="O37" s="8"/>
      <c r="P37" s="8"/>
      <c r="Q37" s="8"/>
      <c r="R37" s="8"/>
      <c r="S37" s="8"/>
      <c r="T37" s="8"/>
      <c r="U37" s="8"/>
    </row>
    <row r="38" spans="1:21" s="6" customFormat="1" ht="12.75" hidden="1" customHeight="1" x14ac:dyDescent="0.2">
      <c r="A38" s="83"/>
      <c r="B38" s="242" t="s">
        <v>16</v>
      </c>
      <c r="C38" s="243" t="s">
        <v>17</v>
      </c>
      <c r="D38" s="8"/>
      <c r="E38" s="241"/>
      <c r="F38" s="244"/>
      <c r="G38" s="245"/>
      <c r="H38" s="246"/>
      <c r="I38" s="247"/>
      <c r="J38" s="247"/>
      <c r="K38" s="247"/>
      <c r="L38" s="127"/>
      <c r="M38" s="103"/>
      <c r="N38" s="7"/>
      <c r="O38" s="7"/>
      <c r="P38" s="7"/>
      <c r="Q38" s="7"/>
    </row>
    <row r="39" spans="1:21" ht="12.75" hidden="1" customHeight="1" x14ac:dyDescent="0.2">
      <c r="A39" s="248" t="s">
        <v>91</v>
      </c>
      <c r="B39" s="249" t="s">
        <v>18</v>
      </c>
      <c r="C39" s="250" t="s">
        <v>19</v>
      </c>
      <c r="D39" s="3" t="s">
        <v>20</v>
      </c>
      <c r="F39" s="82"/>
      <c r="G39" s="82"/>
      <c r="H39" s="82"/>
      <c r="I39" s="82"/>
      <c r="J39" s="82"/>
      <c r="K39" s="82"/>
      <c r="L39" s="82"/>
      <c r="M39" s="103"/>
      <c r="N39" s="7"/>
      <c r="O39" s="7"/>
      <c r="P39" s="7"/>
      <c r="Q39" s="7"/>
      <c r="T39" s="1"/>
      <c r="U39" s="1"/>
    </row>
    <row r="40" spans="1:21" ht="12.75" hidden="1" customHeight="1" x14ac:dyDescent="0.2">
      <c r="A40" s="251" t="s">
        <v>92</v>
      </c>
      <c r="B40" s="252">
        <f>E7*C9/E9</f>
        <v>955.07110091743118</v>
      </c>
      <c r="C40" s="252">
        <f>E7*D9/E9</f>
        <v>1451.9288990825687</v>
      </c>
      <c r="D40" s="252">
        <f>E7</f>
        <v>2407</v>
      </c>
      <c r="F40" s="10"/>
      <c r="G40" s="253" t="s">
        <v>93</v>
      </c>
      <c r="H40" s="254">
        <f>CHIINV(0.05,J41)</f>
        <v>3.8414588206941236</v>
      </c>
      <c r="I40" s="82"/>
      <c r="J40" s="82"/>
      <c r="K40" s="82"/>
      <c r="L40" s="82"/>
      <c r="M40" s="103"/>
      <c r="N40" s="255"/>
      <c r="O40" s="255"/>
      <c r="P40" s="255"/>
      <c r="Q40" s="7"/>
      <c r="T40" s="1"/>
      <c r="U40" s="1"/>
    </row>
    <row r="41" spans="1:21" ht="12.75" hidden="1" customHeight="1" x14ac:dyDescent="0.2">
      <c r="A41" s="256" t="s">
        <v>94</v>
      </c>
      <c r="B41" s="252">
        <f>E8*C9/E9</f>
        <v>947.92889908256882</v>
      </c>
      <c r="C41" s="252">
        <f>E8*D9/E9</f>
        <v>1441.0711009174313</v>
      </c>
      <c r="D41" s="252">
        <f>E8</f>
        <v>2389</v>
      </c>
      <c r="E41" s="6"/>
      <c r="F41" s="257"/>
      <c r="G41" s="257"/>
      <c r="H41" s="258"/>
      <c r="I41" s="259" t="s">
        <v>95</v>
      </c>
      <c r="J41" s="260">
        <f>(COUNT(B40:C40)-1)*(COUNT(B40:B41)-1)</f>
        <v>1</v>
      </c>
      <c r="K41" s="82"/>
      <c r="L41" s="82"/>
      <c r="M41" s="82"/>
      <c r="N41" s="255"/>
      <c r="O41" s="255"/>
      <c r="P41" s="255"/>
      <c r="Q41" s="7"/>
      <c r="T41" s="1"/>
      <c r="U41" s="1"/>
    </row>
    <row r="42" spans="1:21" ht="12.75" hidden="1" customHeight="1" x14ac:dyDescent="0.2">
      <c r="A42" s="261" t="s">
        <v>96</v>
      </c>
      <c r="B42" s="252">
        <f>SUM(B40:B41)</f>
        <v>1903</v>
      </c>
      <c r="C42" s="252">
        <f>SUM(C40:C41)</f>
        <v>2893</v>
      </c>
      <c r="D42" s="262">
        <f>SUM(D40:D41)</f>
        <v>4796</v>
      </c>
      <c r="E42" s="6"/>
      <c r="F42" s="127"/>
      <c r="G42" s="263" t="s">
        <v>97</v>
      </c>
      <c r="H42" s="264" t="s">
        <v>98</v>
      </c>
      <c r="I42" s="82"/>
      <c r="J42" s="82"/>
      <c r="K42" s="82"/>
      <c r="L42" s="82"/>
      <c r="M42" s="82"/>
      <c r="N42" s="255"/>
      <c r="O42" s="265"/>
      <c r="P42" s="255"/>
      <c r="Q42" s="7"/>
      <c r="T42" s="1"/>
      <c r="U42" s="1"/>
    </row>
    <row r="43" spans="1:21" ht="12.75" hidden="1" customHeight="1" x14ac:dyDescent="0.2">
      <c r="A43" s="261"/>
      <c r="B43" s="266"/>
      <c r="C43" s="266"/>
      <c r="D43" s="267"/>
      <c r="E43" s="6"/>
      <c r="F43" s="127"/>
      <c r="G43" s="263" t="s">
        <v>99</v>
      </c>
      <c r="H43" s="264" t="s">
        <v>100</v>
      </c>
      <c r="I43" s="82"/>
      <c r="J43" s="82"/>
      <c r="K43" s="82"/>
      <c r="L43" s="82"/>
      <c r="M43" s="82"/>
      <c r="N43" s="268"/>
      <c r="O43" s="268"/>
      <c r="P43" s="268"/>
      <c r="Q43" s="7"/>
      <c r="T43" s="1"/>
      <c r="U43" s="1"/>
    </row>
    <row r="44" spans="1:21" ht="26.25" hidden="1" customHeight="1" x14ac:dyDescent="0.2">
      <c r="A44" s="269"/>
      <c r="B44" s="490" t="s">
        <v>101</v>
      </c>
      <c r="C44" s="491"/>
      <c r="F44" s="82"/>
      <c r="G44" s="270"/>
      <c r="H44" s="82"/>
      <c r="I44" s="82"/>
      <c r="J44" s="82"/>
      <c r="K44" s="82"/>
      <c r="L44" s="82"/>
      <c r="M44" s="82"/>
      <c r="N44" s="1"/>
      <c r="O44" s="1"/>
      <c r="T44" s="1"/>
      <c r="U44" s="1"/>
    </row>
    <row r="45" spans="1:21" ht="12.75" hidden="1" customHeight="1" x14ac:dyDescent="0.2">
      <c r="A45" s="269"/>
      <c r="B45" s="271">
        <f>(C7-B40)^2/B40</f>
        <v>3.9051326793202863</v>
      </c>
      <c r="C45" s="271">
        <f>(D7-C40)^2/C40</f>
        <v>2.5687754886783729</v>
      </c>
      <c r="E45" s="272"/>
      <c r="F45" s="273"/>
      <c r="G45" s="82"/>
      <c r="H45" s="82"/>
      <c r="I45" s="103"/>
      <c r="J45" s="103"/>
      <c r="K45" s="274"/>
      <c r="L45" s="82"/>
      <c r="M45" s="82"/>
      <c r="N45" s="1"/>
      <c r="O45" s="1"/>
      <c r="T45" s="1"/>
      <c r="U45" s="1"/>
    </row>
    <row r="46" spans="1:21" ht="12.75" hidden="1" customHeight="1" x14ac:dyDescent="0.2">
      <c r="A46" s="269"/>
      <c r="B46" s="271">
        <f>(C8-B41)^2/B41</f>
        <v>3.9345560314457635</v>
      </c>
      <c r="C46" s="271">
        <f>(D8-C41)^2/C41</f>
        <v>2.5881300130803027</v>
      </c>
      <c r="D46" s="73"/>
      <c r="E46" s="275" t="s">
        <v>102</v>
      </c>
      <c r="F46" s="276">
        <f>B48-H40</f>
        <v>9.1551353918306013</v>
      </c>
      <c r="G46" s="82"/>
      <c r="H46" s="82"/>
      <c r="I46" s="103"/>
      <c r="J46" s="103"/>
      <c r="K46" s="82"/>
      <c r="L46" s="82"/>
      <c r="M46" s="82"/>
      <c r="N46" s="1"/>
      <c r="O46" s="1"/>
      <c r="T46" s="1"/>
      <c r="U46" s="1"/>
    </row>
    <row r="47" spans="1:21" ht="12.75" hidden="1" customHeight="1" x14ac:dyDescent="0.2">
      <c r="A47" s="264" t="s">
        <v>103</v>
      </c>
      <c r="C47" s="277"/>
      <c r="F47" s="278" t="s">
        <v>104</v>
      </c>
      <c r="G47" s="82"/>
      <c r="H47" s="82"/>
      <c r="I47" s="103"/>
      <c r="J47" s="103"/>
      <c r="K47" s="82"/>
      <c r="L47" s="82"/>
      <c r="M47" s="82"/>
      <c r="N47" s="1"/>
      <c r="O47" s="1"/>
      <c r="T47" s="1"/>
      <c r="U47" s="1"/>
    </row>
    <row r="48" spans="1:21" ht="13.5" hidden="1" customHeight="1" x14ac:dyDescent="0.2">
      <c r="A48" s="279" t="s">
        <v>105</v>
      </c>
      <c r="B48" s="280">
        <f>SUM(B45:C46)</f>
        <v>12.996594212524725</v>
      </c>
      <c r="C48" s="8"/>
      <c r="F48" s="278" t="s">
        <v>106</v>
      </c>
      <c r="G48" s="82"/>
      <c r="H48" s="281"/>
      <c r="I48" s="103"/>
      <c r="J48" s="103"/>
      <c r="K48" s="282"/>
      <c r="L48" s="82"/>
      <c r="M48" s="82"/>
      <c r="N48" s="1"/>
      <c r="O48" s="1"/>
      <c r="T48" s="1"/>
      <c r="U48" s="1"/>
    </row>
    <row r="49" spans="1:21" ht="12.75" hidden="1" customHeight="1" x14ac:dyDescent="0.2">
      <c r="A49" s="283" t="s">
        <v>107</v>
      </c>
      <c r="B49" s="284">
        <f>CHIDIST(B48,1)</f>
        <v>3.1205805122735085E-4</v>
      </c>
      <c r="D49" s="8"/>
      <c r="E49" s="8"/>
      <c r="F49" s="81"/>
      <c r="G49" s="285"/>
      <c r="H49" s="81"/>
      <c r="I49" s="103"/>
      <c r="J49" s="103"/>
      <c r="K49" s="81"/>
      <c r="L49" s="82"/>
      <c r="M49" s="82"/>
      <c r="N49" s="1"/>
      <c r="O49" s="1"/>
      <c r="T49" s="1"/>
      <c r="U49" s="1"/>
    </row>
    <row r="50" spans="1:21" s="7" customFormat="1" ht="12.75" hidden="1" customHeight="1" x14ac:dyDescent="0.2">
      <c r="A50" s="116"/>
      <c r="D50" s="286"/>
      <c r="E50" s="286"/>
      <c r="F50" s="103"/>
      <c r="G50" s="103"/>
      <c r="H50" s="287"/>
      <c r="I50" s="103"/>
      <c r="J50" s="103"/>
      <c r="K50" s="103"/>
      <c r="L50" s="103"/>
      <c r="M50" s="103"/>
    </row>
    <row r="51" spans="1:21" ht="13.5" hidden="1" customHeight="1" x14ac:dyDescent="0.2">
      <c r="A51" s="83"/>
      <c r="F51" s="82"/>
      <c r="G51" s="82"/>
      <c r="H51" s="82"/>
      <c r="I51" s="103"/>
      <c r="J51" s="103"/>
      <c r="K51" s="82"/>
      <c r="L51" s="82"/>
      <c r="M51" s="82"/>
      <c r="N51" s="1"/>
      <c r="O51" s="1"/>
      <c r="T51" s="1"/>
      <c r="U51" s="1"/>
    </row>
    <row r="52" spans="1:21" ht="12.75" hidden="1" customHeight="1" x14ac:dyDescent="0.2">
      <c r="A52" s="288" t="s">
        <v>108</v>
      </c>
      <c r="B52" s="289"/>
      <c r="C52" s="289"/>
      <c r="D52" s="289"/>
      <c r="E52" s="289"/>
      <c r="F52" s="289"/>
      <c r="G52" s="290"/>
      <c r="H52" s="82"/>
      <c r="I52" s="291" t="s">
        <v>109</v>
      </c>
      <c r="J52" s="292"/>
      <c r="K52" s="293"/>
      <c r="L52" s="293"/>
      <c r="M52" s="293"/>
      <c r="N52" s="150"/>
      <c r="O52" s="1"/>
      <c r="T52" s="1"/>
      <c r="U52" s="1"/>
    </row>
    <row r="53" spans="1:21" ht="12.75" hidden="1" customHeight="1" x14ac:dyDescent="0.2">
      <c r="A53" s="294">
        <f>H2*100</f>
        <v>95</v>
      </c>
      <c r="B53" s="241"/>
      <c r="C53" s="241"/>
      <c r="D53" s="7"/>
      <c r="E53" s="7"/>
      <c r="F53" s="7"/>
      <c r="G53" s="163"/>
      <c r="H53" s="82"/>
      <c r="I53" s="295"/>
      <c r="J53" s="103"/>
      <c r="K53" s="81"/>
      <c r="L53" s="81"/>
      <c r="M53" s="81"/>
      <c r="N53" s="161"/>
      <c r="O53" s="1"/>
      <c r="T53" s="1"/>
      <c r="U53" s="1"/>
    </row>
    <row r="54" spans="1:21" ht="12.75" hidden="1" customHeight="1" x14ac:dyDescent="0.2">
      <c r="A54" s="296" t="s">
        <v>110</v>
      </c>
      <c r="B54" s="297"/>
      <c r="C54" s="297"/>
      <c r="D54" s="298">
        <f>ROUND(F14,2)</f>
        <v>0.88</v>
      </c>
      <c r="E54" s="299">
        <f>ROUND(I26,4)</f>
        <v>5.0900000000000001E-2</v>
      </c>
      <c r="F54" s="300">
        <f>ROUND(I27,0)</f>
        <v>20</v>
      </c>
      <c r="G54" s="301"/>
      <c r="H54" s="82"/>
      <c r="I54" s="302" t="s">
        <v>110</v>
      </c>
      <c r="J54" s="7"/>
      <c r="K54" s="7"/>
      <c r="L54" s="7"/>
      <c r="M54" s="81"/>
      <c r="N54" s="161"/>
      <c r="O54" s="1"/>
      <c r="T54" s="1"/>
      <c r="U54" s="1"/>
    </row>
    <row r="55" spans="1:21" ht="12.75" hidden="1" customHeight="1" x14ac:dyDescent="0.2">
      <c r="A55" s="296" t="s">
        <v>111</v>
      </c>
      <c r="B55" s="8"/>
      <c r="C55" s="8"/>
      <c r="D55" s="298">
        <f>ROUND(G14,2)</f>
        <v>0.82</v>
      </c>
      <c r="E55" s="299">
        <f>ROUND(K26,4)</f>
        <v>2.3400000000000001E-2</v>
      </c>
      <c r="F55" s="300">
        <f>ROUND(K27,0)</f>
        <v>43</v>
      </c>
      <c r="G55" s="301"/>
      <c r="H55" s="82"/>
      <c r="I55" s="302" t="s">
        <v>111</v>
      </c>
      <c r="J55" s="303" t="str">
        <f>ROUND(I21,4)*100&amp;I57</f>
        <v>37,14%</v>
      </c>
      <c r="K55" s="303" t="str">
        <f>ROUND(J21,4)*100&amp;I57</f>
        <v>35,23%</v>
      </c>
      <c r="L55" s="303" t="str">
        <f>ROUND(K21,4)*100&amp;I57</f>
        <v>39,09%</v>
      </c>
      <c r="M55" s="304" t="str">
        <f>CONCATENATE(J55," ",I54,K55," ",I58," ",L55,I56)</f>
        <v>37,14% (35,23% a 39,09%)</v>
      </c>
      <c r="N55" s="161"/>
      <c r="O55" s="1"/>
      <c r="T55" s="1"/>
      <c r="U55" s="1"/>
    </row>
    <row r="56" spans="1:21" s="6" customFormat="1" ht="12.75" hidden="1" customHeight="1" x14ac:dyDescent="0.2">
      <c r="A56" s="296" t="s">
        <v>112</v>
      </c>
      <c r="B56" s="297">
        <f>ROUND(C7,0)</f>
        <v>894</v>
      </c>
      <c r="C56" s="297">
        <f>ROUND(C8,0)</f>
        <v>1009</v>
      </c>
      <c r="D56" s="298">
        <f>ROUND(H14,2)</f>
        <v>0.94</v>
      </c>
      <c r="E56" s="299">
        <f>ROUND(J26,4)</f>
        <v>7.8600000000000003E-2</v>
      </c>
      <c r="F56" s="300">
        <f>ROUND(J27,0)</f>
        <v>13</v>
      </c>
      <c r="G56" s="305">
        <f>ROUND(M32,4)</f>
        <v>0.95</v>
      </c>
      <c r="H56" s="127"/>
      <c r="I56" s="302" t="s">
        <v>112</v>
      </c>
      <c r="J56" s="306" t="str">
        <f>ROUND(I22,4)*100&amp;I57</f>
        <v>42,24%</v>
      </c>
      <c r="K56" s="306" t="str">
        <f>ROUND(J22,4)*100&amp;I57</f>
        <v>40,27%</v>
      </c>
      <c r="L56" s="306" t="str">
        <f>ROUND(K22,4)*100&amp;I57</f>
        <v>44,23%</v>
      </c>
      <c r="M56" s="304" t="str">
        <f>CONCATENATE(J56," ",I54,K56," ",I58," ",L56,I56)</f>
        <v>42,24% (40,27% a 44,23%)</v>
      </c>
      <c r="N56" s="163"/>
    </row>
    <row r="57" spans="1:21" ht="12.75" hidden="1" customHeight="1" x14ac:dyDescent="0.2">
      <c r="A57" s="296" t="s">
        <v>113</v>
      </c>
      <c r="B57" s="307" t="s">
        <v>114</v>
      </c>
      <c r="C57" s="307" t="s">
        <v>115</v>
      </c>
      <c r="D57" s="307" t="s">
        <v>30</v>
      </c>
      <c r="E57" s="307" t="s">
        <v>116</v>
      </c>
      <c r="F57" s="308" t="s">
        <v>11</v>
      </c>
      <c r="G57" s="10" t="s">
        <v>117</v>
      </c>
      <c r="H57" s="82"/>
      <c r="I57" s="302" t="s">
        <v>113</v>
      </c>
      <c r="J57" s="306" t="str">
        <f>ROUND(I23,4)*100&amp;I57</f>
        <v>39,68%</v>
      </c>
      <c r="K57" s="306" t="str">
        <f>ROUND(J23,4)*100&amp;I57</f>
        <v>38,3%</v>
      </c>
      <c r="L57" s="306" t="str">
        <f>ROUND(K23,4)*100&amp;I57</f>
        <v>41,07%</v>
      </c>
      <c r="M57" s="304" t="str">
        <f>CONCATENATE(J57," ",I54,K57," ",I58," ",L57,I56)</f>
        <v>39,68% (38,3% a 41,07%)</v>
      </c>
      <c r="N57" s="163"/>
    </row>
    <row r="58" spans="1:21" ht="12.75" hidden="1" customHeight="1" x14ac:dyDescent="0.2">
      <c r="A58" s="309" t="s">
        <v>118</v>
      </c>
      <c r="B58" s="310" t="str">
        <f>CONCATENATE(B56,A59,B21," ",A54,J55,A56)</f>
        <v>894/2407 (37,14%)</v>
      </c>
      <c r="C58" s="63" t="str">
        <f>CONCATENATE(C56,A59,B22," ",A54,J56,A56)</f>
        <v>1009/2389 (42,24%)</v>
      </c>
      <c r="D58" s="310" t="str">
        <f>CONCATENATE(D54," ",A54,D55,A55,D56,A56)</f>
        <v>0,88 (0,82-0,94)</v>
      </c>
      <c r="E58" s="310" t="str">
        <f>CONCATENATE(E54*100,A57," ",A54,E55*100,A57," ",A58," ",E56*100,A57,A56)</f>
        <v>5,09% (2,34% a 7,86%)</v>
      </c>
      <c r="F58" s="10" t="str">
        <f>CONCATENATE(F54," ",A54,F56," ",A58," ",F55,A56)</f>
        <v>20 (13 a 43)</v>
      </c>
      <c r="G58" s="10" t="str">
        <f>CONCATENATE(G56*100,A57)</f>
        <v>95%</v>
      </c>
      <c r="H58" s="82"/>
      <c r="I58" s="311" t="s">
        <v>118</v>
      </c>
      <c r="J58" s="8"/>
      <c r="K58" s="8"/>
      <c r="L58" s="8"/>
      <c r="M58" s="81"/>
      <c r="N58" s="161"/>
      <c r="O58" s="1"/>
      <c r="T58" s="1"/>
      <c r="U58" s="1"/>
    </row>
    <row r="59" spans="1:21" ht="13.5" hidden="1" customHeight="1" x14ac:dyDescent="0.2">
      <c r="A59" s="312" t="s">
        <v>119</v>
      </c>
      <c r="B59" s="187"/>
      <c r="C59" s="187"/>
      <c r="D59" s="187"/>
      <c r="E59" s="187"/>
      <c r="F59" s="313"/>
      <c r="G59" s="314"/>
      <c r="H59" s="82"/>
      <c r="I59" s="315" t="s">
        <v>119</v>
      </c>
      <c r="J59" s="187"/>
      <c r="K59" s="187"/>
      <c r="L59" s="187"/>
      <c r="M59" s="316"/>
      <c r="N59" s="185"/>
      <c r="O59" s="1"/>
      <c r="T59" s="1"/>
      <c r="U59" s="1"/>
    </row>
    <row r="60" spans="1:21" x14ac:dyDescent="0.2">
      <c r="A60" s="83"/>
      <c r="F60" s="82"/>
      <c r="G60" s="82"/>
      <c r="H60" s="82"/>
      <c r="I60" s="82"/>
      <c r="J60" s="82"/>
      <c r="K60" s="103"/>
      <c r="L60" s="82"/>
      <c r="M60" s="82"/>
      <c r="N60" s="1"/>
      <c r="O60" s="1"/>
      <c r="T60" s="1"/>
      <c r="U60" s="1"/>
    </row>
    <row r="61" spans="1:21" ht="27" customHeight="1" x14ac:dyDescent="0.2">
      <c r="A61" s="83"/>
      <c r="B61" s="317" t="s">
        <v>114</v>
      </c>
      <c r="C61" s="317" t="s">
        <v>115</v>
      </c>
      <c r="D61" s="318" t="str">
        <f>CONCATENATE(D57," ",A54,G2," ",A53,A57,A56)</f>
        <v>RR (IC 95%)</v>
      </c>
      <c r="E61" s="318" t="str">
        <f>CONCATENATE(E57," ",A54,G2," ",A53,A57,A56)</f>
        <v>RAR (IC 95%)</v>
      </c>
      <c r="F61" s="318" t="str">
        <f>CONCATENATE(F57," ",A54,G2," ",A53,A57,A56)</f>
        <v>NNT (IC 95%)</v>
      </c>
      <c r="G61" s="318" t="s">
        <v>74</v>
      </c>
      <c r="H61" s="319"/>
      <c r="I61" s="357" t="s">
        <v>130</v>
      </c>
      <c r="K61" s="327" t="s">
        <v>121</v>
      </c>
      <c r="L61" s="327" t="s">
        <v>122</v>
      </c>
      <c r="N61" s="390" t="s">
        <v>144</v>
      </c>
      <c r="O61" s="390" t="s">
        <v>122</v>
      </c>
      <c r="Q61" s="337" t="s">
        <v>2</v>
      </c>
      <c r="R61" s="338" t="s">
        <v>3</v>
      </c>
      <c r="S61" s="384" t="s">
        <v>1</v>
      </c>
      <c r="T61" s="328" t="s">
        <v>142</v>
      </c>
      <c r="U61" s="1"/>
    </row>
    <row r="62" spans="1:21" ht="21" customHeight="1" x14ac:dyDescent="0.2">
      <c r="A62" s="83"/>
      <c r="B62" s="63" t="str">
        <f t="shared" ref="B62:G62" si="1">B58</f>
        <v>894/2407 (37,14%)</v>
      </c>
      <c r="C62" s="63" t="str">
        <f t="shared" si="1"/>
        <v>1009/2389 (42,24%)</v>
      </c>
      <c r="D62" s="63" t="str">
        <f t="shared" si="1"/>
        <v>0,88 (0,82-0,94)</v>
      </c>
      <c r="E62" s="63" t="str">
        <f t="shared" si="1"/>
        <v>5,09% (2,34% a 7,86%)</v>
      </c>
      <c r="F62" s="63" t="str">
        <f t="shared" si="1"/>
        <v>20 (13 a 43)</v>
      </c>
      <c r="G62" s="63" t="str">
        <f t="shared" si="1"/>
        <v>95%</v>
      </c>
      <c r="H62" s="320"/>
      <c r="I62" s="321">
        <f>B49</f>
        <v>3.1205805122735085E-4</v>
      </c>
      <c r="K62" s="322">
        <f>IF((J26*K26&lt;0),I23,I21)</f>
        <v>0.37141670128791027</v>
      </c>
      <c r="L62" s="322">
        <f>IF((J26*K26&lt;0),I23,I22)</f>
        <v>0.42235244872331518</v>
      </c>
      <c r="N62" s="388">
        <f>K62*100</f>
        <v>37.141670128791027</v>
      </c>
      <c r="O62" s="389">
        <f>L62*100</f>
        <v>42.235244872331521</v>
      </c>
      <c r="Q62" s="339">
        <f>P14</f>
        <v>2.2900677057619196</v>
      </c>
      <c r="R62" s="340">
        <f>Q14</f>
        <v>7.6403621153107393E-2</v>
      </c>
      <c r="S62" s="385">
        <f>R14</f>
        <v>0.63352867308497274</v>
      </c>
      <c r="T62" s="386">
        <f>Q62+R62+S62</f>
        <v>3</v>
      </c>
      <c r="U62" s="278" t="str">
        <f>H4</f>
        <v>años</v>
      </c>
    </row>
    <row r="63" spans="1:21" x14ac:dyDescent="0.2">
      <c r="A63" s="83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323"/>
    </row>
    <row r="64" spans="1:21" x14ac:dyDescent="0.2">
      <c r="A64" s="396" t="s">
        <v>250</v>
      </c>
      <c r="B64" s="324"/>
      <c r="C64" s="324"/>
      <c r="D64" s="324"/>
      <c r="E64" s="324"/>
      <c r="F64" s="324"/>
      <c r="G64" s="324"/>
      <c r="H64" s="325"/>
      <c r="I64" s="326"/>
      <c r="J64" s="278"/>
      <c r="K64" s="278"/>
      <c r="L64" s="278"/>
      <c r="M64" s="278"/>
      <c r="N64" s="323"/>
    </row>
    <row r="65" spans="1:21" ht="13.5" thickBot="1" x14ac:dyDescent="0.25">
      <c r="A65" s="525" t="s">
        <v>161</v>
      </c>
      <c r="B65" s="371"/>
      <c r="C65" s="371"/>
      <c r="D65" s="371"/>
      <c r="E65" s="371"/>
      <c r="F65" s="371"/>
      <c r="G65" s="371"/>
      <c r="H65" s="366"/>
      <c r="I65" s="520"/>
      <c r="J65" s="367"/>
      <c r="K65" s="367"/>
      <c r="L65" s="367"/>
      <c r="M65" s="367"/>
      <c r="N65" s="367"/>
      <c r="O65" s="393"/>
    </row>
    <row r="66" spans="1:21" ht="33.75" customHeight="1" thickBot="1" x14ac:dyDescent="0.25">
      <c r="A66" s="526" t="s">
        <v>254</v>
      </c>
      <c r="B66" s="414"/>
      <c r="C66" s="414"/>
      <c r="D66" s="414"/>
      <c r="E66" s="414"/>
      <c r="F66" s="414"/>
      <c r="G66" s="415"/>
      <c r="H66" s="393"/>
      <c r="I66" s="393"/>
      <c r="J66" s="393"/>
      <c r="K66" s="393"/>
      <c r="L66" s="393"/>
      <c r="M66" s="393"/>
      <c r="N66" s="498" t="s">
        <v>147</v>
      </c>
      <c r="O66" s="499"/>
      <c r="Q66" s="492" t="s">
        <v>139</v>
      </c>
      <c r="R66" s="495" t="s">
        <v>140</v>
      </c>
      <c r="S66" s="502" t="s">
        <v>141</v>
      </c>
      <c r="T66" s="484" t="s">
        <v>143</v>
      </c>
    </row>
    <row r="67" spans="1:21" ht="38.25" customHeight="1" thickBot="1" x14ac:dyDescent="0.25">
      <c r="A67" s="541" t="s">
        <v>171</v>
      </c>
      <c r="B67" s="460" t="s">
        <v>167</v>
      </c>
      <c r="C67" s="460" t="s">
        <v>168</v>
      </c>
      <c r="D67" s="527" t="s">
        <v>255</v>
      </c>
      <c r="E67" s="528"/>
      <c r="F67" s="528"/>
      <c r="G67" s="529"/>
      <c r="H67" s="393"/>
      <c r="I67" s="393"/>
      <c r="J67" s="393"/>
      <c r="K67" s="393"/>
      <c r="L67" s="393"/>
      <c r="M67" s="393"/>
      <c r="N67" s="500" t="s">
        <v>256</v>
      </c>
      <c r="O67" s="501"/>
      <c r="Q67" s="493"/>
      <c r="R67" s="496"/>
      <c r="S67" s="503"/>
      <c r="T67" s="485"/>
    </row>
    <row r="68" spans="1:21" ht="26.25" customHeight="1" thickBot="1" x14ac:dyDescent="0.25">
      <c r="A68" s="542"/>
      <c r="B68" s="400" t="s">
        <v>148</v>
      </c>
      <c r="C68" s="401" t="s">
        <v>148</v>
      </c>
      <c r="D68" s="402" t="s">
        <v>136</v>
      </c>
      <c r="E68" s="403" t="s">
        <v>137</v>
      </c>
      <c r="F68" s="404" t="s">
        <v>138</v>
      </c>
      <c r="G68" s="404" t="s">
        <v>120</v>
      </c>
      <c r="H68" s="393"/>
      <c r="I68" s="394" t="s">
        <v>149</v>
      </c>
      <c r="K68" s="390" t="s">
        <v>121</v>
      </c>
      <c r="L68" s="390" t="s">
        <v>122</v>
      </c>
      <c r="M68" s="393"/>
      <c r="N68" s="419" t="s">
        <v>198</v>
      </c>
      <c r="O68" s="395" t="s">
        <v>191</v>
      </c>
      <c r="Q68" s="494"/>
      <c r="R68" s="497"/>
      <c r="S68" s="504"/>
      <c r="T68" s="486"/>
    </row>
    <row r="69" spans="1:21" ht="18.75" customHeight="1" x14ac:dyDescent="0.25">
      <c r="A69" s="447" t="s">
        <v>169</v>
      </c>
      <c r="D69" s="369"/>
      <c r="E69" s="369"/>
      <c r="F69" s="369"/>
      <c r="G69" s="369"/>
      <c r="H69" s="366"/>
      <c r="I69" s="370"/>
      <c r="J69" s="371"/>
      <c r="K69" s="371"/>
      <c r="L69" s="371"/>
      <c r="M69" s="371"/>
      <c r="N69" s="371"/>
      <c r="O69" s="371"/>
    </row>
    <row r="70" spans="1:21" ht="26.25" customHeight="1" x14ac:dyDescent="0.2">
      <c r="A70" s="466" t="s">
        <v>192</v>
      </c>
      <c r="B70" s="373" t="s">
        <v>193</v>
      </c>
      <c r="C70" s="373" t="s">
        <v>194</v>
      </c>
      <c r="D70" s="373" t="s">
        <v>195</v>
      </c>
      <c r="E70" s="373" t="s">
        <v>196</v>
      </c>
      <c r="F70" s="374" t="s">
        <v>197</v>
      </c>
      <c r="G70" s="392">
        <v>5.8700000000000002E-2</v>
      </c>
      <c r="H70" s="366"/>
      <c r="I70" s="377">
        <v>0.69322996836773076</v>
      </c>
      <c r="J70" s="367"/>
      <c r="K70" s="372">
        <v>0.14407839866555464</v>
      </c>
      <c r="L70" s="372">
        <v>0.14407839866555464</v>
      </c>
      <c r="M70" s="367"/>
      <c r="N70" s="461">
        <v>14.407839866555463</v>
      </c>
      <c r="O70" s="461">
        <v>14.407839866555463</v>
      </c>
      <c r="Q70" s="381">
        <v>2.7748696899287224</v>
      </c>
      <c r="R70" s="382">
        <v>6.0009672500135891E-3</v>
      </c>
      <c r="S70" s="383">
        <v>0.21912934282126412</v>
      </c>
      <c r="T70" s="387">
        <v>3</v>
      </c>
      <c r="U70" s="446" t="s">
        <v>145</v>
      </c>
    </row>
    <row r="71" spans="1:21" ht="6" customHeight="1" x14ac:dyDescent="0.2">
      <c r="A71" s="393"/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Q71" s="381"/>
      <c r="R71" s="382"/>
      <c r="S71" s="383"/>
      <c r="T71" s="387"/>
      <c r="U71" s="446"/>
    </row>
    <row r="72" spans="1:21" ht="24" customHeight="1" x14ac:dyDescent="0.2">
      <c r="A72" s="466" t="s">
        <v>177</v>
      </c>
      <c r="B72" s="373" t="s">
        <v>172</v>
      </c>
      <c r="C72" s="373" t="s">
        <v>173</v>
      </c>
      <c r="D72" s="373" t="s">
        <v>174</v>
      </c>
      <c r="E72" s="373" t="s">
        <v>175</v>
      </c>
      <c r="F72" s="374" t="s">
        <v>176</v>
      </c>
      <c r="G72" s="392">
        <v>7.0900000000000005E-2</v>
      </c>
      <c r="H72" s="366"/>
      <c r="I72" s="377">
        <v>0.62375063909183615</v>
      </c>
      <c r="J72" s="367"/>
      <c r="K72" s="372">
        <v>8.6738949124270229E-2</v>
      </c>
      <c r="L72" s="372">
        <v>8.6738949124270229E-2</v>
      </c>
      <c r="M72" s="367"/>
      <c r="N72" s="461">
        <v>8.6738949124270235</v>
      </c>
      <c r="O72" s="461">
        <v>8.6738949124270235</v>
      </c>
      <c r="Q72" s="381">
        <v>2.86090903067532</v>
      </c>
      <c r="R72" s="382">
        <v>5.9808814217914286E-3</v>
      </c>
      <c r="S72" s="383">
        <v>0.13311008790288825</v>
      </c>
      <c r="T72" s="387">
        <v>2.9999999999999996</v>
      </c>
      <c r="U72" s="446" t="s">
        <v>145</v>
      </c>
    </row>
    <row r="73" spans="1:21" ht="33.75" customHeight="1" x14ac:dyDescent="0.2">
      <c r="A73" s="467" t="s">
        <v>189</v>
      </c>
      <c r="B73" s="373" t="s">
        <v>184</v>
      </c>
      <c r="C73" s="373" t="s">
        <v>185</v>
      </c>
      <c r="D73" s="373" t="s">
        <v>186</v>
      </c>
      <c r="E73" s="373" t="s">
        <v>187</v>
      </c>
      <c r="F73" s="374" t="s">
        <v>188</v>
      </c>
      <c r="G73" s="392">
        <v>0.1852</v>
      </c>
      <c r="H73" s="366"/>
      <c r="I73" s="377">
        <v>0.28720367197843105</v>
      </c>
      <c r="J73" s="367"/>
      <c r="K73" s="372">
        <v>0.1390742285237698</v>
      </c>
      <c r="L73" s="372">
        <v>0.1390742285237698</v>
      </c>
      <c r="M73" s="367"/>
      <c r="N73" s="461">
        <v>13.90742285237698</v>
      </c>
      <c r="O73" s="461">
        <v>13.90742285237698</v>
      </c>
      <c r="Q73" s="468">
        <v>2.7674290644195119</v>
      </c>
      <c r="R73" s="469">
        <v>1.5953103851731459E-2</v>
      </c>
      <c r="S73" s="470">
        <v>0.21661783172875679</v>
      </c>
      <c r="T73" s="471">
        <v>3</v>
      </c>
      <c r="U73" s="446" t="s">
        <v>145</v>
      </c>
    </row>
    <row r="74" spans="1:21" ht="26.25" customHeight="1" x14ac:dyDescent="0.2">
      <c r="A74" s="483" t="s">
        <v>190</v>
      </c>
      <c r="B74" s="481">
        <v>690</v>
      </c>
      <c r="C74" s="482">
        <v>797</v>
      </c>
      <c r="D74" s="477"/>
      <c r="E74" s="477"/>
      <c r="F74" s="477"/>
      <c r="G74" s="478"/>
      <c r="H74" s="449"/>
      <c r="I74" s="458"/>
      <c r="J74" s="367"/>
      <c r="K74" s="452"/>
      <c r="L74" s="452"/>
      <c r="M74" s="367"/>
      <c r="N74" s="459"/>
      <c r="O74" s="459"/>
      <c r="P74" s="393"/>
      <c r="Q74" s="393"/>
      <c r="R74" s="393"/>
      <c r="S74" s="393"/>
      <c r="T74" s="393"/>
      <c r="U74" s="446"/>
    </row>
    <row r="75" spans="1:21" ht="21.75" customHeight="1" x14ac:dyDescent="0.25">
      <c r="A75" s="447" t="s">
        <v>170</v>
      </c>
      <c r="B75" s="368"/>
      <c r="C75" s="368"/>
      <c r="D75" s="448"/>
      <c r="E75" s="448"/>
      <c r="F75" s="448"/>
      <c r="G75" s="448"/>
      <c r="H75" s="449"/>
      <c r="I75" s="450"/>
      <c r="J75" s="367"/>
      <c r="K75" s="367"/>
      <c r="L75" s="367"/>
      <c r="M75" s="367"/>
      <c r="N75" s="367"/>
      <c r="O75" s="367"/>
      <c r="P75" s="393"/>
      <c r="Q75" s="393"/>
      <c r="R75" s="393"/>
      <c r="S75" s="393"/>
      <c r="T75" s="393"/>
      <c r="U75" s="451"/>
    </row>
    <row r="76" spans="1:21" ht="27" customHeight="1" x14ac:dyDescent="0.2">
      <c r="A76" s="472" t="s">
        <v>249</v>
      </c>
      <c r="B76" s="474" t="s">
        <v>179</v>
      </c>
      <c r="C76" s="474" t="s">
        <v>180</v>
      </c>
      <c r="D76" s="474" t="s">
        <v>181</v>
      </c>
      <c r="E76" s="474" t="s">
        <v>182</v>
      </c>
      <c r="F76" s="475" t="s">
        <v>183</v>
      </c>
      <c r="G76" s="476">
        <v>0.22689999999999999</v>
      </c>
      <c r="H76" s="462"/>
      <c r="I76" s="463">
        <v>0.22590486296318066</v>
      </c>
      <c r="J76" s="323"/>
      <c r="K76" s="464">
        <v>0.22581317764804004</v>
      </c>
      <c r="L76" s="464">
        <v>0.22581317764804004</v>
      </c>
      <c r="M76" s="323"/>
      <c r="N76" s="473">
        <v>22.581317764804005</v>
      </c>
      <c r="O76" s="473">
        <v>22.581317764804005</v>
      </c>
      <c r="P76" s="393"/>
      <c r="Q76" s="453">
        <v>2.6283380950948318</v>
      </c>
      <c r="R76" s="454">
        <v>2.193398527352286E-2</v>
      </c>
      <c r="S76" s="455">
        <v>0.34972791963164501</v>
      </c>
      <c r="T76" s="456">
        <v>3</v>
      </c>
      <c r="U76" s="457" t="s">
        <v>145</v>
      </c>
    </row>
    <row r="77" spans="1:21" ht="30" customHeight="1" x14ac:dyDescent="0.2">
      <c r="A77" s="479" t="s">
        <v>178</v>
      </c>
      <c r="B77" s="481">
        <v>894</v>
      </c>
      <c r="C77" s="482">
        <v>1009</v>
      </c>
      <c r="D77" s="477"/>
      <c r="E77" s="477"/>
      <c r="F77" s="477"/>
      <c r="G77" s="478"/>
      <c r="H77" s="449"/>
      <c r="I77" s="458"/>
      <c r="J77" s="367"/>
      <c r="K77" s="452"/>
      <c r="L77" s="452"/>
      <c r="M77" s="367"/>
      <c r="N77" s="459"/>
      <c r="O77" s="459"/>
      <c r="P77" s="393"/>
      <c r="Q77" s="393"/>
      <c r="R77" s="393"/>
      <c r="S77" s="393"/>
      <c r="T77" s="393"/>
      <c r="U77" s="393"/>
    </row>
    <row r="78" spans="1:21" ht="6" customHeight="1" x14ac:dyDescent="0.2">
      <c r="A78" s="393"/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</row>
    <row r="79" spans="1:21" ht="52.5" customHeight="1" x14ac:dyDescent="0.2">
      <c r="A79" s="530" t="s">
        <v>257</v>
      </c>
      <c r="B79" s="530"/>
      <c r="C79" s="530"/>
      <c r="D79" s="530"/>
      <c r="E79" s="530"/>
      <c r="F79" s="530"/>
      <c r="G79" s="530"/>
      <c r="H79" s="449"/>
      <c r="I79" s="458"/>
      <c r="J79" s="367"/>
      <c r="K79" s="452"/>
      <c r="L79" s="452"/>
      <c r="M79" s="367"/>
      <c r="N79" s="459"/>
      <c r="O79" s="459"/>
      <c r="P79" s="393"/>
      <c r="Q79" s="393"/>
      <c r="R79" s="393"/>
      <c r="S79" s="393"/>
      <c r="T79" s="393"/>
      <c r="U79" s="393"/>
    </row>
    <row r="80" spans="1:21" x14ac:dyDescent="0.2">
      <c r="A80" s="371"/>
      <c r="B80" s="371"/>
      <c r="C80" s="371"/>
      <c r="D80" s="371"/>
      <c r="E80" s="371"/>
      <c r="F80" s="371"/>
      <c r="G80" s="371"/>
      <c r="H80" s="371"/>
      <c r="I80" s="520"/>
      <c r="J80" s="367"/>
      <c r="K80" s="393"/>
      <c r="L80" s="393"/>
      <c r="M80" s="393"/>
      <c r="N80" s="393"/>
      <c r="O80" s="393"/>
    </row>
    <row r="81" spans="1:15" x14ac:dyDescent="0.2">
      <c r="A81" s="371"/>
      <c r="B81" s="371"/>
      <c r="C81" s="371"/>
      <c r="D81" s="371"/>
      <c r="E81" s="371"/>
      <c r="F81" s="371"/>
      <c r="G81" s="371"/>
      <c r="H81" s="371"/>
      <c r="I81" s="520"/>
      <c r="J81" s="367"/>
      <c r="K81" s="393"/>
      <c r="L81" s="393"/>
      <c r="M81" s="393"/>
      <c r="N81" s="393"/>
      <c r="O81" s="393"/>
    </row>
    <row r="82" spans="1:15" ht="13.5" thickBot="1" x14ac:dyDescent="0.25">
      <c r="A82" s="393"/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</row>
    <row r="83" spans="1:15" ht="30" customHeight="1" thickBot="1" x14ac:dyDescent="0.25">
      <c r="A83" s="521" t="s">
        <v>253</v>
      </c>
      <c r="B83" s="522"/>
      <c r="C83" s="522"/>
      <c r="D83" s="523"/>
      <c r="E83" s="523"/>
      <c r="F83" s="523"/>
      <c r="G83" s="524"/>
      <c r="H83" s="393"/>
      <c r="K83" s="505" t="s">
        <v>155</v>
      </c>
      <c r="L83" s="506"/>
      <c r="N83" s="505" t="s">
        <v>147</v>
      </c>
      <c r="O83" s="506"/>
    </row>
    <row r="84" spans="1:15" ht="30.75" thickBot="1" x14ac:dyDescent="0.25">
      <c r="A84" s="518" t="s">
        <v>201</v>
      </c>
      <c r="B84" s="480" t="s">
        <v>167</v>
      </c>
      <c r="C84" s="480" t="s">
        <v>168</v>
      </c>
      <c r="D84" s="507" t="s">
        <v>156</v>
      </c>
      <c r="E84" s="508"/>
      <c r="F84" s="508"/>
      <c r="G84" s="509"/>
      <c r="H84" s="393"/>
      <c r="K84" s="500" t="s">
        <v>157</v>
      </c>
      <c r="L84" s="501"/>
      <c r="N84" s="500" t="s">
        <v>205</v>
      </c>
      <c r="O84" s="501"/>
    </row>
    <row r="85" spans="1:15" ht="39" thickBot="1" x14ac:dyDescent="0.25">
      <c r="A85" s="519"/>
      <c r="B85" s="400" t="s">
        <v>151</v>
      </c>
      <c r="C85" s="400" t="s">
        <v>151</v>
      </c>
      <c r="D85" s="417" t="s">
        <v>136</v>
      </c>
      <c r="E85" s="411" t="s">
        <v>137</v>
      </c>
      <c r="F85" s="411" t="s">
        <v>138</v>
      </c>
      <c r="G85" s="412" t="s">
        <v>120</v>
      </c>
      <c r="H85" s="393"/>
      <c r="I85" s="418" t="s">
        <v>158</v>
      </c>
      <c r="J85" s="7"/>
      <c r="K85" s="419" t="s">
        <v>159</v>
      </c>
      <c r="L85" s="416" t="s">
        <v>160</v>
      </c>
      <c r="N85" s="419" t="s">
        <v>198</v>
      </c>
      <c r="O85" s="395" t="s">
        <v>191</v>
      </c>
    </row>
    <row r="86" spans="1:15" ht="8.25" customHeight="1" x14ac:dyDescent="0.2">
      <c r="A86" s="408"/>
      <c r="B86" s="409"/>
      <c r="C86" s="409"/>
      <c r="D86" s="410"/>
      <c r="E86" s="410"/>
      <c r="F86" s="410"/>
      <c r="H86" s="393"/>
    </row>
    <row r="87" spans="1:15" ht="29.25" customHeight="1" x14ac:dyDescent="0.2">
      <c r="A87" s="517" t="s">
        <v>200</v>
      </c>
      <c r="B87" s="531" t="s">
        <v>233</v>
      </c>
      <c r="C87" s="531" t="s">
        <v>241</v>
      </c>
      <c r="D87" s="531" t="s">
        <v>202</v>
      </c>
      <c r="E87" s="531" t="s">
        <v>203</v>
      </c>
      <c r="F87" s="532" t="s">
        <v>204</v>
      </c>
      <c r="G87" s="533">
        <v>0.99919999999999998</v>
      </c>
      <c r="H87" s="393"/>
      <c r="I87" s="420">
        <v>2.871755810478722E-7</v>
      </c>
      <c r="K87" s="421">
        <v>0.15787287079351892</v>
      </c>
      <c r="L87" s="422">
        <v>0.10757639179573043</v>
      </c>
      <c r="N87" s="536">
        <v>15.787287079351891</v>
      </c>
      <c r="O87" s="537">
        <v>10.757639179573044</v>
      </c>
    </row>
    <row r="88" spans="1:15" ht="24.95" customHeight="1" x14ac:dyDescent="0.2">
      <c r="A88" s="517" t="s">
        <v>206</v>
      </c>
      <c r="B88" s="531" t="s">
        <v>234</v>
      </c>
      <c r="C88" s="531" t="s">
        <v>242</v>
      </c>
      <c r="D88" s="531" t="s">
        <v>207</v>
      </c>
      <c r="E88" s="531" t="s">
        <v>208</v>
      </c>
      <c r="F88" s="534" t="s">
        <v>209</v>
      </c>
      <c r="G88" s="533" t="s">
        <v>210</v>
      </c>
      <c r="H88" s="393"/>
      <c r="I88" s="420">
        <v>2.327670551612304E-3</v>
      </c>
      <c r="K88" s="423">
        <v>0.10843373493975904</v>
      </c>
      <c r="L88" s="423">
        <v>0.13729593972373377</v>
      </c>
      <c r="N88" s="537">
        <v>10.843373493975903</v>
      </c>
      <c r="O88" s="536">
        <v>13.729593972373378</v>
      </c>
    </row>
    <row r="89" spans="1:15" ht="24.95" customHeight="1" x14ac:dyDescent="0.2">
      <c r="A89" s="517" t="s">
        <v>152</v>
      </c>
      <c r="B89" s="531" t="s">
        <v>235</v>
      </c>
      <c r="C89" s="531" t="s">
        <v>243</v>
      </c>
      <c r="D89" s="531" t="s">
        <v>211</v>
      </c>
      <c r="E89" s="531" t="s">
        <v>212</v>
      </c>
      <c r="F89" s="531" t="s">
        <v>213</v>
      </c>
      <c r="G89" s="533" t="s">
        <v>214</v>
      </c>
      <c r="H89" s="393"/>
      <c r="I89" s="420">
        <v>0.36297818469923121</v>
      </c>
      <c r="K89" s="423">
        <v>4.2952460383653045E-2</v>
      </c>
      <c r="L89" s="423">
        <v>4.2952460383653045E-2</v>
      </c>
      <c r="N89" s="538">
        <v>4.2952460383653044</v>
      </c>
      <c r="O89" s="538">
        <v>4.2952460383653044</v>
      </c>
    </row>
    <row r="90" spans="1:15" ht="24.95" customHeight="1" x14ac:dyDescent="0.2">
      <c r="A90" s="517" t="s">
        <v>153</v>
      </c>
      <c r="B90" s="531" t="s">
        <v>236</v>
      </c>
      <c r="C90" s="531" t="s">
        <v>244</v>
      </c>
      <c r="D90" s="531" t="s">
        <v>215</v>
      </c>
      <c r="E90" s="531" t="s">
        <v>216</v>
      </c>
      <c r="F90" s="531" t="s">
        <v>217</v>
      </c>
      <c r="G90" s="533" t="s">
        <v>218</v>
      </c>
      <c r="H90" s="393"/>
      <c r="I90" s="420">
        <v>0.79352104701738657</v>
      </c>
      <c r="K90" s="423">
        <v>1.6263552960800669E-2</v>
      </c>
      <c r="L90" s="423">
        <v>1.6263552960800669E-2</v>
      </c>
      <c r="N90" s="538">
        <v>1.6263552960800669</v>
      </c>
      <c r="O90" s="538">
        <v>1.6263552960800669</v>
      </c>
    </row>
    <row r="91" spans="1:15" ht="30.75" customHeight="1" x14ac:dyDescent="0.2">
      <c r="A91" s="517" t="s">
        <v>252</v>
      </c>
      <c r="B91" s="531" t="s">
        <v>237</v>
      </c>
      <c r="C91" s="531" t="s">
        <v>245</v>
      </c>
      <c r="D91" s="531" t="s">
        <v>219</v>
      </c>
      <c r="E91" s="531" t="s">
        <v>220</v>
      </c>
      <c r="F91" s="534" t="s">
        <v>221</v>
      </c>
      <c r="G91" s="533" t="s">
        <v>222</v>
      </c>
      <c r="H91" s="393"/>
      <c r="I91" s="420">
        <v>4.8654920316902127E-2</v>
      </c>
      <c r="K91" s="423">
        <v>0.1312837557125052</v>
      </c>
      <c r="L91" s="423">
        <v>0.15110925073252407</v>
      </c>
      <c r="N91" s="537">
        <v>13.128375571250519</v>
      </c>
      <c r="O91" s="536">
        <v>15.110925073252407</v>
      </c>
    </row>
    <row r="92" spans="1:15" ht="28.5" customHeight="1" x14ac:dyDescent="0.2">
      <c r="A92" s="517" t="s">
        <v>251</v>
      </c>
      <c r="B92" s="531" t="s">
        <v>238</v>
      </c>
      <c r="C92" s="531" t="s">
        <v>246</v>
      </c>
      <c r="D92" s="531" t="s">
        <v>229</v>
      </c>
      <c r="E92" s="531" t="s">
        <v>230</v>
      </c>
      <c r="F92" s="534" t="s">
        <v>231</v>
      </c>
      <c r="G92" s="533">
        <v>0.53490000000000004</v>
      </c>
      <c r="H92" s="393"/>
      <c r="I92" s="420">
        <v>4.0604149613697967E-2</v>
      </c>
      <c r="K92" s="422">
        <v>3.115911923556294E-2</v>
      </c>
      <c r="L92" s="421">
        <v>4.2277103390539972E-2</v>
      </c>
      <c r="N92" s="537">
        <v>3.1159119235562938</v>
      </c>
      <c r="O92" s="536">
        <v>4.2277103390539974</v>
      </c>
    </row>
    <row r="93" spans="1:15" ht="24.95" customHeight="1" x14ac:dyDescent="0.2">
      <c r="A93" s="517" t="s">
        <v>154</v>
      </c>
      <c r="B93" s="535" t="s">
        <v>239</v>
      </c>
      <c r="C93" s="535" t="s">
        <v>247</v>
      </c>
      <c r="D93" s="535" t="s">
        <v>223</v>
      </c>
      <c r="E93" s="535" t="s">
        <v>224</v>
      </c>
      <c r="F93" s="532" t="s">
        <v>225</v>
      </c>
      <c r="G93" s="533">
        <v>0.65010000000000001</v>
      </c>
      <c r="H93" s="393"/>
      <c r="I93" s="420">
        <v>1.9000478685808609E-2</v>
      </c>
      <c r="K93" s="424">
        <v>5.8163689239717487E-3</v>
      </c>
      <c r="L93" s="424">
        <v>1.6743407283382169E-3</v>
      </c>
      <c r="N93" s="539">
        <v>0.58163689239717487</v>
      </c>
      <c r="O93" s="540">
        <v>0.1674340728338217</v>
      </c>
    </row>
    <row r="94" spans="1:15" ht="24.95" customHeight="1" x14ac:dyDescent="0.2">
      <c r="A94" s="517" t="s">
        <v>232</v>
      </c>
      <c r="B94" s="535" t="s">
        <v>240</v>
      </c>
      <c r="C94" s="535" t="s">
        <v>248</v>
      </c>
      <c r="D94" s="535" t="s">
        <v>226</v>
      </c>
      <c r="E94" s="535" t="s">
        <v>227</v>
      </c>
      <c r="F94" s="535" t="s">
        <v>228</v>
      </c>
      <c r="G94" s="533">
        <v>0.36430000000000001</v>
      </c>
      <c r="H94" s="393"/>
      <c r="I94" s="420">
        <v>0.10675520290092545</v>
      </c>
      <c r="K94" s="424">
        <v>6.8598832360300246E-2</v>
      </c>
      <c r="L94" s="424">
        <v>6.8598832360300246E-2</v>
      </c>
      <c r="N94" s="538">
        <v>6.8598832360300248</v>
      </c>
      <c r="O94" s="538">
        <v>6.8598832360300248</v>
      </c>
    </row>
    <row r="95" spans="1:15" ht="6.75" customHeight="1" x14ac:dyDescent="0.2">
      <c r="C95" s="3"/>
      <c r="H95" s="393"/>
      <c r="N95" s="393"/>
      <c r="O95" s="393"/>
    </row>
    <row r="96" spans="1:15" ht="32.25" customHeight="1" x14ac:dyDescent="0.2">
      <c r="A96" s="530" t="s">
        <v>258</v>
      </c>
      <c r="B96" s="530"/>
      <c r="C96" s="530"/>
      <c r="D96" s="530"/>
      <c r="E96" s="530"/>
      <c r="F96" s="530"/>
      <c r="G96" s="530"/>
      <c r="H96" s="393"/>
      <c r="N96" s="393"/>
      <c r="O96" s="393"/>
    </row>
    <row r="97" spans="8:8" x14ac:dyDescent="0.2">
      <c r="H97" s="393"/>
    </row>
  </sheetData>
  <mergeCells count="19">
    <mergeCell ref="N83:O83"/>
    <mergeCell ref="N84:O84"/>
    <mergeCell ref="A96:G96"/>
    <mergeCell ref="A83:G83"/>
    <mergeCell ref="K83:L83"/>
    <mergeCell ref="A84:A85"/>
    <mergeCell ref="D84:G84"/>
    <mergeCell ref="K84:L84"/>
    <mergeCell ref="A79:G79"/>
    <mergeCell ref="T66:T68"/>
    <mergeCell ref="A3:E3"/>
    <mergeCell ref="B44:C44"/>
    <mergeCell ref="Q66:Q68"/>
    <mergeCell ref="R66:R68"/>
    <mergeCell ref="N66:O66"/>
    <mergeCell ref="D67:G67"/>
    <mergeCell ref="N67:O67"/>
    <mergeCell ref="A67:A68"/>
    <mergeCell ref="S66:S68"/>
  </mergeCells>
  <pageMargins left="0.7" right="0.7" top="0.75" bottom="0.75" header="0.3" footer="0.3"/>
  <pageSetup paperSize="9" orientation="portrait" horizontalDpi="300" verticalDpi="300" r:id="rId1"/>
  <ignoredErrors>
    <ignoredError sqref="G88:G9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8"/>
  <sheetViews>
    <sheetView topLeftCell="A3" zoomScale="85" zoomScaleNormal="85" workbookViewId="0">
      <selection activeCell="A4" sqref="A4:V4"/>
    </sheetView>
  </sheetViews>
  <sheetFormatPr baseColWidth="10" defaultRowHeight="15" x14ac:dyDescent="0.25"/>
  <cols>
    <col min="1" max="1" width="18.85546875" customWidth="1"/>
    <col min="3" max="3" width="13" customWidth="1"/>
    <col min="4" max="4" width="12.5703125" customWidth="1"/>
    <col min="5" max="5" width="5.85546875" customWidth="1"/>
    <col min="6" max="6" width="5.140625" customWidth="1"/>
    <col min="7" max="13" width="3.7109375" customWidth="1"/>
    <col min="14" max="14" width="5.42578125" style="23" customWidth="1"/>
    <col min="15" max="22" width="3.7109375" style="23" customWidth="1"/>
  </cols>
  <sheetData>
    <row r="1" spans="1:22" hidden="1" x14ac:dyDescent="0.25">
      <c r="A1" s="22">
        <f>B7</f>
        <v>0</v>
      </c>
      <c r="B1" s="22" t="s">
        <v>4</v>
      </c>
      <c r="C1" s="22" t="s">
        <v>5</v>
      </c>
      <c r="D1" s="22" t="s">
        <v>6</v>
      </c>
      <c r="E1" s="22"/>
      <c r="F1" s="22"/>
      <c r="N1"/>
      <c r="O1"/>
      <c r="P1"/>
      <c r="Q1"/>
      <c r="R1"/>
    </row>
    <row r="2" spans="1:22" hidden="1" x14ac:dyDescent="0.2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 xml:space="preserve">puede representarse llegando los  pacientes, a los  </v>
      </c>
      <c r="F2" s="22"/>
      <c r="G2" s="24" t="str">
        <f>CONCATENATE(A2," ",E2,D2)</f>
        <v>NO puede representarse llegando los  pacientes, a los  , pues habría que recortar o ampliar los tiempos respectivos de uno o más pacientes "libres de evento" o "con evento"</v>
      </c>
      <c r="H2" s="24"/>
      <c r="I2" s="24"/>
      <c r="N2"/>
      <c r="O2"/>
      <c r="P2"/>
      <c r="Q2"/>
      <c r="R2"/>
    </row>
    <row r="3" spans="1:22" ht="8.25" customHeight="1" thickBot="1" x14ac:dyDescent="0.3">
      <c r="A3" s="25"/>
      <c r="C3" s="25"/>
      <c r="D3" s="25"/>
      <c r="E3" s="25"/>
      <c r="F3" s="25"/>
      <c r="G3" s="25"/>
      <c r="H3" s="25"/>
      <c r="I3" s="25"/>
      <c r="J3" s="26"/>
      <c r="N3"/>
      <c r="O3"/>
      <c r="P3"/>
      <c r="Q3"/>
      <c r="R3"/>
    </row>
    <row r="4" spans="1:22" ht="46.5" customHeight="1" thickBot="1" x14ac:dyDescent="0.3">
      <c r="A4" s="514" t="s">
        <v>199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6"/>
    </row>
    <row r="5" spans="1:22" ht="25.5" x14ac:dyDescent="0.25">
      <c r="A5" s="441" t="s">
        <v>165</v>
      </c>
      <c r="B5" s="27"/>
      <c r="C5" s="438"/>
      <c r="D5" s="439"/>
      <c r="E5" s="440"/>
      <c r="G5" s="25"/>
      <c r="H5" s="25"/>
      <c r="I5" s="425"/>
      <c r="J5" s="25"/>
      <c r="N5"/>
      <c r="O5"/>
      <c r="P5"/>
      <c r="Q5"/>
      <c r="R5"/>
    </row>
    <row r="6" spans="1:22" ht="21" customHeight="1" x14ac:dyDescent="0.25">
      <c r="A6" s="25"/>
      <c r="C6" s="28"/>
      <c r="D6" s="29"/>
      <c r="E6" s="30"/>
      <c r="F6" s="25"/>
      <c r="G6" s="25"/>
      <c r="H6" s="25"/>
      <c r="I6" s="426"/>
      <c r="J6" s="25"/>
      <c r="N6"/>
      <c r="O6"/>
      <c r="P6"/>
      <c r="Q6"/>
      <c r="R6"/>
    </row>
    <row r="7" spans="1:22" ht="39.75" customHeight="1" x14ac:dyDescent="0.25">
      <c r="A7" s="413" t="s">
        <v>166</v>
      </c>
      <c r="B7" s="31"/>
      <c r="C7" s="32" t="str">
        <f>CONCATENATE(A1," ",B1," ",B5," ",C1)</f>
        <v>0 de los  del grupo Interv</v>
      </c>
      <c r="D7" s="32" t="str">
        <f>CONCATENATE(A1," ",B1," ",B5," ",D1)</f>
        <v>0 de los  del grupo Contr</v>
      </c>
      <c r="E7" s="25"/>
      <c r="F7" s="25"/>
      <c r="G7" s="25"/>
      <c r="H7" s="25"/>
      <c r="I7" s="25"/>
      <c r="J7" s="25"/>
      <c r="N7"/>
      <c r="O7"/>
      <c r="P7"/>
      <c r="Q7"/>
      <c r="R7"/>
    </row>
    <row r="8" spans="1:22" x14ac:dyDescent="0.25">
      <c r="A8" s="33" t="s">
        <v>1</v>
      </c>
      <c r="B8" s="34"/>
      <c r="C8" s="35">
        <f>B8*B5</f>
        <v>0</v>
      </c>
      <c r="D8" s="510">
        <f>(B8+B9)*B5</f>
        <v>0</v>
      </c>
      <c r="E8" s="36"/>
      <c r="F8" s="36"/>
      <c r="G8" s="37"/>
      <c r="H8" s="37"/>
      <c r="I8" s="37"/>
      <c r="J8" s="25"/>
      <c r="N8"/>
      <c r="O8"/>
      <c r="P8"/>
      <c r="Q8"/>
      <c r="R8"/>
    </row>
    <row r="9" spans="1:22" ht="26.25" x14ac:dyDescent="0.25">
      <c r="A9" s="38" t="s">
        <v>3</v>
      </c>
      <c r="B9" s="39"/>
      <c r="C9" s="511">
        <f>(B10+B9)*B5</f>
        <v>0</v>
      </c>
      <c r="D9" s="510"/>
      <c r="E9" s="29"/>
      <c r="F9" s="40"/>
      <c r="G9" s="37"/>
      <c r="H9" s="37"/>
      <c r="I9" s="37"/>
      <c r="J9" s="25"/>
      <c r="N9"/>
      <c r="O9"/>
      <c r="P9"/>
      <c r="Q9"/>
      <c r="R9"/>
    </row>
    <row r="10" spans="1:22" ht="26.25" x14ac:dyDescent="0.25">
      <c r="A10" s="41" t="s">
        <v>2</v>
      </c>
      <c r="B10" s="42"/>
      <c r="C10" s="511"/>
      <c r="D10" s="43">
        <f>B10*B5</f>
        <v>0</v>
      </c>
      <c r="E10" s="28"/>
      <c r="F10" s="40"/>
      <c r="G10" s="44"/>
      <c r="H10" s="44"/>
      <c r="I10" s="44"/>
      <c r="J10" s="25"/>
      <c r="N10"/>
      <c r="O10"/>
      <c r="P10"/>
      <c r="Q10"/>
      <c r="R10"/>
    </row>
    <row r="11" spans="1:22" x14ac:dyDescent="0.25">
      <c r="A11" s="2"/>
      <c r="B11" s="45"/>
      <c r="C11" s="46">
        <f>C8+C9</f>
        <v>0</v>
      </c>
      <c r="D11" s="46">
        <f>D8+D10</f>
        <v>0</v>
      </c>
      <c r="E11" s="47"/>
      <c r="F11" s="47"/>
      <c r="G11" s="47"/>
      <c r="H11" s="47"/>
      <c r="I11" s="47"/>
      <c r="J11" s="25"/>
      <c r="N11"/>
      <c r="O11"/>
      <c r="P11"/>
      <c r="Q11"/>
      <c r="R11"/>
    </row>
    <row r="12" spans="1:22" ht="9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N12"/>
      <c r="O12"/>
      <c r="P12"/>
      <c r="Q12"/>
      <c r="R12"/>
    </row>
    <row r="13" spans="1:22" x14ac:dyDescent="0.25">
      <c r="A13" s="25"/>
      <c r="B13" s="25"/>
      <c r="C13" s="21">
        <f>(E5+D5)*B11</f>
        <v>0</v>
      </c>
      <c r="D13" s="21">
        <f>E5*B11</f>
        <v>0</v>
      </c>
      <c r="E13" s="25"/>
      <c r="F13" s="48" t="s">
        <v>12</v>
      </c>
      <c r="G13" s="25"/>
      <c r="H13" s="25"/>
      <c r="I13" s="25"/>
      <c r="J13" s="25"/>
      <c r="N13"/>
      <c r="O13"/>
      <c r="P13"/>
      <c r="Q13"/>
      <c r="R13"/>
    </row>
    <row r="14" spans="1:22" ht="36" customHeight="1" x14ac:dyDescent="0.25">
      <c r="A14" s="512" t="s">
        <v>13</v>
      </c>
      <c r="B14" s="512"/>
      <c r="C14" s="49">
        <f>C9-C13</f>
        <v>0</v>
      </c>
      <c r="D14" s="49">
        <f>D10-D13</f>
        <v>0</v>
      </c>
      <c r="F14" s="513" t="e">
        <f>IF((AND(((B9+B10)/B11)&gt;((D5+E5)/B5),(B10/B11)&gt;(E5/B5))),E2,G2)</f>
        <v>#DIV/0!</v>
      </c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</row>
    <row r="15" spans="1:22" ht="18.75" customHeight="1" thickBot="1" x14ac:dyDescent="0.3">
      <c r="A15" s="50"/>
      <c r="B15" s="50"/>
      <c r="C15" s="50"/>
      <c r="D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22" ht="17.25" customHeight="1" thickBot="1" x14ac:dyDescent="0.3">
      <c r="A16" s="442" t="s">
        <v>150</v>
      </c>
      <c r="B16" s="443"/>
      <c r="C16" s="444"/>
      <c r="D16" s="445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22" x14ac:dyDescent="0.25">
      <c r="A17" s="25" t="s">
        <v>167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22" x14ac:dyDescent="0.25">
      <c r="A18" s="25" t="s">
        <v>168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R18" s="406"/>
      <c r="S18" s="406"/>
      <c r="T18" s="407"/>
    </row>
    <row r="19" spans="1:22" x14ac:dyDescent="0.25"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3"/>
      <c r="R19" s="53"/>
      <c r="S19" s="53"/>
      <c r="T19" s="53"/>
      <c r="U19" s="53"/>
      <c r="V19" s="53"/>
    </row>
    <row r="20" spans="1:22" ht="15.75" thickBot="1" x14ac:dyDescent="0.3"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3"/>
      <c r="R20" s="53"/>
      <c r="S20" s="53"/>
      <c r="T20" s="53"/>
      <c r="U20" s="53"/>
      <c r="V20" s="53"/>
    </row>
    <row r="21" spans="1:22" x14ac:dyDescent="0.25">
      <c r="A21" s="341" t="s">
        <v>132</v>
      </c>
      <c r="B21" s="342"/>
      <c r="C21" s="342"/>
      <c r="D21" s="343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3"/>
      <c r="R21" s="53"/>
      <c r="S21" s="53"/>
      <c r="T21" s="53"/>
      <c r="U21" s="53"/>
      <c r="V21" s="53"/>
    </row>
    <row r="22" spans="1:22" x14ac:dyDescent="0.25">
      <c r="A22" s="344" t="s">
        <v>127</v>
      </c>
      <c r="B22" s="345" t="s">
        <v>128</v>
      </c>
      <c r="C22" s="345" t="s">
        <v>116</v>
      </c>
      <c r="D22" s="346" t="s">
        <v>11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3"/>
      <c r="R22" s="53"/>
      <c r="S22" s="53"/>
      <c r="T22" s="53"/>
      <c r="U22" s="53"/>
      <c r="V22" s="53"/>
    </row>
    <row r="23" spans="1:22" x14ac:dyDescent="0.25">
      <c r="A23" s="347"/>
      <c r="B23" s="348"/>
      <c r="C23" s="349">
        <f>B23-A23</f>
        <v>0</v>
      </c>
      <c r="D23" s="350" t="e">
        <f>1/C23</f>
        <v>#DIV/0!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3"/>
      <c r="R23" s="53"/>
      <c r="S23" s="53"/>
      <c r="T23" s="53"/>
      <c r="U23" s="53"/>
      <c r="V23" s="53"/>
    </row>
    <row r="24" spans="1:22" ht="15.75" thickBot="1" x14ac:dyDescent="0.3">
      <c r="A24" s="351" t="s">
        <v>129</v>
      </c>
      <c r="B24" s="356" t="e">
        <f>A23*D23</f>
        <v>#DIV/0!</v>
      </c>
      <c r="C24" s="352" t="e">
        <f>C23*D23</f>
        <v>#DIV/0!</v>
      </c>
      <c r="D24" s="353" t="e">
        <f>(1-B23)*D23</f>
        <v>#DIV/0!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3"/>
      <c r="R24" s="53"/>
      <c r="S24" s="53"/>
      <c r="T24" s="53"/>
      <c r="U24" s="53"/>
      <c r="V24" s="53"/>
    </row>
    <row r="25" spans="1:22" x14ac:dyDescent="0.25"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3"/>
      <c r="R25" s="53"/>
      <c r="S25" s="53"/>
      <c r="T25" s="53"/>
      <c r="U25" s="53"/>
      <c r="V25" s="53"/>
    </row>
    <row r="26" spans="1:22" x14ac:dyDescent="0.25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3"/>
      <c r="R26" s="53"/>
      <c r="S26" s="53"/>
      <c r="T26" s="53"/>
      <c r="U26" s="53"/>
      <c r="V26" s="53"/>
    </row>
    <row r="27" spans="1:22" x14ac:dyDescent="0.2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3"/>
      <c r="R27" s="53"/>
      <c r="S27" s="53"/>
      <c r="T27" s="53"/>
      <c r="U27" s="53"/>
      <c r="V27" s="53"/>
    </row>
    <row r="28" spans="1:22" x14ac:dyDescent="0.25"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22" x14ac:dyDescent="0.25"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22" x14ac:dyDescent="0.25"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22" x14ac:dyDescent="0.25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22" x14ac:dyDescent="0.25"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6:16" x14ac:dyDescent="0.25"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6:16" x14ac:dyDescent="0.25"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6:16" x14ac:dyDescent="0.25"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6:16" x14ac:dyDescent="0.25"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6:16" x14ac:dyDescent="0.25"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6:16" x14ac:dyDescent="0.25"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6:16" x14ac:dyDescent="0.25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6:16" x14ac:dyDescent="0.25"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6:16" x14ac:dyDescent="0.25"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6:16" x14ac:dyDescent="0.25"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6:16" x14ac:dyDescent="0.25"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6:16" x14ac:dyDescent="0.25"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6:16" x14ac:dyDescent="0.25"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6:16" x14ac:dyDescent="0.25"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6:16" x14ac:dyDescent="0.25"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6:16" x14ac:dyDescent="0.25"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6:16" x14ac:dyDescent="0.25"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6:16" x14ac:dyDescent="0.25"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6:16" x14ac:dyDescent="0.25"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6:16" x14ac:dyDescent="0.25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6:16" x14ac:dyDescent="0.25"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6:16" x14ac:dyDescent="0.25"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6:16" x14ac:dyDescent="0.25"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6:16" x14ac:dyDescent="0.25"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6:16" x14ac:dyDescent="0.25"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6:16" x14ac:dyDescent="0.25">
      <c r="K58" s="52"/>
      <c r="L58" s="52"/>
    </row>
  </sheetData>
  <mergeCells count="5">
    <mergeCell ref="D8:D9"/>
    <mergeCell ref="C9:C10"/>
    <mergeCell ref="A14:B14"/>
    <mergeCell ref="F14:R14"/>
    <mergeCell ref="A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IncAcum</vt:lpstr>
      <vt:lpstr>Gráf1 PtSLEv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2021-09-22T16:34:27Z</dcterms:modified>
</cp:coreProperties>
</file>