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21202-Galo\0-Datos\10-Temas publc\20210422-VÑ EMPEROR-Reduced\"/>
    </mc:Choice>
  </mc:AlternateContent>
  <xr:revisionPtr revIDLastSave="0" documentId="13_ncr:1_{1DA22AB5-3C47-47BB-B6B1-967E28B8259B}" xr6:coauthVersionLast="36" xr6:coauthVersionMax="47" xr10:uidLastSave="{00000000-0000-0000-0000-000000000000}"/>
  <bookViews>
    <workbookView xWindow="-110" yWindow="-110" windowWidth="19420" windowHeight="10420" tabRatio="564" xr2:uid="{00000000-000D-0000-FFFF-FFFF00000000}"/>
  </bookViews>
  <sheets>
    <sheet name="Inc Acumul" sheetId="1" r:id="rId1"/>
  </sheets>
  <definedNames>
    <definedName name="ArticleComments" localSheetId="0">'Inc Acumul'!#REF!</definedName>
  </definedNames>
  <calcPr calcId="191029"/>
</workbook>
</file>

<file path=xl/calcChain.xml><?xml version="1.0" encoding="utf-8"?>
<calcChain xmlns="http://schemas.openxmlformats.org/spreadsheetml/2006/main">
  <c r="C9" i="1" l="1"/>
  <c r="C56" i="1"/>
  <c r="A53" i="1"/>
  <c r="D61" i="1" s="1"/>
  <c r="F61" i="1"/>
  <c r="D41" i="1"/>
  <c r="D40" i="1"/>
  <c r="H23" i="1"/>
  <c r="H22" i="1"/>
  <c r="B22" i="1"/>
  <c r="A22" i="1"/>
  <c r="H21" i="1"/>
  <c r="B21" i="1"/>
  <c r="C14" i="1"/>
  <c r="E9" i="1"/>
  <c r="B23" i="1" s="1"/>
  <c r="D8" i="1"/>
  <c r="A14" i="1"/>
  <c r="A23" i="1"/>
  <c r="F14" i="1"/>
  <c r="D54" i="1" s="1"/>
  <c r="D7" i="1"/>
  <c r="A21" i="1"/>
  <c r="B56" i="1"/>
  <c r="E61" i="1"/>
  <c r="D21" i="1" l="1"/>
  <c r="F21" i="1"/>
  <c r="D9" i="1"/>
  <c r="C41" i="1" s="1"/>
  <c r="C46" i="1" s="1"/>
  <c r="C21" i="1"/>
  <c r="I21" i="1" s="1"/>
  <c r="J55" i="1" s="1"/>
  <c r="B58" i="1" s="1"/>
  <c r="B62" i="1" s="1"/>
  <c r="D23" i="1"/>
  <c r="D22" i="1"/>
  <c r="B14" i="1"/>
  <c r="D14" i="1" s="1"/>
  <c r="G14" i="1" s="1"/>
  <c r="K14" i="1" s="1"/>
  <c r="J14" i="1"/>
  <c r="M21" i="1"/>
  <c r="D42" i="1"/>
  <c r="C22" i="1"/>
  <c r="E22" i="1" s="1"/>
  <c r="F22" i="1"/>
  <c r="M23" i="1"/>
  <c r="C40" i="1"/>
  <c r="C23" i="1"/>
  <c r="F23" i="1"/>
  <c r="B41" i="1"/>
  <c r="B46" i="1" s="1"/>
  <c r="B40" i="1"/>
  <c r="E21" i="1" l="1"/>
  <c r="K21" i="1" s="1"/>
  <c r="L55" i="1" s="1"/>
  <c r="E14" i="1"/>
  <c r="H14" i="1" s="1"/>
  <c r="D56" i="1" s="1"/>
  <c r="D55" i="1"/>
  <c r="V21" i="1"/>
  <c r="J21" i="1"/>
  <c r="K55" i="1" s="1"/>
  <c r="M55" i="1" s="1"/>
  <c r="I26" i="1"/>
  <c r="M22" i="1" s="1"/>
  <c r="M24" i="1" s="1"/>
  <c r="M25" i="1" s="1"/>
  <c r="M26" i="1" s="1"/>
  <c r="I22" i="1"/>
  <c r="J56" i="1" s="1"/>
  <c r="C58" i="1" s="1"/>
  <c r="C62" i="1" s="1"/>
  <c r="J22" i="1"/>
  <c r="K22" i="1"/>
  <c r="P28" i="1"/>
  <c r="E23" i="1"/>
  <c r="V22" i="1"/>
  <c r="I23" i="1"/>
  <c r="J57" i="1" s="1"/>
  <c r="C42" i="1"/>
  <c r="C45" i="1"/>
  <c r="B42" i="1"/>
  <c r="B45" i="1"/>
  <c r="J41" i="1"/>
  <c r="H40" i="1" s="1"/>
  <c r="L14" i="1" l="1"/>
  <c r="D58" i="1"/>
  <c r="D62" i="1" s="1"/>
  <c r="V23" i="1"/>
  <c r="V24" i="1" s="1"/>
  <c r="V25" i="1" s="1"/>
  <c r="M31" i="1"/>
  <c r="M32" i="1" s="1"/>
  <c r="M33" i="1" s="1"/>
  <c r="E54" i="1"/>
  <c r="I27" i="1"/>
  <c r="K56" i="1"/>
  <c r="J26" i="1"/>
  <c r="L56" i="1"/>
  <c r="K26" i="1"/>
  <c r="B48" i="1"/>
  <c r="J23" i="1"/>
  <c r="K57" i="1" s="1"/>
  <c r="K23" i="1"/>
  <c r="L57" i="1" s="1"/>
  <c r="G56" i="1" l="1"/>
  <c r="G58" i="1" s="1"/>
  <c r="G62" i="1" s="1"/>
  <c r="I29" i="1"/>
  <c r="F54" i="1"/>
  <c r="I34" i="1"/>
  <c r="I36" i="1"/>
  <c r="I31" i="1"/>
  <c r="I37" i="1"/>
  <c r="I35" i="1"/>
  <c r="I32" i="1"/>
  <c r="I30" i="1"/>
  <c r="M57" i="1"/>
  <c r="E55" i="1"/>
  <c r="K27" i="1"/>
  <c r="K32" i="1" s="1"/>
  <c r="J27" i="1"/>
  <c r="E56" i="1"/>
  <c r="L62" i="1"/>
  <c r="K62" i="1"/>
  <c r="M56" i="1"/>
  <c r="F46" i="1"/>
  <c r="B49" i="1"/>
  <c r="I62" i="1" s="1"/>
  <c r="J29" i="1" l="1"/>
  <c r="K34" i="1"/>
  <c r="K35" i="1"/>
  <c r="F56" i="1"/>
  <c r="J30" i="1"/>
  <c r="J31" i="1"/>
  <c r="K36" i="1"/>
  <c r="K37" i="1"/>
  <c r="J32" i="1"/>
  <c r="J35" i="1"/>
  <c r="J37" i="1"/>
  <c r="J34" i="1"/>
  <c r="K29" i="1"/>
  <c r="J36" i="1"/>
  <c r="K31" i="1"/>
  <c r="F55" i="1"/>
  <c r="K30" i="1"/>
  <c r="E58" i="1"/>
  <c r="E62" i="1" s="1"/>
  <c r="F58" i="1" l="1"/>
  <c r="F62" i="1" s="1"/>
</calcChain>
</file>

<file path=xl/sharedStrings.xml><?xml version="1.0" encoding="utf-8"?>
<sst xmlns="http://schemas.openxmlformats.org/spreadsheetml/2006/main" count="253" uniqueCount="232">
  <si>
    <t>Límite inferior del IC</t>
  </si>
  <si>
    <t>Límite superior del IC</t>
  </si>
  <si>
    <t>Sin eventos</t>
  </si>
  <si>
    <t>Con eventos</t>
  </si>
  <si>
    <t>RR</t>
  </si>
  <si>
    <t>Z α/2 (0,05)</t>
  </si>
  <si>
    <t>pM = proporción "media" de los eventos = nº total eventos / nº suma de ambos grupos; qM= complementario</t>
  </si>
  <si>
    <t>C= 2(n+z^2)</t>
  </si>
  <si>
    <t>IC = (A+-B)/C</t>
  </si>
  <si>
    <t>A= 2*eventos + z^2</t>
  </si>
  <si>
    <t>p (proporción) = eventos / n</t>
  </si>
  <si>
    <t>Operar</t>
  </si>
  <si>
    <t>A continuación, se aplica: IC = RAR - Raíz [(p1-Li1)^2 + (Ls2-p2)^2]  hasta RAR + Raíz [(p2-Li2)^2 + (Ls1-p1)^2], cuidando colocar arriba la proporción mayor y abajo la menor</t>
  </si>
  <si>
    <t>CÁLCULO DE LA POTENCIA:</t>
  </si>
  <si>
    <t>n = nº de los que hay en cada grupo (ojo, no de la suma de ambos)</t>
  </si>
  <si>
    <t>d = diferencia de proporciones de ambos grupos o RAR</t>
  </si>
  <si>
    <t>1 -β = potencia estadística resultante =&gt; probab de detectar una diferencia entre ambos, en caso de que exista</t>
  </si>
  <si>
    <t>Expuestos</t>
  </si>
  <si>
    <t>No expuestos</t>
  </si>
  <si>
    <t>a</t>
  </si>
  <si>
    <t>Enferman</t>
  </si>
  <si>
    <t>No enferman</t>
  </si>
  <si>
    <t>Total</t>
  </si>
  <si>
    <t>RAR =</t>
  </si>
  <si>
    <t>NNT =</t>
  </si>
  <si>
    <t>ln RR</t>
  </si>
  <si>
    <t>n (de muestra)</t>
  </si>
  <si>
    <t>Aunque es mejor calcularlo por ji^2 de Pearson, puede utilizarse una aproximación al cálculo de la "p de la diferencia"</t>
  </si>
  <si>
    <t>Coinciden z^2 de una distribución normal tipificada (=&gt; muestras grandes) con ji^2 con un grado de libertad (EA, pág 254)</t>
  </si>
  <si>
    <t>Totales</t>
  </si>
  <si>
    <t xml:space="preserve">χ² teórico alfa 0,05, y 1 g.l = </t>
  </si>
  <si>
    <t>Grados de libertad = (Nº filas - 1 ) x (Nº columnas -1) =</t>
  </si>
  <si>
    <t>Esperadas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</si>
  <si>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</si>
  <si>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</si>
  <si>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</si>
  <si>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</si>
  <si>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t>χ² cal - χ² teórico =</t>
  </si>
  <si>
    <t>χ² cal=</t>
  </si>
  <si>
    <t>χ² cal= Suma [(ao-ae)^2/ae +(bo-be)^2/be + (co-ce)^2/ce + (do-de)^2/de)]</t>
  </si>
  <si>
    <t>Es &lt; 0 =&gt;Acepto Ho =&gt; Homogeneidad o independencia (o tratamiento no eficaz)</t>
  </si>
  <si>
    <t>Es &gt; 0 =&gt;Rechazo Ho =&gt; Heterogenicidad o dependencia (o tratamiento eficaz)</t>
  </si>
  <si>
    <t>Z α/2 = Dif Proporc / EE Dif proporc</t>
  </si>
  <si>
    <t>RRR</t>
  </si>
  <si>
    <t>(</t>
  </si>
  <si>
    <t>)</t>
  </si>
  <si>
    <t>-</t>
  </si>
  <si>
    <t>%</t>
  </si>
  <si>
    <t>NNT</t>
  </si>
  <si>
    <t>/</t>
  </si>
  <si>
    <t>RAR</t>
  </si>
  <si>
    <t>potencia</t>
  </si>
  <si>
    <t>Potencia</t>
  </si>
  <si>
    <t>APLICAR SÓLO SI EL NNT Y SUS IC SON POSITIVOS</t>
  </si>
  <si>
    <t>APLICAR SÓLO SI EL NNT Y SUS IC SON NEGATIVOS</t>
  </si>
  <si>
    <t>Permanecerán sanos sin tomar el Mto de Intervención</t>
  </si>
  <si>
    <t>Enfermarán por tomar el Mto de Intervención</t>
  </si>
  <si>
    <t>Enfermarán incluso sin tomar el Mto de Intervención</t>
  </si>
  <si>
    <t>Permanecerán sanos por tomar el Mto de Intervención</t>
  </si>
  <si>
    <t>Enfermarán incluso tomando el Mto de Intervención</t>
  </si>
  <si>
    <t xml:space="preserve"> </t>
  </si>
  <si>
    <t>Nº event Interv (%)</t>
  </si>
  <si>
    <t>Nº event Control (%)</t>
  </si>
  <si>
    <r>
      <t>Zβ = [Raíz (nd^2 /2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>m*</t>
    </r>
    <r>
      <rPr>
        <i/>
        <sz val="10"/>
        <rFont val="Calibri"/>
        <family val="2"/>
      </rPr>
      <t>q</t>
    </r>
    <r>
      <rPr>
        <sz val="10"/>
        <rFont val="Calibri"/>
        <family val="2"/>
      </rPr>
      <t>m)] - Z α/2 (0,05)</t>
    </r>
  </si>
  <si>
    <r>
      <t xml:space="preserve">CÁLCULO DE LA </t>
    </r>
    <r>
      <rPr>
        <b/>
        <i/>
        <sz val="9"/>
        <rFont val="Calibri"/>
        <family val="2"/>
      </rPr>
      <t>p</t>
    </r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</si>
  <si>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</si>
  <si>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r>
      <t xml:space="preserve">Valor de </t>
    </r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</si>
  <si>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t>Cálculo por incidencias acumuladas de RR, RAR, NNT con sus IC 95%, potencia estadística y valor de p</t>
  </si>
  <si>
    <t>EE del ln RR = Raíz (varianza del ln RR) = Raíz [b/ a(a+b)]+[d / c(c+d)]. También es igual a Raíz (1/a + 1/c - 1/a+b -1/c+d)</t>
  </si>
  <si>
    <t>EE del ln RR = Raíz (varianza del ln RR) = Raíz [b / a(a+b)]+[d/ c(c+d)]</t>
  </si>
  <si>
    <t>ln del LI IC</t>
  </si>
  <si>
    <t>ln del LS IC</t>
  </si>
  <si>
    <t>IC</t>
  </si>
  <si>
    <r>
      <t xml:space="preserve">Los límites del intervalos de confianza son los exponentes neperianos o antilogaritmos de la ecuación [ ln RR + - Z </t>
    </r>
    <r>
      <rPr>
        <b/>
        <vertAlign val="subscript"/>
        <sz val="10"/>
        <rFont val="Calibri"/>
        <family val="2"/>
      </rPr>
      <t>α/2</t>
    </r>
    <r>
      <rPr>
        <b/>
        <sz val="10"/>
        <rFont val="Calibri"/>
        <family val="2"/>
      </rPr>
      <t xml:space="preserve"> * EE (ln RR) ]</t>
    </r>
  </si>
  <si>
    <r>
      <t xml:space="preserve">Z </t>
    </r>
    <r>
      <rPr>
        <b/>
        <vertAlign val="subscript"/>
        <sz val="10"/>
        <rFont val="Calibri"/>
        <family val="2"/>
      </rPr>
      <t>α/2</t>
    </r>
  </si>
  <si>
    <t>LI del IC</t>
  </si>
  <si>
    <t>LS del IC</t>
  </si>
  <si>
    <r>
      <t xml:space="preserve">MÉTODO DE NEWCOMBE-WILSON: </t>
    </r>
    <r>
      <rPr>
        <sz val="10"/>
        <rFont val="Calibri"/>
        <family val="2"/>
      </rPr>
      <t>Que puede utilizarse sin necesidad de estar pendientes del tamaño del amuestra o de proporciones cuyo p &lt;5 / n. Por ello puede utilizarse para las excepciones anteriores y para todas todas</t>
    </r>
  </si>
  <si>
    <t>Para calcular el IC 95% se sigue la iteración de calcular tres valores, que denominamos A, B y C. Pues bien, el IC = (A+-B) / C; y sale directamente sin sumar ni restar a la estimación puntual. Se observará que los extremos tienen distinta extensión.</t>
  </si>
  <si>
    <r>
      <t>p</t>
    </r>
    <r>
      <rPr>
        <sz val="10"/>
        <rFont val="Calibri"/>
        <family val="2"/>
      </rPr>
      <t xml:space="preserve"> = eventos / n</t>
    </r>
  </si>
  <si>
    <r>
      <t xml:space="preserve">B= z * Raíz [z^2 + 4*eventos (1 - 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 xml:space="preserve">)] </t>
    </r>
  </si>
  <si>
    <t>eventos</t>
  </si>
  <si>
    <r>
      <t xml:space="preserve">B= z * Raíz [z^2 + 4*eventos (1 - </t>
    </r>
    <r>
      <rPr>
        <b/>
        <i/>
        <sz val="10"/>
        <rFont val="Calibri"/>
        <family val="2"/>
      </rPr>
      <t>p</t>
    </r>
    <r>
      <rPr>
        <b/>
        <sz val="10"/>
        <rFont val="Calibri"/>
        <family val="2"/>
      </rPr>
      <t xml:space="preserve">)] </t>
    </r>
  </si>
  <si>
    <t>Proporción</t>
  </si>
  <si>
    <r>
      <t xml:space="preserve">Z 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= Dif Proporc / EE</t>
    </r>
    <r>
      <rPr>
        <vertAlign val="subscript"/>
        <sz val="10"/>
        <rFont val="Calibri"/>
        <family val="2"/>
      </rPr>
      <t xml:space="preserve"> dif proporc</t>
    </r>
  </si>
  <si>
    <t xml:space="preserve"> p (no rechazar Ho │ Ho verdadera)</t>
  </si>
  <si>
    <t>Dif Proporc =  RAR</t>
  </si>
  <si>
    <r>
      <t xml:space="preserve">1-α =  p (no rechazar Ho </t>
    </r>
    <r>
      <rPr>
        <sz val="10"/>
        <rFont val="Calibri"/>
        <family val="2"/>
      </rPr>
      <t>│ Ho verdadera)</t>
    </r>
  </si>
  <si>
    <r>
      <t xml:space="preserve">EE </t>
    </r>
    <r>
      <rPr>
        <vertAlign val="subscript"/>
        <sz val="10"/>
        <rFont val="Calibri"/>
        <family val="2"/>
      </rPr>
      <t>dif proporc</t>
    </r>
    <r>
      <rPr>
        <sz val="10"/>
        <rFont val="Calibri"/>
        <family val="2"/>
      </rPr>
      <t xml:space="preserve"> = Raíz{ [PM*(1-PM)/n</t>
    </r>
    <r>
      <rPr>
        <vertAlign val="subscript"/>
        <sz val="10"/>
        <rFont val="Calibri"/>
        <family val="2"/>
      </rPr>
      <t>1</t>
    </r>
    <r>
      <rPr>
        <sz val="10"/>
        <rFont val="Calibri"/>
        <family val="2"/>
      </rPr>
      <t>] + [PM*(1-PM)/n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] }= </t>
    </r>
  </si>
  <si>
    <r>
      <t>Zβ = [Raíz (n* Dif Proporc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/2PM</t>
    </r>
    <r>
      <rPr>
        <sz val="10"/>
        <rFont val="Calibri"/>
        <family val="2"/>
      </rPr>
      <t>*(1-PM)] - Z α/2</t>
    </r>
  </si>
  <si>
    <t>α = probab de que la diferencia detectada entre ambos sea debida al azar, en caso de que no exista</t>
  </si>
  <si>
    <r>
      <t>Ls1:</t>
    </r>
    <r>
      <rPr>
        <sz val="10"/>
        <rFont val="Calibri"/>
        <family val="2"/>
      </rPr>
      <t xml:space="preserve"> límite superior del grupo 1; </t>
    </r>
    <r>
      <rPr>
        <b/>
        <sz val="10"/>
        <rFont val="Calibri"/>
        <family val="2"/>
      </rPr>
      <t xml:space="preserve">Li2: </t>
    </r>
    <r>
      <rPr>
        <sz val="10"/>
        <rFont val="Calibri"/>
        <family val="2"/>
      </rPr>
      <t>límite inferior del grupo 2</t>
    </r>
  </si>
  <si>
    <t>1-α = nivel e confianza =  p (no rechazar Ho │ Ho verdadera)</t>
  </si>
  <si>
    <t xml:space="preserve"> β =&gt; probabilidad de no detectar una diferencia que sí exista.</t>
  </si>
  <si>
    <t>Potencia de contraste</t>
  </si>
  <si>
    <r>
      <t xml:space="preserve">1 -β =  p (rechazar Ho </t>
    </r>
    <r>
      <rPr>
        <sz val="10"/>
        <rFont val="Calibri"/>
        <family val="2"/>
      </rPr>
      <t>│ Ho falsa)</t>
    </r>
  </si>
  <si>
    <t>DM: diferencia de proporciones</t>
  </si>
  <si>
    <r>
      <t>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= DM</t>
    </r>
  </si>
  <si>
    <t>=&gt;</t>
  </si>
  <si>
    <r>
      <t>EEDM (Z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) </t>
    </r>
    <r>
      <rPr>
        <sz val="10"/>
        <rFont val="Calibri"/>
        <family val="2"/>
      </rPr>
      <t>= DM</t>
    </r>
  </si>
  <si>
    <r>
      <t>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 =  (DM/EE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>) - Z</t>
    </r>
    <r>
      <rPr>
        <vertAlign val="subscript"/>
        <sz val="10"/>
        <rFont val="Calibri"/>
        <family val="2"/>
      </rPr>
      <t>1-α/2</t>
    </r>
    <r>
      <rPr>
        <sz val="10"/>
        <rFont val="Calibri"/>
        <family val="2"/>
      </rPr>
      <t xml:space="preserve"> </t>
    </r>
  </si>
  <si>
    <t>1 -β =  potencia estadística resultante =  p de detectar una diferencia entre ambos, en caso de que exista</t>
  </si>
  <si>
    <t>β =  probabilidad de no detectar una diferencia que sí exista =  p (no rechazar Ho │ Ho falsa)</t>
  </si>
  <si>
    <t>NND</t>
  </si>
  <si>
    <t>Chi cuadrado de Pearson</t>
  </si>
  <si>
    <r>
      <t>χ² cal= Sumat (observado</t>
    </r>
    <r>
      <rPr>
        <vertAlign val="subscript"/>
        <sz val="10"/>
        <rFont val="Calibri"/>
        <family val="2"/>
      </rPr>
      <t xml:space="preserve"> i </t>
    </r>
    <r>
      <rPr>
        <sz val="10"/>
        <rFont val="Calibri"/>
        <family val="2"/>
      </rPr>
      <t xml:space="preserve">-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</si>
  <si>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t>Cálculo por incidencias acumuladas</t>
  </si>
  <si>
    <t>Estimación puntual e IC de cada proporción</t>
  </si>
  <si>
    <t>% Intervención (Fact Box)</t>
  </si>
  <si>
    <t>% Control (Fact Box)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</si>
  <si>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>: Riesgo Absoluto;</t>
    </r>
    <r>
      <rPr>
        <b/>
        <sz val="10"/>
        <rFont val="Calibri"/>
        <family val="2"/>
      </rPr>
      <t xml:space="preserve"> RR</t>
    </r>
    <r>
      <rPr>
        <sz val="10"/>
        <rFont val="Calibri"/>
        <family val="2"/>
      </rPr>
      <t xml:space="preserve">: Riesgo Relativo;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con la intervención, para evitar un evento más que con el control; </t>
    </r>
    <r>
      <rPr>
        <b/>
        <sz val="10"/>
        <rFont val="Calibri"/>
        <family val="2"/>
      </rPr>
      <t>IC</t>
    </r>
    <r>
      <rPr>
        <sz val="10"/>
        <rFont val="Calibri"/>
        <family val="2"/>
      </rPr>
      <t>: intervalo de confianza.</t>
    </r>
  </si>
  <si>
    <t>Las variables dicotómicas se informan en número (%) y las variables continuas en Media (DE)</t>
  </si>
  <si>
    <t>valor de p para la diferencia</t>
  </si>
  <si>
    <t>Edad, años</t>
  </si>
  <si>
    <t>Mujeres</t>
  </si>
  <si>
    <t>PAS, mm Hg</t>
  </si>
  <si>
    <t>Frecuencia cardíaca, lpm</t>
  </si>
  <si>
    <t>IMC, Kg/m2</t>
  </si>
  <si>
    <t>Raza</t>
  </si>
  <si>
    <t>Blancos</t>
  </si>
  <si>
    <t>Asiáticos</t>
  </si>
  <si>
    <t>Negros</t>
  </si>
  <si>
    <t>Otros</t>
  </si>
  <si>
    <t>Región Geográfica</t>
  </si>
  <si>
    <t>Norteamérica</t>
  </si>
  <si>
    <t>America Latina</t>
  </si>
  <si>
    <t>Asia y Pacífico</t>
  </si>
  <si>
    <r>
      <t>Caracterìsticas de la insuficiencia cardíaca</t>
    </r>
    <r>
      <rPr>
        <sz val="11"/>
        <rFont val="Calibri"/>
        <family val="2"/>
      </rPr>
      <t/>
    </r>
  </si>
  <si>
    <t>Clase funcional NYHA</t>
  </si>
  <si>
    <t>NYHA II</t>
  </si>
  <si>
    <t>NYHA III</t>
  </si>
  <si>
    <t>NYHA IV</t>
  </si>
  <si>
    <t>Historia clínica</t>
  </si>
  <si>
    <t>Hipertensión</t>
  </si>
  <si>
    <t>Diabetes</t>
  </si>
  <si>
    <t>Betabloquantes</t>
  </si>
  <si>
    <t>Antagonistas de la aldosterona</t>
  </si>
  <si>
    <t>Desfibrilador automático implantable</t>
  </si>
  <si>
    <t>Terapia de resincronización cardíaca</t>
  </si>
  <si>
    <t>Packer M, Anker SD, Butler J, on behalf of the EMPEROR-Reduced Trial Investigators. Cardiovascular and Renal Outcomes with Empagliflozin in Heart Failure. N Engl J Med. 2020 Oct 8;383(15):1413-1424.</t>
  </si>
  <si>
    <t>Tto estándar + Placebo, n= 1867</t>
  </si>
  <si>
    <t>67,2 (DE 10,8)</t>
  </si>
  <si>
    <t>66,5 (DE 11,2)</t>
  </si>
  <si>
    <t>437/1863 (23,46%)</t>
  </si>
  <si>
    <t>456/1867 (24,42%)</t>
  </si>
  <si>
    <t>1325/1863 (71,12%)</t>
  </si>
  <si>
    <t>1304/1867 (69,84%)</t>
  </si>
  <si>
    <t>123/1863 (6,6%)</t>
  </si>
  <si>
    <t>134/1867 (7,18%)</t>
  </si>
  <si>
    <t>337/1863 (18,09%)</t>
  </si>
  <si>
    <t>335/1867 (17,94%)</t>
  </si>
  <si>
    <t>78/1863 (4,19%)</t>
  </si>
  <si>
    <t>94/1867 (5,03%)</t>
  </si>
  <si>
    <t>212/1863 (11,38%)</t>
  </si>
  <si>
    <t>213/1867 (11,41%)</t>
  </si>
  <si>
    <t>641/1863 (34,41%)</t>
  </si>
  <si>
    <t>645/1867 (34,55%)</t>
  </si>
  <si>
    <t>676/1863 (36,29%)</t>
  </si>
  <si>
    <t>677/1867 (36,26%)</t>
  </si>
  <si>
    <t>Europa</t>
  </si>
  <si>
    <t>248/1863 (13,31%)</t>
  </si>
  <si>
    <t>245/1867 (13,12%)</t>
  </si>
  <si>
    <t>1399/1863 (75,09%)</t>
  </si>
  <si>
    <t>1401/1867 (75,04%)</t>
  </si>
  <si>
    <t>455/1863 (24,42%)</t>
  </si>
  <si>
    <t>455/1867 (24,37%)</t>
  </si>
  <si>
    <t>9/1863 (0,48%)</t>
  </si>
  <si>
    <t>11/1867 (0,59%)</t>
  </si>
  <si>
    <t>28 (DE 5,5)</t>
  </si>
  <si>
    <t>27,8 (DE 5,3)</t>
  </si>
  <si>
    <t>71 (DE 11,7)</t>
  </si>
  <si>
    <t>71,5 (DE 11,8)</t>
  </si>
  <si>
    <t>122,6 (DE 15,9)</t>
  </si>
  <si>
    <t>121,4 (DE 15,4)</t>
  </si>
  <si>
    <t>27,7 (DE 6)</t>
  </si>
  <si>
    <t>27,2 (DE 6,1)</t>
  </si>
  <si>
    <t>% de FEVI</t>
  </si>
  <si>
    <t>Nº con FEVI &lt; 30%</t>
  </si>
  <si>
    <t>1337/1863 (71,77%)</t>
  </si>
  <si>
    <t>1392/1867 (74,56%)</t>
  </si>
  <si>
    <t>1926 [1153 a 3525]</t>
  </si>
  <si>
    <t>1887 [1077 a 3429]</t>
  </si>
  <si>
    <t>Mediana [IQR] de la prohormona N-terminal del péptido natriurético tipo B (NT-proBNP), pg/ml</t>
  </si>
  <si>
    <t>Nº con NT-proBNP &gt; 1000 pg/ml</t>
  </si>
  <si>
    <t>1463/1862 (78,57%)</t>
  </si>
  <si>
    <t>1488/1866 (79,74%)</t>
  </si>
  <si>
    <r>
      <t>Causa de la insuficiencia cardíaca</t>
    </r>
    <r>
      <rPr>
        <sz val="11"/>
        <rFont val="Calibri"/>
        <family val="2"/>
      </rPr>
      <t/>
    </r>
  </si>
  <si>
    <t>Isquémica</t>
  </si>
  <si>
    <t>983/1863 (52,76%)</t>
  </si>
  <si>
    <t>946/1867 (50,67%)</t>
  </si>
  <si>
    <t>NO isquémica</t>
  </si>
  <si>
    <t>880/1863 (47,24%)</t>
  </si>
  <si>
    <t>921/1867 (49,33%)</t>
  </si>
  <si>
    <t>Hospitalización por insuficiencia cardíaca en los 12 meses previos</t>
  </si>
  <si>
    <t>577/1863 (30,97%)</t>
  </si>
  <si>
    <t>574/1867 (30,74%)</t>
  </si>
  <si>
    <t>Fibrilación auricular</t>
  </si>
  <si>
    <t>664/1863 (35,64%)</t>
  </si>
  <si>
    <t>705/1867 (37,76%)</t>
  </si>
  <si>
    <t>927/1863 (49,76%)</t>
  </si>
  <si>
    <t>929/1867 (49,76%)</t>
  </si>
  <si>
    <t>1349/1863 (72,41%)</t>
  </si>
  <si>
    <t>1349/1867 (72,25%)</t>
  </si>
  <si>
    <t>FGe, ml/min/1,73 m2</t>
  </si>
  <si>
    <t>61,8 (DE 21,7)</t>
  </si>
  <si>
    <t>62,2 (DE 21,5)</t>
  </si>
  <si>
    <t>Nº con FGe &lt; 60 ml/min/1,73 m2</t>
  </si>
  <si>
    <t>893/1863 (47,93%)</t>
  </si>
  <si>
    <t>906/1867 (48,53%)</t>
  </si>
  <si>
    <t>578/1863 (31,03%)</t>
  </si>
  <si>
    <t>593/1867 (31,76%)</t>
  </si>
  <si>
    <t>220/1863 (11,81%)</t>
  </si>
  <si>
    <t>222/1867 (11,89%)</t>
  </si>
  <si>
    <t>1306/1863 (70,1%)</t>
  </si>
  <si>
    <t>1355/1867 (72,58%)</t>
  </si>
  <si>
    <t>1765/1863 (94,74%)</t>
  </si>
  <si>
    <t>1768/1867 (94,7%)</t>
  </si>
  <si>
    <t>Tratamientos para la insuficiencia cardíaca en el momento de la aleatorización</t>
  </si>
  <si>
    <t>Inhibidor de renina-angiotensina y neprilisina</t>
  </si>
  <si>
    <t>Inhibidor de renina-angiotensina</t>
  </si>
  <si>
    <t>1314/1863 (70,53%)</t>
  </si>
  <si>
    <t>1286/1867 (68,88%)</t>
  </si>
  <si>
    <t>340/1863 (18,25%)</t>
  </si>
  <si>
    <t>387/1867 (20,73%)</t>
  </si>
  <si>
    <r>
      <rPr>
        <u/>
        <sz val="9"/>
        <rFont val="Calibri"/>
        <family val="2"/>
      </rPr>
      <t>Abreviaturas</t>
    </r>
    <r>
      <rPr>
        <sz val="9"/>
        <rFont val="Calibri"/>
        <family val="2"/>
      </rPr>
      <t xml:space="preserve">:  </t>
    </r>
    <r>
      <rPr>
        <b/>
        <sz val="9"/>
        <rFont val="Calibri"/>
        <family val="2"/>
      </rPr>
      <t xml:space="preserve">DE: </t>
    </r>
    <r>
      <rPr>
        <sz val="9"/>
        <rFont val="Calibri"/>
        <family val="2"/>
      </rPr>
      <t xml:space="preserve">desviación estándar; </t>
    </r>
    <r>
      <rPr>
        <b/>
        <sz val="9"/>
        <rFont val="Calibri"/>
        <family val="2"/>
      </rPr>
      <t xml:space="preserve">FEVI: </t>
    </r>
    <r>
      <rPr>
        <sz val="9"/>
        <rFont val="Calibri"/>
        <family val="2"/>
      </rPr>
      <t xml:space="preserve">fracción de eyección del ventrículo izquerdo; </t>
    </r>
    <r>
      <rPr>
        <b/>
        <sz val="9"/>
        <rFont val="Calibri"/>
        <family val="2"/>
      </rPr>
      <t>FGe:</t>
    </r>
    <r>
      <rPr>
        <sz val="9"/>
        <rFont val="Calibri"/>
        <family val="2"/>
      </rPr>
      <t xml:space="preserve"> tasa de filtración glomerular estimada; </t>
    </r>
    <r>
      <rPr>
        <b/>
        <sz val="9"/>
        <rFont val="Calibri"/>
        <family val="2"/>
      </rPr>
      <t xml:space="preserve">IMC: </t>
    </r>
    <r>
      <rPr>
        <sz val="9"/>
        <rFont val="Calibri"/>
        <family val="2"/>
      </rPr>
      <t xml:space="preserve">índice de masa corporal: </t>
    </r>
    <r>
      <rPr>
        <b/>
        <sz val="9"/>
        <rFont val="Calibri"/>
        <family val="2"/>
      </rPr>
      <t>IQR:</t>
    </r>
    <r>
      <rPr>
        <sz val="9"/>
        <rFont val="Calibri"/>
        <family val="2"/>
      </rPr>
      <t xml:space="preserve"> rango intercuartílico entre el percentil 25 y el percentil 75; </t>
    </r>
    <r>
      <rPr>
        <b/>
        <sz val="9"/>
        <rFont val="Calibri"/>
        <family val="2"/>
      </rPr>
      <t xml:space="preserve">lpm: </t>
    </r>
    <r>
      <rPr>
        <sz val="9"/>
        <rFont val="Calibri"/>
        <family val="2"/>
      </rPr>
      <t xml:space="preserve">latidos por minuto; </t>
    </r>
    <r>
      <rPr>
        <b/>
        <sz val="9"/>
        <rFont val="Calibri"/>
        <family val="2"/>
      </rPr>
      <t>PAS:</t>
    </r>
    <r>
      <rPr>
        <sz val="9"/>
        <rFont val="Calibri"/>
        <family val="2"/>
      </rPr>
      <t xml:space="preserve"> presión arterial sistólica.</t>
    </r>
  </si>
  <si>
    <t>20201008-ECA Emperor 15m, ICC 75II+25III FEVI 27, Tto[Empa vs Pl], -MACE. Packer</t>
  </si>
  <si>
    <r>
      <rPr>
        <b/>
        <sz val="11"/>
        <color indexed="60"/>
        <rFont val="Calibri"/>
        <family val="2"/>
      </rPr>
      <t>Suplemento 1:</t>
    </r>
    <r>
      <rPr>
        <b/>
        <sz val="11"/>
        <rFont val="Calibri"/>
        <family val="2"/>
      </rPr>
      <t xml:space="preserve"> Características sociodemográficas y clínicas en el inicio (baseline), ECA EMPEROR-Reduced.</t>
    </r>
  </si>
  <si>
    <t>Con el factor</t>
  </si>
  <si>
    <t>Sin el factor</t>
  </si>
  <si>
    <t>Placebo</t>
  </si>
  <si>
    <t>Empagliflozina</t>
  </si>
  <si>
    <t>Tto estándar + Empagliflozina, n= 1863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</si>
</sst>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0.0%"/>
    <numFmt numFmtId="168" formatCode="_-* #,##0.00000\ _€_-;\-* #,##0.00000\ _€_-;_-* &quot;-&quot;??\ _€_-;_-@_-"/>
    <numFmt numFmtId="169" formatCode="_-* #,##0.000000\ _€_-;\-* #,##0.000000\ _€_-;_-* &quot;-&quot;??\ _€_-;_-@_-"/>
    <numFmt numFmtId="170" formatCode="_-* #,##0.000\ _€_-;\-* #,##0.000\ _€_-;_-* &quot;-&quot;???\ _€_-;_-@_-"/>
    <numFmt numFmtId="171" formatCode="_-* #,##0.0\ _€_-;\-* #,##0.0\ _€_-;_-* &quot;-&quot;??\ _€_-;_-@_-"/>
    <numFmt numFmtId="172" formatCode="_-* #,##0.0\ _€_-;\-* #,##0.0\ _€_-;_-* &quot;-&quot;?\ _€_-;_-@_-"/>
    <numFmt numFmtId="173" formatCode="_-* #,##0.0000\ _€_-;\-* #,##0.0000\ _€_-;_-* &quot;-&quot;?\ _€_-;_-@_-"/>
    <numFmt numFmtId="174" formatCode="0.000"/>
    <numFmt numFmtId="175" formatCode="0.0000"/>
    <numFmt numFmtId="176" formatCode="#,##0.00_ ;\-#,##0.00\ "/>
  </numFmts>
  <fonts count="5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vertAlign val="subscript"/>
      <sz val="10"/>
      <name val="Calibri"/>
      <family val="2"/>
    </font>
    <font>
      <vertAlign val="superscript"/>
      <sz val="10"/>
      <name val="Calibri"/>
      <family val="2"/>
    </font>
    <font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57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20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indexed="52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indexed="14"/>
      <name val="Calibri"/>
      <family val="2"/>
      <scheme val="minor"/>
    </font>
    <font>
      <sz val="10"/>
      <color indexed="14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indexed="6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4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</font>
    <font>
      <b/>
      <sz val="10"/>
      <color indexed="50"/>
      <name val="Calibri"/>
      <family val="2"/>
      <scheme val="minor"/>
    </font>
    <font>
      <b/>
      <vertAlign val="subscript"/>
      <sz val="10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b/>
      <sz val="5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5"/>
      <color rgb="FF000000"/>
      <name val="Calibri"/>
      <family val="2"/>
      <scheme val="minor"/>
    </font>
    <font>
      <i/>
      <sz val="5"/>
      <color rgb="FF00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u/>
      <sz val="9"/>
      <name val="Calibri"/>
      <family val="2"/>
    </font>
    <font>
      <sz val="10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indexed="60"/>
      <name val="Calibri"/>
      <family val="2"/>
    </font>
    <font>
      <b/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8">
    <xf numFmtId="0" fontId="0" fillId="0" borderId="0" xfId="0"/>
    <xf numFmtId="2" fontId="10" fillId="0" borderId="0" xfId="0" applyNumberFormat="1" applyFont="1" applyFill="1" applyBorder="1"/>
    <xf numFmtId="0" fontId="10" fillId="0" borderId="0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/>
    <xf numFmtId="2" fontId="10" fillId="0" borderId="0" xfId="0" applyNumberFormat="1" applyFont="1"/>
    <xf numFmtId="10" fontId="10" fillId="0" borderId="0" xfId="2" applyNumberFormat="1" applyFont="1" applyBorder="1" applyAlignment="1">
      <alignment horizontal="center"/>
    </xf>
    <xf numFmtId="10" fontId="11" fillId="0" borderId="0" xfId="2" applyNumberFormat="1" applyFont="1" applyBorder="1" applyAlignment="1">
      <alignment horizontal="center"/>
    </xf>
    <xf numFmtId="0" fontId="12" fillId="0" borderId="0" xfId="0" applyFont="1" applyFill="1" applyBorder="1" applyAlignment="1">
      <alignment vertical="distributed"/>
    </xf>
    <xf numFmtId="0" fontId="10" fillId="0" borderId="0" xfId="0" applyFont="1" applyFill="1" applyAlignment="1">
      <alignment horizontal="center"/>
    </xf>
    <xf numFmtId="10" fontId="10" fillId="0" borderId="0" xfId="0" applyNumberFormat="1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Border="1" applyAlignment="1">
      <alignment horizontal="center"/>
    </xf>
    <xf numFmtId="18" fontId="10" fillId="0" borderId="0" xfId="1" applyNumberFormat="1" applyFont="1" applyBorder="1" applyAlignment="1">
      <alignment horizontal="center"/>
    </xf>
    <xf numFmtId="43" fontId="10" fillId="0" borderId="0" xfId="1" applyFont="1" applyFill="1" applyAlignment="1">
      <alignment horizontal="center"/>
    </xf>
    <xf numFmtId="43" fontId="10" fillId="0" borderId="0" xfId="0" applyNumberFormat="1" applyFont="1"/>
    <xf numFmtId="43" fontId="13" fillId="0" borderId="0" xfId="1" applyFont="1" applyFill="1" applyBorder="1" applyAlignment="1">
      <alignment horizontal="center"/>
    </xf>
    <xf numFmtId="43" fontId="10" fillId="0" borderId="0" xfId="1" applyFont="1" applyFill="1"/>
    <xf numFmtId="0" fontId="14" fillId="0" borderId="0" xfId="0" applyFont="1" applyFill="1"/>
    <xf numFmtId="0" fontId="10" fillId="0" borderId="0" xfId="0" applyFont="1" applyBorder="1"/>
    <xf numFmtId="43" fontId="10" fillId="0" borderId="0" xfId="1" applyFont="1" applyFill="1" applyBorder="1"/>
    <xf numFmtId="0" fontId="10" fillId="0" borderId="0" xfId="0" applyFont="1" applyBorder="1" applyAlignment="1">
      <alignment horizontal="right"/>
    </xf>
    <xf numFmtId="10" fontId="10" fillId="0" borderId="0" xfId="2" applyNumberFormat="1" applyFont="1" applyFill="1"/>
    <xf numFmtId="10" fontId="10" fillId="0" borderId="0" xfId="0" applyNumberFormat="1" applyFont="1" applyFill="1"/>
    <xf numFmtId="0" fontId="17" fillId="0" borderId="0" xfId="0" applyFont="1" applyAlignment="1">
      <alignment horizontal="right"/>
    </xf>
    <xf numFmtId="1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43" fontId="10" fillId="0" borderId="0" xfId="0" applyNumberFormat="1" applyFont="1" applyFill="1" applyBorder="1"/>
    <xf numFmtId="10" fontId="10" fillId="0" borderId="0" xfId="2" applyNumberFormat="1" applyFont="1" applyFill="1" applyBorder="1" applyAlignment="1">
      <alignment horizontal="center"/>
    </xf>
    <xf numFmtId="43" fontId="16" fillId="0" borderId="0" xfId="1" applyFont="1" applyFill="1" applyBorder="1"/>
    <xf numFmtId="0" fontId="15" fillId="0" borderId="0" xfId="0" applyFont="1" applyFill="1" applyAlignment="1">
      <alignment horizontal="center"/>
    </xf>
    <xf numFmtId="43" fontId="16" fillId="0" borderId="0" xfId="1" applyFont="1" applyFill="1" applyAlignment="1">
      <alignment horizontal="right"/>
    </xf>
    <xf numFmtId="0" fontId="16" fillId="0" borderId="0" xfId="0" applyFont="1" applyFill="1" applyBorder="1"/>
    <xf numFmtId="43" fontId="10" fillId="0" borderId="0" xfId="0" applyNumberFormat="1" applyFont="1" applyFill="1"/>
    <xf numFmtId="171" fontId="10" fillId="0" borderId="0" xfId="0" applyNumberFormat="1" applyFont="1" applyFill="1" applyBorder="1"/>
    <xf numFmtId="0" fontId="15" fillId="0" borderId="0" xfId="0" applyFont="1" applyBorder="1"/>
    <xf numFmtId="0" fontId="15" fillId="0" borderId="0" xfId="0" applyFont="1" applyFill="1" applyBorder="1" applyAlignment="1">
      <alignment horizontal="left"/>
    </xf>
    <xf numFmtId="43" fontId="10" fillId="0" borderId="0" xfId="1" applyFont="1" applyFill="1" applyBorder="1" applyAlignment="1">
      <alignment horizontal="center"/>
    </xf>
    <xf numFmtId="169" fontId="10" fillId="0" borderId="0" xfId="1" applyNumberFormat="1" applyFont="1" applyFill="1" applyBorder="1" applyAlignment="1">
      <alignment horizontal="center"/>
    </xf>
    <xf numFmtId="43" fontId="15" fillId="0" borderId="0" xfId="1" applyFont="1" applyFill="1" applyBorder="1" applyAlignment="1"/>
    <xf numFmtId="0" fontId="10" fillId="0" borderId="0" xfId="0" applyFont="1" applyFill="1" applyBorder="1" applyAlignment="1">
      <alignment horizontal="left"/>
    </xf>
    <xf numFmtId="169" fontId="10" fillId="0" borderId="0" xfId="0" applyNumberFormat="1" applyFont="1" applyBorder="1"/>
    <xf numFmtId="0" fontId="21" fillId="0" borderId="0" xfId="0" applyFont="1" applyBorder="1"/>
    <xf numFmtId="49" fontId="22" fillId="0" borderId="0" xfId="0" applyNumberFormat="1" applyFont="1"/>
    <xf numFmtId="10" fontId="10" fillId="0" borderId="0" xfId="0" applyNumberFormat="1" applyFont="1"/>
    <xf numFmtId="10" fontId="10" fillId="0" borderId="0" xfId="0" applyNumberFormat="1" applyFont="1" applyFill="1" applyBorder="1"/>
    <xf numFmtId="10" fontId="18" fillId="0" borderId="0" xfId="2" applyNumberFormat="1" applyFont="1" applyFill="1" applyBorder="1" applyAlignment="1">
      <alignment horizontal="center"/>
    </xf>
    <xf numFmtId="164" fontId="18" fillId="0" borderId="0" xfId="1" applyNumberFormat="1" applyFont="1" applyFill="1" applyBorder="1" applyAlignment="1">
      <alignment horizontal="center"/>
    </xf>
    <xf numFmtId="165" fontId="10" fillId="0" borderId="0" xfId="0" applyNumberFormat="1" applyFont="1" applyFill="1" applyBorder="1"/>
    <xf numFmtId="49" fontId="10" fillId="0" borderId="0" xfId="0" applyNumberFormat="1" applyFont="1" applyFill="1" applyBorder="1"/>
    <xf numFmtId="164" fontId="15" fillId="0" borderId="0" xfId="0" applyNumberFormat="1" applyFont="1" applyFill="1" applyBorder="1"/>
    <xf numFmtId="164" fontId="15" fillId="0" borderId="0" xfId="0" applyNumberFormat="1" applyFont="1" applyFill="1" applyBorder="1" applyAlignment="1">
      <alignment horizontal="center"/>
    </xf>
    <xf numFmtId="164" fontId="23" fillId="0" borderId="0" xfId="0" applyNumberFormat="1" applyFont="1" applyFill="1" applyBorder="1"/>
    <xf numFmtId="49" fontId="11" fillId="0" borderId="0" xfId="0" applyNumberFormat="1" applyFont="1"/>
    <xf numFmtId="0" fontId="24" fillId="0" borderId="0" xfId="0" applyFont="1" applyFill="1" applyBorder="1"/>
    <xf numFmtId="0" fontId="10" fillId="0" borderId="1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11" fillId="0" borderId="4" xfId="1" applyNumberFormat="1" applyFont="1" applyFill="1" applyBorder="1"/>
    <xf numFmtId="164" fontId="12" fillId="0" borderId="4" xfId="1" applyNumberFormat="1" applyFont="1" applyFill="1" applyBorder="1"/>
    <xf numFmtId="164" fontId="11" fillId="0" borderId="0" xfId="1" applyNumberFormat="1" applyFont="1" applyFill="1" applyBorder="1"/>
    <xf numFmtId="164" fontId="12" fillId="0" borderId="0" xfId="1" applyNumberFormat="1" applyFont="1" applyFill="1" applyBorder="1"/>
    <xf numFmtId="43" fontId="25" fillId="0" borderId="4" xfId="1" applyFont="1" applyBorder="1"/>
    <xf numFmtId="0" fontId="12" fillId="0" borderId="0" xfId="0" applyFont="1" applyBorder="1" applyAlignment="1">
      <alignment horizontal="right"/>
    </xf>
    <xf numFmtId="43" fontId="10" fillId="0" borderId="0" xfId="1" applyFont="1" applyBorder="1"/>
    <xf numFmtId="0" fontId="15" fillId="0" borderId="0" xfId="0" applyFont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21" xfId="0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/>
    <xf numFmtId="9" fontId="10" fillId="0" borderId="0" xfId="0" applyNumberFormat="1" applyFont="1" applyBorder="1"/>
    <xf numFmtId="0" fontId="10" fillId="0" borderId="26" xfId="0" applyFont="1" applyBorder="1"/>
    <xf numFmtId="0" fontId="10" fillId="0" borderId="23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2" fontId="10" fillId="0" borderId="4" xfId="1" applyNumberFormat="1" applyFont="1" applyBorder="1" applyAlignment="1">
      <alignment horizontal="center" vertical="center" wrapText="1"/>
    </xf>
    <xf numFmtId="2" fontId="10" fillId="0" borderId="4" xfId="1" applyNumberFormat="1" applyFont="1" applyFill="1" applyBorder="1" applyAlignment="1">
      <alignment horizontal="center" vertical="center" wrapText="1"/>
    </xf>
    <xf numFmtId="2" fontId="10" fillId="0" borderId="6" xfId="1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4" xfId="0" applyFont="1" applyBorder="1"/>
    <xf numFmtId="0" fontId="10" fillId="0" borderId="14" xfId="0" applyFont="1" applyFill="1" applyBorder="1"/>
    <xf numFmtId="0" fontId="10" fillId="0" borderId="27" xfId="0" applyFont="1" applyFill="1" applyBorder="1"/>
    <xf numFmtId="0" fontId="15" fillId="0" borderId="0" xfId="0" applyFont="1" applyBorder="1" applyAlignment="1">
      <alignment horizontal="left" vertical="center"/>
    </xf>
    <xf numFmtId="164" fontId="15" fillId="0" borderId="0" xfId="1" applyNumberFormat="1" applyFont="1" applyFill="1" applyBorder="1" applyAlignment="1"/>
    <xf numFmtId="164" fontId="32" fillId="0" borderId="0" xfId="1" applyNumberFormat="1" applyFont="1" applyFill="1" applyBorder="1" applyAlignment="1"/>
    <xf numFmtId="164" fontId="30" fillId="0" borderId="0" xfId="0" applyNumberFormat="1" applyFont="1" applyFill="1" applyBorder="1" applyAlignment="1">
      <alignment horizontal="left"/>
    </xf>
    <xf numFmtId="2" fontId="10" fillId="0" borderId="0" xfId="0" applyNumberFormat="1" applyFont="1" applyBorder="1"/>
    <xf numFmtId="0" fontId="18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vertical="distributed"/>
    </xf>
    <xf numFmtId="0" fontId="10" fillId="0" borderId="4" xfId="0" applyFont="1" applyBorder="1" applyAlignment="1">
      <alignment horizontal="center" vertical="center"/>
    </xf>
    <xf numFmtId="9" fontId="10" fillId="10" borderId="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165" fontId="10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3" fontId="10" fillId="0" borderId="0" xfId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43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0" fontId="10" fillId="0" borderId="0" xfId="2" applyNumberFormat="1" applyFont="1" applyFill="1" applyBorder="1" applyAlignment="1">
      <alignment horizontal="center" vertical="center" wrapText="1"/>
    </xf>
    <xf numFmtId="43" fontId="15" fillId="0" borderId="5" xfId="1" applyFont="1" applyFill="1" applyBorder="1" applyAlignment="1">
      <alignment horizontal="center" vertical="center" wrapText="1"/>
    </xf>
    <xf numFmtId="43" fontId="15" fillId="0" borderId="5" xfId="1" applyFont="1" applyBorder="1" applyAlignment="1">
      <alignment horizontal="center" vertical="center" wrapText="1"/>
    </xf>
    <xf numFmtId="176" fontId="10" fillId="0" borderId="4" xfId="1" applyNumberFormat="1" applyFont="1" applyFill="1" applyBorder="1" applyAlignment="1">
      <alignment horizontal="center" vertical="center"/>
    </xf>
    <xf numFmtId="2" fontId="15" fillId="0" borderId="4" xfId="0" applyNumberFormat="1" applyFont="1" applyFill="1" applyBorder="1" applyAlignment="1">
      <alignment horizontal="center" vertical="center" wrapText="1"/>
    </xf>
    <xf numFmtId="167" fontId="15" fillId="0" borderId="4" xfId="2" applyNumberFormat="1" applyFont="1" applyFill="1" applyBorder="1" applyAlignment="1">
      <alignment horizontal="center" vertical="center" wrapText="1"/>
    </xf>
    <xf numFmtId="43" fontId="1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165" fontId="10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168" fontId="10" fillId="0" borderId="0" xfId="1" applyNumberFormat="1" applyFont="1" applyFill="1" applyBorder="1" applyAlignment="1">
      <alignment horizontal="center" vertical="center" wrapText="1"/>
    </xf>
    <xf numFmtId="171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72" fontId="10" fillId="0" borderId="0" xfId="0" applyNumberFormat="1" applyFont="1" applyFill="1" applyAlignment="1">
      <alignment horizontal="center" vertical="center" wrapText="1"/>
    </xf>
    <xf numFmtId="43" fontId="10" fillId="0" borderId="0" xfId="1" applyFont="1" applyBorder="1" applyAlignment="1">
      <alignment horizontal="center"/>
    </xf>
    <xf numFmtId="169" fontId="10" fillId="0" borderId="0" xfId="1" applyNumberFormat="1" applyFont="1" applyBorder="1" applyAlignment="1">
      <alignment horizontal="center"/>
    </xf>
    <xf numFmtId="10" fontId="15" fillId="0" borderId="0" xfId="2" applyNumberFormat="1" applyFont="1" applyFill="1" applyBorder="1" applyAlignment="1"/>
    <xf numFmtId="0" fontId="23" fillId="0" borderId="0" xfId="0" applyFont="1"/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wrapText="1"/>
    </xf>
    <xf numFmtId="43" fontId="19" fillId="0" borderId="14" xfId="1" applyFont="1" applyFill="1" applyBorder="1" applyAlignment="1">
      <alignment horizontal="right"/>
    </xf>
    <xf numFmtId="0" fontId="10" fillId="0" borderId="14" xfId="0" applyFont="1" applyFill="1" applyBorder="1" applyAlignment="1">
      <alignment horizontal="left"/>
    </xf>
    <xf numFmtId="169" fontId="10" fillId="0" borderId="14" xfId="1" applyNumberFormat="1" applyFont="1" applyFill="1" applyBorder="1" applyAlignment="1">
      <alignment horizontal="center"/>
    </xf>
    <xf numFmtId="43" fontId="10" fillId="0" borderId="14" xfId="1" applyFont="1" applyFill="1" applyBorder="1" applyAlignment="1">
      <alignment horizontal="center"/>
    </xf>
    <xf numFmtId="43" fontId="15" fillId="0" borderId="14" xfId="1" applyFont="1" applyFill="1" applyBorder="1" applyAlignment="1"/>
    <xf numFmtId="43" fontId="15" fillId="0" borderId="26" xfId="1" applyFont="1" applyFill="1" applyBorder="1" applyAlignment="1"/>
    <xf numFmtId="0" fontId="10" fillId="0" borderId="16" xfId="0" applyFont="1" applyFill="1" applyBorder="1"/>
    <xf numFmtId="164" fontId="15" fillId="0" borderId="4" xfId="0" applyNumberFormat="1" applyFont="1" applyFill="1" applyBorder="1" applyAlignment="1">
      <alignment horizontal="center"/>
    </xf>
    <xf numFmtId="1" fontId="15" fillId="0" borderId="4" xfId="0" applyNumberFormat="1" applyFont="1" applyFill="1" applyBorder="1" applyAlignment="1">
      <alignment horizontal="center"/>
    </xf>
    <xf numFmtId="10" fontId="15" fillId="0" borderId="4" xfId="2" applyNumberFormat="1" applyFont="1" applyBorder="1" applyAlignment="1">
      <alignment horizontal="center"/>
    </xf>
    <xf numFmtId="43" fontId="15" fillId="0" borderId="4" xfId="1" applyFont="1" applyBorder="1" applyAlignment="1">
      <alignment horizontal="center"/>
    </xf>
    <xf numFmtId="43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10" fontId="15" fillId="13" borderId="4" xfId="2" applyNumberFormat="1" applyFont="1" applyFill="1" applyBorder="1" applyAlignment="1"/>
    <xf numFmtId="1" fontId="10" fillId="0" borderId="13" xfId="0" applyNumberFormat="1" applyFont="1" applyFill="1" applyBorder="1" applyAlignment="1">
      <alignment horizontal="center" vertical="center" wrapText="1"/>
    </xf>
    <xf numFmtId="43" fontId="15" fillId="0" borderId="27" xfId="1" applyFont="1" applyFill="1" applyBorder="1" applyAlignment="1"/>
    <xf numFmtId="10" fontId="10" fillId="0" borderId="13" xfId="2" applyNumberFormat="1" applyFont="1" applyFill="1" applyBorder="1"/>
    <xf numFmtId="0" fontId="10" fillId="0" borderId="27" xfId="0" applyFont="1" applyBorder="1"/>
    <xf numFmtId="2" fontId="10" fillId="0" borderId="13" xfId="1" applyNumberFormat="1" applyFont="1" applyFill="1" applyBorder="1" applyAlignment="1">
      <alignment horizontal="center" vertical="center" wrapText="1"/>
    </xf>
    <xf numFmtId="173" fontId="10" fillId="0" borderId="13" xfId="0" applyNumberFormat="1" applyFont="1" applyBorder="1"/>
    <xf numFmtId="167" fontId="10" fillId="0" borderId="13" xfId="2" applyNumberFormat="1" applyFont="1" applyFill="1" applyBorder="1" applyAlignment="1">
      <alignment horizontal="center" vertical="center" wrapText="1"/>
    </xf>
    <xf numFmtId="165" fontId="15" fillId="0" borderId="13" xfId="1" applyNumberFormat="1" applyFont="1" applyFill="1" applyBorder="1"/>
    <xf numFmtId="0" fontId="15" fillId="0" borderId="0" xfId="0" applyFont="1" applyAlignment="1">
      <alignment horizontal="left"/>
    </xf>
    <xf numFmtId="174" fontId="10" fillId="0" borderId="13" xfId="0" applyNumberFormat="1" applyFont="1" applyFill="1" applyBorder="1" applyAlignment="1">
      <alignment horizontal="center" vertical="center" wrapText="1"/>
    </xf>
    <xf numFmtId="166" fontId="10" fillId="2" borderId="13" xfId="1" applyNumberFormat="1" applyFont="1" applyFill="1" applyBorder="1"/>
    <xf numFmtId="167" fontId="10" fillId="0" borderId="0" xfId="2" applyNumberFormat="1" applyFont="1" applyAlignment="1">
      <alignment horizontal="center" vertical="center" wrapText="1"/>
    </xf>
    <xf numFmtId="10" fontId="10" fillId="11" borderId="13" xfId="2" applyNumberFormat="1" applyFont="1" applyFill="1" applyBorder="1" applyAlignment="1">
      <alignment horizontal="center" vertical="center" wrapText="1"/>
    </xf>
    <xf numFmtId="10" fontId="20" fillId="0" borderId="13" xfId="0" applyNumberFormat="1" applyFont="1" applyBorder="1"/>
    <xf numFmtId="10" fontId="10" fillId="2" borderId="4" xfId="2" applyNumberFormat="1" applyFont="1" applyFill="1" applyBorder="1" applyAlignment="1">
      <alignment horizontal="center"/>
    </xf>
    <xf numFmtId="10" fontId="10" fillId="4" borderId="4" xfId="2" applyNumberFormat="1" applyFont="1" applyFill="1" applyBorder="1" applyAlignment="1">
      <alignment horizontal="center"/>
    </xf>
    <xf numFmtId="10" fontId="10" fillId="3" borderId="4" xfId="2" applyNumberFormat="1" applyFont="1" applyFill="1" applyBorder="1" applyAlignment="1">
      <alignment horizontal="center"/>
    </xf>
    <xf numFmtId="10" fontId="10" fillId="0" borderId="11" xfId="2" applyNumberFormat="1" applyFont="1" applyBorder="1" applyAlignment="1">
      <alignment horizontal="center" vertical="center" wrapText="1"/>
    </xf>
    <xf numFmtId="0" fontId="21" fillId="0" borderId="12" xfId="0" applyFont="1" applyBorder="1"/>
    <xf numFmtId="0" fontId="10" fillId="0" borderId="12" xfId="0" applyFont="1" applyBorder="1"/>
    <xf numFmtId="170" fontId="10" fillId="0" borderId="12" xfId="0" applyNumberFormat="1" applyFont="1" applyBorder="1"/>
    <xf numFmtId="0" fontId="10" fillId="0" borderId="30" xfId="0" applyFont="1" applyBorder="1"/>
    <xf numFmtId="0" fontId="10" fillId="0" borderId="11" xfId="0" applyFont="1" applyFill="1" applyBorder="1"/>
    <xf numFmtId="0" fontId="10" fillId="0" borderId="12" xfId="0" applyFont="1" applyFill="1" applyBorder="1"/>
    <xf numFmtId="0" fontId="10" fillId="0" borderId="30" xfId="0" applyFont="1" applyFill="1" applyBorder="1"/>
    <xf numFmtId="1" fontId="10" fillId="2" borderId="4" xfId="0" applyNumberFormat="1" applyFont="1" applyFill="1" applyBorder="1" applyAlignment="1">
      <alignment horizontal="center"/>
    </xf>
    <xf numFmtId="1" fontId="10" fillId="4" borderId="4" xfId="0" applyNumberFormat="1" applyFont="1" applyFill="1" applyBorder="1" applyAlignment="1">
      <alignment horizontal="center"/>
    </xf>
    <xf numFmtId="1" fontId="10" fillId="3" borderId="4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0" fontId="10" fillId="0" borderId="14" xfId="0" applyFont="1" applyFill="1" applyBorder="1" applyAlignment="1">
      <alignment horizontal="right"/>
    </xf>
    <xf numFmtId="175" fontId="10" fillId="0" borderId="14" xfId="1" applyNumberFormat="1" applyFont="1" applyBorder="1" applyAlignment="1">
      <alignment horizontal="center" vertical="center"/>
    </xf>
    <xf numFmtId="2" fontId="10" fillId="0" borderId="14" xfId="0" applyNumberFormat="1" applyFont="1" applyBorder="1"/>
    <xf numFmtId="10" fontId="18" fillId="0" borderId="0" xfId="2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right"/>
    </xf>
    <xf numFmtId="49" fontId="35" fillId="0" borderId="0" xfId="1" applyNumberFormat="1" applyFont="1" applyBorder="1" applyAlignment="1">
      <alignment horizontal="right"/>
    </xf>
    <xf numFmtId="1" fontId="35" fillId="0" borderId="0" xfId="0" applyNumberFormat="1" applyFont="1" applyFill="1" applyBorder="1" applyAlignment="1">
      <alignment horizontal="center"/>
    </xf>
    <xf numFmtId="43" fontId="15" fillId="0" borderId="13" xfId="1" applyFont="1" applyFill="1" applyBorder="1" applyAlignment="1">
      <alignment horizontal="center" vertical="center" wrapText="1"/>
    </xf>
    <xf numFmtId="0" fontId="13" fillId="0" borderId="0" xfId="0" applyFont="1" applyFill="1" applyBorder="1"/>
    <xf numFmtId="43" fontId="10" fillId="0" borderId="0" xfId="1" applyFont="1" applyFill="1" applyBorder="1" applyAlignment="1"/>
    <xf numFmtId="0" fontId="34" fillId="5" borderId="0" xfId="0" applyFont="1" applyFill="1" applyBorder="1" applyAlignment="1">
      <alignment horizontal="center" vertical="center" wrapText="1"/>
    </xf>
    <xf numFmtId="0" fontId="34" fillId="5" borderId="0" xfId="0" applyFont="1" applyFill="1" applyBorder="1"/>
    <xf numFmtId="0" fontId="34" fillId="5" borderId="0" xfId="0" applyFont="1" applyFill="1" applyBorder="1" applyAlignment="1">
      <alignment horizontal="right"/>
    </xf>
    <xf numFmtId="1" fontId="34" fillId="5" borderId="0" xfId="0" applyNumberFormat="1" applyFont="1" applyFill="1" applyBorder="1" applyAlignment="1">
      <alignment horizontal="center" vertical="distributed"/>
    </xf>
    <xf numFmtId="0" fontId="10" fillId="0" borderId="13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34" fillId="6" borderId="0" xfId="0" applyFont="1" applyFill="1" applyBorder="1" applyAlignment="1">
      <alignment horizontal="center" vertical="center" wrapText="1"/>
    </xf>
    <xf numFmtId="0" fontId="34" fillId="6" borderId="0" xfId="0" applyFont="1" applyFill="1" applyBorder="1"/>
    <xf numFmtId="0" fontId="34" fillId="6" borderId="0" xfId="0" applyFont="1" applyFill="1" applyBorder="1" applyAlignment="1">
      <alignment horizontal="right"/>
    </xf>
    <xf numFmtId="1" fontId="34" fillId="6" borderId="0" xfId="0" applyNumberFormat="1" applyFont="1" applyFill="1" applyBorder="1" applyAlignment="1">
      <alignment horizontal="center" vertical="distributed"/>
    </xf>
    <xf numFmtId="43" fontId="10" fillId="0" borderId="0" xfId="0" applyNumberFormat="1" applyFont="1" applyFill="1" applyBorder="1" applyAlignment="1">
      <alignment horizontal="left" vertical="center"/>
    </xf>
    <xf numFmtId="164" fontId="34" fillId="7" borderId="0" xfId="0" applyNumberFormat="1" applyFont="1" applyFill="1" applyBorder="1" applyAlignment="1">
      <alignment horizontal="center" vertical="center" wrapText="1"/>
    </xf>
    <xf numFmtId="43" fontId="36" fillId="7" borderId="0" xfId="1" applyFont="1" applyFill="1" applyBorder="1"/>
    <xf numFmtId="43" fontId="34" fillId="7" borderId="0" xfId="1" applyFont="1" applyFill="1" applyBorder="1" applyAlignment="1">
      <alignment horizontal="right"/>
    </xf>
    <xf numFmtId="1" fontId="34" fillId="7" borderId="0" xfId="0" applyNumberFormat="1" applyFont="1" applyFill="1" applyBorder="1" applyAlignment="1">
      <alignment horizontal="center" vertical="distributed"/>
    </xf>
    <xf numFmtId="49" fontId="34" fillId="0" borderId="0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/>
    <xf numFmtId="1" fontId="34" fillId="0" borderId="0" xfId="0" applyNumberFormat="1" applyFont="1" applyBorder="1" applyAlignment="1">
      <alignment horizontal="center"/>
    </xf>
    <xf numFmtId="43" fontId="10" fillId="0" borderId="12" xfId="1" applyFont="1" applyFill="1" applyBorder="1" applyAlignment="1">
      <alignment horizontal="center"/>
    </xf>
    <xf numFmtId="43" fontId="15" fillId="0" borderId="12" xfId="1" applyFont="1" applyFill="1" applyBorder="1" applyAlignment="1"/>
    <xf numFmtId="0" fontId="34" fillId="0" borderId="0" xfId="0" applyFont="1" applyFill="1" applyBorder="1" applyAlignment="1">
      <alignment horizontal="right" vertical="center"/>
    </xf>
    <xf numFmtId="49" fontId="34" fillId="0" borderId="0" xfId="1" applyNumberFormat="1" applyFont="1" applyBorder="1" applyAlignment="1">
      <alignment horizontal="right"/>
    </xf>
    <xf numFmtId="1" fontId="34" fillId="0" borderId="0" xfId="0" applyNumberFormat="1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 vertical="center" wrapText="1"/>
    </xf>
    <xf numFmtId="0" fontId="34" fillId="3" borderId="0" xfId="0" applyFont="1" applyFill="1" applyBorder="1"/>
    <xf numFmtId="0" fontId="34" fillId="3" borderId="0" xfId="0" applyFont="1" applyFill="1" applyBorder="1" applyAlignment="1">
      <alignment horizontal="right"/>
    </xf>
    <xf numFmtId="1" fontId="34" fillId="3" borderId="0" xfId="0" applyNumberFormat="1" applyFont="1" applyFill="1" applyBorder="1" applyAlignment="1">
      <alignment horizontal="center" vertical="distributed"/>
    </xf>
    <xf numFmtId="0" fontId="29" fillId="0" borderId="0" xfId="0" applyFont="1" applyFill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43" fontId="13" fillId="0" borderId="0" xfId="1" applyFont="1" applyFill="1" applyBorder="1" applyAlignment="1">
      <alignment horizontal="center" vertical="center" wrapText="1"/>
    </xf>
    <xf numFmtId="43" fontId="15" fillId="0" borderId="0" xfId="1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right" vertical="center"/>
    </xf>
    <xf numFmtId="43" fontId="10" fillId="0" borderId="4" xfId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right" vertical="center"/>
    </xf>
    <xf numFmtId="164" fontId="15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25" fillId="0" borderId="1" xfId="0" applyFont="1" applyBorder="1" applyAlignment="1">
      <alignment horizontal="left" vertical="center"/>
    </xf>
    <xf numFmtId="164" fontId="10" fillId="0" borderId="0" xfId="1" applyNumberFormat="1" applyFont="1" applyAlignment="1">
      <alignment horizontal="center" vertical="center" wrapText="1"/>
    </xf>
    <xf numFmtId="43" fontId="15" fillId="0" borderId="0" xfId="1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43" fontId="10" fillId="11" borderId="0" xfId="0" applyNumberFormat="1" applyFont="1" applyFill="1" applyAlignment="1">
      <alignment horizontal="center" vertical="center" wrapText="1"/>
    </xf>
    <xf numFmtId="43" fontId="15" fillId="0" borderId="4" xfId="0" applyNumberFormat="1" applyFont="1" applyBorder="1"/>
    <xf numFmtId="43" fontId="10" fillId="0" borderId="0" xfId="0" applyNumberFormat="1" applyFont="1" applyAlignment="1">
      <alignment horizontal="center" vertical="center" wrapText="1"/>
    </xf>
    <xf numFmtId="171" fontId="10" fillId="0" borderId="0" xfId="0" applyNumberFormat="1" applyFont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/>
    </xf>
    <xf numFmtId="165" fontId="15" fillId="11" borderId="4" xfId="1" applyNumberFormat="1" applyFont="1" applyFill="1" applyBorder="1"/>
    <xf numFmtId="169" fontId="10" fillId="0" borderId="0" xfId="0" applyNumberFormat="1" applyFont="1" applyFill="1" applyBorder="1" applyAlignment="1">
      <alignment horizontal="center" vertical="center" wrapText="1"/>
    </xf>
    <xf numFmtId="9" fontId="10" fillId="0" borderId="0" xfId="2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/>
    <xf numFmtId="1" fontId="10" fillId="0" borderId="0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/>
    <xf numFmtId="165" fontId="10" fillId="0" borderId="0" xfId="0" applyNumberFormat="1" applyFont="1" applyFill="1" applyBorder="1" applyAlignment="1">
      <alignment horizontal="center" vertical="center"/>
    </xf>
    <xf numFmtId="10" fontId="10" fillId="0" borderId="27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/>
    </xf>
    <xf numFmtId="0" fontId="10" fillId="0" borderId="13" xfId="0" applyFont="1" applyFill="1" applyBorder="1"/>
    <xf numFmtId="49" fontId="10" fillId="0" borderId="11" xfId="0" applyNumberFormat="1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/>
    <xf numFmtId="0" fontId="10" fillId="0" borderId="12" xfId="0" applyFont="1" applyBorder="1" applyAlignment="1">
      <alignment horizontal="center" vertical="center" wrapText="1"/>
    </xf>
    <xf numFmtId="49" fontId="15" fillId="8" borderId="4" xfId="0" applyNumberFormat="1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65" fontId="10" fillId="0" borderId="0" xfId="0" applyNumberFormat="1" applyFont="1" applyAlignment="1">
      <alignment vertical="center"/>
    </xf>
    <xf numFmtId="174" fontId="10" fillId="0" borderId="4" xfId="0" applyNumberFormat="1" applyFont="1" applyBorder="1" applyAlignment="1">
      <alignment horizontal="center" vertical="center"/>
    </xf>
    <xf numFmtId="10" fontId="10" fillId="0" borderId="4" xfId="2" applyNumberFormat="1" applyFont="1" applyBorder="1" applyAlignment="1">
      <alignment horizontal="center" vertical="center" wrapText="1"/>
    </xf>
    <xf numFmtId="0" fontId="4" fillId="0" borderId="0" xfId="0" applyFont="1"/>
    <xf numFmtId="10" fontId="10" fillId="0" borderId="0" xfId="0" applyNumberFormat="1" applyFont="1" applyBorder="1" applyAlignment="1">
      <alignment horizontal="center" vertical="center" wrapText="1"/>
    </xf>
    <xf numFmtId="43" fontId="10" fillId="0" borderId="0" xfId="1" applyFont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left" vertical="center" wrapText="1"/>
    </xf>
    <xf numFmtId="0" fontId="15" fillId="12" borderId="9" xfId="0" applyFont="1" applyFill="1" applyBorder="1" applyAlignment="1">
      <alignment horizontal="center" vertical="center" wrapText="1"/>
    </xf>
    <xf numFmtId="0" fontId="15" fillId="12" borderId="3" xfId="0" applyFont="1" applyFill="1" applyBorder="1" applyAlignment="1">
      <alignment horizontal="center" vertical="center" wrapText="1"/>
    </xf>
    <xf numFmtId="0" fontId="30" fillId="12" borderId="2" xfId="0" applyFont="1" applyFill="1" applyBorder="1" applyAlignment="1">
      <alignment horizontal="center" vertical="center" wrapText="1"/>
    </xf>
    <xf numFmtId="0" fontId="39" fillId="12" borderId="0" xfId="0" applyFont="1" applyFill="1" applyBorder="1" applyAlignment="1">
      <alignment vertical="center" wrapText="1"/>
    </xf>
    <xf numFmtId="0" fontId="39" fillId="12" borderId="7" xfId="0" applyFont="1" applyFill="1" applyBorder="1" applyAlignment="1">
      <alignment vertical="center" wrapText="1"/>
    </xf>
    <xf numFmtId="0" fontId="34" fillId="0" borderId="28" xfId="0" applyFont="1" applyFill="1" applyBorder="1" applyAlignment="1">
      <alignment horizontal="left" vertical="center"/>
    </xf>
    <xf numFmtId="0" fontId="34" fillId="12" borderId="19" xfId="0" applyFont="1" applyFill="1" applyBorder="1" applyAlignment="1">
      <alignment horizontal="center" vertical="center"/>
    </xf>
    <xf numFmtId="0" fontId="34" fillId="12" borderId="22" xfId="0" applyFont="1" applyFill="1" applyBorder="1" applyAlignment="1">
      <alignment horizontal="left" vertical="center"/>
    </xf>
    <xf numFmtId="0" fontId="10" fillId="12" borderId="21" xfId="0" applyFont="1" applyFill="1" applyBorder="1" applyAlignment="1">
      <alignment horizontal="center" vertical="center"/>
    </xf>
    <xf numFmtId="0" fontId="34" fillId="12" borderId="21" xfId="0" applyFont="1" applyFill="1" applyBorder="1" applyAlignment="1">
      <alignment horizontal="center" vertical="center"/>
    </xf>
    <xf numFmtId="174" fontId="40" fillId="12" borderId="24" xfId="0" applyNumberFormat="1" applyFont="1" applyFill="1" applyBorder="1" applyAlignment="1">
      <alignment horizontal="center" vertical="center"/>
    </xf>
    <xf numFmtId="0" fontId="41" fillId="12" borderId="0" xfId="0" applyFont="1" applyFill="1" applyBorder="1" applyAlignment="1">
      <alignment horizontal="left" vertical="center"/>
    </xf>
    <xf numFmtId="0" fontId="41" fillId="12" borderId="0" xfId="0" applyFont="1" applyFill="1" applyBorder="1" applyAlignment="1">
      <alignment horizontal="center" vertical="center"/>
    </xf>
    <xf numFmtId="174" fontId="42" fillId="12" borderId="0" xfId="0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15" fillId="12" borderId="0" xfId="0" applyFont="1" applyFill="1" applyBorder="1" applyAlignment="1">
      <alignment vertical="center" wrapText="1"/>
    </xf>
    <xf numFmtId="0" fontId="34" fillId="12" borderId="28" xfId="0" applyFont="1" applyFill="1" applyBorder="1" applyAlignment="1">
      <alignment horizontal="left" vertical="center"/>
    </xf>
    <xf numFmtId="0" fontId="10" fillId="12" borderId="19" xfId="0" applyFont="1" applyFill="1" applyBorder="1" applyAlignment="1">
      <alignment horizontal="center" vertical="center"/>
    </xf>
    <xf numFmtId="0" fontId="34" fillId="12" borderId="23" xfId="0" applyFont="1" applyFill="1" applyBorder="1" applyAlignment="1">
      <alignment horizontal="left" vertical="center"/>
    </xf>
    <xf numFmtId="0" fontId="10" fillId="12" borderId="4" xfId="0" applyFont="1" applyFill="1" applyBorder="1" applyAlignment="1">
      <alignment horizontal="center" vertical="center"/>
    </xf>
    <xf numFmtId="0" fontId="10" fillId="12" borderId="22" xfId="0" applyFont="1" applyFill="1" applyBorder="1" applyAlignment="1">
      <alignment vertical="center"/>
    </xf>
    <xf numFmtId="0" fontId="15" fillId="0" borderId="0" xfId="0" applyFont="1"/>
    <xf numFmtId="0" fontId="4" fillId="12" borderId="18" xfId="0" applyFont="1" applyFill="1" applyBorder="1" applyAlignment="1">
      <alignment vertical="distributed"/>
    </xf>
    <xf numFmtId="0" fontId="4" fillId="12" borderId="25" xfId="0" applyFont="1" applyFill="1" applyBorder="1" applyAlignment="1">
      <alignment vertical="distributed"/>
    </xf>
    <xf numFmtId="0" fontId="45" fillId="0" borderId="0" xfId="0" applyFont="1"/>
    <xf numFmtId="0" fontId="46" fillId="0" borderId="0" xfId="0" applyFont="1"/>
    <xf numFmtId="174" fontId="43" fillId="12" borderId="29" xfId="0" applyNumberFormat="1" applyFont="1" applyFill="1" applyBorder="1" applyAlignment="1">
      <alignment horizontal="center" vertical="center"/>
    </xf>
    <xf numFmtId="0" fontId="26" fillId="12" borderId="19" xfId="0" applyFont="1" applyFill="1" applyBorder="1" applyAlignment="1">
      <alignment horizontal="center" vertical="center"/>
    </xf>
    <xf numFmtId="174" fontId="23" fillId="12" borderId="29" xfId="0" applyNumberFormat="1" applyFont="1" applyFill="1" applyBorder="1" applyAlignment="1">
      <alignment horizontal="center" vertical="center"/>
    </xf>
    <xf numFmtId="174" fontId="23" fillId="12" borderId="20" xfId="0" applyNumberFormat="1" applyFont="1" applyFill="1" applyBorder="1" applyAlignment="1">
      <alignment horizontal="center" vertical="center"/>
    </xf>
    <xf numFmtId="174" fontId="23" fillId="12" borderId="24" xfId="0" applyNumberFormat="1" applyFont="1" applyFill="1" applyBorder="1" applyAlignment="1">
      <alignment horizontal="center" vertical="center"/>
    </xf>
    <xf numFmtId="0" fontId="10" fillId="0" borderId="28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174" fontId="23" fillId="12" borderId="32" xfId="0" applyNumberFormat="1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 horizontal="left" vertical="center"/>
    </xf>
    <xf numFmtId="0" fontId="47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171" fontId="15" fillId="0" borderId="0" xfId="1" applyNumberFormat="1" applyFont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0" fontId="10" fillId="0" borderId="6" xfId="0" applyFont="1" applyBorder="1" applyAlignment="1">
      <alignment horizontal="right"/>
    </xf>
    <xf numFmtId="3" fontId="10" fillId="9" borderId="4" xfId="0" applyNumberFormat="1" applyFont="1" applyFill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3" fontId="10" fillId="9" borderId="4" xfId="1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right"/>
    </xf>
    <xf numFmtId="3" fontId="10" fillId="0" borderId="11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3" fontId="10" fillId="0" borderId="30" xfId="0" applyNumberFormat="1" applyFont="1" applyBorder="1" applyAlignment="1">
      <alignment horizontal="center"/>
    </xf>
    <xf numFmtId="0" fontId="37" fillId="0" borderId="6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distributed"/>
    </xf>
    <xf numFmtId="0" fontId="10" fillId="0" borderId="15" xfId="0" applyFont="1" applyBorder="1" applyAlignment="1">
      <alignment horizontal="center" vertical="distributed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00FF"/>
      <color rgb="FF008000"/>
      <color rgb="FF009900"/>
      <color rgb="FF0070C0"/>
      <color rgb="FFFFFF99"/>
      <color rgb="FF9933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06-4F5B-AF9C-CF233A2A2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5552"/>
        <c:axId val="1"/>
      </c:lineChart>
      <c:catAx>
        <c:axId val="210136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5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02-4E39-B32D-34499DA47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6800"/>
        <c:axId val="1"/>
      </c:lineChart>
      <c:catAx>
        <c:axId val="210136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6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15-40ED-B162-756C1D16C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59728"/>
        <c:axId val="1"/>
      </c:lineChart>
      <c:catAx>
        <c:axId val="210135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59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51-4EE2-B66A-7D6ADB957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0144"/>
        <c:axId val="1"/>
      </c:lineChart>
      <c:catAx>
        <c:axId val="210136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0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r>
              <a:rPr lang="es-ES"/>
              <a:t>El NND (IC95%) es el Nº de pacientes que hay que tratar con el Mto de Intervención para perjudicar a "1" más que si se trata con Placebo. En el resto de pacientes el Mto de Intervención y el Placebo tienen un comportamiento similar.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Permanecerán sanos sin tomar el Mto de Intervención</c:v>
          </c:tx>
          <c:spPr>
            <a:solidFill>
              <a:srgbClr val="00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58-4BDB-ACC8-93C6DB3FD1EC}"/>
                </c:ext>
              </c:extLst>
            </c:dLbl>
            <c:dLbl>
              <c:idx val="1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58-4BDB-ACC8-93C6DB3FD1EC}"/>
                </c:ext>
              </c:extLst>
            </c:dLbl>
            <c:dLbl>
              <c:idx val="2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58-4BDB-ACC8-93C6DB3FD1EC}"/>
                </c:ext>
              </c:extLst>
            </c:dLbl>
            <c:spPr>
              <a:solidFill>
                <a:srgbClr val="00FF00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'Inc Acumul'!$I$35:$K$35</c:f>
            </c:numRef>
          </c:val>
          <c:extLst>
            <c:ext xmlns:c16="http://schemas.microsoft.com/office/drawing/2014/chart" uri="{C3380CC4-5D6E-409C-BE32-E72D297353CC}">
              <c16:uniqueId val="{00000003-3C58-4BDB-ACC8-93C6DB3FD1EC}"/>
            </c:ext>
          </c:extLst>
        </c:ser>
        <c:ser>
          <c:idx val="1"/>
          <c:order val="1"/>
          <c:tx>
            <c:v>Enfermarán por tomar el Mto de Intervención</c:v>
          </c:tx>
          <c:spPr>
            <a:solidFill>
              <a:srgbClr val="FF99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58-4BDB-ACC8-93C6DB3FD1EC}"/>
                </c:ext>
              </c:extLst>
            </c:dLbl>
            <c:dLbl>
              <c:idx val="1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58-4BDB-ACC8-93C6DB3FD1EC}"/>
                </c:ext>
              </c:extLst>
            </c:dLbl>
            <c:dLbl>
              <c:idx val="2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58-4BDB-ACC8-93C6DB3FD1EC}"/>
                </c:ext>
              </c:extLst>
            </c:dLbl>
            <c:spPr>
              <a:solidFill>
                <a:srgbClr val="FF99CC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'Inc Acumul'!$I$36:$K$36</c:f>
            </c:numRef>
          </c:val>
          <c:extLst>
            <c:ext xmlns:c16="http://schemas.microsoft.com/office/drawing/2014/chart" uri="{C3380CC4-5D6E-409C-BE32-E72D297353CC}">
              <c16:uniqueId val="{00000007-3C58-4BDB-ACC8-93C6DB3FD1EC}"/>
            </c:ext>
          </c:extLst>
        </c:ser>
        <c:ser>
          <c:idx val="2"/>
          <c:order val="2"/>
          <c:tx>
            <c:v>Enfermarán incluso sin tomar el Mto de Intervención</c:v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58-4BDB-ACC8-93C6DB3FD1EC}"/>
                </c:ext>
              </c:extLst>
            </c:dLbl>
            <c:dLbl>
              <c:idx val="1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58-4BDB-ACC8-93C6DB3FD1EC}"/>
                </c:ext>
              </c:extLst>
            </c:dLbl>
            <c:dLbl>
              <c:idx val="2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58-4BDB-ACC8-93C6DB3FD1EC}"/>
                </c:ext>
              </c:extLst>
            </c:dLbl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'Inc Acumul'!$I$37:$K$37</c:f>
            </c:numRef>
          </c:val>
          <c:extLst>
            <c:ext xmlns:c16="http://schemas.microsoft.com/office/drawing/2014/chart" uri="{C3380CC4-5D6E-409C-BE32-E72D297353CC}">
              <c16:uniqueId val="{0000000B-3C58-4BDB-ACC8-93C6DB3FD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1360976"/>
        <c:axId val="1"/>
      </c:barChart>
      <c:catAx>
        <c:axId val="210136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r>
                  <a:rPr lang="es-ES"/>
                  <a:t>NND: el 1 es la estimación puntual, el 2 y el 3 son los extremos del IC 95%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pacientes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2101360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0</xdr:col>
      <xdr:colOff>0</xdr:colOff>
      <xdr:row>43</xdr:row>
      <xdr:rowOff>38100</xdr:rowOff>
    </xdr:to>
    <xdr:graphicFrame macro="">
      <xdr:nvGraphicFramePr>
        <xdr:cNvPr id="1590" name="Gráfico 10">
          <a:extLst>
            <a:ext uri="{FF2B5EF4-FFF2-40B4-BE49-F238E27FC236}">
              <a16:creationId xmlns:a16="http://schemas.microsoft.com/office/drawing/2014/main" id="{A65AC891-D1C9-43FB-9808-A52C8E566F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graphicFrame macro="">
      <xdr:nvGraphicFramePr>
        <xdr:cNvPr id="1591" name="Gráfico 11">
          <a:extLst>
            <a:ext uri="{FF2B5EF4-FFF2-40B4-BE49-F238E27FC236}">
              <a16:creationId xmlns:a16="http://schemas.microsoft.com/office/drawing/2014/main" id="{AA57A113-58A5-4E94-BDE8-AEAF8A4C8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graphicFrame macro="">
      <xdr:nvGraphicFramePr>
        <xdr:cNvPr id="1592" name="Gráfico 12">
          <a:extLst>
            <a:ext uri="{FF2B5EF4-FFF2-40B4-BE49-F238E27FC236}">
              <a16:creationId xmlns:a16="http://schemas.microsoft.com/office/drawing/2014/main" id="{1FE8F15B-BF78-4A40-AA0A-D79F66512D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43</xdr:row>
      <xdr:rowOff>28575</xdr:rowOff>
    </xdr:to>
    <xdr:graphicFrame macro="">
      <xdr:nvGraphicFramePr>
        <xdr:cNvPr id="1593" name="Gráfico 13">
          <a:extLst>
            <a:ext uri="{FF2B5EF4-FFF2-40B4-BE49-F238E27FC236}">
              <a16:creationId xmlns:a16="http://schemas.microsoft.com/office/drawing/2014/main" id="{C29DCF90-53A0-4DFA-9B4C-C76C012EA6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257175</xdr:colOff>
      <xdr:row>27</xdr:row>
      <xdr:rowOff>76200</xdr:rowOff>
    </xdr:from>
    <xdr:to>
      <xdr:col>29</xdr:col>
      <xdr:colOff>695325</xdr:colOff>
      <xdr:row>52</xdr:row>
      <xdr:rowOff>0</xdr:rowOff>
    </xdr:to>
    <xdr:graphicFrame macro="">
      <xdr:nvGraphicFramePr>
        <xdr:cNvPr id="1594" name="Gráfico 88">
          <a:extLst>
            <a:ext uri="{FF2B5EF4-FFF2-40B4-BE49-F238E27FC236}">
              <a16:creationId xmlns:a16="http://schemas.microsoft.com/office/drawing/2014/main" id="{F3BAF80F-DC88-43D5-876D-001F15DF3C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3"/>
  <sheetViews>
    <sheetView tabSelected="1" topLeftCell="A64" zoomScale="85" zoomScaleNormal="85" workbookViewId="0">
      <selection activeCell="A68" sqref="A68"/>
    </sheetView>
  </sheetViews>
  <sheetFormatPr baseColWidth="10" defaultColWidth="11.453125" defaultRowHeight="13" x14ac:dyDescent="0.3"/>
  <cols>
    <col min="1" max="1" width="38.81640625" style="5" customWidth="1"/>
    <col min="2" max="2" width="19" style="5" customWidth="1"/>
    <col min="3" max="3" width="18.453125" style="5" customWidth="1"/>
    <col min="4" max="4" width="15.54296875" style="5" customWidth="1"/>
    <col min="5" max="5" width="20.1796875" style="5" customWidth="1"/>
    <col min="6" max="6" width="16.54296875" style="5" customWidth="1"/>
    <col min="7" max="7" width="8.7265625" style="5" customWidth="1"/>
    <col min="8" max="8" width="4.54296875" style="5" customWidth="1"/>
    <col min="9" max="9" width="13.81640625" style="5" customWidth="1"/>
    <col min="10" max="10" width="2.453125" style="5" customWidth="1"/>
    <col min="11" max="12" width="14.26953125" style="5" customWidth="1"/>
    <col min="13" max="13" width="14.7265625" style="5" bestFit="1" customWidth="1"/>
    <col min="14" max="14" width="14.26953125" style="12" bestFit="1" customWidth="1"/>
    <col min="15" max="15" width="14.26953125" style="12" customWidth="1"/>
    <col min="16" max="16" width="14" style="5" bestFit="1" customWidth="1"/>
    <col min="17" max="17" width="11.54296875" style="5" bestFit="1" customWidth="1"/>
    <col min="18" max="18" width="13.81640625" style="5" bestFit="1" customWidth="1"/>
    <col min="19" max="19" width="11.453125" style="5"/>
    <col min="20" max="21" width="11.453125" style="12"/>
    <col min="22" max="16384" width="11.453125" style="5"/>
  </cols>
  <sheetData>
    <row r="1" spans="1:29" s="4" customFormat="1" ht="8.25" customHeight="1" thickBot="1" x14ac:dyDescent="0.35">
      <c r="A1" s="96"/>
      <c r="B1" s="97"/>
      <c r="C1" s="96"/>
      <c r="D1" s="98"/>
      <c r="E1" s="5"/>
      <c r="F1" s="5"/>
      <c r="G1" s="99"/>
      <c r="H1" s="99"/>
      <c r="I1" s="99"/>
      <c r="J1" s="99"/>
      <c r="K1" s="8"/>
      <c r="L1" s="13"/>
      <c r="M1" s="13"/>
      <c r="N1" s="2"/>
      <c r="O1" s="2"/>
      <c r="P1" s="3"/>
      <c r="Q1" s="2"/>
      <c r="R1" s="2"/>
      <c r="S1" s="2"/>
      <c r="T1" s="100"/>
      <c r="U1" s="100"/>
      <c r="V1" s="100"/>
      <c r="W1" s="100"/>
      <c r="X1" s="100"/>
      <c r="Y1" s="100"/>
      <c r="Z1" s="100"/>
      <c r="AA1" s="100"/>
      <c r="AB1" s="100"/>
    </row>
    <row r="2" spans="1:29" ht="24.75" customHeight="1" thickBot="1" x14ac:dyDescent="0.35">
      <c r="A2" s="330" t="s">
        <v>67</v>
      </c>
      <c r="B2" s="331"/>
      <c r="C2" s="331"/>
      <c r="D2" s="331"/>
      <c r="E2" s="332"/>
      <c r="F2" s="101"/>
      <c r="G2" s="102" t="s">
        <v>72</v>
      </c>
      <c r="H2" s="103">
        <v>0.95</v>
      </c>
      <c r="I2" s="101"/>
      <c r="J2" s="7"/>
      <c r="K2" s="8"/>
      <c r="L2" s="9"/>
      <c r="M2" s="9"/>
      <c r="N2" s="10"/>
      <c r="O2" s="10"/>
      <c r="P2" s="11"/>
      <c r="Q2" s="10"/>
      <c r="R2" s="10"/>
      <c r="S2" s="10"/>
      <c r="T2" s="10"/>
      <c r="U2" s="10"/>
      <c r="V2" s="10"/>
      <c r="W2" s="12"/>
      <c r="X2" s="12"/>
      <c r="Y2" s="12"/>
      <c r="Z2" s="12"/>
      <c r="AA2" s="12"/>
      <c r="AB2" s="12"/>
      <c r="AC2" s="12"/>
    </row>
    <row r="3" spans="1:29" ht="28.5" customHeight="1" x14ac:dyDescent="0.3">
      <c r="A3" s="333" t="s">
        <v>110</v>
      </c>
      <c r="B3" s="334"/>
      <c r="C3" s="334"/>
      <c r="D3" s="334"/>
      <c r="E3" s="335"/>
      <c r="F3" s="104"/>
      <c r="G3" s="104"/>
      <c r="H3" s="104"/>
      <c r="I3" s="104"/>
      <c r="J3" s="7"/>
      <c r="K3" s="8"/>
      <c r="L3" s="9"/>
      <c r="M3" s="9"/>
      <c r="N3" s="10"/>
      <c r="O3" s="10"/>
      <c r="P3" s="11"/>
      <c r="Q3" s="10"/>
      <c r="R3" s="10"/>
      <c r="S3" s="10"/>
      <c r="T3" s="10"/>
      <c r="U3" s="10"/>
      <c r="V3" s="10"/>
      <c r="W3" s="12"/>
      <c r="X3" s="12"/>
      <c r="Y3" s="12"/>
      <c r="Z3" s="12"/>
      <c r="AA3" s="12"/>
      <c r="AB3" s="12"/>
      <c r="AC3" s="12"/>
    </row>
    <row r="4" spans="1:29" ht="12.75" customHeight="1" x14ac:dyDescent="0.7">
      <c r="A4" s="78"/>
      <c r="B4" s="14"/>
      <c r="C4" s="13"/>
      <c r="D4" s="13"/>
      <c r="E4" s="6"/>
      <c r="F4" s="15"/>
      <c r="I4" s="104"/>
      <c r="J4" s="79"/>
      <c r="K4" s="16"/>
      <c r="N4" s="10"/>
      <c r="O4" s="10"/>
      <c r="P4" s="17"/>
      <c r="Q4" s="10"/>
      <c r="R4" s="10"/>
      <c r="S4" s="15"/>
      <c r="U4" s="18"/>
      <c r="V4" s="18"/>
      <c r="W4" s="12"/>
      <c r="X4" s="18"/>
      <c r="Y4" s="19"/>
      <c r="Z4" s="12"/>
      <c r="AA4" s="12"/>
      <c r="AB4" s="12"/>
      <c r="AC4" s="12"/>
    </row>
    <row r="5" spans="1:29" x14ac:dyDescent="0.3">
      <c r="A5" s="105" t="s">
        <v>60</v>
      </c>
      <c r="B5" s="317"/>
      <c r="C5" s="317"/>
      <c r="D5" s="317"/>
      <c r="E5" s="317"/>
      <c r="H5" s="106"/>
      <c r="I5" s="104"/>
      <c r="J5" s="106"/>
      <c r="K5" s="107"/>
      <c r="L5" s="107"/>
      <c r="M5" s="107"/>
      <c r="N5" s="10"/>
      <c r="O5" s="10"/>
      <c r="P5" s="10"/>
      <c r="Q5" s="10"/>
      <c r="R5" s="10"/>
      <c r="S5" s="15"/>
      <c r="U5" s="18"/>
      <c r="V5" s="18"/>
      <c r="W5" s="12"/>
      <c r="X5" s="18"/>
      <c r="Y5" s="19"/>
      <c r="Z5" s="12"/>
      <c r="AA5" s="12"/>
      <c r="AB5" s="12"/>
      <c r="AC5" s="12"/>
    </row>
    <row r="6" spans="1:29" x14ac:dyDescent="0.3">
      <c r="A6" s="84"/>
      <c r="B6" s="20"/>
      <c r="C6" s="318" t="s">
        <v>227</v>
      </c>
      <c r="D6" s="318" t="s">
        <v>228</v>
      </c>
      <c r="E6" s="318" t="s">
        <v>22</v>
      </c>
      <c r="H6" s="106"/>
      <c r="I6" s="104"/>
      <c r="J6" s="106"/>
      <c r="K6" s="107"/>
      <c r="L6" s="107"/>
      <c r="M6" s="107"/>
      <c r="N6" s="10"/>
      <c r="O6" s="10"/>
      <c r="P6" s="10"/>
      <c r="Q6" s="10"/>
      <c r="R6" s="10"/>
      <c r="S6" s="15"/>
      <c r="U6" s="18"/>
      <c r="V6" s="18"/>
      <c r="W6" s="12"/>
      <c r="X6" s="18"/>
      <c r="Y6" s="12"/>
      <c r="Z6" s="12"/>
      <c r="AA6" s="12"/>
      <c r="AB6" s="12"/>
      <c r="AC6" s="12"/>
    </row>
    <row r="7" spans="1:29" ht="12.75" customHeight="1" x14ac:dyDescent="0.3">
      <c r="A7" s="84"/>
      <c r="B7" s="319" t="s">
        <v>230</v>
      </c>
      <c r="C7" s="320">
        <v>158</v>
      </c>
      <c r="D7" s="321">
        <f>E7-C7</f>
        <v>1705</v>
      </c>
      <c r="E7" s="322">
        <v>1863</v>
      </c>
      <c r="G7" s="276"/>
      <c r="I7" s="277"/>
      <c r="J7" s="106"/>
      <c r="K7" s="107"/>
      <c r="L7" s="107"/>
      <c r="M7" s="107"/>
      <c r="N7" s="10"/>
      <c r="O7" s="10"/>
      <c r="P7" s="10"/>
      <c r="Q7" s="10"/>
      <c r="R7" s="10"/>
      <c r="S7" s="15"/>
      <c r="U7" s="18"/>
      <c r="V7" s="18"/>
      <c r="W7" s="12"/>
      <c r="X7" s="18"/>
      <c r="Y7" s="12"/>
      <c r="Z7" s="12"/>
      <c r="AA7" s="12"/>
      <c r="AB7" s="12"/>
      <c r="AC7" s="12"/>
    </row>
    <row r="8" spans="1:29" ht="12.75" customHeight="1" x14ac:dyDescent="0.3">
      <c r="A8" s="84"/>
      <c r="B8" s="319" t="s">
        <v>229</v>
      </c>
      <c r="C8" s="320">
        <v>167</v>
      </c>
      <c r="D8" s="321">
        <f>E8-C8</f>
        <v>1700</v>
      </c>
      <c r="E8" s="322">
        <v>1867</v>
      </c>
      <c r="G8" s="276"/>
      <c r="H8" s="106"/>
      <c r="I8" s="277"/>
      <c r="J8" s="106"/>
      <c r="K8" s="107"/>
      <c r="L8" s="108"/>
      <c r="M8" s="107"/>
      <c r="N8" s="10"/>
      <c r="O8" s="10"/>
      <c r="P8" s="10"/>
      <c r="Q8" s="10"/>
      <c r="R8" s="10"/>
      <c r="S8" s="15"/>
      <c r="U8" s="18"/>
      <c r="V8" s="18"/>
      <c r="W8" s="12"/>
      <c r="X8" s="18"/>
      <c r="Y8" s="12"/>
      <c r="Z8" s="12"/>
      <c r="AA8" s="12"/>
      <c r="AB8" s="12"/>
      <c r="AC8" s="12"/>
    </row>
    <row r="9" spans="1:29" x14ac:dyDescent="0.3">
      <c r="A9" s="84"/>
      <c r="B9" s="323" t="s">
        <v>22</v>
      </c>
      <c r="C9" s="324">
        <f>SUM(C7:C8)</f>
        <v>325</v>
      </c>
      <c r="D9" s="325">
        <f>SUM(D7:D8)</f>
        <v>3405</v>
      </c>
      <c r="E9" s="326">
        <f>SUM(E7:E8)</f>
        <v>3730</v>
      </c>
      <c r="F9" s="106"/>
      <c r="G9" s="106"/>
      <c r="H9" s="106"/>
      <c r="I9" s="104"/>
      <c r="J9" s="106"/>
      <c r="K9" s="107"/>
      <c r="L9" s="108"/>
      <c r="M9" s="107"/>
      <c r="O9" s="23"/>
      <c r="P9" s="24"/>
      <c r="Q9" s="24"/>
      <c r="R9" s="24"/>
      <c r="S9" s="18"/>
      <c r="U9" s="18"/>
      <c r="V9" s="18"/>
      <c r="W9" s="12"/>
      <c r="X9" s="18"/>
      <c r="Y9" s="12"/>
      <c r="Z9" s="12"/>
      <c r="AA9" s="12"/>
      <c r="AB9" s="12"/>
      <c r="AC9" s="12"/>
    </row>
    <row r="10" spans="1:29" ht="12.75" hidden="1" customHeight="1" x14ac:dyDescent="0.3">
      <c r="A10" s="84"/>
      <c r="B10" s="25"/>
      <c r="C10" s="26"/>
      <c r="D10" s="22"/>
      <c r="E10" s="22"/>
      <c r="F10" s="107"/>
      <c r="G10" s="107"/>
      <c r="H10" s="106"/>
      <c r="I10" s="106"/>
      <c r="J10" s="106"/>
      <c r="K10" s="107"/>
      <c r="L10" s="108"/>
      <c r="M10" s="107"/>
      <c r="O10" s="23"/>
      <c r="P10" s="24"/>
      <c r="Q10" s="24"/>
      <c r="R10" s="24"/>
      <c r="S10" s="18"/>
      <c r="U10" s="18"/>
      <c r="V10" s="18"/>
      <c r="W10" s="12"/>
      <c r="X10" s="18"/>
      <c r="Y10" s="12"/>
      <c r="Z10" s="12"/>
      <c r="AA10" s="12"/>
      <c r="AB10" s="12"/>
      <c r="AC10" s="12"/>
    </row>
    <row r="11" spans="1:29" s="4" customFormat="1" ht="14.25" hidden="1" customHeight="1" x14ac:dyDescent="0.3">
      <c r="A11" s="109" t="s">
        <v>73</v>
      </c>
      <c r="B11" s="28"/>
      <c r="C11" s="29"/>
      <c r="D11" s="2"/>
      <c r="E11" s="21"/>
      <c r="F11" s="110"/>
      <c r="G11" s="108"/>
      <c r="H11" s="110"/>
      <c r="I11" s="108"/>
      <c r="J11" s="111"/>
      <c r="K11" s="111"/>
      <c r="L11" s="110"/>
      <c r="M11" s="111"/>
      <c r="O11" s="2"/>
      <c r="P11" s="31"/>
      <c r="Q11" s="31"/>
      <c r="R11" s="31"/>
      <c r="S11" s="2"/>
      <c r="T11" s="2"/>
      <c r="U11" s="2"/>
      <c r="V11" s="2"/>
    </row>
    <row r="12" spans="1:29" s="4" customFormat="1" ht="12.75" hidden="1" customHeight="1" x14ac:dyDescent="0.3">
      <c r="A12" s="84" t="s">
        <v>68</v>
      </c>
      <c r="B12" s="28"/>
      <c r="C12" s="29"/>
      <c r="D12" s="2"/>
      <c r="E12" s="21"/>
      <c r="F12" s="110"/>
      <c r="G12" s="108"/>
      <c r="H12" s="110"/>
      <c r="I12" s="108"/>
      <c r="J12" s="112"/>
      <c r="K12" s="111"/>
      <c r="L12" s="111"/>
      <c r="M12" s="111"/>
      <c r="O12" s="2"/>
      <c r="P12" s="3"/>
      <c r="Q12" s="3"/>
      <c r="R12" s="3"/>
      <c r="S12" s="2"/>
      <c r="T12" s="2"/>
      <c r="U12" s="2"/>
      <c r="V12" s="2"/>
    </row>
    <row r="13" spans="1:29" s="4" customFormat="1" ht="45" hidden="1" customHeight="1" x14ac:dyDescent="0.3">
      <c r="A13" s="87" t="s">
        <v>25</v>
      </c>
      <c r="B13" s="87" t="s">
        <v>69</v>
      </c>
      <c r="C13" s="87" t="s">
        <v>74</v>
      </c>
      <c r="D13" s="87" t="s">
        <v>70</v>
      </c>
      <c r="E13" s="87" t="s">
        <v>71</v>
      </c>
      <c r="F13" s="87" t="s">
        <v>4</v>
      </c>
      <c r="G13" s="87" t="s">
        <v>75</v>
      </c>
      <c r="H13" s="87" t="s">
        <v>76</v>
      </c>
      <c r="I13" s="108"/>
      <c r="J13" s="113" t="s">
        <v>43</v>
      </c>
      <c r="K13" s="114" t="s">
        <v>0</v>
      </c>
      <c r="L13" s="114" t="s">
        <v>1</v>
      </c>
      <c r="M13" s="111"/>
      <c r="O13" s="2"/>
      <c r="P13" s="2"/>
      <c r="Q13" s="2"/>
      <c r="R13" s="2"/>
      <c r="S13" s="2"/>
      <c r="T13" s="2"/>
      <c r="U13" s="2"/>
      <c r="V13" s="2"/>
    </row>
    <row r="14" spans="1:29" s="4" customFormat="1" ht="12.75" hidden="1" customHeight="1" x14ac:dyDescent="0.3">
      <c r="A14" s="88">
        <f>LN((C7/E7)/(C8/E8))</f>
        <v>-5.3254006449654084E-2</v>
      </c>
      <c r="B14" s="88">
        <f>SQRT((D7/(C7*E7)+(D8/(C8*E8))))</f>
        <v>0.10604126830582095</v>
      </c>
      <c r="C14" s="115">
        <f>-NORMSINV((1-H2)/2)</f>
        <v>1.9599639845400536</v>
      </c>
      <c r="D14" s="89">
        <f>A14-(C14*B14)</f>
        <v>-0.26109107320401181</v>
      </c>
      <c r="E14" s="90">
        <f>A14+(C14*B14)</f>
        <v>0.15458306030470365</v>
      </c>
      <c r="F14" s="116">
        <f>(C7/E7)/(C8/E8)</f>
        <v>0.94813914843421054</v>
      </c>
      <c r="G14" s="116">
        <f>EXP(D14)</f>
        <v>0.77021077085812517</v>
      </c>
      <c r="H14" s="116">
        <f>EXP(E14)</f>
        <v>1.1671712196285842</v>
      </c>
      <c r="I14" s="108"/>
      <c r="J14" s="117">
        <f>1-F14</f>
        <v>5.1860851565789456E-2</v>
      </c>
      <c r="K14" s="116">
        <f>1-G14</f>
        <v>0.22978922914187483</v>
      </c>
      <c r="L14" s="116">
        <f>1-H14</f>
        <v>-0.16717121962858417</v>
      </c>
      <c r="M14" s="118"/>
      <c r="O14" s="2"/>
      <c r="P14" s="2"/>
      <c r="Q14" s="2"/>
      <c r="R14" s="2"/>
      <c r="S14" s="2"/>
      <c r="T14" s="2"/>
      <c r="U14" s="2"/>
      <c r="V14" s="2"/>
    </row>
    <row r="15" spans="1:29" s="4" customFormat="1" ht="12.75" hidden="1" customHeight="1" x14ac:dyDescent="0.3">
      <c r="A15" s="119"/>
      <c r="B15" s="28"/>
      <c r="C15" s="28"/>
      <c r="D15" s="28"/>
      <c r="E15" s="32"/>
      <c r="F15" s="120"/>
      <c r="G15" s="108"/>
      <c r="H15" s="110"/>
      <c r="I15" s="108"/>
      <c r="J15" s="110"/>
      <c r="K15" s="110"/>
      <c r="L15" s="110"/>
      <c r="M15" s="111"/>
      <c r="O15" s="2"/>
      <c r="P15" s="2"/>
      <c r="Q15" s="2"/>
      <c r="R15" s="2"/>
      <c r="S15" s="2"/>
      <c r="T15" s="2"/>
      <c r="U15" s="2"/>
      <c r="V15" s="2"/>
    </row>
    <row r="16" spans="1:29" s="12" customFormat="1" ht="12.75" hidden="1" customHeight="1" x14ac:dyDescent="0.3">
      <c r="A16" s="83"/>
      <c r="B16" s="33"/>
      <c r="C16" s="34"/>
      <c r="D16" s="35"/>
      <c r="E16" s="36"/>
      <c r="F16" s="121"/>
      <c r="G16" s="122"/>
      <c r="H16" s="123"/>
      <c r="I16" s="123"/>
      <c r="J16" s="124"/>
      <c r="K16" s="124"/>
      <c r="L16" s="125"/>
      <c r="M16" s="125"/>
    </row>
    <row r="17" spans="1:29" ht="15.75" hidden="1" customHeight="1" x14ac:dyDescent="0.3">
      <c r="A17" s="39" t="s">
        <v>77</v>
      </c>
      <c r="B17" s="2"/>
      <c r="C17" s="126"/>
      <c r="D17" s="126"/>
      <c r="E17" s="13"/>
      <c r="F17" s="13"/>
      <c r="G17" s="127"/>
      <c r="H17" s="40"/>
      <c r="I17" s="128"/>
      <c r="J17" s="128"/>
      <c r="K17" s="4"/>
      <c r="L17" s="111"/>
      <c r="M17" s="108"/>
      <c r="N17" s="40"/>
      <c r="O17" s="2"/>
      <c r="P17" s="2"/>
      <c r="Q17" s="41"/>
      <c r="R17" s="40"/>
      <c r="S17" s="42"/>
      <c r="T17" s="42"/>
      <c r="U17" s="42"/>
      <c r="V17" s="12"/>
      <c r="W17" s="12"/>
      <c r="X17" s="12"/>
      <c r="Y17" s="12"/>
      <c r="Z17" s="12"/>
      <c r="AA17" s="12"/>
      <c r="AB17" s="12"/>
    </row>
    <row r="18" spans="1:29" ht="12.75" hidden="1" customHeight="1" x14ac:dyDescent="0.3">
      <c r="A18" s="43" t="s">
        <v>78</v>
      </c>
      <c r="B18" s="2"/>
      <c r="C18" s="40"/>
      <c r="D18" s="40"/>
      <c r="E18" s="2"/>
      <c r="F18" s="2"/>
      <c r="G18" s="41"/>
      <c r="H18" s="40"/>
      <c r="I18" s="42"/>
      <c r="J18" s="42"/>
      <c r="K18" s="42"/>
      <c r="L18" s="111"/>
      <c r="M18" s="108"/>
      <c r="N18" s="2"/>
      <c r="O18" s="2"/>
      <c r="P18" s="41"/>
      <c r="Q18" s="40"/>
      <c r="R18" s="42"/>
      <c r="S18" s="42"/>
      <c r="T18" s="42"/>
      <c r="V18" s="12" t="s">
        <v>27</v>
      </c>
      <c r="W18" s="12"/>
      <c r="X18" s="12"/>
      <c r="Y18" s="12"/>
      <c r="Z18" s="12"/>
      <c r="AA18" s="12"/>
    </row>
    <row r="19" spans="1:29" ht="25.5" hidden="1" customHeight="1" thickBot="1" x14ac:dyDescent="0.35">
      <c r="A19" s="129" t="s">
        <v>79</v>
      </c>
      <c r="B19" s="5" t="s">
        <v>9</v>
      </c>
      <c r="C19" s="4"/>
      <c r="D19" s="5" t="s">
        <v>80</v>
      </c>
      <c r="F19" s="5" t="s">
        <v>7</v>
      </c>
      <c r="H19" s="5" t="s">
        <v>8</v>
      </c>
      <c r="I19" s="42"/>
      <c r="J19" s="42"/>
      <c r="K19" s="42"/>
      <c r="L19" s="111"/>
      <c r="M19" s="124"/>
      <c r="O19" s="5"/>
      <c r="S19" s="12"/>
      <c r="U19" s="5"/>
      <c r="V19" s="5" t="s">
        <v>28</v>
      </c>
      <c r="X19" s="12"/>
      <c r="Y19" s="12"/>
      <c r="Z19" s="12"/>
      <c r="AA19" s="12"/>
      <c r="AB19" s="12"/>
      <c r="AC19" s="12"/>
    </row>
    <row r="20" spans="1:29" ht="38.25" hidden="1" customHeight="1" x14ac:dyDescent="0.4">
      <c r="A20" s="87" t="s">
        <v>81</v>
      </c>
      <c r="B20" s="87" t="s">
        <v>26</v>
      </c>
      <c r="C20" s="130" t="s">
        <v>10</v>
      </c>
      <c r="D20" s="130" t="s">
        <v>9</v>
      </c>
      <c r="E20" s="130" t="s">
        <v>82</v>
      </c>
      <c r="F20" s="130" t="s">
        <v>7</v>
      </c>
      <c r="G20" s="130" t="s">
        <v>8</v>
      </c>
      <c r="H20" s="131" t="s">
        <v>5</v>
      </c>
      <c r="I20" s="130" t="s">
        <v>83</v>
      </c>
      <c r="J20" s="130" t="s">
        <v>0</v>
      </c>
      <c r="K20" s="130" t="s">
        <v>1</v>
      </c>
      <c r="L20" s="132"/>
      <c r="M20" s="133"/>
      <c r="N20" s="134" t="s">
        <v>13</v>
      </c>
      <c r="O20" s="135" t="s">
        <v>63</v>
      </c>
      <c r="P20" s="136"/>
      <c r="Q20" s="137"/>
      <c r="R20" s="138"/>
      <c r="S20" s="138"/>
      <c r="T20" s="139"/>
      <c r="V20" s="140"/>
      <c r="W20" s="134" t="s">
        <v>64</v>
      </c>
      <c r="X20" s="135" t="s">
        <v>84</v>
      </c>
      <c r="Y20" s="92"/>
      <c r="Z20" s="92"/>
      <c r="AA20" s="92" t="s">
        <v>85</v>
      </c>
      <c r="AB20" s="92"/>
      <c r="AC20" s="80"/>
    </row>
    <row r="21" spans="1:29" ht="12.75" hidden="1" customHeight="1" x14ac:dyDescent="0.3">
      <c r="A21" s="141">
        <f>C7</f>
        <v>158</v>
      </c>
      <c r="B21" s="142">
        <f>E7</f>
        <v>1863</v>
      </c>
      <c r="C21" s="143">
        <f>A21/B21</f>
        <v>8.480944712828771E-2</v>
      </c>
      <c r="D21" s="144">
        <f>2*A21+H21^2</f>
        <v>319.84145882069413</v>
      </c>
      <c r="E21" s="144">
        <f>H21*SQRT((H21^2)+(4*A21*(1-C21)))</f>
        <v>47.293321276268074</v>
      </c>
      <c r="F21" s="145">
        <f>2*(B21+H21^2)</f>
        <v>3733.682917641388</v>
      </c>
      <c r="G21" s="146" t="s">
        <v>11</v>
      </c>
      <c r="H21" s="115">
        <f>-NORMSINV((1-H2)/2)</f>
        <v>1.9599639845400536</v>
      </c>
      <c r="I21" s="147">
        <f>C21</f>
        <v>8.480944712828771E-2</v>
      </c>
      <c r="J21" s="147">
        <f>(D21-E21)/F21</f>
        <v>7.2997130060684937E-2</v>
      </c>
      <c r="K21" s="147">
        <f>(D21+E21)/F21</f>
        <v>9.8330465707807249E-2</v>
      </c>
      <c r="L21" s="132"/>
      <c r="M21" s="148">
        <f>E9/2</f>
        <v>1865</v>
      </c>
      <c r="N21" s="20" t="s">
        <v>14</v>
      </c>
      <c r="O21" s="2"/>
      <c r="P21" s="41"/>
      <c r="Q21" s="40"/>
      <c r="R21" s="42"/>
      <c r="S21" s="42"/>
      <c r="T21" s="149"/>
      <c r="V21" s="150">
        <f>ABS(C21-C22)</f>
        <v>4.6388656729977745E-3</v>
      </c>
      <c r="W21" s="20" t="s">
        <v>86</v>
      </c>
      <c r="X21" s="2"/>
      <c r="Y21" s="20"/>
      <c r="Z21" s="20"/>
      <c r="AA21" s="20" t="s">
        <v>87</v>
      </c>
      <c r="AB21" s="20"/>
      <c r="AC21" s="151"/>
    </row>
    <row r="22" spans="1:29" ht="14.25" hidden="1" customHeight="1" x14ac:dyDescent="0.4">
      <c r="A22" s="141">
        <f>C8</f>
        <v>167</v>
      </c>
      <c r="B22" s="142">
        <f>E8</f>
        <v>1867</v>
      </c>
      <c r="C22" s="143">
        <f>A22/B22</f>
        <v>8.9448312801285484E-2</v>
      </c>
      <c r="D22" s="144">
        <f>2*A22+H22^2</f>
        <v>337.84145882069413</v>
      </c>
      <c r="E22" s="144">
        <f>H22*SQRT((H22^2)+(4*A22*(1-C22)))</f>
        <v>48.490395701382802</v>
      </c>
      <c r="F22" s="145">
        <f>2*(B22+H22^2)</f>
        <v>3741.682917641388</v>
      </c>
      <c r="G22" s="146" t="s">
        <v>11</v>
      </c>
      <c r="H22" s="115">
        <f>-NORMSINV((1-H2)/2)</f>
        <v>1.9599639845400536</v>
      </c>
      <c r="I22" s="147">
        <f>C22</f>
        <v>8.9448312801285484E-2</v>
      </c>
      <c r="J22" s="147">
        <f>(D22-E22)/F22</f>
        <v>7.7331796811288073E-2</v>
      </c>
      <c r="K22" s="147">
        <f>(D22+E22)/F22</f>
        <v>0.10325082670703843</v>
      </c>
      <c r="L22" s="132"/>
      <c r="M22" s="152">
        <f>I26</f>
        <v>4.6388656729977745E-3</v>
      </c>
      <c r="N22" s="20" t="s">
        <v>15</v>
      </c>
      <c r="O22" s="20"/>
      <c r="P22" s="20"/>
      <c r="Q22" s="20"/>
      <c r="R22" s="20"/>
      <c r="S22" s="20"/>
      <c r="T22" s="94"/>
      <c r="V22" s="153">
        <f>SQRT((C23*(1-C23)/B21)+(C23*(1-C23)/B22))</f>
        <v>9.2356451094174619E-3</v>
      </c>
      <c r="W22" s="43" t="s">
        <v>88</v>
      </c>
      <c r="X22" s="20"/>
      <c r="Y22" s="20"/>
      <c r="Z22" s="20"/>
      <c r="AA22" s="20"/>
      <c r="AB22" s="20"/>
      <c r="AC22" s="151"/>
    </row>
    <row r="23" spans="1:29" ht="12.75" hidden="1" customHeight="1" x14ac:dyDescent="0.3">
      <c r="A23" s="141">
        <f>C9</f>
        <v>325</v>
      </c>
      <c r="B23" s="142">
        <f>E9</f>
        <v>3730</v>
      </c>
      <c r="C23" s="143">
        <f>A23/B23</f>
        <v>8.7131367292225204E-2</v>
      </c>
      <c r="D23" s="144">
        <f>2*A23+H23^2</f>
        <v>653.84145882069413</v>
      </c>
      <c r="E23" s="144">
        <f>H23*SQRT((H23^2)+(4*A23*(1-C23)))</f>
        <v>67.627865894884152</v>
      </c>
      <c r="F23" s="145">
        <f>2*(B23+H23^2)</f>
        <v>7467.6829176413885</v>
      </c>
      <c r="G23" s="146" t="s">
        <v>11</v>
      </c>
      <c r="H23" s="115">
        <f>-NORMSINV((1-H2)/2)</f>
        <v>1.9599639845400536</v>
      </c>
      <c r="I23" s="147">
        <f>C23</f>
        <v>8.7131367292225204E-2</v>
      </c>
      <c r="J23" s="147">
        <f>(D23-E23)/F23</f>
        <v>7.8500064798005795E-2</v>
      </c>
      <c r="K23" s="147">
        <f>(D23+E23)/F23</f>
        <v>9.6612206580330942E-2</v>
      </c>
      <c r="L23" s="132"/>
      <c r="M23" s="154">
        <f>(A21+A22)/(B21+B22)</f>
        <v>8.7131367292225204E-2</v>
      </c>
      <c r="N23" s="20" t="s">
        <v>6</v>
      </c>
      <c r="O23" s="2"/>
      <c r="P23" s="41"/>
      <c r="Q23" s="40"/>
      <c r="R23" s="42"/>
      <c r="S23" s="42"/>
      <c r="T23" s="151"/>
      <c r="V23" s="155">
        <f>V21/V22</f>
        <v>0.50227846761539008</v>
      </c>
      <c r="W23" s="20" t="s">
        <v>42</v>
      </c>
      <c r="X23" s="2"/>
      <c r="Y23" s="20"/>
      <c r="Z23" s="20"/>
      <c r="AA23" s="20"/>
      <c r="AB23" s="20"/>
      <c r="AC23" s="151"/>
    </row>
    <row r="24" spans="1:29" ht="15" hidden="1" customHeight="1" x14ac:dyDescent="0.3">
      <c r="A24" s="84"/>
      <c r="B24" s="156" t="s">
        <v>12</v>
      </c>
      <c r="E24" s="37"/>
      <c r="F24" s="123"/>
      <c r="G24" s="123"/>
      <c r="H24" s="123"/>
      <c r="I24" s="123"/>
      <c r="J24" s="124"/>
      <c r="K24" s="107"/>
      <c r="L24" s="132"/>
      <c r="M24" s="157">
        <f>SQRT(M21*M22^2/(2*M23*(1-M23)))-H21</f>
        <v>-1.4576852281113171</v>
      </c>
      <c r="N24" s="20" t="s">
        <v>89</v>
      </c>
      <c r="O24" s="20"/>
      <c r="P24" s="20"/>
      <c r="Q24" s="20"/>
      <c r="R24" s="20"/>
      <c r="S24" s="4"/>
      <c r="T24" s="149"/>
      <c r="V24" s="158">
        <f>NORMSDIST(-V23)</f>
        <v>0.30773582672973399</v>
      </c>
      <c r="W24" s="39" t="s">
        <v>90</v>
      </c>
      <c r="X24" s="20"/>
      <c r="Y24" s="4"/>
      <c r="Z24" s="4"/>
      <c r="AA24" s="4"/>
      <c r="AB24" s="4"/>
      <c r="AC24" s="94"/>
    </row>
    <row r="25" spans="1:29" ht="13.5" hidden="1" customHeight="1" thickBot="1" x14ac:dyDescent="0.35">
      <c r="A25" s="84"/>
      <c r="B25" s="156" t="s">
        <v>91</v>
      </c>
      <c r="C25" s="27"/>
      <c r="D25" s="38"/>
      <c r="E25" s="37"/>
      <c r="F25" s="123"/>
      <c r="G25" s="107"/>
      <c r="H25" s="107"/>
      <c r="I25" s="159"/>
      <c r="J25" s="159"/>
      <c r="K25" s="159"/>
      <c r="L25" s="132"/>
      <c r="M25" s="160">
        <f>NORMSDIST(M24)</f>
        <v>7.2463662729049125E-2</v>
      </c>
      <c r="N25" s="39" t="s">
        <v>16</v>
      </c>
      <c r="O25" s="44"/>
      <c r="P25" s="20"/>
      <c r="Q25" s="20"/>
      <c r="R25" s="20"/>
      <c r="S25" s="20"/>
      <c r="T25" s="151"/>
      <c r="V25" s="161">
        <f>1-V24</f>
        <v>0.69226417327026601</v>
      </c>
      <c r="W25" s="45" t="s">
        <v>92</v>
      </c>
      <c r="X25" s="44"/>
      <c r="Y25" s="4"/>
      <c r="Z25" s="4"/>
      <c r="AA25" s="4"/>
      <c r="AB25" s="4"/>
      <c r="AC25" s="94"/>
    </row>
    <row r="26" spans="1:29" ht="15" hidden="1" customHeight="1" thickBot="1" x14ac:dyDescent="0.4">
      <c r="E26" s="46"/>
      <c r="F26" s="107"/>
      <c r="G26" s="107"/>
      <c r="H26" s="102" t="s">
        <v>23</v>
      </c>
      <c r="I26" s="162">
        <f>C22-C21</f>
        <v>4.6388656729977745E-3</v>
      </c>
      <c r="J26" s="163">
        <f>I26+SQRT((C22-J22)^2+(K21-C21)^2)</f>
        <v>2.2794523280574967E-2</v>
      </c>
      <c r="K26" s="164">
        <f>I26-SQRT((C21-J21)^2+(K22-C22)^2)</f>
        <v>-1.3528143564190478E-2</v>
      </c>
      <c r="L26" s="106"/>
      <c r="M26" s="165">
        <f>1-M25</f>
        <v>0.92753633727095086</v>
      </c>
      <c r="N26" s="166" t="s">
        <v>93</v>
      </c>
      <c r="O26" s="167"/>
      <c r="P26" s="168"/>
      <c r="Q26" s="167"/>
      <c r="R26" s="167"/>
      <c r="S26" s="167"/>
      <c r="T26" s="169"/>
      <c r="V26" s="170"/>
      <c r="W26" s="171"/>
      <c r="X26" s="167"/>
      <c r="Y26" s="171"/>
      <c r="Z26" s="171"/>
      <c r="AA26" s="171"/>
      <c r="AB26" s="171"/>
      <c r="AC26" s="172"/>
    </row>
    <row r="27" spans="1:29" ht="13.5" hidden="1" customHeight="1" thickBot="1" x14ac:dyDescent="0.35">
      <c r="E27" s="47"/>
      <c r="F27" s="107"/>
      <c r="G27" s="107"/>
      <c r="H27" s="102" t="s">
        <v>24</v>
      </c>
      <c r="I27" s="173">
        <f>1/I26</f>
        <v>215.56994112178504</v>
      </c>
      <c r="J27" s="174">
        <f>1/J26</f>
        <v>43.870187048490713</v>
      </c>
      <c r="K27" s="175">
        <f>1/K26</f>
        <v>-73.919972482184392</v>
      </c>
      <c r="L27" s="106"/>
      <c r="M27" s="107"/>
      <c r="N27" s="5"/>
      <c r="O27" s="5"/>
      <c r="T27" s="5"/>
      <c r="U27" s="5"/>
      <c r="V27" s="12"/>
      <c r="W27" s="12"/>
      <c r="X27" s="12"/>
      <c r="Y27" s="12"/>
      <c r="Z27" s="12"/>
      <c r="AA27" s="12"/>
      <c r="AB27" s="12"/>
    </row>
    <row r="28" spans="1:29" ht="14.25" hidden="1" customHeight="1" x14ac:dyDescent="0.4">
      <c r="F28" s="107"/>
      <c r="G28" s="107"/>
      <c r="J28" s="176"/>
      <c r="K28" s="176"/>
      <c r="L28" s="177"/>
      <c r="M28" s="133"/>
      <c r="N28" s="178"/>
      <c r="O28" s="178" t="s">
        <v>88</v>
      </c>
      <c r="P28" s="179">
        <f>SQRT((C23*(1-C23)/B21)+(C23*(1-C23)/B22))</f>
        <v>9.2356451094174619E-3</v>
      </c>
      <c r="Q28" s="180"/>
      <c r="R28" s="180"/>
      <c r="S28" s="180"/>
      <c r="T28" s="80"/>
      <c r="U28" s="5"/>
    </row>
    <row r="29" spans="1:29" ht="31.5" hidden="1" customHeight="1" x14ac:dyDescent="0.35">
      <c r="E29" s="181"/>
      <c r="F29" s="182"/>
      <c r="G29" s="183" t="s">
        <v>53</v>
      </c>
      <c r="H29" s="184" t="s">
        <v>48</v>
      </c>
      <c r="I29" s="185">
        <f>I27</f>
        <v>215.56994112178504</v>
      </c>
      <c r="J29" s="185">
        <f>J27</f>
        <v>43.870187048490713</v>
      </c>
      <c r="K29" s="185">
        <f>K27</f>
        <v>-73.919972482184392</v>
      </c>
      <c r="L29" s="107"/>
      <c r="M29" s="186" t="s">
        <v>94</v>
      </c>
      <c r="N29" s="187"/>
      <c r="O29" s="20" t="s">
        <v>95</v>
      </c>
      <c r="P29" s="20"/>
      <c r="Q29" s="41"/>
      <c r="R29" s="188" t="s">
        <v>96</v>
      </c>
      <c r="S29" s="20"/>
      <c r="T29" s="151"/>
      <c r="U29" s="5"/>
    </row>
    <row r="30" spans="1:29" s="4" customFormat="1" ht="14.25" hidden="1" customHeight="1" x14ac:dyDescent="0.4">
      <c r="E30" s="49"/>
      <c r="F30" s="189"/>
      <c r="G30" s="190"/>
      <c r="H30" s="191" t="s">
        <v>55</v>
      </c>
      <c r="I30" s="192">
        <f>(1-C22)*I27</f>
        <v>196.2875735977689</v>
      </c>
      <c r="J30" s="192">
        <f>(1-C22)*J27</f>
        <v>39.946072834726408</v>
      </c>
      <c r="K30" s="192">
        <f>(1-C22)*K27</f>
        <v>-67.307955661335541</v>
      </c>
      <c r="L30" s="107"/>
      <c r="M30" s="193"/>
      <c r="N30" s="73" t="s">
        <v>97</v>
      </c>
      <c r="P30" s="194" t="s">
        <v>98</v>
      </c>
      <c r="Q30" s="73" t="s">
        <v>99</v>
      </c>
      <c r="R30" s="20"/>
      <c r="S30" s="20"/>
      <c r="T30" s="94"/>
    </row>
    <row r="31" spans="1:29" s="4" customFormat="1" ht="14.25" hidden="1" customHeight="1" x14ac:dyDescent="0.4">
      <c r="E31" s="50"/>
      <c r="F31" s="195"/>
      <c r="G31" s="196"/>
      <c r="H31" s="197" t="s">
        <v>58</v>
      </c>
      <c r="I31" s="198">
        <f>I27*I26</f>
        <v>1</v>
      </c>
      <c r="J31" s="198">
        <f>J27*J26</f>
        <v>1</v>
      </c>
      <c r="K31" s="198">
        <f>K27*K26</f>
        <v>1</v>
      </c>
      <c r="L31" s="111"/>
      <c r="M31" s="157">
        <f>ABS((I26/P28))-H21</f>
        <v>-1.4576855169246636</v>
      </c>
      <c r="N31" s="73" t="s">
        <v>100</v>
      </c>
      <c r="O31" s="20"/>
      <c r="P31" s="20"/>
      <c r="Q31" s="40"/>
      <c r="R31" s="42"/>
      <c r="S31" s="42"/>
      <c r="T31" s="149"/>
    </row>
    <row r="32" spans="1:29" s="4" customFormat="1" ht="12.75" hidden="1" customHeight="1" x14ac:dyDescent="0.3">
      <c r="A32" s="199"/>
      <c r="B32" s="51"/>
      <c r="D32" s="30"/>
      <c r="F32" s="200"/>
      <c r="G32" s="201"/>
      <c r="H32" s="202" t="s">
        <v>59</v>
      </c>
      <c r="I32" s="203">
        <f>(C22-I26)*I27</f>
        <v>18.282367524016124</v>
      </c>
      <c r="J32" s="203">
        <f>(C22-J26)*J27</f>
        <v>2.9241142137643008</v>
      </c>
      <c r="K32" s="203">
        <f>(C22-K26)*K27</f>
        <v>-7.6120168208488446</v>
      </c>
      <c r="L32" s="111"/>
      <c r="M32" s="160">
        <f>NORMSDIST(M31)</f>
        <v>7.2463622907079389E-2</v>
      </c>
      <c r="N32" s="43" t="s">
        <v>101</v>
      </c>
      <c r="O32" s="44"/>
      <c r="P32" s="20"/>
      <c r="Q32" s="20"/>
      <c r="R32" s="20"/>
      <c r="S32" s="20"/>
      <c r="T32" s="94"/>
    </row>
    <row r="33" spans="1:21" s="4" customFormat="1" ht="12.75" hidden="1" customHeight="1" x14ac:dyDescent="0.3">
      <c r="A33" s="199"/>
      <c r="F33" s="204"/>
      <c r="G33" s="205"/>
      <c r="H33" s="205"/>
      <c r="I33" s="206"/>
      <c r="J33" s="206"/>
      <c r="K33" s="206"/>
      <c r="L33" s="111"/>
      <c r="M33" s="165">
        <f>1-M32</f>
        <v>0.92753637709292058</v>
      </c>
      <c r="N33" s="167" t="s">
        <v>102</v>
      </c>
      <c r="O33" s="167"/>
      <c r="P33" s="168"/>
      <c r="Q33" s="207"/>
      <c r="R33" s="208"/>
      <c r="S33" s="208"/>
      <c r="T33" s="169"/>
    </row>
    <row r="34" spans="1:21" s="4" customFormat="1" ht="31.5" hidden="1" customHeight="1" x14ac:dyDescent="0.3">
      <c r="A34" s="119"/>
      <c r="E34" s="29"/>
      <c r="F34" s="209"/>
      <c r="G34" s="183" t="s">
        <v>54</v>
      </c>
      <c r="H34" s="210" t="s">
        <v>103</v>
      </c>
      <c r="I34" s="211">
        <f>ABS(I27)</f>
        <v>215.56994112178504</v>
      </c>
      <c r="J34" s="211">
        <f>ABS(K27)</f>
        <v>73.919972482184392</v>
      </c>
      <c r="K34" s="211">
        <f>ABS(J27)</f>
        <v>43.870187048490713</v>
      </c>
      <c r="L34" s="111"/>
      <c r="M34" s="106"/>
      <c r="N34" s="20"/>
      <c r="O34" s="20"/>
      <c r="P34" s="20"/>
      <c r="Q34" s="20"/>
      <c r="R34" s="20"/>
      <c r="S34" s="20"/>
      <c r="T34" s="20"/>
      <c r="U34" s="20"/>
    </row>
    <row r="35" spans="1:21" s="4" customFormat="1" ht="13.5" hidden="1" customHeight="1" x14ac:dyDescent="0.3">
      <c r="A35" s="119"/>
      <c r="F35" s="189"/>
      <c r="G35" s="190"/>
      <c r="H35" s="191" t="s">
        <v>55</v>
      </c>
      <c r="I35" s="192">
        <f>ABS((1-(C22-I26))*I27)</f>
        <v>197.2875735977689</v>
      </c>
      <c r="J35" s="192">
        <f>ABS((1-(C22-K26))*K27)</f>
        <v>66.307955661335555</v>
      </c>
      <c r="K35" s="192">
        <f>ABS((1-(C22-J26))*J27)</f>
        <v>40.946072834726408</v>
      </c>
      <c r="L35" s="111"/>
      <c r="M35" s="106"/>
      <c r="N35" s="20"/>
      <c r="O35" s="20"/>
      <c r="P35" s="20"/>
      <c r="Q35" s="20"/>
      <c r="R35" s="20"/>
      <c r="S35" s="20"/>
      <c r="T35" s="20"/>
      <c r="U35" s="20"/>
    </row>
    <row r="36" spans="1:21" s="4" customFormat="1" ht="12.75" hidden="1" customHeight="1" x14ac:dyDescent="0.3">
      <c r="A36" s="119"/>
      <c r="E36" s="56"/>
      <c r="F36" s="212"/>
      <c r="G36" s="213"/>
      <c r="H36" s="214" t="s">
        <v>56</v>
      </c>
      <c r="I36" s="215">
        <f>I27*I26</f>
        <v>1</v>
      </c>
      <c r="J36" s="215">
        <f>K27*K26</f>
        <v>1</v>
      </c>
      <c r="K36" s="215">
        <f>J27*J26</f>
        <v>1</v>
      </c>
      <c r="L36" s="111"/>
      <c r="M36" s="106"/>
      <c r="N36" s="20"/>
      <c r="O36" s="20"/>
      <c r="P36" s="20"/>
      <c r="Q36" s="20"/>
      <c r="R36" s="20"/>
      <c r="S36" s="20"/>
      <c r="T36" s="20"/>
      <c r="U36" s="20"/>
    </row>
    <row r="37" spans="1:21" ht="15.75" hidden="1" customHeight="1" x14ac:dyDescent="0.35">
      <c r="A37" s="216" t="s">
        <v>104</v>
      </c>
      <c r="B37" s="57"/>
      <c r="C37" s="57"/>
      <c r="D37" s="57"/>
      <c r="E37" s="52"/>
      <c r="F37" s="200"/>
      <c r="G37" s="201"/>
      <c r="H37" s="202" t="s">
        <v>57</v>
      </c>
      <c r="I37" s="203">
        <f>ABS(C22*I27)</f>
        <v>19.282367524016124</v>
      </c>
      <c r="J37" s="203">
        <f>ABS(C22*K27)</f>
        <v>6.6120168208488446</v>
      </c>
      <c r="K37" s="203">
        <f>ABS(C22*J27)</f>
        <v>3.9241142137643004</v>
      </c>
      <c r="L37" s="107"/>
      <c r="M37" s="106"/>
      <c r="N37" s="20"/>
      <c r="O37" s="20"/>
      <c r="P37" s="20"/>
      <c r="Q37" s="20"/>
      <c r="R37" s="20"/>
      <c r="S37" s="20"/>
      <c r="T37" s="20"/>
      <c r="U37" s="20"/>
    </row>
    <row r="38" spans="1:21" s="12" customFormat="1" ht="12.75" hidden="1" customHeight="1" x14ac:dyDescent="0.3">
      <c r="A38" s="84"/>
      <c r="B38" s="58" t="s">
        <v>20</v>
      </c>
      <c r="C38" s="59" t="s">
        <v>21</v>
      </c>
      <c r="D38" s="20"/>
      <c r="E38" s="52"/>
      <c r="F38" s="217"/>
      <c r="G38" s="218"/>
      <c r="H38" s="219"/>
      <c r="I38" s="220"/>
      <c r="J38" s="220"/>
      <c r="K38" s="220"/>
      <c r="L38" s="124"/>
      <c r="M38" s="111"/>
      <c r="N38" s="4"/>
      <c r="O38" s="4"/>
      <c r="P38" s="4"/>
      <c r="Q38" s="4"/>
    </row>
    <row r="39" spans="1:21" ht="12.75" hidden="1" customHeight="1" x14ac:dyDescent="0.3">
      <c r="A39" s="221" t="s">
        <v>32</v>
      </c>
      <c r="B39" s="61" t="s">
        <v>3</v>
      </c>
      <c r="C39" s="62" t="s">
        <v>2</v>
      </c>
      <c r="D39" s="63" t="s">
        <v>22</v>
      </c>
      <c r="F39" s="107"/>
      <c r="G39" s="107"/>
      <c r="H39" s="107"/>
      <c r="I39" s="107"/>
      <c r="J39" s="107"/>
      <c r="K39" s="107"/>
      <c r="L39" s="107"/>
      <c r="M39" s="111"/>
      <c r="N39" s="4"/>
      <c r="O39" s="4"/>
      <c r="P39" s="4"/>
      <c r="Q39" s="4"/>
      <c r="T39" s="5"/>
      <c r="U39" s="5"/>
    </row>
    <row r="40" spans="1:21" ht="12.75" hidden="1" customHeight="1" x14ac:dyDescent="0.3">
      <c r="A40" s="222" t="s">
        <v>17</v>
      </c>
      <c r="B40" s="64">
        <f>E7*C9/E9</f>
        <v>162.32573726541554</v>
      </c>
      <c r="C40" s="64">
        <f>E7*D9/E9</f>
        <v>1700.6742627345845</v>
      </c>
      <c r="D40" s="64">
        <f>E7</f>
        <v>1863</v>
      </c>
      <c r="F40" s="223"/>
      <c r="G40" s="224" t="s">
        <v>30</v>
      </c>
      <c r="H40" s="225">
        <f>CHIINV(0.05,J41)</f>
        <v>3.8414588206941236</v>
      </c>
      <c r="I40" s="107"/>
      <c r="J40" s="107"/>
      <c r="K40" s="107"/>
      <c r="L40" s="107"/>
      <c r="M40" s="111"/>
      <c r="N40" s="53"/>
      <c r="O40" s="53"/>
      <c r="P40" s="53"/>
      <c r="Q40" s="4"/>
      <c r="T40" s="5"/>
      <c r="U40" s="5"/>
    </row>
    <row r="41" spans="1:21" ht="12.75" hidden="1" customHeight="1" x14ac:dyDescent="0.3">
      <c r="A41" s="226" t="s">
        <v>18</v>
      </c>
      <c r="B41" s="64">
        <f>E8*C9/E9</f>
        <v>162.67426273458446</v>
      </c>
      <c r="C41" s="64">
        <f>E8*D9/E9</f>
        <v>1704.3257372654155</v>
      </c>
      <c r="D41" s="64">
        <f>E8</f>
        <v>1867</v>
      </c>
      <c r="E41" s="12"/>
      <c r="F41" s="227"/>
      <c r="G41" s="227"/>
      <c r="H41" s="228"/>
      <c r="I41" s="229" t="s">
        <v>31</v>
      </c>
      <c r="J41" s="230">
        <f>(COUNT(B40:C40)-1)*(COUNT(B40:B41)-1)</f>
        <v>1</v>
      </c>
      <c r="K41" s="107"/>
      <c r="L41" s="107"/>
      <c r="M41" s="107"/>
      <c r="N41" s="53"/>
      <c r="O41" s="53"/>
      <c r="P41" s="53"/>
      <c r="Q41" s="4"/>
      <c r="T41" s="5"/>
      <c r="U41" s="5"/>
    </row>
    <row r="42" spans="1:21" ht="12.75" hidden="1" customHeight="1" x14ac:dyDescent="0.3">
      <c r="A42" s="231" t="s">
        <v>29</v>
      </c>
      <c r="B42" s="64">
        <f>SUM(B40:B41)</f>
        <v>325</v>
      </c>
      <c r="C42" s="64">
        <f>SUM(C40:C41)</f>
        <v>3405</v>
      </c>
      <c r="D42" s="65">
        <f>SUM(D40:D41)</f>
        <v>3730</v>
      </c>
      <c r="E42" s="12"/>
      <c r="F42" s="124"/>
      <c r="G42" s="232" t="s">
        <v>33</v>
      </c>
      <c r="H42" s="77" t="s">
        <v>34</v>
      </c>
      <c r="I42" s="107"/>
      <c r="J42" s="107"/>
      <c r="K42" s="107"/>
      <c r="L42" s="107"/>
      <c r="M42" s="107"/>
      <c r="N42" s="53"/>
      <c r="O42" s="54"/>
      <c r="P42" s="53"/>
      <c r="Q42" s="4"/>
      <c r="T42" s="5"/>
      <c r="U42" s="5"/>
    </row>
    <row r="43" spans="1:21" ht="12.75" hidden="1" customHeight="1" x14ac:dyDescent="0.3">
      <c r="A43" s="231"/>
      <c r="B43" s="66"/>
      <c r="C43" s="66"/>
      <c r="D43" s="67"/>
      <c r="E43" s="12"/>
      <c r="F43" s="124"/>
      <c r="G43" s="232" t="s">
        <v>35</v>
      </c>
      <c r="H43" s="77" t="s">
        <v>36</v>
      </c>
      <c r="I43" s="107"/>
      <c r="J43" s="107"/>
      <c r="K43" s="107"/>
      <c r="L43" s="107"/>
      <c r="M43" s="107"/>
      <c r="N43" s="55"/>
      <c r="O43" s="55"/>
      <c r="P43" s="55"/>
      <c r="Q43" s="4"/>
      <c r="T43" s="5"/>
      <c r="U43" s="5"/>
    </row>
    <row r="44" spans="1:21" ht="26.25" hidden="1" customHeight="1" x14ac:dyDescent="0.3">
      <c r="A44" s="233"/>
      <c r="B44" s="336" t="s">
        <v>105</v>
      </c>
      <c r="C44" s="337"/>
      <c r="F44" s="107"/>
      <c r="G44" s="234"/>
      <c r="H44" s="107"/>
      <c r="I44" s="107"/>
      <c r="J44" s="107"/>
      <c r="K44" s="107"/>
      <c r="L44" s="107"/>
      <c r="M44" s="107"/>
      <c r="N44" s="5"/>
      <c r="O44" s="5"/>
      <c r="T44" s="5"/>
      <c r="U44" s="5"/>
    </row>
    <row r="45" spans="1:21" ht="12.75" hidden="1" customHeight="1" x14ac:dyDescent="0.3">
      <c r="A45" s="233"/>
      <c r="B45" s="68">
        <f>(C7-B40)^2/B40</f>
        <v>0.11527440567732707</v>
      </c>
      <c r="C45" s="68">
        <f>(D7-C40)^2/C40</f>
        <v>1.1002696577130634E-2</v>
      </c>
      <c r="E45" s="60"/>
      <c r="F45" s="235"/>
      <c r="G45" s="107"/>
      <c r="H45" s="107"/>
      <c r="I45" s="111"/>
      <c r="J45" s="111"/>
      <c r="K45" s="236"/>
      <c r="L45" s="107"/>
      <c r="M45" s="107"/>
      <c r="N45" s="5"/>
      <c r="O45" s="5"/>
      <c r="T45" s="5"/>
      <c r="U45" s="5"/>
    </row>
    <row r="46" spans="1:21" ht="12.75" hidden="1" customHeight="1" x14ac:dyDescent="0.3">
      <c r="A46" s="233"/>
      <c r="B46" s="68">
        <f>(C8-B41)^2/B41</f>
        <v>0.11502743319596159</v>
      </c>
      <c r="C46" s="68">
        <f>(D8-C41)^2/C41</f>
        <v>1.0979123579643479E-2</v>
      </c>
      <c r="D46" s="16"/>
      <c r="E46" s="69" t="s">
        <v>37</v>
      </c>
      <c r="F46" s="237">
        <f>B48-H40</f>
        <v>-3.5891751616640608</v>
      </c>
      <c r="G46" s="107"/>
      <c r="H46" s="107"/>
      <c r="I46" s="111"/>
      <c r="J46" s="111"/>
      <c r="K46" s="107"/>
      <c r="L46" s="107"/>
      <c r="M46" s="107"/>
      <c r="N46" s="5"/>
      <c r="O46" s="5"/>
      <c r="T46" s="5"/>
      <c r="U46" s="5"/>
    </row>
    <row r="47" spans="1:21" ht="12.75" hidden="1" customHeight="1" thickBot="1" x14ac:dyDescent="0.35">
      <c r="A47" s="77" t="s">
        <v>39</v>
      </c>
      <c r="C47" s="70"/>
      <c r="F47" s="86" t="s">
        <v>40</v>
      </c>
      <c r="G47" s="107"/>
      <c r="H47" s="107"/>
      <c r="I47" s="111"/>
      <c r="J47" s="111"/>
      <c r="K47" s="107"/>
      <c r="L47" s="107"/>
      <c r="M47" s="107"/>
      <c r="N47" s="5"/>
      <c r="O47" s="5"/>
      <c r="T47" s="5"/>
      <c r="U47" s="5"/>
    </row>
    <row r="48" spans="1:21" ht="13.5" hidden="1" customHeight="1" thickBot="1" x14ac:dyDescent="0.35">
      <c r="A48" s="95" t="s">
        <v>38</v>
      </c>
      <c r="B48" s="238">
        <f>SUM(B45:C46)</f>
        <v>0.25228365903006278</v>
      </c>
      <c r="C48" s="20"/>
      <c r="F48" s="86" t="s">
        <v>41</v>
      </c>
      <c r="G48" s="107"/>
      <c r="H48" s="239"/>
      <c r="I48" s="111"/>
      <c r="J48" s="111"/>
      <c r="K48" s="240"/>
      <c r="L48" s="107"/>
      <c r="M48" s="107"/>
      <c r="N48" s="5"/>
      <c r="O48" s="5"/>
      <c r="T48" s="5"/>
      <c r="U48" s="5"/>
    </row>
    <row r="49" spans="1:21" ht="12.75" hidden="1" customHeight="1" thickBot="1" x14ac:dyDescent="0.35">
      <c r="A49" s="241" t="s">
        <v>65</v>
      </c>
      <c r="B49" s="242">
        <f>CHIDIST(B48,1)</f>
        <v>0.6154716534594693</v>
      </c>
      <c r="D49" s="20"/>
      <c r="E49" s="20"/>
      <c r="F49" s="106"/>
      <c r="G49" s="243"/>
      <c r="H49" s="106"/>
      <c r="I49" s="111"/>
      <c r="J49" s="111"/>
      <c r="K49" s="106"/>
      <c r="L49" s="107"/>
      <c r="M49" s="107"/>
      <c r="N49" s="5"/>
      <c r="O49" s="5"/>
      <c r="T49" s="5"/>
      <c r="U49" s="5"/>
    </row>
    <row r="50" spans="1:21" s="4" customFormat="1" ht="12.75" hidden="1" customHeight="1" x14ac:dyDescent="0.3">
      <c r="A50" s="119"/>
      <c r="D50" s="71"/>
      <c r="E50" s="71"/>
      <c r="F50" s="111"/>
      <c r="G50" s="111"/>
      <c r="H50" s="244"/>
      <c r="I50" s="111"/>
      <c r="J50" s="111"/>
      <c r="K50" s="111"/>
      <c r="L50" s="111"/>
      <c r="M50" s="111"/>
    </row>
    <row r="51" spans="1:21" ht="13.5" hidden="1" customHeight="1" x14ac:dyDescent="0.3">
      <c r="A51" s="84"/>
      <c r="F51" s="107"/>
      <c r="G51" s="107"/>
      <c r="H51" s="107"/>
      <c r="I51" s="111"/>
      <c r="J51" s="111"/>
      <c r="K51" s="107"/>
      <c r="L51" s="107"/>
      <c r="M51" s="107"/>
      <c r="N51" s="5"/>
      <c r="O51" s="5"/>
      <c r="T51" s="5"/>
      <c r="U51" s="5"/>
    </row>
    <row r="52" spans="1:21" ht="12.75" hidden="1" customHeight="1" thickBot="1" x14ac:dyDescent="0.35">
      <c r="A52" s="245" t="s">
        <v>106</v>
      </c>
      <c r="B52" s="93"/>
      <c r="C52" s="93"/>
      <c r="D52" s="93"/>
      <c r="E52" s="93"/>
      <c r="F52" s="93"/>
      <c r="G52" s="246"/>
      <c r="H52" s="107"/>
      <c r="I52" s="247" t="s">
        <v>107</v>
      </c>
      <c r="J52" s="248"/>
      <c r="K52" s="249"/>
      <c r="L52" s="249"/>
      <c r="M52" s="249"/>
      <c r="N52" s="80"/>
      <c r="O52" s="5"/>
      <c r="T52" s="5"/>
      <c r="U52" s="5"/>
    </row>
    <row r="53" spans="1:21" ht="12.75" hidden="1" customHeight="1" thickBot="1" x14ac:dyDescent="0.35">
      <c r="A53" s="250">
        <f>H2*100</f>
        <v>95</v>
      </c>
      <c r="B53" s="52"/>
      <c r="C53" s="52"/>
      <c r="D53" s="4"/>
      <c r="E53" s="4"/>
      <c r="F53" s="4"/>
      <c r="G53" s="94"/>
      <c r="H53" s="107"/>
      <c r="I53" s="251"/>
      <c r="J53" s="111"/>
      <c r="K53" s="106"/>
      <c r="L53" s="106"/>
      <c r="M53" s="106"/>
      <c r="N53" s="151"/>
      <c r="O53" s="5"/>
      <c r="T53" s="5"/>
      <c r="U53" s="5"/>
    </row>
    <row r="54" spans="1:21" ht="12.75" hidden="1" customHeight="1" x14ac:dyDescent="0.3">
      <c r="A54" s="252" t="s">
        <v>44</v>
      </c>
      <c r="B54" s="253"/>
      <c r="C54" s="253"/>
      <c r="D54" s="1">
        <f>ROUND(F14,2)</f>
        <v>0.95</v>
      </c>
      <c r="E54" s="48">
        <f>ROUND(I26,4)</f>
        <v>4.5999999999999999E-3</v>
      </c>
      <c r="F54" s="254">
        <f>ROUND(I27,0)</f>
        <v>216</v>
      </c>
      <c r="G54" s="255"/>
      <c r="H54" s="107"/>
      <c r="I54" s="256" t="s">
        <v>44</v>
      </c>
      <c r="J54" s="4"/>
      <c r="K54" s="4"/>
      <c r="L54" s="4"/>
      <c r="M54" s="106"/>
      <c r="N54" s="151"/>
      <c r="O54" s="5"/>
      <c r="T54" s="5"/>
      <c r="U54" s="5"/>
    </row>
    <row r="55" spans="1:21" ht="12.75" hidden="1" customHeight="1" x14ac:dyDescent="0.3">
      <c r="A55" s="252" t="s">
        <v>46</v>
      </c>
      <c r="B55" s="20"/>
      <c r="C55" s="20"/>
      <c r="D55" s="1">
        <f>ROUND(G14,2)</f>
        <v>0.77</v>
      </c>
      <c r="E55" s="48">
        <f>ROUND(K26,4)</f>
        <v>-1.35E-2</v>
      </c>
      <c r="F55" s="254">
        <f>ROUND(K27,0)</f>
        <v>-74</v>
      </c>
      <c r="G55" s="255"/>
      <c r="H55" s="107"/>
      <c r="I55" s="256" t="s">
        <v>46</v>
      </c>
      <c r="J55" s="257" t="str">
        <f>ROUND(I21,4)*100&amp;I57</f>
        <v>8,48%</v>
      </c>
      <c r="K55" s="257" t="str">
        <f>ROUND(J21,4)*100&amp;I57</f>
        <v>7,3%</v>
      </c>
      <c r="L55" s="257" t="str">
        <f>ROUND(K21,4)*100&amp;I57</f>
        <v>9,83%</v>
      </c>
      <c r="M55" s="85" t="str">
        <f>CONCATENATE(J55," ",I54,K55," ",I58," ",L55,I56)</f>
        <v>8,48% (7,3% a 9,83%)</v>
      </c>
      <c r="N55" s="151"/>
      <c r="O55" s="5"/>
      <c r="T55" s="5"/>
      <c r="U55" s="5"/>
    </row>
    <row r="56" spans="1:21" s="12" customFormat="1" ht="12.75" hidden="1" customHeight="1" x14ac:dyDescent="0.3">
      <c r="A56" s="252" t="s">
        <v>45</v>
      </c>
      <c r="B56" s="253">
        <f>ROUND(C7,0)</f>
        <v>158</v>
      </c>
      <c r="C56" s="253">
        <f>ROUND(C8,0)</f>
        <v>167</v>
      </c>
      <c r="D56" s="1">
        <f>ROUND(H14,2)</f>
        <v>1.17</v>
      </c>
      <c r="E56" s="48">
        <f>ROUND(J26,4)</f>
        <v>2.2800000000000001E-2</v>
      </c>
      <c r="F56" s="254">
        <f>ROUND(J27,0)</f>
        <v>44</v>
      </c>
      <c r="G56" s="258">
        <f>ROUND(M32,4)</f>
        <v>7.2499999999999995E-2</v>
      </c>
      <c r="H56" s="124"/>
      <c r="I56" s="256" t="s">
        <v>45</v>
      </c>
      <c r="J56" s="72" t="str">
        <f>ROUND(I22,4)*100&amp;I57</f>
        <v>8,94%</v>
      </c>
      <c r="K56" s="72" t="str">
        <f>ROUND(J22,4)*100&amp;I57</f>
        <v>7,73%</v>
      </c>
      <c r="L56" s="72" t="str">
        <f>ROUND(K22,4)*100&amp;I57</f>
        <v>10,33%</v>
      </c>
      <c r="M56" s="85" t="str">
        <f>CONCATENATE(J56," ",I54,K56," ",I58," ",L56,I56)</f>
        <v>8,94% (7,73% a 10,33%)</v>
      </c>
      <c r="N56" s="94"/>
    </row>
    <row r="57" spans="1:21" ht="12.75" hidden="1" customHeight="1" x14ac:dyDescent="0.3">
      <c r="A57" s="252" t="s">
        <v>47</v>
      </c>
      <c r="B57" s="259" t="s">
        <v>61</v>
      </c>
      <c r="C57" s="259" t="s">
        <v>62</v>
      </c>
      <c r="D57" s="259" t="s">
        <v>4</v>
      </c>
      <c r="E57" s="259" t="s">
        <v>50</v>
      </c>
      <c r="F57" s="260" t="s">
        <v>48</v>
      </c>
      <c r="G57" s="223" t="s">
        <v>51</v>
      </c>
      <c r="H57" s="107"/>
      <c r="I57" s="256" t="s">
        <v>47</v>
      </c>
      <c r="J57" s="72" t="str">
        <f>ROUND(I23,4)*100&amp;I57</f>
        <v>8,71%</v>
      </c>
      <c r="K57" s="72" t="str">
        <f>ROUND(J23,4)*100&amp;I57</f>
        <v>7,85%</v>
      </c>
      <c r="L57" s="72" t="str">
        <f>ROUND(K23,4)*100&amp;I57</f>
        <v>9,66%</v>
      </c>
      <c r="M57" s="85" t="str">
        <f>CONCATENATE(J57," ",I54,K57," ",I58," ",L57,I56)</f>
        <v>8,71% (7,85% a 9,66%)</v>
      </c>
      <c r="N57" s="94"/>
    </row>
    <row r="58" spans="1:21" ht="12.75" hidden="1" customHeight="1" x14ac:dyDescent="0.3">
      <c r="A58" s="261" t="s">
        <v>19</v>
      </c>
      <c r="B58" s="262" t="str">
        <f>CONCATENATE(B56,A59,B21," ",A54,J55,A56)</f>
        <v>158/1863 (8,48%)</v>
      </c>
      <c r="C58" s="102" t="str">
        <f>CONCATENATE(C56,A59,B22," ",A54,J56,A56)</f>
        <v>167/1867 (8,94%)</v>
      </c>
      <c r="D58" s="262" t="str">
        <f>CONCATENATE(D54," ",A54,D55,A55,D56,A56)</f>
        <v>0,95 (0,77-1,17)</v>
      </c>
      <c r="E58" s="262" t="str">
        <f>CONCATENATE(E54*100,A57," ",A54,E55*100,A57," ",A58," ",E56*100,A57,A56)</f>
        <v>0,46% (-1,35% a 2,28%)</v>
      </c>
      <c r="F58" s="223" t="str">
        <f>CONCATENATE(F54," ",A54,F56," ",A58," ",F55,A56)</f>
        <v>216 (44 a -74)</v>
      </c>
      <c r="G58" s="223" t="str">
        <f>CONCATENATE(G56*100,A57)</f>
        <v>7,25%</v>
      </c>
      <c r="H58" s="107"/>
      <c r="I58" s="263" t="s">
        <v>19</v>
      </c>
      <c r="J58" s="20"/>
      <c r="K58" s="20"/>
      <c r="L58" s="20"/>
      <c r="M58" s="106"/>
      <c r="N58" s="151"/>
      <c r="O58" s="5"/>
      <c r="T58" s="5"/>
      <c r="U58" s="5"/>
    </row>
    <row r="59" spans="1:21" ht="13.5" hidden="1" customHeight="1" thickBot="1" x14ac:dyDescent="0.35">
      <c r="A59" s="264" t="s">
        <v>49</v>
      </c>
      <c r="B59" s="171"/>
      <c r="C59" s="171"/>
      <c r="D59" s="171"/>
      <c r="E59" s="171"/>
      <c r="F59" s="265"/>
      <c r="G59" s="266"/>
      <c r="H59" s="107"/>
      <c r="I59" s="267" t="s">
        <v>49</v>
      </c>
      <c r="J59" s="171"/>
      <c r="K59" s="171"/>
      <c r="L59" s="171"/>
      <c r="M59" s="268"/>
      <c r="N59" s="169"/>
      <c r="O59" s="5"/>
      <c r="T59" s="5"/>
      <c r="U59" s="5"/>
    </row>
    <row r="60" spans="1:21" x14ac:dyDescent="0.3">
      <c r="A60" s="84"/>
      <c r="F60" s="107"/>
      <c r="G60" s="107"/>
      <c r="H60" s="107"/>
      <c r="I60" s="107"/>
      <c r="J60" s="107"/>
      <c r="K60" s="111"/>
      <c r="L60" s="107"/>
      <c r="M60" s="107"/>
      <c r="N60" s="5"/>
      <c r="O60" s="5"/>
      <c r="T60" s="5"/>
      <c r="U60" s="5"/>
    </row>
    <row r="61" spans="1:21" ht="27" customHeight="1" x14ac:dyDescent="0.3">
      <c r="A61" s="84"/>
      <c r="B61" s="269" t="s">
        <v>61</v>
      </c>
      <c r="C61" s="269" t="s">
        <v>62</v>
      </c>
      <c r="D61" s="270" t="str">
        <f>CONCATENATE(D57," ",A54,G2," ",A53,A57,A56)</f>
        <v>RR (IC 95%)</v>
      </c>
      <c r="E61" s="270" t="str">
        <f>CONCATENATE(E57," ",A54,G2," ",A53,A57,A56)</f>
        <v>RAR (IC 95%)</v>
      </c>
      <c r="F61" s="270" t="str">
        <f>CONCATENATE(F57," ",A54,G2," ",A53,A57,A56)</f>
        <v>NNT (IC 95%)</v>
      </c>
      <c r="G61" s="270" t="s">
        <v>52</v>
      </c>
      <c r="H61" s="271"/>
      <c r="I61" s="270" t="s">
        <v>66</v>
      </c>
      <c r="K61" s="270" t="s">
        <v>108</v>
      </c>
      <c r="L61" s="270" t="s">
        <v>109</v>
      </c>
      <c r="N61" s="5"/>
      <c r="O61" s="5"/>
      <c r="T61" s="5"/>
      <c r="U61" s="5"/>
    </row>
    <row r="62" spans="1:21" ht="21" customHeight="1" x14ac:dyDescent="0.3">
      <c r="A62" s="84"/>
      <c r="B62" s="102" t="str">
        <f t="shared" ref="B62:G62" si="0">B58</f>
        <v>158/1863 (8,48%)</v>
      </c>
      <c r="C62" s="102" t="str">
        <f t="shared" si="0"/>
        <v>167/1867 (8,94%)</v>
      </c>
      <c r="D62" s="102" t="str">
        <f t="shared" si="0"/>
        <v>0,95 (0,77-1,17)</v>
      </c>
      <c r="E62" s="102" t="str">
        <f t="shared" si="0"/>
        <v>0,46% (-1,35% a 2,28%)</v>
      </c>
      <c r="F62" s="102" t="str">
        <f t="shared" si="0"/>
        <v>216 (44 a -74)</v>
      </c>
      <c r="G62" s="102" t="str">
        <f t="shared" si="0"/>
        <v>7,25%</v>
      </c>
      <c r="H62" s="272"/>
      <c r="I62" s="273">
        <f>B49</f>
        <v>0.6154716534594693</v>
      </c>
      <c r="K62" s="274">
        <f>IF((J26*K26&lt;0),I23,I21)</f>
        <v>8.7131367292225204E-2</v>
      </c>
      <c r="L62" s="274">
        <f>IF((J26*K26&lt;0),I23,I22)</f>
        <v>8.7131367292225204E-2</v>
      </c>
      <c r="N62" s="5"/>
      <c r="O62" s="5"/>
      <c r="T62" s="5"/>
      <c r="U62" s="5"/>
    </row>
    <row r="63" spans="1:21" x14ac:dyDescent="0.3">
      <c r="K63" s="4"/>
    </row>
    <row r="64" spans="1:21" x14ac:dyDescent="0.3">
      <c r="K64" s="4"/>
    </row>
    <row r="65" spans="1:4" x14ac:dyDescent="0.3">
      <c r="A65" s="304" t="s">
        <v>225</v>
      </c>
    </row>
    <row r="66" spans="1:4" ht="13.5" thickBot="1" x14ac:dyDescent="0.35">
      <c r="A66" s="303" t="s">
        <v>139</v>
      </c>
    </row>
    <row r="67" spans="1:4" ht="39" customHeight="1" thickBot="1" x14ac:dyDescent="0.35">
      <c r="A67" s="314" t="s">
        <v>226</v>
      </c>
      <c r="B67" s="301"/>
      <c r="C67" s="301"/>
      <c r="D67" s="302"/>
    </row>
    <row r="68" spans="1:4" ht="39.5" thickBot="1" x14ac:dyDescent="0.35">
      <c r="A68" s="278" t="s">
        <v>111</v>
      </c>
      <c r="B68" s="279" t="s">
        <v>231</v>
      </c>
      <c r="C68" s="280" t="s">
        <v>140</v>
      </c>
      <c r="D68" s="281" t="s">
        <v>112</v>
      </c>
    </row>
    <row r="69" spans="1:4" ht="13.5" thickBot="1" x14ac:dyDescent="0.35">
      <c r="A69" s="282"/>
      <c r="B69" s="283"/>
      <c r="C69" s="283"/>
      <c r="D69" s="283"/>
    </row>
    <row r="70" spans="1:4" x14ac:dyDescent="0.3">
      <c r="A70" s="284" t="s">
        <v>113</v>
      </c>
      <c r="B70" s="306" t="s">
        <v>141</v>
      </c>
      <c r="C70" s="285" t="s">
        <v>142</v>
      </c>
      <c r="D70" s="305">
        <v>5.4808944792273124E-3</v>
      </c>
    </row>
    <row r="71" spans="1:4" ht="13.5" thickBot="1" x14ac:dyDescent="0.35">
      <c r="A71" s="286" t="s">
        <v>114</v>
      </c>
      <c r="B71" s="287" t="s">
        <v>143</v>
      </c>
      <c r="C71" s="288" t="s">
        <v>144</v>
      </c>
      <c r="D71" s="289">
        <v>0.48875068893174445</v>
      </c>
    </row>
    <row r="72" spans="1:4" ht="13.5" thickBot="1" x14ac:dyDescent="0.35">
      <c r="A72" s="290"/>
      <c r="B72" s="291"/>
      <c r="C72" s="291"/>
      <c r="D72" s="292"/>
    </row>
    <row r="73" spans="1:4" x14ac:dyDescent="0.3">
      <c r="A73" s="75" t="s">
        <v>115</v>
      </c>
      <c r="B73" s="91" t="s">
        <v>172</v>
      </c>
      <c r="C73" s="91" t="s">
        <v>173</v>
      </c>
      <c r="D73" s="307">
        <v>1.9273005048508755E-2</v>
      </c>
    </row>
    <row r="74" spans="1:4" x14ac:dyDescent="0.3">
      <c r="A74" s="293" t="s">
        <v>116</v>
      </c>
      <c r="B74" s="102" t="s">
        <v>170</v>
      </c>
      <c r="C74" s="102" t="s">
        <v>171</v>
      </c>
      <c r="D74" s="308">
        <v>0.19387931208550169</v>
      </c>
    </row>
    <row r="75" spans="1:4" x14ac:dyDescent="0.3">
      <c r="A75" s="293" t="s">
        <v>117</v>
      </c>
      <c r="B75" s="102" t="s">
        <v>168</v>
      </c>
      <c r="C75" s="102" t="s">
        <v>169</v>
      </c>
      <c r="D75" s="308">
        <v>0.25820239988206223</v>
      </c>
    </row>
    <row r="76" spans="1:4" x14ac:dyDescent="0.3">
      <c r="A76" s="311" t="s">
        <v>203</v>
      </c>
      <c r="B76" s="312" t="s">
        <v>204</v>
      </c>
      <c r="C76" s="312" t="s">
        <v>205</v>
      </c>
      <c r="D76" s="313">
        <v>0.57177191274694528</v>
      </c>
    </row>
    <row r="77" spans="1:4" ht="13.5" thickBot="1" x14ac:dyDescent="0.35">
      <c r="A77" s="76" t="s">
        <v>206</v>
      </c>
      <c r="B77" s="74" t="s">
        <v>207</v>
      </c>
      <c r="C77" s="74" t="s">
        <v>208</v>
      </c>
      <c r="D77" s="289">
        <v>0.71678000902181094</v>
      </c>
    </row>
    <row r="78" spans="1:4" ht="13.5" thickBot="1" x14ac:dyDescent="0.35">
      <c r="A78" s="294" t="s">
        <v>118</v>
      </c>
      <c r="B78" s="294"/>
      <c r="C78" s="294"/>
    </row>
    <row r="79" spans="1:4" x14ac:dyDescent="0.3">
      <c r="A79" s="295" t="s">
        <v>119</v>
      </c>
      <c r="B79" s="296" t="s">
        <v>145</v>
      </c>
      <c r="C79" s="296" t="s">
        <v>146</v>
      </c>
      <c r="D79" s="307">
        <v>0.39251992605921621</v>
      </c>
    </row>
    <row r="80" spans="1:4" x14ac:dyDescent="0.3">
      <c r="A80" s="297" t="s">
        <v>120</v>
      </c>
      <c r="B80" s="298" t="s">
        <v>149</v>
      </c>
      <c r="C80" s="298" t="s">
        <v>150</v>
      </c>
      <c r="D80" s="308">
        <v>0.90772344521313519</v>
      </c>
    </row>
    <row r="81" spans="1:4" x14ac:dyDescent="0.3">
      <c r="A81" s="297" t="s">
        <v>121</v>
      </c>
      <c r="B81" s="298" t="s">
        <v>147</v>
      </c>
      <c r="C81" s="298" t="s">
        <v>148</v>
      </c>
      <c r="D81" s="308">
        <v>0.48813393755186663</v>
      </c>
    </row>
    <row r="82" spans="1:4" ht="13.5" thickBot="1" x14ac:dyDescent="0.35">
      <c r="A82" s="299" t="s">
        <v>122</v>
      </c>
      <c r="B82" s="287" t="s">
        <v>151</v>
      </c>
      <c r="C82" s="287" t="s">
        <v>152</v>
      </c>
      <c r="D82" s="309">
        <v>0.21693126247186925</v>
      </c>
    </row>
    <row r="83" spans="1:4" ht="13.5" thickBot="1" x14ac:dyDescent="0.35">
      <c r="A83" s="294" t="s">
        <v>123</v>
      </c>
      <c r="B83" s="294"/>
      <c r="C83" s="294"/>
    </row>
    <row r="84" spans="1:4" x14ac:dyDescent="0.3">
      <c r="A84" s="295" t="s">
        <v>159</v>
      </c>
      <c r="B84" s="296" t="s">
        <v>157</v>
      </c>
      <c r="C84" s="296" t="s">
        <v>158</v>
      </c>
      <c r="D84" s="307">
        <v>0.98774731334382482</v>
      </c>
    </row>
    <row r="85" spans="1:4" x14ac:dyDescent="0.3">
      <c r="A85" s="297" t="s">
        <v>124</v>
      </c>
      <c r="B85" s="298" t="s">
        <v>153</v>
      </c>
      <c r="C85" s="298" t="s">
        <v>154</v>
      </c>
      <c r="D85" s="308">
        <v>0.97762593954225918</v>
      </c>
    </row>
    <row r="86" spans="1:4" x14ac:dyDescent="0.3">
      <c r="A86" s="297" t="s">
        <v>125</v>
      </c>
      <c r="B86" s="298" t="s">
        <v>155</v>
      </c>
      <c r="C86" s="298" t="s">
        <v>156</v>
      </c>
      <c r="D86" s="308">
        <v>0.92805737967771329</v>
      </c>
    </row>
    <row r="87" spans="1:4" ht="13.5" thickBot="1" x14ac:dyDescent="0.35">
      <c r="A87" s="286" t="s">
        <v>126</v>
      </c>
      <c r="B87" s="287" t="s">
        <v>160</v>
      </c>
      <c r="C87" s="287" t="s">
        <v>161</v>
      </c>
      <c r="D87" s="309">
        <v>0.86454018709696046</v>
      </c>
    </row>
    <row r="88" spans="1:4" ht="15" thickBot="1" x14ac:dyDescent="0.4">
      <c r="A88" s="275" t="s">
        <v>186</v>
      </c>
    </row>
    <row r="89" spans="1:4" x14ac:dyDescent="0.3">
      <c r="A89" s="75" t="s">
        <v>187</v>
      </c>
      <c r="B89" s="91" t="s">
        <v>188</v>
      </c>
      <c r="C89" s="91" t="s">
        <v>189</v>
      </c>
      <c r="D89" s="307">
        <v>0.20049337424731903</v>
      </c>
    </row>
    <row r="90" spans="1:4" ht="13.5" thickBot="1" x14ac:dyDescent="0.35">
      <c r="A90" s="82" t="s">
        <v>190</v>
      </c>
      <c r="B90" s="74" t="s">
        <v>191</v>
      </c>
      <c r="C90" s="74" t="s">
        <v>192</v>
      </c>
      <c r="D90" s="309">
        <v>0.20049337424731903</v>
      </c>
    </row>
    <row r="91" spans="1:4" ht="15" thickBot="1" x14ac:dyDescent="0.4">
      <c r="A91" s="275" t="s">
        <v>127</v>
      </c>
    </row>
    <row r="92" spans="1:4" x14ac:dyDescent="0.3">
      <c r="A92" s="310" t="s">
        <v>176</v>
      </c>
      <c r="B92" s="315" t="s">
        <v>174</v>
      </c>
      <c r="C92" s="316" t="s">
        <v>175</v>
      </c>
      <c r="D92" s="305">
        <v>1.1657306780722047E-2</v>
      </c>
    </row>
    <row r="93" spans="1:4" x14ac:dyDescent="0.3">
      <c r="A93" s="81" t="s">
        <v>177</v>
      </c>
      <c r="B93" s="102" t="s">
        <v>178</v>
      </c>
      <c r="C93" s="102" t="s">
        <v>179</v>
      </c>
      <c r="D93" s="308">
        <v>5.4328369478177874E-2</v>
      </c>
    </row>
    <row r="94" spans="1:4" ht="25.5" customHeight="1" x14ac:dyDescent="0.3">
      <c r="A94" s="81" t="s">
        <v>182</v>
      </c>
      <c r="B94" s="102" t="s">
        <v>181</v>
      </c>
      <c r="C94" s="102" t="s">
        <v>180</v>
      </c>
      <c r="D94" s="308"/>
    </row>
    <row r="95" spans="1:4" ht="16.5" customHeight="1" thickBot="1" x14ac:dyDescent="0.35">
      <c r="A95" s="82" t="s">
        <v>183</v>
      </c>
      <c r="B95" s="74" t="s">
        <v>184</v>
      </c>
      <c r="C95" s="74" t="s">
        <v>185</v>
      </c>
      <c r="D95" s="309">
        <v>0.3786534004243074</v>
      </c>
    </row>
    <row r="96" spans="1:4" ht="13.5" thickBot="1" x14ac:dyDescent="0.35">
      <c r="A96" s="300" t="s">
        <v>128</v>
      </c>
    </row>
    <row r="97" spans="1:4" x14ac:dyDescent="0.3">
      <c r="A97" s="75" t="s">
        <v>129</v>
      </c>
      <c r="B97" s="91" t="s">
        <v>162</v>
      </c>
      <c r="C97" s="91" t="s">
        <v>163</v>
      </c>
      <c r="D97" s="307">
        <v>0.96972858100195625</v>
      </c>
    </row>
    <row r="98" spans="1:4" x14ac:dyDescent="0.3">
      <c r="A98" s="293" t="s">
        <v>130</v>
      </c>
      <c r="B98" s="102" t="s">
        <v>164</v>
      </c>
      <c r="C98" s="102" t="s">
        <v>165</v>
      </c>
      <c r="D98" s="308">
        <v>0.97032150698689579</v>
      </c>
    </row>
    <row r="99" spans="1:4" ht="13.5" thickBot="1" x14ac:dyDescent="0.35">
      <c r="A99" s="76" t="s">
        <v>131</v>
      </c>
      <c r="B99" s="74" t="s">
        <v>166</v>
      </c>
      <c r="C99" s="74" t="s">
        <v>167</v>
      </c>
      <c r="D99" s="309">
        <v>0.65732537567755189</v>
      </c>
    </row>
    <row r="100" spans="1:4" ht="13.5" thickBot="1" x14ac:dyDescent="0.35">
      <c r="A100" s="300" t="s">
        <v>132</v>
      </c>
    </row>
    <row r="101" spans="1:4" ht="27" customHeight="1" x14ac:dyDescent="0.3">
      <c r="A101" s="310" t="s">
        <v>193</v>
      </c>
      <c r="B101" s="91" t="s">
        <v>194</v>
      </c>
      <c r="C101" s="91" t="s">
        <v>195</v>
      </c>
      <c r="D101" s="307">
        <v>0.88068737173423328</v>
      </c>
    </row>
    <row r="102" spans="1:4" x14ac:dyDescent="0.3">
      <c r="A102" s="293" t="s">
        <v>134</v>
      </c>
      <c r="B102" s="102" t="s">
        <v>199</v>
      </c>
      <c r="C102" s="102" t="s">
        <v>200</v>
      </c>
      <c r="D102" s="308">
        <v>0.99974781769519327</v>
      </c>
    </row>
    <row r="103" spans="1:4" x14ac:dyDescent="0.3">
      <c r="A103" s="293" t="s">
        <v>196</v>
      </c>
      <c r="B103" s="102" t="s">
        <v>197</v>
      </c>
      <c r="C103" s="102" t="s">
        <v>198</v>
      </c>
      <c r="D103" s="308">
        <v>0.17929534349403953</v>
      </c>
    </row>
    <row r="104" spans="1:4" ht="13.5" thickBot="1" x14ac:dyDescent="0.35">
      <c r="A104" s="76" t="s">
        <v>133</v>
      </c>
      <c r="B104" s="74" t="s">
        <v>201</v>
      </c>
      <c r="C104" s="74" t="s">
        <v>202</v>
      </c>
      <c r="D104" s="309">
        <v>0.91566343740876521</v>
      </c>
    </row>
    <row r="105" spans="1:4" ht="13.5" thickBot="1" x14ac:dyDescent="0.35">
      <c r="A105" s="300" t="s">
        <v>217</v>
      </c>
    </row>
    <row r="106" spans="1:4" x14ac:dyDescent="0.3">
      <c r="A106" s="75" t="s">
        <v>219</v>
      </c>
      <c r="B106" s="91" t="s">
        <v>220</v>
      </c>
      <c r="C106" s="91" t="s">
        <v>221</v>
      </c>
      <c r="D106" s="307">
        <v>0.2726342210987871</v>
      </c>
    </row>
    <row r="107" spans="1:4" x14ac:dyDescent="0.3">
      <c r="A107" s="293" t="s">
        <v>218</v>
      </c>
      <c r="B107" s="102" t="s">
        <v>222</v>
      </c>
      <c r="C107" s="102" t="s">
        <v>223</v>
      </c>
      <c r="D107" s="308">
        <v>5.6071005416691647E-2</v>
      </c>
    </row>
    <row r="108" spans="1:4" x14ac:dyDescent="0.3">
      <c r="A108" s="293" t="s">
        <v>135</v>
      </c>
      <c r="B108" s="102" t="s">
        <v>215</v>
      </c>
      <c r="C108" s="102" t="s">
        <v>216</v>
      </c>
      <c r="D108" s="308">
        <v>0.95395501225651713</v>
      </c>
    </row>
    <row r="109" spans="1:4" x14ac:dyDescent="0.3">
      <c r="A109" s="293" t="s">
        <v>136</v>
      </c>
      <c r="B109" s="102" t="s">
        <v>213</v>
      </c>
      <c r="C109" s="102" t="s">
        <v>214</v>
      </c>
      <c r="D109" s="308">
        <v>9.4718204382823148E-2</v>
      </c>
    </row>
    <row r="110" spans="1:4" x14ac:dyDescent="0.3">
      <c r="A110" s="293" t="s">
        <v>137</v>
      </c>
      <c r="B110" s="102" t="s">
        <v>209</v>
      </c>
      <c r="C110" s="102" t="s">
        <v>210</v>
      </c>
      <c r="D110" s="308">
        <v>0.62773976391230746</v>
      </c>
    </row>
    <row r="111" spans="1:4" ht="13.5" thickBot="1" x14ac:dyDescent="0.35">
      <c r="A111" s="76" t="s">
        <v>138</v>
      </c>
      <c r="B111" s="74" t="s">
        <v>211</v>
      </c>
      <c r="C111" s="74" t="s">
        <v>212</v>
      </c>
      <c r="D111" s="309">
        <v>0.9383772172679512</v>
      </c>
    </row>
    <row r="112" spans="1:4" ht="5.25" customHeight="1" x14ac:dyDescent="0.3"/>
    <row r="113" spans="1:4" ht="46.5" customHeight="1" x14ac:dyDescent="0.3">
      <c r="A113" s="327" t="s">
        <v>224</v>
      </c>
      <c r="B113" s="328"/>
      <c r="C113" s="328"/>
      <c r="D113" s="329"/>
    </row>
  </sheetData>
  <mergeCells count="4">
    <mergeCell ref="A113:D113"/>
    <mergeCell ref="A2:E2"/>
    <mergeCell ref="A3:E3"/>
    <mergeCell ref="B44:C44"/>
  </mergeCells>
  <phoneticPr fontId="2" type="noConversion"/>
  <pageMargins left="0.17" right="0.17" top="0.21" bottom="0.7" header="0" footer="0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Inc Acumul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gasanchez</dc:creator>
  <cp:lastModifiedBy>Galo Agustín Sánchez Robles</cp:lastModifiedBy>
  <cp:lastPrinted>2012-06-13T14:26:24Z</cp:lastPrinted>
  <dcterms:created xsi:type="dcterms:W3CDTF">2009-05-28T14:19:22Z</dcterms:created>
  <dcterms:modified xsi:type="dcterms:W3CDTF">2022-12-17T16:28:47Z</dcterms:modified>
</cp:coreProperties>
</file>