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1202-Galo\0-Datos\10-Temas publc\20210422-VÑ EMPEROR-Reduced\"/>
    </mc:Choice>
  </mc:AlternateContent>
  <xr:revisionPtr revIDLastSave="0" documentId="13_ncr:1_{E47B26E0-8116-42D4-AB90-EA93C4A33926}" xr6:coauthVersionLast="36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NNT desde HR" sheetId="10" r:id="rId1"/>
    <sheet name="EA, Inc Acumul" sheetId="1" r:id="rId2"/>
  </sheets>
  <definedNames>
    <definedName name="ArticleComments" localSheetId="1">'EA, Inc Acumul'!#REF!</definedName>
  </definedNames>
  <calcPr calcId="191029"/>
</workbook>
</file>

<file path=xl/calcChain.xml><?xml version="1.0" encoding="utf-8"?>
<calcChain xmlns="http://schemas.openxmlformats.org/spreadsheetml/2006/main">
  <c r="M51" i="10" l="1"/>
  <c r="L51" i="10"/>
  <c r="L49" i="10" l="1"/>
  <c r="M49" i="10"/>
  <c r="L48" i="10"/>
  <c r="M48" i="10"/>
  <c r="L44" i="10" l="1"/>
  <c r="M44" i="10"/>
  <c r="L47" i="10"/>
  <c r="M47" i="10"/>
  <c r="M43" i="10"/>
  <c r="L43" i="10"/>
  <c r="M42" i="10"/>
  <c r="L42" i="10"/>
  <c r="F5" i="10" l="1"/>
  <c r="D10" i="10" s="1"/>
  <c r="E13" i="10" s="1"/>
  <c r="D9" i="1"/>
  <c r="E28" i="10"/>
  <c r="E27" i="10"/>
  <c r="E26" i="10"/>
  <c r="D26" i="10"/>
  <c r="D30" i="10" s="1"/>
  <c r="D34" i="10" s="1"/>
  <c r="D56" i="1"/>
  <c r="B53" i="1"/>
  <c r="G61" i="1" s="1"/>
  <c r="E41" i="1"/>
  <c r="E40" i="1"/>
  <c r="I23" i="1"/>
  <c r="I22" i="1"/>
  <c r="C22" i="1"/>
  <c r="G22" i="1" s="1"/>
  <c r="B22" i="1"/>
  <c r="I21" i="1"/>
  <c r="C21" i="1"/>
  <c r="D14" i="1"/>
  <c r="F9" i="1"/>
  <c r="C23" i="1" s="1"/>
  <c r="E8" i="1"/>
  <c r="B14" i="1"/>
  <c r="G21" i="1"/>
  <c r="B23" i="1"/>
  <c r="G14" i="1"/>
  <c r="E54" i="1" s="1"/>
  <c r="E7" i="1"/>
  <c r="B21" i="1"/>
  <c r="C56" i="1"/>
  <c r="E61" i="1"/>
  <c r="F61" i="1"/>
  <c r="E23" i="1" l="1"/>
  <c r="G23" i="1"/>
  <c r="E22" i="1"/>
  <c r="E42" i="1"/>
  <c r="E10" i="10"/>
  <c r="G13" i="10" s="1"/>
  <c r="F14" i="10" s="1"/>
  <c r="F23" i="10" s="1"/>
  <c r="F10" i="10"/>
  <c r="F11" i="10" s="1"/>
  <c r="C28" i="10" s="1"/>
  <c r="C41" i="1"/>
  <c r="C46" i="1" s="1"/>
  <c r="N21" i="1"/>
  <c r="C40" i="1"/>
  <c r="E9" i="1"/>
  <c r="D41" i="1" s="1"/>
  <c r="D46" i="1" s="1"/>
  <c r="D23" i="1"/>
  <c r="N23" i="1"/>
  <c r="D11" i="10"/>
  <c r="C26" i="10" s="1"/>
  <c r="E30" i="10"/>
  <c r="E34" i="10" s="1"/>
  <c r="E14" i="10"/>
  <c r="E21" i="10" s="1"/>
  <c r="F26" i="10"/>
  <c r="E21" i="1"/>
  <c r="C14" i="1"/>
  <c r="E14" i="1" s="1"/>
  <c r="H14" i="1" s="1"/>
  <c r="K14" i="1"/>
  <c r="D22" i="1"/>
  <c r="Q28" i="1"/>
  <c r="D21" i="1"/>
  <c r="E11" i="10" l="1"/>
  <c r="C27" i="10" s="1"/>
  <c r="C30" i="10" s="1"/>
  <c r="C34" i="10" s="1"/>
  <c r="F14" i="1"/>
  <c r="I14" i="1" s="1"/>
  <c r="F28" i="10"/>
  <c r="F13" i="10"/>
  <c r="F27" i="10" s="1"/>
  <c r="D40" i="1"/>
  <c r="D42" i="1" s="1"/>
  <c r="C45" i="1"/>
  <c r="C42" i="1"/>
  <c r="F23" i="1"/>
  <c r="W22" i="1"/>
  <c r="J23" i="1"/>
  <c r="K57" i="1" s="1"/>
  <c r="F22" i="10"/>
  <c r="E23" i="10"/>
  <c r="E24" i="10"/>
  <c r="E19" i="10"/>
  <c r="E16" i="10"/>
  <c r="F18" i="10"/>
  <c r="E22" i="10"/>
  <c r="F21" i="10"/>
  <c r="F16" i="10"/>
  <c r="G26" i="10"/>
  <c r="E18" i="10"/>
  <c r="F19" i="10"/>
  <c r="F17" i="10"/>
  <c r="G27" i="10"/>
  <c r="E17" i="10"/>
  <c r="F24" i="10"/>
  <c r="E55" i="1"/>
  <c r="L14" i="1"/>
  <c r="J22" i="1"/>
  <c r="K56" i="1" s="1"/>
  <c r="J26" i="1"/>
  <c r="F22" i="1"/>
  <c r="W21" i="1"/>
  <c r="J21" i="1"/>
  <c r="K55" i="1" s="1"/>
  <c r="F21" i="1"/>
  <c r="L21" i="1" s="1"/>
  <c r="M55" i="1" s="1"/>
  <c r="E56" i="1"/>
  <c r="M14" i="1"/>
  <c r="K41" i="1"/>
  <c r="I40" i="1" s="1"/>
  <c r="D45" i="1"/>
  <c r="G14" i="10" l="1"/>
  <c r="G19" i="10" s="1"/>
  <c r="I34" i="10"/>
  <c r="W23" i="1"/>
  <c r="W24" i="1" s="1"/>
  <c r="W25" i="1" s="1"/>
  <c r="J34" i="10"/>
  <c r="F30" i="10"/>
  <c r="F34" i="10" s="1"/>
  <c r="K23" i="1"/>
  <c r="L57" i="1" s="1"/>
  <c r="L23" i="1"/>
  <c r="M57" i="1" s="1"/>
  <c r="N57" i="1"/>
  <c r="C48" i="1"/>
  <c r="C49" i="1" s="1"/>
  <c r="J62" i="1" s="1"/>
  <c r="K21" i="1"/>
  <c r="L55" i="1" s="1"/>
  <c r="N55" i="1" s="1"/>
  <c r="N31" i="1"/>
  <c r="N32" i="1" s="1"/>
  <c r="J27" i="1"/>
  <c r="F54" i="1"/>
  <c r="N22" i="1"/>
  <c r="N24" i="1" s="1"/>
  <c r="N25" i="1" s="1"/>
  <c r="N26" i="1" s="1"/>
  <c r="C58" i="1"/>
  <c r="C62" i="1" s="1"/>
  <c r="J35" i="1"/>
  <c r="D58" i="1"/>
  <c r="D62" i="1" s="1"/>
  <c r="L22" i="1"/>
  <c r="M56" i="1" s="1"/>
  <c r="K22" i="1"/>
  <c r="L56" i="1" s="1"/>
  <c r="J32" i="1"/>
  <c r="E58" i="1"/>
  <c r="E62" i="1" s="1"/>
  <c r="G28" i="10" l="1"/>
  <c r="G30" i="10" s="1"/>
  <c r="G34" i="10" s="1"/>
  <c r="G21" i="10"/>
  <c r="G23" i="10"/>
  <c r="G18" i="10"/>
  <c r="G17" i="10"/>
  <c r="G16" i="10"/>
  <c r="G24" i="10"/>
  <c r="G22" i="10"/>
  <c r="L26" i="1"/>
  <c r="G46" i="1"/>
  <c r="N56" i="1"/>
  <c r="K26" i="1"/>
  <c r="G54" i="1"/>
  <c r="J36" i="1"/>
  <c r="J29" i="1"/>
  <c r="J31" i="1"/>
  <c r="J34" i="1"/>
  <c r="J37" i="1"/>
  <c r="J30" i="1"/>
  <c r="H56" i="1"/>
  <c r="H58" i="1" s="1"/>
  <c r="H62" i="1" s="1"/>
  <c r="N33" i="1"/>
  <c r="L27" i="1"/>
  <c r="L32" i="1" s="1"/>
  <c r="F55" i="1"/>
  <c r="F56" i="1" l="1"/>
  <c r="F58" i="1" s="1"/>
  <c r="F62" i="1" s="1"/>
  <c r="L62" i="1"/>
  <c r="K27" i="1"/>
  <c r="K32" i="1" s="1"/>
  <c r="M62" i="1"/>
  <c r="L31" i="1"/>
  <c r="K36" i="1"/>
  <c r="G55" i="1"/>
  <c r="L29" i="1"/>
  <c r="K34" i="1"/>
  <c r="K37" i="1"/>
  <c r="L30" i="1"/>
  <c r="K35" i="1"/>
  <c r="L35" i="1" l="1"/>
  <c r="L34" i="1"/>
  <c r="K31" i="1"/>
  <c r="K29" i="1"/>
  <c r="L36" i="1"/>
  <c r="G56" i="1"/>
  <c r="G58" i="1" s="1"/>
  <c r="G62" i="1" s="1"/>
  <c r="L37" i="1"/>
  <c r="K30" i="1"/>
</calcChain>
</file>

<file path=xl/sharedStrings.xml><?xml version="1.0" encoding="utf-8"?>
<sst xmlns="http://schemas.openxmlformats.org/spreadsheetml/2006/main" count="348" uniqueCount="283">
  <si>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</si>
  <si>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</si>
  <si>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</si>
  <si>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</si>
  <si>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</si>
  <si>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</si>
  <si>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</si>
  <si>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</si>
  <si>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</si>
  <si>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</si>
  <si>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</si>
  <si>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</si>
  <si>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</si>
  <si>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</si>
  <si>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</si>
  <si>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</si>
  <si>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</si>
  <si>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</si>
  <si>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</si>
  <si>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</si>
  <si>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</si>
  <si>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</si>
  <si>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</si>
  <si>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</si>
  <si>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</si>
  <si>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</si>
  <si>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</si>
  <si>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</si>
  <si>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</si>
  <si>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</si>
  <si>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</si>
  <si>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</si>
  <si>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</si>
  <si>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</si>
  <si>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</si>
  <si>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</si>
  <si>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</si>
  <si>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</si>
  <si>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</si>
  <si>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</si>
  <si>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</si>
  <si>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</si>
  <si>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</si>
  <si>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</si>
  <si>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</si>
  <si>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</si>
  <si>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</si>
  <si>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</si>
  <si>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</si>
  <si>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</si>
  <si>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</si>
  <si>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</si>
  <si>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</si>
  <si>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</si>
  <si>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</si>
  <si>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</si>
  <si>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NNT</t>
  </si>
  <si>
    <t>/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</si>
  <si>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</si>
  <si>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</si>
  <si>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</si>
  <si>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</si>
  <si>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</si>
  <si>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</si>
  <si>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</si>
  <si>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</si>
  <si>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</si>
  <si>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</si>
  <si>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</si>
  <si>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</si>
  <si>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</si>
  <si>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</si>
  <si>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</si>
  <si>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</si>
  <si>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</si>
  <si>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</si>
  <si>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</si>
  <si>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</si>
  <si>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</si>
  <si>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</si>
  <si>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</si>
  <si>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</si>
  <si>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</si>
  <si>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</si>
  <si>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Cálculo por incidencias acumuladas de RR, RAR, NNT con sus IC 95%, potencia estadística y valor de p</t>
  </si>
  <si>
    <t>Cálculo de RAR y NNT a partir del HR y el % RA en el grupo control</t>
  </si>
  <si>
    <t>% RA control =</t>
  </si>
  <si>
    <t>100% - % RA control =</t>
  </si>
  <si>
    <t>Estimación puntual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</si>
  <si>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</si>
  <si>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</si>
  <si>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</si>
  <si>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</si>
  <si>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</si>
  <si>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</si>
  <si>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</si>
  <si>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</si>
  <si>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</si>
  <si>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</si>
  <si>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</si>
  <si>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</si>
  <si>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</si>
  <si>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</si>
  <si>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</si>
  <si>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</si>
  <si>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</si>
  <si>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</si>
  <si>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</si>
  <si>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</si>
  <si>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</si>
  <si>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</si>
  <si>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</si>
  <si>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</si>
  <si>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</si>
  <si>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</si>
  <si>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</si>
  <si>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</si>
  <si>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</si>
  <si>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</si>
  <si>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</si>
  <si>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</si>
  <si>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</si>
  <si>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</si>
  <si>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</si>
  <si>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</si>
  <si>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</si>
  <si>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</si>
  <si>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</si>
  <si>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</si>
  <si>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</si>
  <si>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</si>
  <si>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</si>
  <si>
    <r>
      <t xml:space="preserve">Log 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</si>
  <si>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r>
      <t>1-RA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</si>
  <si>
    <r>
      <t>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= 1-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</t>
    </r>
  </si>
  <si>
    <r>
      <t>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  S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</si>
  <si>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r>
      <t>En excell procédase así: S</t>
    </r>
    <r>
      <rPr>
        <vertAlign val="subscript"/>
        <sz val="10"/>
        <rFont val="Calibri"/>
        <family val="2"/>
      </rPr>
      <t xml:space="preserve">c </t>
    </r>
    <r>
      <rPr>
        <sz val="10"/>
        <rFont val="Calibri"/>
        <family val="2"/>
      </rPr>
      <t>= Potencia(S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;1/HR)</t>
    </r>
  </si>
  <si>
    <t>L I  del IC 95%</t>
  </si>
  <si>
    <t>L S del IC 95%</t>
  </si>
  <si>
    <r>
      <t xml:space="preserve">S </t>
    </r>
    <r>
      <rPr>
        <i/>
        <vertAlign val="subscript"/>
        <sz val="10"/>
        <rFont val="Calibri"/>
        <family val="2"/>
      </rPr>
      <t>intervención</t>
    </r>
    <r>
      <rPr>
        <i/>
        <sz val="10"/>
        <rFont val="Calibri"/>
        <family val="2"/>
      </rPr>
      <t xml:space="preserve"> = S 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</si>
  <si>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t>complementario de Supervivencia = % Eventos interv (LI IC - LS IC)</t>
  </si>
  <si>
    <t>% Interv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</si>
  <si>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</si>
  <si>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</si>
  <si>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Hoja información al usuario que no se maneja con los IC</t>
  </si>
  <si>
    <t>Placebo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</si>
  <si>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sz val="10"/>
        <rFont val="Calibri"/>
        <family val="2"/>
      </rPr>
      <t>para la diferencia</t>
    </r>
  </si>
  <si>
    <t>Tto estándar + Placebo, n= 1867</t>
  </si>
  <si>
    <t>Nº Eventos crudos (%)</t>
  </si>
  <si>
    <t>Nº Eventos ajustados (%)</t>
  </si>
  <si>
    <r>
      <t>% de pacientes con evento en</t>
    </r>
    <r>
      <rPr>
        <b/>
        <sz val="10"/>
        <rFont val="Calibri"/>
        <family val="2"/>
      </rPr>
      <t xml:space="preserve"> 15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</si>
  <si>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Mortalidad CV</t>
  </si>
  <si>
    <t>Mortalidad por todas las causas</t>
  </si>
  <si>
    <t>13,03% (11,25%-15,12%)</t>
  </si>
  <si>
    <t>0,69 (0,59-0,81)</t>
  </si>
  <si>
    <t>5,29% (3,2% a 7,07%)</t>
  </si>
  <si>
    <t>19 (14 a 31)</t>
  </si>
  <si>
    <t>10% (8,23%-12,04%)</t>
  </si>
  <si>
    <t>0,92 (0,75-1,12)</t>
  </si>
  <si>
    <t>0,82% (-1,22% a 2,59%)</t>
  </si>
  <si>
    <t>122 (39 a -82)</t>
  </si>
  <si>
    <t>13,19% (11,16%-15,56%)</t>
  </si>
  <si>
    <t>0,92 (0,77-1,1)</t>
  </si>
  <si>
    <t>1,06% (-1,31% a 3,09%)</t>
  </si>
  <si>
    <t>94 (32 a -76)</t>
  </si>
  <si>
    <t>19,2% (16,87%-21,69%)</t>
  </si>
  <si>
    <t>0,75 (0,65-0,86)</t>
  </si>
  <si>
    <t>5,54% (3,06% a 7,87%)</t>
  </si>
  <si>
    <t>18 (13 a 33)</t>
  </si>
  <si>
    <t>Packer M, Anker SD, Butler J, on behalf of the EMPEROR-Reduced Trial Investigators. Cardiovascular and Renal Outcomes with Empagliflozin in Heart Failure. N Engl J Med. 2020 Oct 8;383(15):1413-1424.</t>
  </si>
  <si>
    <r>
      <t xml:space="preserve">Medidas del efecto </t>
    </r>
    <r>
      <rPr>
        <b/>
        <u/>
        <sz val="10"/>
        <rFont val="Calibri"/>
        <family val="2"/>
      </rPr>
      <t>EN LOS MESES DEL GRUPO CONTROL</t>
    </r>
    <r>
      <rPr>
        <b/>
        <sz val="10"/>
        <rFont val="Calibri"/>
        <family val="2"/>
      </rPr>
      <t xml:space="preserve"> obtenidas a partir de los HR informados por los investigadores.</t>
    </r>
  </si>
  <si>
    <t>NNT (IC 95%) en los meses del control</t>
  </si>
  <si>
    <r>
      <t xml:space="preserve">Cálculo por incidencias acumuladas </t>
    </r>
    <r>
      <rPr>
        <b/>
        <u/>
        <sz val="11"/>
        <rFont val="Calibri"/>
        <family val="2"/>
      </rPr>
      <t>EN 15 MESES</t>
    </r>
  </si>
  <si>
    <t>20201008-ECA Emperor 15m, ICC 75II+25III FEVI 27, Tto[Empa vs Pl], -MACE. Packer</t>
  </si>
  <si>
    <r>
      <rPr>
        <b/>
        <sz val="11"/>
        <color rgb="FF993300"/>
        <rFont val="Calibri"/>
        <family val="2"/>
      </rPr>
      <t xml:space="preserve">Tabla nnt-1: </t>
    </r>
    <r>
      <rPr>
        <b/>
        <sz val="11"/>
        <rFont val="Calibri"/>
        <family val="2"/>
      </rPr>
      <t>Pacientes de 67 años (DE 11), con Insuficiencia cardíaca Clase II o III de la NYHA, y Fracción de eyección ventricular reducida, diabéticos y no diabéticos.</t>
    </r>
  </si>
  <si>
    <t>ECA EMPEROR-Reduced, media de seguimiento 15 meses</t>
  </si>
  <si>
    <t>Hoja información al usuario (FACT BOX)</t>
  </si>
  <si>
    <r>
      <t>% de pacientes con evento en</t>
    </r>
    <r>
      <rPr>
        <b/>
        <sz val="11"/>
        <rFont val="Calibri"/>
        <family val="2"/>
      </rPr>
      <t xml:space="preserve"> 15 meses </t>
    </r>
    <r>
      <rPr>
        <sz val="11"/>
        <rFont val="Calibri"/>
        <family val="2"/>
      </rPr>
      <t>por cada 100 tratados con</t>
    </r>
    <r>
      <rPr>
        <b/>
        <sz val="11"/>
        <rFont val="Calibri"/>
        <family val="2"/>
      </rPr>
      <t>:</t>
    </r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</si>
  <si>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</si>
  <si>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t>772/1863 (41,44%)</t>
  </si>
  <si>
    <t>896/1867 (47,99%)</t>
  </si>
  <si>
    <t>0,86 (0,8-0,93)</t>
  </si>
  <si>
    <t>6,55% (3,38% a 9,74%)</t>
  </si>
  <si>
    <t>15 (10 a 30)</t>
  </si>
  <si>
    <t>Hipotensión sintomática</t>
  </si>
  <si>
    <t>106/1863 (5,69%)</t>
  </si>
  <si>
    <t>103/1867 (5,52%)</t>
  </si>
  <si>
    <t>1,03 (0,79-1,34)</t>
  </si>
  <si>
    <t>-0,17% (-1,66% a 1,31%)</t>
  </si>
  <si>
    <t>-578 (76 a -60)</t>
  </si>
  <si>
    <t>4,18%</t>
  </si>
  <si>
    <t>Hipoglucemia (Glu plasma &lt; 76 mg/dl ó que requiere asistencia)</t>
  </si>
  <si>
    <t>27/1863 (1,45%)</t>
  </si>
  <si>
    <t>28/1867 (1,5%)</t>
  </si>
  <si>
    <t>0,97 (0,57-1,63)</t>
  </si>
  <si>
    <t>0,05% (-0,75% a 0,85%)</t>
  </si>
  <si>
    <t>1982 (118 a -134)</t>
  </si>
  <si>
    <t>3,35%</t>
  </si>
  <si>
    <t>Infección del tracto urinario</t>
  </si>
  <si>
    <t>91/1863 (4,88%)</t>
  </si>
  <si>
    <t>83/1867 (4,45%)</t>
  </si>
  <si>
    <t>1,1 (0,82-1,47)</t>
  </si>
  <si>
    <t>-0,44% (-1,8% a 0,93%)</t>
  </si>
  <si>
    <t>-228 (108 a -56)</t>
  </si>
  <si>
    <t>9,27%</t>
  </si>
  <si>
    <t>Complicaciones por infección del tracto urinario</t>
  </si>
  <si>
    <t>19/1863 (1,02%)</t>
  </si>
  <si>
    <t>15/1867 (0,8%)</t>
  </si>
  <si>
    <t>1,27 (0,65-2,49)</t>
  </si>
  <si>
    <t>-0,22% (-0,85% a 0,43%)</t>
  </si>
  <si>
    <t>-462 (231 a -118)</t>
  </si>
  <si>
    <t>10,3%</t>
  </si>
  <si>
    <t>Infección genital</t>
  </si>
  <si>
    <t>31/1863 (1,66%)</t>
  </si>
  <si>
    <t>12/1867 (0,64%)</t>
  </si>
  <si>
    <t>2,59 (1,33-5,03)</t>
  </si>
  <si>
    <t>-1,02% (-1,7% a -0,28%)</t>
  </si>
  <si>
    <t>-98 (-357 a -59)</t>
  </si>
  <si>
    <t>83,18%</t>
  </si>
  <si>
    <t>Complicaciones por infección genital</t>
  </si>
  <si>
    <t>6/1863 (0,32%)</t>
  </si>
  <si>
    <t>5/1867 (0,27%)</t>
  </si>
  <si>
    <t>1,2 (0,37-3,93)</t>
  </si>
  <si>
    <t>-0,05% (-0,45% a 0,35%)</t>
  </si>
  <si>
    <t>-1843 (282 a -221)</t>
  </si>
  <si>
    <t>4,9%</t>
  </si>
  <si>
    <t>Fracturas óseas</t>
  </si>
  <si>
    <t>45/1863 (2,42%)</t>
  </si>
  <si>
    <t>42/1867 (2,25%)</t>
  </si>
  <si>
    <t>1,07 (0,71-1,63)</t>
  </si>
  <si>
    <t>-0,17% (-1,15% a 0,82%)</t>
  </si>
  <si>
    <t>-603 (121 a -87)</t>
  </si>
  <si>
    <t>5,21%</t>
  </si>
  <si>
    <t>Eventos que conducen a amputación de miembro inferior</t>
  </si>
  <si>
    <t>13/1863 (0,7%)</t>
  </si>
  <si>
    <t>10/1867 (0,54%)</t>
  </si>
  <si>
    <t>1,3 (0,57-2,96)</t>
  </si>
  <si>
    <t>-0,16% (-0,7% a 0,39%)</t>
  </si>
  <si>
    <t>-617 (258 a -144)</t>
  </si>
  <si>
    <t>9,22%</t>
  </si>
  <si>
    <r>
      <rPr>
        <b/>
        <sz val="10"/>
        <color indexed="12"/>
        <rFont val="Calibri"/>
        <family val="2"/>
      </rPr>
      <t>(*)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</si>
  <si>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[Mort CV u Hosp InsCard], SG NYHA III ó IV</t>
  </si>
  <si>
    <t>[Mort CV u Hosp InsCard], SG NYHA II</t>
  </si>
  <si>
    <t>[Mort CV u Hosp InsCard], SG FEVI &gt; 30%</t>
  </si>
  <si>
    <r>
      <t xml:space="preserve">[Mort CV u Hosp InsCard], SG FEVI </t>
    </r>
    <r>
      <rPr>
        <sz val="9"/>
        <rFont val="Calibri"/>
        <family val="2"/>
      </rPr>
      <t>≤</t>
    </r>
    <r>
      <rPr>
        <i/>
        <sz val="9"/>
        <rFont val="Calibri"/>
        <family val="2"/>
        <scheme val="minor"/>
      </rPr>
      <t xml:space="preserve"> 30%</t>
    </r>
  </si>
  <si>
    <t>249/1330 (18,72%)</t>
  </si>
  <si>
    <t>364/1385 (26,28%)</t>
  </si>
  <si>
    <t>7,56% (4,45% a 10,7%)</t>
  </si>
  <si>
    <t>13 (9 a 22)</t>
  </si>
  <si>
    <t>en RR = 0,71 (0,62-0,82)</t>
  </si>
  <si>
    <t>220/1399 (15,73%)</t>
  </si>
  <si>
    <t>299/1401 (21,34%)</t>
  </si>
  <si>
    <t>5,62% (2,75% a 8,49%)</t>
  </si>
  <si>
    <t>18 (12 a 36)</t>
  </si>
  <si>
    <t>141/464 (30,39%)</t>
  </si>
  <si>
    <t>163/466 (34,98%)</t>
  </si>
  <si>
    <t>4,59% (-1,39% a 10,62%)</t>
  </si>
  <si>
    <t>22 (9 a -72)</t>
  </si>
  <si>
    <t>108/526 (20,53%)</t>
  </si>
  <si>
    <t>99/475 (20,84%)</t>
  </si>
  <si>
    <t>0,31% (-4,74% a 5,31%)</t>
  </si>
  <si>
    <t>323 (19 a -21)</t>
  </si>
  <si>
    <t>en RR =  0,74 (0,63-0,86)</t>
  </si>
  <si>
    <t>en RR = 0,87 (0,72-1,05)</t>
  </si>
  <si>
    <t>en RR = 0,99 (0,77-1,26)</t>
  </si>
  <si>
    <t>Contracción del volumen del líquido extracelular </t>
  </si>
  <si>
    <t>197/1330 (14,81%)</t>
  </si>
  <si>
    <t>184/1385 (13,29%)</t>
  </si>
  <si>
    <t>1,11 (0,93-1,34)</t>
  </si>
  <si>
    <t>-1,53% (-4,14% a 1,1%)</t>
  </si>
  <si>
    <t>-65 (91 a -24)</t>
  </si>
  <si>
    <t>Variables no experienciales</t>
  </si>
  <si>
    <r>
      <t>1</t>
    </r>
    <r>
      <rPr>
        <vertAlign val="superscript"/>
        <sz val="12"/>
        <rFont val="Calibri"/>
        <family val="2"/>
        <scheme val="minor"/>
      </rPr>
      <t>er</t>
    </r>
    <r>
      <rPr>
        <sz val="12"/>
        <rFont val="Calibri"/>
        <family val="2"/>
        <scheme val="minor"/>
      </rPr>
      <t xml:space="preserve"> evento de Hospitalización por Insuficiencia Cardiaca</t>
    </r>
  </si>
  <si>
    <r>
      <t>1</t>
    </r>
    <r>
      <rPr>
        <vertAlign val="superscript"/>
        <sz val="10"/>
        <rFont val="Calibri"/>
        <family val="2"/>
        <scheme val="minor"/>
      </rPr>
      <t xml:space="preserve">er </t>
    </r>
    <r>
      <rPr>
        <sz val="10"/>
        <rFont val="Calibri"/>
        <family val="2"/>
        <scheme val="minor"/>
      </rPr>
      <t>evento de [Mort CV u Hosp InsCard], Cohorte completa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</si>
  <si>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>HR:</t>
    </r>
    <r>
      <rPr>
        <sz val="10"/>
        <rFont val="Calibri"/>
        <family val="2"/>
      </rPr>
      <t xml:space="preserve"> hazard ratio; </t>
    </r>
    <r>
      <rPr>
        <b/>
        <sz val="10"/>
        <rFont val="Calibri"/>
        <family val="2"/>
      </rPr>
      <t xml:space="preserve">InsCar: </t>
    </r>
    <r>
      <rPr>
        <sz val="10"/>
        <rFont val="Calibri"/>
        <family val="2"/>
      </rPr>
      <t xml:space="preserve">insuficiencia cardíaca;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 </t>
    </r>
    <r>
      <rPr>
        <b/>
        <sz val="10"/>
        <rFont val="Calibri"/>
        <family val="2"/>
      </rPr>
      <t>NYHA:</t>
    </r>
    <r>
      <rPr>
        <sz val="10"/>
        <rFont val="Calibri"/>
        <family val="2"/>
      </rPr>
      <t xml:space="preserve"> escala de clasificación de síntomas en 5 niveles de la New York Heart Association; </t>
    </r>
    <r>
      <rPr>
        <b/>
        <sz val="10"/>
        <rFont val="Calibri"/>
        <family val="2"/>
      </rPr>
      <t>Mort CV:</t>
    </r>
    <r>
      <rPr>
        <sz val="10"/>
        <rFont val="Calibri"/>
        <family val="2"/>
      </rPr>
      <t xml:space="preserve"> mortalidad por causa cardiovascular;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>reducción absoluta del riesgo.</t>
    </r>
  </si>
  <si>
    <t>Nº total InsCar/ Nº pac con InsCar</t>
  </si>
  <si>
    <t>358/246 = 1,46</t>
  </si>
  <si>
    <t>553/342= 1,61</t>
  </si>
  <si>
    <r>
      <rPr>
        <b/>
        <sz val="12"/>
        <color rgb="FF993300"/>
        <rFont val="Calibri"/>
        <family val="2"/>
        <scheme val="minor"/>
      </rPr>
      <t>Tabla nnt-2:</t>
    </r>
    <r>
      <rPr>
        <b/>
        <sz val="12"/>
        <rFont val="Calibri"/>
        <family val="2"/>
        <scheme val="minor"/>
      </rPr>
      <t xml:space="preserve"> EFECTOS ADVERSOS ACUMULADOS MÁS RELEVANTES REGISTRADOS POR LOS INVESTIGADORES.</t>
    </r>
  </si>
  <si>
    <t>Variables experienciales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</si>
  <si>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Glu:</t>
    </r>
    <r>
      <rPr>
        <sz val="10"/>
        <rFont val="Calibri"/>
        <family val="2"/>
      </rPr>
      <t xml:space="preserve"> glucosa;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</si>
  <si>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Tto estándar + Empagliflozina, n= 1863</t>
  </si>
  <si>
    <t>Empagliflozina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</si>
</sst>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_-* #,##0.0000\ _€_-;\-* #,##0.0000\ _€_-;_-* &quot;-&quot;?\ _€_-;_-@_-"/>
    <numFmt numFmtId="174" formatCode="0.000"/>
    <numFmt numFmtId="175" formatCode="0.0000"/>
    <numFmt numFmtId="176" formatCode="#,##0.00_ ;\-#,##0.00\ "/>
    <numFmt numFmtId="177" formatCode="0.0"/>
  </numFmts>
  <fonts count="7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8.1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vertAlign val="subscript"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u/>
      <sz val="11"/>
      <name val="Calibri"/>
      <family val="2"/>
    </font>
    <font>
      <b/>
      <sz val="11"/>
      <color rgb="FF993300"/>
      <name val="Calibri"/>
      <family val="2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b/>
      <sz val="10"/>
      <color rgb="FF0000FF"/>
      <name val="Calibri"/>
      <family val="2"/>
    </font>
    <font>
      <sz val="10"/>
      <color rgb="FF0000FF"/>
      <name val="Calibri"/>
      <family val="2"/>
      <scheme val="minor"/>
    </font>
    <font>
      <u/>
      <sz val="1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Calibri"/>
      <family val="2"/>
    </font>
    <font>
      <b/>
      <sz val="16"/>
      <color rgb="FF009900"/>
      <name val="Calibri"/>
      <family val="2"/>
      <scheme val="minor"/>
    </font>
    <font>
      <b/>
      <sz val="10"/>
      <color indexed="12"/>
      <name val="Calibri"/>
      <family val="2"/>
    </font>
    <font>
      <i/>
      <sz val="9"/>
      <name val="Calibri"/>
      <family val="2"/>
      <scheme val="minor"/>
    </font>
    <font>
      <i/>
      <sz val="9"/>
      <color rgb="FFFF66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9"/>
      <name val="Calibri"/>
      <family val="2"/>
    </font>
    <font>
      <b/>
      <i/>
      <sz val="11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color rgb="FF9933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8">
    <xf numFmtId="0" fontId="0" fillId="0" borderId="0" xfId="0"/>
    <xf numFmtId="2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/>
    <xf numFmtId="2" fontId="11" fillId="0" borderId="0" xfId="0" applyNumberFormat="1" applyFont="1"/>
    <xf numFmtId="10" fontId="11" fillId="0" borderId="0" xfId="2" applyNumberFormat="1" applyFont="1" applyBorder="1" applyAlignment="1">
      <alignment horizontal="center"/>
    </xf>
    <xf numFmtId="10" fontId="12" fillId="0" borderId="0" xfId="2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Border="1" applyAlignment="1">
      <alignment horizontal="center"/>
    </xf>
    <xf numFmtId="18" fontId="11" fillId="0" borderId="0" xfId="1" applyNumberFormat="1" applyFont="1" applyBorder="1" applyAlignment="1">
      <alignment horizontal="center"/>
    </xf>
    <xf numFmtId="43" fontId="11" fillId="0" borderId="0" xfId="1" applyFont="1" applyFill="1" applyAlignment="1">
      <alignment horizontal="center"/>
    </xf>
    <xf numFmtId="43" fontId="11" fillId="0" borderId="0" xfId="0" applyNumberFormat="1" applyFont="1"/>
    <xf numFmtId="43" fontId="14" fillId="0" borderId="0" xfId="1" applyFont="1" applyFill="1" applyBorder="1" applyAlignment="1">
      <alignment horizontal="center"/>
    </xf>
    <xf numFmtId="43" fontId="11" fillId="0" borderId="0" xfId="1" applyFont="1" applyFill="1"/>
    <xf numFmtId="0" fontId="15" fillId="0" borderId="0" xfId="0" applyFont="1" applyFill="1"/>
    <xf numFmtId="0" fontId="11" fillId="0" borderId="0" xfId="0" applyFont="1" applyBorder="1"/>
    <xf numFmtId="43" fontId="11" fillId="0" borderId="0" xfId="1" applyFont="1" applyFill="1" applyBorder="1"/>
    <xf numFmtId="0" fontId="11" fillId="0" borderId="0" xfId="0" applyFont="1" applyBorder="1" applyAlignment="1">
      <alignment horizontal="right"/>
    </xf>
    <xf numFmtId="10" fontId="11" fillId="0" borderId="0" xfId="2" applyNumberFormat="1" applyFont="1" applyFill="1"/>
    <xf numFmtId="10" fontId="11" fillId="0" borderId="0" xfId="0" applyNumberFormat="1" applyFont="1" applyFill="1"/>
    <xf numFmtId="0" fontId="18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43" fontId="11" fillId="0" borderId="0" xfId="0" applyNumberFormat="1" applyFont="1" applyFill="1" applyBorder="1"/>
    <xf numFmtId="10" fontId="11" fillId="0" borderId="0" xfId="2" applyNumberFormat="1" applyFont="1" applyFill="1" applyBorder="1" applyAlignment="1">
      <alignment horizontal="center"/>
    </xf>
    <xf numFmtId="43" fontId="17" fillId="0" borderId="0" xfId="1" applyFont="1" applyFill="1" applyBorder="1"/>
    <xf numFmtId="0" fontId="16" fillId="0" borderId="0" xfId="0" applyFont="1" applyFill="1" applyAlignment="1">
      <alignment horizontal="center"/>
    </xf>
    <xf numFmtId="43" fontId="17" fillId="0" borderId="0" xfId="1" applyFont="1" applyFill="1" applyAlignment="1">
      <alignment horizontal="right"/>
    </xf>
    <xf numFmtId="0" fontId="17" fillId="0" borderId="0" xfId="0" applyFont="1" applyFill="1" applyBorder="1"/>
    <xf numFmtId="43" fontId="11" fillId="0" borderId="0" xfId="0" applyNumberFormat="1" applyFont="1" applyFill="1"/>
    <xf numFmtId="171" fontId="11" fillId="0" borderId="0" xfId="0" applyNumberFormat="1" applyFont="1" applyFill="1" applyBorder="1"/>
    <xf numFmtId="172" fontId="11" fillId="0" borderId="0" xfId="0" applyNumberFormat="1" applyFont="1" applyFill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43" fontId="11" fillId="0" borderId="0" xfId="1" applyFont="1" applyFill="1" applyBorder="1" applyAlignment="1">
      <alignment horizontal="center"/>
    </xf>
    <xf numFmtId="169" fontId="11" fillId="0" borderId="0" xfId="1" applyNumberFormat="1" applyFont="1" applyFill="1" applyBorder="1" applyAlignment="1">
      <alignment horizontal="center"/>
    </xf>
    <xf numFmtId="43" fontId="16" fillId="0" borderId="0" xfId="1" applyFont="1" applyFill="1" applyBorder="1" applyAlignment="1"/>
    <xf numFmtId="0" fontId="12" fillId="0" borderId="0" xfId="0" applyFont="1" applyAlignment="1">
      <alignment horizontal="right"/>
    </xf>
    <xf numFmtId="0" fontId="19" fillId="0" borderId="0" xfId="0" applyFont="1" applyFill="1"/>
    <xf numFmtId="0" fontId="12" fillId="0" borderId="0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left"/>
    </xf>
    <xf numFmtId="169" fontId="11" fillId="0" borderId="0" xfId="0" applyNumberFormat="1" applyFont="1" applyBorder="1"/>
    <xf numFmtId="0" fontId="22" fillId="0" borderId="0" xfId="0" applyFont="1" applyBorder="1"/>
    <xf numFmtId="49" fontId="23" fillId="0" borderId="0" xfId="0" applyNumberFormat="1" applyFont="1"/>
    <xf numFmtId="10" fontId="11" fillId="0" borderId="0" xfId="2" applyNumberFormat="1" applyFont="1"/>
    <xf numFmtId="10" fontId="11" fillId="0" borderId="0" xfId="0" applyNumberFormat="1" applyFont="1"/>
    <xf numFmtId="10" fontId="11" fillId="0" borderId="0" xfId="0" applyNumberFormat="1" applyFont="1" applyFill="1" applyBorder="1"/>
    <xf numFmtId="164" fontId="11" fillId="0" borderId="0" xfId="1" applyNumberFormat="1" applyFont="1"/>
    <xf numFmtId="10" fontId="19" fillId="0" borderId="0" xfId="2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165" fontId="11" fillId="0" borderId="0" xfId="0" applyNumberFormat="1" applyFont="1" applyFill="1" applyBorder="1"/>
    <xf numFmtId="49" fontId="11" fillId="0" borderId="0" xfId="0" applyNumberFormat="1" applyFont="1" applyFill="1" applyBorder="1"/>
    <xf numFmtId="164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/>
    <xf numFmtId="49" fontId="12" fillId="0" borderId="0" xfId="0" applyNumberFormat="1" applyFont="1"/>
    <xf numFmtId="0" fontId="25" fillId="0" borderId="0" xfId="0" applyFont="1" applyFill="1" applyBorder="1"/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16" fillId="0" borderId="0" xfId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2" fillId="0" borderId="4" xfId="1" applyNumberFormat="1" applyFont="1" applyFill="1" applyBorder="1"/>
    <xf numFmtId="164" fontId="13" fillId="0" borderId="4" xfId="1" applyNumberFormat="1" applyFont="1" applyFill="1" applyBorder="1"/>
    <xf numFmtId="164" fontId="12" fillId="0" borderId="0" xfId="1" applyNumberFormat="1" applyFont="1" applyFill="1" applyBorder="1"/>
    <xf numFmtId="164" fontId="13" fillId="0" borderId="0" xfId="1" applyNumberFormat="1" applyFont="1" applyFill="1" applyBorder="1"/>
    <xf numFmtId="43" fontId="26" fillId="0" borderId="4" xfId="1" applyFont="1" applyBorder="1"/>
    <xf numFmtId="0" fontId="13" fillId="0" borderId="0" xfId="0" applyFont="1" applyBorder="1" applyAlignment="1">
      <alignment horizontal="right"/>
    </xf>
    <xf numFmtId="43" fontId="11" fillId="0" borderId="0" xfId="1" applyFont="1" applyBorder="1"/>
    <xf numFmtId="0" fontId="16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distributed"/>
    </xf>
    <xf numFmtId="165" fontId="11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16" fillId="0" borderId="8" xfId="1" applyNumberFormat="1" applyFont="1" applyBorder="1" applyAlignment="1">
      <alignment horizontal="center" vertical="distributed"/>
    </xf>
    <xf numFmtId="0" fontId="11" fillId="0" borderId="0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43" fontId="20" fillId="0" borderId="0" xfId="1" applyFont="1" applyFill="1" applyBorder="1" applyAlignment="1">
      <alignment horizontal="right"/>
    </xf>
    <xf numFmtId="166" fontId="11" fillId="0" borderId="0" xfId="1" applyNumberFormat="1" applyFont="1" applyFill="1" applyBorder="1"/>
    <xf numFmtId="173" fontId="11" fillId="0" borderId="0" xfId="0" applyNumberFormat="1" applyFont="1" applyFill="1" applyBorder="1"/>
    <xf numFmtId="165" fontId="16" fillId="0" borderId="0" xfId="1" applyNumberFormat="1" applyFont="1" applyFill="1" applyBorder="1"/>
    <xf numFmtId="49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10" fontId="16" fillId="0" borderId="0" xfId="2" applyNumberFormat="1" applyFont="1" applyFill="1" applyBorder="1"/>
    <xf numFmtId="169" fontId="11" fillId="0" borderId="0" xfId="0" applyNumberFormat="1" applyFont="1" applyFill="1" applyBorder="1"/>
    <xf numFmtId="10" fontId="21" fillId="0" borderId="0" xfId="0" applyNumberFormat="1" applyFont="1" applyFill="1" applyBorder="1"/>
    <xf numFmtId="0" fontId="22" fillId="0" borderId="0" xfId="0" applyFont="1" applyFill="1" applyBorder="1"/>
    <xf numFmtId="170" fontId="11" fillId="0" borderId="0" xfId="0" applyNumberFormat="1" applyFont="1" applyFill="1" applyBorder="1"/>
    <xf numFmtId="1" fontId="24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9" fillId="0" borderId="0" xfId="0" applyFont="1"/>
    <xf numFmtId="9" fontId="11" fillId="0" borderId="0" xfId="0" applyNumberFormat="1" applyFont="1" applyBorder="1"/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2" fontId="11" fillId="9" borderId="7" xfId="0" applyNumberFormat="1" applyFont="1" applyFill="1" applyBorder="1" applyAlignment="1">
      <alignment horizontal="center" vertical="center"/>
    </xf>
    <xf numFmtId="2" fontId="11" fillId="9" borderId="8" xfId="0" applyNumberFormat="1" applyFont="1" applyFill="1" applyBorder="1" applyAlignment="1">
      <alignment horizontal="center" vertical="center"/>
    </xf>
    <xf numFmtId="164" fontId="16" fillId="0" borderId="8" xfId="1" applyNumberFormat="1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0" xfId="0" applyFont="1" applyFill="1" applyAlignment="1">
      <alignment horizontal="left" vertical="center"/>
    </xf>
    <xf numFmtId="0" fontId="33" fillId="0" borderId="0" xfId="0" applyFont="1"/>
    <xf numFmtId="0" fontId="16" fillId="0" borderId="7" xfId="0" applyFont="1" applyBorder="1" applyAlignment="1">
      <alignment horizontal="right" vertical="center"/>
    </xf>
    <xf numFmtId="10" fontId="11" fillId="9" borderId="21" xfId="2" applyNumberFormat="1" applyFont="1" applyFill="1" applyBorder="1" applyAlignment="1">
      <alignment vertical="center"/>
    </xf>
    <xf numFmtId="49" fontId="24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0" fontId="11" fillId="0" borderId="21" xfId="2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43" fontId="14" fillId="0" borderId="0" xfId="1" applyFont="1" applyFill="1" applyBorder="1" applyAlignment="1"/>
    <xf numFmtId="10" fontId="11" fillId="0" borderId="0" xfId="0" applyNumberFormat="1" applyFont="1" applyAlignment="1"/>
    <xf numFmtId="166" fontId="11" fillId="0" borderId="0" xfId="1" applyNumberFormat="1" applyFont="1" applyFill="1"/>
    <xf numFmtId="0" fontId="11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3" xfId="0" applyFont="1" applyBorder="1"/>
    <xf numFmtId="0" fontId="11" fillId="0" borderId="13" xfId="0" applyFont="1" applyFill="1" applyBorder="1"/>
    <xf numFmtId="0" fontId="11" fillId="0" borderId="24" xfId="0" applyFont="1" applyFill="1" applyBorder="1"/>
    <xf numFmtId="0" fontId="16" fillId="0" borderId="0" xfId="0" applyFont="1" applyBorder="1" applyAlignment="1">
      <alignment horizontal="left" vertical="center"/>
    </xf>
    <xf numFmtId="164" fontId="16" fillId="0" borderId="0" xfId="1" applyNumberFormat="1" applyFont="1" applyFill="1" applyBorder="1" applyAlignment="1"/>
    <xf numFmtId="164" fontId="36" fillId="0" borderId="0" xfId="1" applyNumberFormat="1" applyFont="1" applyFill="1" applyBorder="1" applyAlignment="1"/>
    <xf numFmtId="164" fontId="34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/>
    <xf numFmtId="0" fontId="19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vertical="distributed"/>
    </xf>
    <xf numFmtId="0" fontId="11" fillId="0" borderId="4" xfId="0" applyFont="1" applyBorder="1" applyAlignment="1">
      <alignment horizontal="center" vertical="center"/>
    </xf>
    <xf numFmtId="9" fontId="11" fillId="10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2" applyNumberFormat="1" applyFont="1" applyFill="1" applyBorder="1" applyAlignment="1">
      <alignment horizontal="center" vertical="center" wrapText="1"/>
    </xf>
    <xf numFmtId="43" fontId="16" fillId="0" borderId="5" xfId="1" applyFont="1" applyFill="1" applyBorder="1" applyAlignment="1">
      <alignment horizontal="center" vertical="center" wrapText="1"/>
    </xf>
    <xf numFmtId="43" fontId="16" fillId="0" borderId="5" xfId="1" applyFont="1" applyBorder="1" applyAlignment="1">
      <alignment horizontal="center" vertical="center" wrapText="1"/>
    </xf>
    <xf numFmtId="176" fontId="11" fillId="0" borderId="4" xfId="1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167" fontId="16" fillId="0" borderId="4" xfId="2" applyNumberFormat="1" applyFont="1" applyFill="1" applyBorder="1" applyAlignment="1">
      <alignment horizontal="center" vertical="center" wrapText="1"/>
    </xf>
    <xf numFmtId="43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8" fontId="11" fillId="0" borderId="0" xfId="1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 wrapText="1"/>
    </xf>
    <xf numFmtId="43" fontId="11" fillId="0" borderId="0" xfId="1" applyFont="1" applyBorder="1" applyAlignment="1">
      <alignment horizontal="center"/>
    </xf>
    <xf numFmtId="169" fontId="11" fillId="0" borderId="0" xfId="1" applyNumberFormat="1" applyFont="1" applyBorder="1" applyAlignment="1">
      <alignment horizontal="center"/>
    </xf>
    <xf numFmtId="10" fontId="16" fillId="0" borderId="0" xfId="2" applyNumberFormat="1" applyFont="1" applyFill="1" applyBorder="1" applyAlignment="1"/>
    <xf numFmtId="0" fontId="24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43" fontId="20" fillId="0" borderId="13" xfId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169" fontId="11" fillId="0" borderId="13" xfId="1" applyNumberFormat="1" applyFont="1" applyFill="1" applyBorder="1" applyAlignment="1">
      <alignment horizontal="center"/>
    </xf>
    <xf numFmtId="43" fontId="11" fillId="0" borderId="13" xfId="1" applyFont="1" applyFill="1" applyBorder="1" applyAlignment="1">
      <alignment horizontal="center"/>
    </xf>
    <xf numFmtId="43" fontId="16" fillId="0" borderId="13" xfId="1" applyFont="1" applyFill="1" applyBorder="1" applyAlignment="1"/>
    <xf numFmtId="43" fontId="16" fillId="0" borderId="23" xfId="1" applyFont="1" applyFill="1" applyBorder="1" applyAlignment="1"/>
    <xf numFmtId="0" fontId="11" fillId="0" borderId="15" xfId="0" applyFont="1" applyFill="1" applyBorder="1"/>
    <xf numFmtId="164" fontId="16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10" fontId="16" fillId="0" borderId="4" xfId="2" applyNumberFormat="1" applyFont="1" applyBorder="1" applyAlignment="1">
      <alignment horizontal="center"/>
    </xf>
    <xf numFmtId="43" fontId="16" fillId="0" borderId="4" xfId="1" applyFont="1" applyBorder="1" applyAlignment="1">
      <alignment horizontal="center"/>
    </xf>
    <xf numFmtId="43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0" fontId="16" fillId="13" borderId="4" xfId="2" applyNumberFormat="1" applyFont="1" applyFill="1" applyBorder="1" applyAlignment="1"/>
    <xf numFmtId="1" fontId="11" fillId="0" borderId="12" xfId="0" applyNumberFormat="1" applyFont="1" applyFill="1" applyBorder="1" applyAlignment="1">
      <alignment horizontal="center" vertical="center" wrapText="1"/>
    </xf>
    <xf numFmtId="43" fontId="16" fillId="0" borderId="24" xfId="1" applyFont="1" applyFill="1" applyBorder="1" applyAlignment="1"/>
    <xf numFmtId="10" fontId="11" fillId="0" borderId="12" xfId="2" applyNumberFormat="1" applyFont="1" applyFill="1" applyBorder="1"/>
    <xf numFmtId="0" fontId="11" fillId="0" borderId="24" xfId="0" applyFont="1" applyBorder="1"/>
    <xf numFmtId="2" fontId="11" fillId="0" borderId="12" xfId="1" applyNumberFormat="1" applyFont="1" applyFill="1" applyBorder="1" applyAlignment="1">
      <alignment horizontal="center" vertical="center" wrapText="1"/>
    </xf>
    <xf numFmtId="173" fontId="11" fillId="0" borderId="12" xfId="0" applyNumberFormat="1" applyFont="1" applyBorder="1"/>
    <xf numFmtId="167" fontId="11" fillId="0" borderId="12" xfId="2" applyNumberFormat="1" applyFont="1" applyFill="1" applyBorder="1" applyAlignment="1">
      <alignment horizontal="center" vertical="center" wrapText="1"/>
    </xf>
    <xf numFmtId="165" fontId="16" fillId="0" borderId="12" xfId="1" applyNumberFormat="1" applyFont="1" applyFill="1" applyBorder="1"/>
    <xf numFmtId="0" fontId="16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 wrapText="1"/>
    </xf>
    <xf numFmtId="166" fontId="11" fillId="2" borderId="12" xfId="1" applyNumberFormat="1" applyFont="1" applyFill="1" applyBorder="1"/>
    <xf numFmtId="167" fontId="11" fillId="0" borderId="0" xfId="2" applyNumberFormat="1" applyFont="1" applyAlignment="1">
      <alignment horizontal="center" vertical="center" wrapText="1"/>
    </xf>
    <xf numFmtId="10" fontId="11" fillId="11" borderId="12" xfId="2" applyNumberFormat="1" applyFont="1" applyFill="1" applyBorder="1" applyAlignment="1">
      <alignment horizontal="center" vertical="center" wrapText="1"/>
    </xf>
    <xf numFmtId="10" fontId="21" fillId="0" borderId="12" xfId="0" applyNumberFormat="1" applyFont="1" applyBorder="1"/>
    <xf numFmtId="10" fontId="11" fillId="2" borderId="4" xfId="2" applyNumberFormat="1" applyFont="1" applyFill="1" applyBorder="1" applyAlignment="1">
      <alignment horizontal="center"/>
    </xf>
    <xf numFmtId="10" fontId="11" fillId="4" borderId="4" xfId="2" applyNumberFormat="1" applyFont="1" applyFill="1" applyBorder="1" applyAlignment="1">
      <alignment horizontal="center"/>
    </xf>
    <xf numFmtId="10" fontId="11" fillId="3" borderId="4" xfId="2" applyNumberFormat="1" applyFont="1" applyFill="1" applyBorder="1" applyAlignment="1">
      <alignment horizontal="center"/>
    </xf>
    <xf numFmtId="10" fontId="11" fillId="0" borderId="10" xfId="2" applyNumberFormat="1" applyFont="1" applyBorder="1" applyAlignment="1">
      <alignment horizontal="center" vertical="center" wrapText="1"/>
    </xf>
    <xf numFmtId="0" fontId="22" fillId="0" borderId="11" xfId="0" applyFont="1" applyBorder="1"/>
    <xf numFmtId="0" fontId="11" fillId="0" borderId="11" xfId="0" applyFont="1" applyBorder="1"/>
    <xf numFmtId="170" fontId="11" fillId="0" borderId="11" xfId="0" applyNumberFormat="1" applyFont="1" applyBorder="1"/>
    <xf numFmtId="0" fontId="11" fillId="0" borderId="29" xfId="0" applyFont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29" xfId="0" applyFont="1" applyFill="1" applyBorder="1"/>
    <xf numFmtId="1" fontId="11" fillId="2" borderId="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175" fontId="11" fillId="0" borderId="13" xfId="1" applyNumberFormat="1" applyFont="1" applyBorder="1" applyAlignment="1">
      <alignment horizontal="center" vertical="center"/>
    </xf>
    <xf numFmtId="2" fontId="11" fillId="0" borderId="13" xfId="0" applyNumberFormat="1" applyFont="1" applyBorder="1"/>
    <xf numFmtId="10" fontId="19" fillId="0" borderId="0" xfId="2" applyNumberFormat="1" applyFont="1" applyFill="1" applyBorder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right"/>
    </xf>
    <xf numFmtId="49" fontId="39" fillId="0" borderId="0" xfId="1" applyNumberFormat="1" applyFont="1" applyBorder="1" applyAlignment="1">
      <alignment horizontal="right"/>
    </xf>
    <xf numFmtId="1" fontId="39" fillId="0" borderId="0" xfId="0" applyNumberFormat="1" applyFont="1" applyFill="1" applyBorder="1" applyAlignment="1">
      <alignment horizontal="center"/>
    </xf>
    <xf numFmtId="43" fontId="16" fillId="0" borderId="12" xfId="1" applyFont="1" applyFill="1" applyBorder="1" applyAlignment="1">
      <alignment horizontal="center" vertical="center" wrapText="1"/>
    </xf>
    <xf numFmtId="0" fontId="14" fillId="0" borderId="0" xfId="0" applyFont="1" applyFill="1" applyBorder="1"/>
    <xf numFmtId="43" fontId="11" fillId="0" borderId="0" xfId="1" applyFont="1" applyFill="1" applyBorder="1" applyAlignment="1"/>
    <xf numFmtId="0" fontId="38" fillId="5" borderId="0" xfId="0" applyFont="1" applyFill="1" applyBorder="1" applyAlignment="1">
      <alignment horizontal="center" vertical="center" wrapText="1"/>
    </xf>
    <xf numFmtId="0" fontId="38" fillId="5" borderId="0" xfId="0" applyFont="1" applyFill="1" applyBorder="1"/>
    <xf numFmtId="0" fontId="38" fillId="5" borderId="0" xfId="0" applyFont="1" applyFill="1" applyBorder="1" applyAlignment="1">
      <alignment horizontal="right"/>
    </xf>
    <xf numFmtId="1" fontId="38" fillId="5" borderId="0" xfId="0" applyNumberFormat="1" applyFont="1" applyFill="1" applyBorder="1" applyAlignment="1">
      <alignment horizontal="center" vertical="distributed"/>
    </xf>
    <xf numFmtId="0" fontId="11" fillId="0" borderId="12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38" fillId="6" borderId="0" xfId="0" applyFont="1" applyFill="1" applyBorder="1" applyAlignment="1">
      <alignment horizontal="center" vertical="center" wrapText="1"/>
    </xf>
    <xf numFmtId="0" fontId="38" fillId="6" borderId="0" xfId="0" applyFont="1" applyFill="1" applyBorder="1"/>
    <xf numFmtId="0" fontId="38" fillId="6" borderId="0" xfId="0" applyFont="1" applyFill="1" applyBorder="1" applyAlignment="1">
      <alignment horizontal="right"/>
    </xf>
    <xf numFmtId="1" fontId="38" fillId="6" borderId="0" xfId="0" applyNumberFormat="1" applyFont="1" applyFill="1" applyBorder="1" applyAlignment="1">
      <alignment horizontal="center" vertical="distributed"/>
    </xf>
    <xf numFmtId="43" fontId="11" fillId="0" borderId="0" xfId="0" applyNumberFormat="1" applyFont="1" applyFill="1" applyBorder="1" applyAlignment="1">
      <alignment horizontal="left" vertical="center"/>
    </xf>
    <xf numFmtId="164" fontId="38" fillId="7" borderId="0" xfId="0" applyNumberFormat="1" applyFont="1" applyFill="1" applyBorder="1" applyAlignment="1">
      <alignment horizontal="center" vertical="center" wrapText="1"/>
    </xf>
    <xf numFmtId="43" fontId="40" fillId="7" borderId="0" xfId="1" applyFont="1" applyFill="1" applyBorder="1"/>
    <xf numFmtId="43" fontId="38" fillId="7" borderId="0" xfId="1" applyFont="1" applyFill="1" applyBorder="1" applyAlignment="1">
      <alignment horizontal="right"/>
    </xf>
    <xf numFmtId="1" fontId="38" fillId="7" borderId="0" xfId="0" applyNumberFormat="1" applyFont="1" applyFill="1" applyBorder="1" applyAlignment="1">
      <alignment horizontal="center" vertical="distributed"/>
    </xf>
    <xf numFmtId="49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/>
    <xf numFmtId="1" fontId="38" fillId="0" borderId="0" xfId="0" applyNumberFormat="1" applyFont="1" applyBorder="1" applyAlignment="1">
      <alignment horizontal="center"/>
    </xf>
    <xf numFmtId="43" fontId="11" fillId="0" borderId="11" xfId="1" applyFont="1" applyFill="1" applyBorder="1" applyAlignment="1">
      <alignment horizontal="center"/>
    </xf>
    <xf numFmtId="43" fontId="16" fillId="0" borderId="11" xfId="1" applyFont="1" applyFill="1" applyBorder="1" applyAlignment="1"/>
    <xf numFmtId="0" fontId="38" fillId="0" borderId="0" xfId="0" applyFont="1" applyFill="1" applyBorder="1" applyAlignment="1">
      <alignment horizontal="right" vertical="center"/>
    </xf>
    <xf numFmtId="49" fontId="38" fillId="0" borderId="0" xfId="1" applyNumberFormat="1" applyFont="1" applyBorder="1" applyAlignment="1">
      <alignment horizontal="right"/>
    </xf>
    <xf numFmtId="1" fontId="38" fillId="0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 vertical="center" wrapText="1"/>
    </xf>
    <xf numFmtId="0" fontId="38" fillId="3" borderId="0" xfId="0" applyFont="1" applyFill="1" applyBorder="1"/>
    <xf numFmtId="0" fontId="38" fillId="3" borderId="0" xfId="0" applyFont="1" applyFill="1" applyBorder="1" applyAlignment="1">
      <alignment horizontal="right"/>
    </xf>
    <xf numFmtId="1" fontId="38" fillId="3" borderId="0" xfId="0" applyNumberFormat="1" applyFont="1" applyFill="1" applyBorder="1" applyAlignment="1">
      <alignment horizontal="center" vertical="distributed"/>
    </xf>
    <xf numFmtId="0" fontId="31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right" vertical="center"/>
    </xf>
    <xf numFmtId="43" fontId="11" fillId="0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6" fillId="0" borderId="2" xfId="0" applyFont="1" applyBorder="1" applyAlignment="1">
      <alignment horizontal="left" vertical="center"/>
    </xf>
    <xf numFmtId="164" fontId="11" fillId="0" borderId="0" xfId="1" applyNumberFormat="1" applyFont="1" applyAlignment="1">
      <alignment horizontal="center" vertical="center" wrapText="1"/>
    </xf>
    <xf numFmtId="43" fontId="16" fillId="0" borderId="0" xfId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43" fontId="11" fillId="11" borderId="0" xfId="0" applyNumberFormat="1" applyFont="1" applyFill="1" applyAlignment="1">
      <alignment horizontal="center" vertical="center" wrapText="1"/>
    </xf>
    <xf numFmtId="43" fontId="16" fillId="0" borderId="4" xfId="0" applyNumberFormat="1" applyFont="1" applyBorder="1"/>
    <xf numFmtId="43" fontId="11" fillId="0" borderId="0" xfId="0" applyNumberFormat="1" applyFont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165" fontId="16" fillId="11" borderId="4" xfId="1" applyNumberFormat="1" applyFont="1" applyFill="1" applyBorder="1"/>
    <xf numFmtId="169" fontId="11" fillId="0" borderId="0" xfId="0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/>
    <xf numFmtId="165" fontId="11" fillId="0" borderId="0" xfId="0" applyNumberFormat="1" applyFont="1" applyFill="1" applyBorder="1" applyAlignment="1">
      <alignment horizontal="center" vertical="center"/>
    </xf>
    <xf numFmtId="10" fontId="11" fillId="0" borderId="2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12" xfId="0" applyFont="1" applyFill="1" applyBorder="1"/>
    <xf numFmtId="49" fontId="11" fillId="0" borderId="1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14" borderId="4" xfId="0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vertical="center"/>
    </xf>
    <xf numFmtId="174" fontId="11" fillId="0" borderId="4" xfId="0" applyNumberFormat="1" applyFont="1" applyBorder="1" applyAlignment="1">
      <alignment horizontal="center" vertical="center"/>
    </xf>
    <xf numFmtId="10" fontId="11" fillId="0" borderId="4" xfId="2" applyNumberFormat="1" applyFont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/>
    </xf>
    <xf numFmtId="10" fontId="11" fillId="0" borderId="0" xfId="2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10" fontId="11" fillId="0" borderId="0" xfId="2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167" fontId="11" fillId="0" borderId="0" xfId="2" applyNumberFormat="1" applyFont="1" applyBorder="1" applyAlignment="1">
      <alignment horizontal="center"/>
    </xf>
    <xf numFmtId="0" fontId="11" fillId="0" borderId="6" xfId="0" applyFont="1" applyFill="1" applyBorder="1" applyAlignment="1"/>
    <xf numFmtId="0" fontId="11" fillId="0" borderId="19" xfId="0" applyFont="1" applyFill="1" applyBorder="1" applyAlignment="1">
      <alignment horizontal="right"/>
    </xf>
    <xf numFmtId="10" fontId="11" fillId="0" borderId="4" xfId="2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1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9" xfId="0" applyFont="1" applyFill="1" applyBorder="1" applyAlignment="1"/>
    <xf numFmtId="0" fontId="11" fillId="0" borderId="4" xfId="0" applyFont="1" applyFill="1" applyBorder="1" applyAlignment="1">
      <alignment horizontal="right"/>
    </xf>
    <xf numFmtId="49" fontId="11" fillId="0" borderId="4" xfId="1" applyNumberFormat="1" applyFont="1" applyFill="1" applyBorder="1" applyAlignment="1">
      <alignment horizontal="right"/>
    </xf>
    <xf numFmtId="0" fontId="11" fillId="0" borderId="16" xfId="0" applyFont="1" applyFill="1" applyBorder="1" applyAlignment="1"/>
    <xf numFmtId="0" fontId="11" fillId="0" borderId="16" xfId="0" applyFont="1" applyFill="1" applyBorder="1" applyAlignment="1">
      <alignment horizontal="right"/>
    </xf>
    <xf numFmtId="0" fontId="11" fillId="0" borderId="4" xfId="0" applyFont="1" applyFill="1" applyBorder="1" applyAlignment="1"/>
    <xf numFmtId="1" fontId="11" fillId="0" borderId="0" xfId="0" applyNumberFormat="1" applyFont="1" applyFill="1" applyBorder="1" applyAlignment="1"/>
    <xf numFmtId="0" fontId="11" fillId="0" borderId="22" xfId="0" applyFont="1" applyFill="1" applyBorder="1" applyAlignment="1"/>
    <xf numFmtId="1" fontId="11" fillId="0" borderId="14" xfId="0" applyNumberFormat="1" applyFont="1" applyFill="1" applyBorder="1" applyAlignment="1">
      <alignment horizontal="center"/>
    </xf>
    <xf numFmtId="43" fontId="14" fillId="0" borderId="16" xfId="1" applyFont="1" applyFill="1" applyBorder="1" applyAlignment="1"/>
    <xf numFmtId="0" fontId="11" fillId="0" borderId="15" xfId="0" applyFont="1" applyFill="1" applyBorder="1" applyAlignment="1"/>
    <xf numFmtId="10" fontId="11" fillId="0" borderId="0" xfId="0" applyNumberFormat="1" applyFont="1" applyFill="1" applyBorder="1" applyAlignment="1"/>
    <xf numFmtId="2" fontId="11" fillId="0" borderId="13" xfId="0" applyNumberFormat="1" applyFont="1" applyFill="1" applyBorder="1" applyAlignment="1">
      <alignment horizontal="center"/>
    </xf>
    <xf numFmtId="10" fontId="11" fillId="0" borderId="13" xfId="2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11" fillId="0" borderId="12" xfId="0" applyFont="1" applyFill="1" applyBorder="1" applyAlignment="1"/>
    <xf numFmtId="2" fontId="11" fillId="0" borderId="0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0" fontId="11" fillId="0" borderId="10" xfId="0" applyFont="1" applyFill="1" applyBorder="1" applyAlignment="1"/>
    <xf numFmtId="10" fontId="11" fillId="0" borderId="4" xfId="2" applyNumberFormat="1" applyFont="1" applyBorder="1" applyAlignment="1">
      <alignment horizontal="center" vertical="distributed"/>
    </xf>
    <xf numFmtId="0" fontId="16" fillId="8" borderId="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distributed"/>
    </xf>
    <xf numFmtId="0" fontId="11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7" fontId="11" fillId="0" borderId="0" xfId="2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11" fillId="12" borderId="0" xfId="0" applyFont="1" applyFill="1"/>
    <xf numFmtId="0" fontId="4" fillId="12" borderId="25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49" fontId="16" fillId="12" borderId="20" xfId="0" applyNumberFormat="1" applyFont="1" applyFill="1" applyBorder="1" applyAlignment="1">
      <alignment horizontal="center" vertical="center" wrapText="1"/>
    </xf>
    <xf numFmtId="164" fontId="16" fillId="12" borderId="8" xfId="1" applyNumberFormat="1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horizontal="center" vertical="center" wrapText="1"/>
    </xf>
    <xf numFmtId="0" fontId="42" fillId="12" borderId="0" xfId="0" applyFont="1" applyFill="1" applyBorder="1" applyAlignment="1">
      <alignment horizontal="left" vertical="center"/>
    </xf>
    <xf numFmtId="0" fontId="11" fillId="12" borderId="0" xfId="0" applyFont="1" applyFill="1" applyBorder="1"/>
    <xf numFmtId="0" fontId="11" fillId="12" borderId="0" xfId="0" applyFont="1" applyFill="1" applyBorder="1" applyAlignment="1">
      <alignment horizontal="center" vertical="center"/>
    </xf>
    <xf numFmtId="9" fontId="23" fillId="12" borderId="4" xfId="2" applyNumberFormat="1" applyFont="1" applyFill="1" applyBorder="1" applyAlignment="1">
      <alignment horizontal="center" vertical="center" wrapText="1"/>
    </xf>
    <xf numFmtId="1" fontId="54" fillId="12" borderId="4" xfId="0" applyNumberFormat="1" applyFont="1" applyFill="1" applyBorder="1" applyAlignment="1">
      <alignment horizontal="center" vertical="center"/>
    </xf>
    <xf numFmtId="9" fontId="44" fillId="12" borderId="4" xfId="2" applyNumberFormat="1" applyFont="1" applyFill="1" applyBorder="1" applyAlignment="1">
      <alignment horizontal="center" vertical="center" wrapText="1"/>
    </xf>
    <xf numFmtId="9" fontId="43" fillId="12" borderId="4" xfId="2" applyNumberFormat="1" applyFont="1" applyFill="1" applyBorder="1" applyAlignment="1">
      <alignment horizontal="center" vertical="center" wrapText="1"/>
    </xf>
    <xf numFmtId="1" fontId="53" fillId="12" borderId="4" xfId="0" applyNumberFormat="1" applyFont="1" applyFill="1" applyBorder="1" applyAlignment="1">
      <alignment horizontal="center" vertical="center"/>
    </xf>
    <xf numFmtId="0" fontId="30" fillId="12" borderId="0" xfId="0" applyFont="1" applyFill="1"/>
    <xf numFmtId="9" fontId="47" fillId="12" borderId="4" xfId="2" applyNumberFormat="1" applyFont="1" applyFill="1" applyBorder="1" applyAlignment="1">
      <alignment horizontal="center" vertical="center" wrapText="1"/>
    </xf>
    <xf numFmtId="9" fontId="48" fillId="12" borderId="4" xfId="2" applyNumberFormat="1" applyFont="1" applyFill="1" applyBorder="1" applyAlignment="1">
      <alignment horizontal="center" vertical="center" wrapText="1"/>
    </xf>
    <xf numFmtId="0" fontId="31" fillId="12" borderId="18" xfId="0" applyFont="1" applyFill="1" applyBorder="1" applyAlignment="1">
      <alignment horizontal="center" vertical="center"/>
    </xf>
    <xf numFmtId="0" fontId="31" fillId="12" borderId="20" xfId="0" applyFont="1" applyFill="1" applyBorder="1" applyAlignment="1">
      <alignment horizontal="center" vertical="center" wrapText="1"/>
    </xf>
    <xf numFmtId="165" fontId="11" fillId="12" borderId="0" xfId="0" applyNumberFormat="1" applyFont="1" applyFill="1" applyBorder="1"/>
    <xf numFmtId="0" fontId="11" fillId="12" borderId="0" xfId="0" applyFont="1" applyFill="1" applyAlignment="1">
      <alignment horizontal="center" vertical="center"/>
    </xf>
    <xf numFmtId="9" fontId="11" fillId="12" borderId="0" xfId="2" applyNumberFormat="1" applyFont="1" applyFill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10" fontId="31" fillId="12" borderId="4" xfId="0" applyNumberFormat="1" applyFont="1" applyFill="1" applyBorder="1" applyAlignment="1">
      <alignment horizontal="center" vertical="center"/>
    </xf>
    <xf numFmtId="174" fontId="11" fillId="12" borderId="4" xfId="0" applyNumberFormat="1" applyFont="1" applyFill="1" applyBorder="1" applyAlignment="1">
      <alignment horizontal="center" vertical="center"/>
    </xf>
    <xf numFmtId="1" fontId="58" fillId="12" borderId="4" xfId="0" applyNumberFormat="1" applyFont="1" applyFill="1" applyBorder="1" applyAlignment="1">
      <alignment horizontal="center" vertical="center"/>
    </xf>
    <xf numFmtId="0" fontId="56" fillId="10" borderId="4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right" vertical="center" wrapText="1"/>
    </xf>
    <xf numFmtId="0" fontId="61" fillId="0" borderId="18" xfId="0" applyFont="1" applyBorder="1" applyAlignment="1">
      <alignment horizontal="right" vertical="center" wrapText="1"/>
    </xf>
    <xf numFmtId="1" fontId="62" fillId="12" borderId="4" xfId="0" applyNumberFormat="1" applyFont="1" applyFill="1" applyBorder="1" applyAlignment="1">
      <alignment horizontal="right" vertical="center"/>
    </xf>
    <xf numFmtId="1" fontId="63" fillId="12" borderId="4" xfId="0" applyNumberFormat="1" applyFont="1" applyFill="1" applyBorder="1" applyAlignment="1">
      <alignment horizontal="right" vertical="center"/>
    </xf>
    <xf numFmtId="0" fontId="24" fillId="0" borderId="30" xfId="0" applyFont="1" applyBorder="1" applyAlignment="1">
      <alignment horizontal="right" vertical="distributed"/>
    </xf>
    <xf numFmtId="10" fontId="24" fillId="0" borderId="30" xfId="0" applyNumberFormat="1" applyFont="1" applyBorder="1" applyAlignment="1">
      <alignment horizontal="right" vertical="center"/>
    </xf>
    <xf numFmtId="49" fontId="64" fillId="10" borderId="31" xfId="0" applyNumberFormat="1" applyFont="1" applyFill="1" applyBorder="1" applyAlignment="1">
      <alignment horizontal="right" vertical="center"/>
    </xf>
    <xf numFmtId="0" fontId="24" fillId="0" borderId="32" xfId="0" applyFont="1" applyBorder="1" applyAlignment="1">
      <alignment horizontal="right" vertical="distributed"/>
    </xf>
    <xf numFmtId="10" fontId="24" fillId="0" borderId="32" xfId="0" applyNumberFormat="1" applyFont="1" applyBorder="1" applyAlignment="1">
      <alignment horizontal="right" vertical="center"/>
    </xf>
    <xf numFmtId="49" fontId="24" fillId="0" borderId="20" xfId="0" applyNumberFormat="1" applyFont="1" applyFill="1" applyBorder="1" applyAlignment="1">
      <alignment horizontal="right" vertical="center"/>
    </xf>
    <xf numFmtId="49" fontId="49" fillId="10" borderId="34" xfId="0" applyNumberFormat="1" applyFont="1" applyFill="1" applyBorder="1" applyAlignment="1">
      <alignment horizontal="center" vertical="center"/>
    </xf>
    <xf numFmtId="1" fontId="66" fillId="12" borderId="4" xfId="0" applyNumberFormat="1" applyFont="1" applyFill="1" applyBorder="1" applyAlignment="1">
      <alignment horizontal="right" vertical="center"/>
    </xf>
    <xf numFmtId="0" fontId="67" fillId="10" borderId="4" xfId="0" applyFont="1" applyFill="1" applyBorder="1" applyAlignment="1">
      <alignment horizontal="center" vertical="center"/>
    </xf>
    <xf numFmtId="177" fontId="54" fillId="12" borderId="4" xfId="0" applyNumberFormat="1" applyFont="1" applyFill="1" applyBorder="1" applyAlignment="1">
      <alignment horizontal="center" vertical="center"/>
    </xf>
    <xf numFmtId="0" fontId="11" fillId="12" borderId="0" xfId="0" applyFont="1" applyFill="1" applyAlignment="1">
      <alignment vertical="center"/>
    </xf>
    <xf numFmtId="0" fontId="16" fillId="12" borderId="0" xfId="0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horizontal="center" vertical="distributed"/>
    </xf>
    <xf numFmtId="164" fontId="16" fillId="12" borderId="0" xfId="1" applyNumberFormat="1" applyFont="1" applyFill="1" applyBorder="1" applyAlignment="1">
      <alignment horizontal="center" vertical="distributed"/>
    </xf>
    <xf numFmtId="164" fontId="16" fillId="12" borderId="0" xfId="1" applyNumberFormat="1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vertical="center"/>
    </xf>
    <xf numFmtId="0" fontId="11" fillId="12" borderId="4" xfId="0" applyFont="1" applyFill="1" applyBorder="1" applyAlignment="1">
      <alignment horizontal="left" vertical="center" wrapText="1"/>
    </xf>
    <xf numFmtId="1" fontId="68" fillId="12" borderId="4" xfId="0" applyNumberFormat="1" applyFont="1" applyFill="1" applyBorder="1" applyAlignment="1">
      <alignment horizontal="center" vertical="center"/>
    </xf>
    <xf numFmtId="1" fontId="69" fillId="12" borderId="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12" borderId="0" xfId="0" applyFont="1" applyFill="1" applyAlignment="1">
      <alignment horizontal="left"/>
    </xf>
    <xf numFmtId="49" fontId="31" fillId="12" borderId="4" xfId="0" applyNumberFormat="1" applyFont="1" applyFill="1" applyBorder="1" applyAlignment="1">
      <alignment horizontal="center" vertical="center"/>
    </xf>
    <xf numFmtId="10" fontId="11" fillId="12" borderId="33" xfId="0" applyNumberFormat="1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horizontal="center" vertical="center"/>
    </xf>
    <xf numFmtId="49" fontId="11" fillId="12" borderId="33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0" fontId="31" fillId="12" borderId="0" xfId="0" applyFont="1" applyFill="1" applyBorder="1" applyAlignment="1">
      <alignment horizontal="center" vertical="center"/>
    </xf>
    <xf numFmtId="49" fontId="31" fillId="12" borderId="0" xfId="0" applyNumberFormat="1" applyFont="1" applyFill="1" applyBorder="1" applyAlignment="1">
      <alignment horizontal="center" vertical="center"/>
    </xf>
    <xf numFmtId="0" fontId="24" fillId="12" borderId="16" xfId="0" applyFont="1" applyFill="1" applyBorder="1" applyAlignment="1">
      <alignment horizontal="right" vertical="center" wrapText="1"/>
    </xf>
    <xf numFmtId="0" fontId="24" fillId="12" borderId="16" xfId="0" applyFont="1" applyFill="1" applyBorder="1" applyAlignment="1">
      <alignment horizontal="right" vertical="center"/>
    </xf>
    <xf numFmtId="0" fontId="25" fillId="12" borderId="4" xfId="0" applyFont="1" applyFill="1" applyBorder="1" applyAlignment="1">
      <alignment horizontal="left" vertical="center" wrapText="1"/>
    </xf>
    <xf numFmtId="0" fontId="25" fillId="12" borderId="4" xfId="0" applyFont="1" applyFill="1" applyBorder="1" applyAlignment="1">
      <alignment horizontal="left" vertical="center"/>
    </xf>
    <xf numFmtId="49" fontId="67" fillId="10" borderId="4" xfId="0" applyNumberFormat="1" applyFont="1" applyFill="1" applyBorder="1" applyAlignment="1">
      <alignment horizontal="center" vertical="center"/>
    </xf>
    <xf numFmtId="49" fontId="42" fillId="12" borderId="18" xfId="0" applyNumberFormat="1" applyFont="1" applyFill="1" applyBorder="1" applyAlignment="1">
      <alignment horizontal="center" vertical="center" wrapText="1"/>
    </xf>
    <xf numFmtId="171" fontId="11" fillId="0" borderId="15" xfId="1" applyNumberFormat="1" applyFont="1" applyBorder="1" applyAlignment="1">
      <alignment horizontal="center"/>
    </xf>
    <xf numFmtId="0" fontId="11" fillId="0" borderId="10" xfId="0" applyFont="1" applyBorder="1"/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3" fontId="11" fillId="9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9" borderId="4" xfId="1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0" fontId="23" fillId="0" borderId="7" xfId="0" applyFont="1" applyBorder="1" applyAlignment="1">
      <alignment horizontal="left" vertical="distributed"/>
    </xf>
    <xf numFmtId="0" fontId="23" fillId="0" borderId="17" xfId="0" applyFont="1" applyBorder="1" applyAlignment="1">
      <alignment horizontal="left" vertical="distributed"/>
    </xf>
    <xf numFmtId="0" fontId="23" fillId="0" borderId="21" xfId="0" applyFont="1" applyBorder="1" applyAlignment="1">
      <alignment horizontal="left" vertical="distributed"/>
    </xf>
    <xf numFmtId="0" fontId="23" fillId="0" borderId="7" xfId="0" applyFont="1" applyBorder="1" applyAlignment="1">
      <alignment horizontal="center" vertical="distributed"/>
    </xf>
    <xf numFmtId="0" fontId="23" fillId="0" borderId="17" xfId="0" applyFont="1" applyBorder="1" applyAlignment="1">
      <alignment horizontal="center" vertical="distributed"/>
    </xf>
    <xf numFmtId="0" fontId="23" fillId="0" borderId="21" xfId="0" applyFont="1" applyBorder="1" applyAlignment="1">
      <alignment horizontal="center" vertical="distributed"/>
    </xf>
    <xf numFmtId="0" fontId="32" fillId="12" borderId="1" xfId="0" applyFont="1" applyFill="1" applyBorder="1" applyAlignment="1">
      <alignment horizontal="left" vertical="center" wrapText="1"/>
    </xf>
    <xf numFmtId="0" fontId="32" fillId="12" borderId="3" xfId="0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left" vertical="center" wrapText="1"/>
    </xf>
    <xf numFmtId="0" fontId="35" fillId="16" borderId="17" xfId="0" applyFont="1" applyFill="1" applyBorder="1" applyAlignment="1">
      <alignment horizontal="left" vertical="center" wrapText="1"/>
    </xf>
    <xf numFmtId="0" fontId="35" fillId="16" borderId="21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center" wrapText="1"/>
    </xf>
    <xf numFmtId="0" fontId="3" fillId="12" borderId="9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32" fillId="16" borderId="7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1" fillId="12" borderId="27" xfId="0" applyFont="1" applyFill="1" applyBorder="1" applyAlignment="1">
      <alignment horizontal="center" vertical="center" wrapText="1"/>
    </xf>
    <xf numFmtId="0" fontId="31" fillId="12" borderId="28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horizontal="left" vertical="center" wrapText="1"/>
    </xf>
    <xf numFmtId="0" fontId="32" fillId="17" borderId="7" xfId="0" applyFont="1" applyFill="1" applyBorder="1" applyAlignment="1">
      <alignment horizontal="center" vertical="center" wrapText="1"/>
    </xf>
    <xf numFmtId="0" fontId="32" fillId="17" borderId="21" xfId="0" applyFont="1" applyFill="1" applyBorder="1" applyAlignment="1">
      <alignment horizontal="center" vertical="center" wrapText="1"/>
    </xf>
    <xf numFmtId="0" fontId="16" fillId="15" borderId="7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/>
    </xf>
    <xf numFmtId="0" fontId="32" fillId="0" borderId="1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distributed"/>
    </xf>
    <xf numFmtId="0" fontId="32" fillId="0" borderId="17" xfId="0" applyFont="1" applyBorder="1" applyAlignment="1">
      <alignment horizontal="center" vertical="distributed"/>
    </xf>
    <xf numFmtId="0" fontId="32" fillId="0" borderId="21" xfId="0" applyFont="1" applyBorder="1" applyAlignment="1">
      <alignment horizontal="center" vertical="distributed"/>
    </xf>
    <xf numFmtId="0" fontId="23" fillId="17" borderId="7" xfId="0" applyFont="1" applyFill="1" applyBorder="1" applyAlignment="1">
      <alignment horizontal="left" vertical="center" wrapText="1"/>
    </xf>
    <xf numFmtId="0" fontId="23" fillId="17" borderId="17" xfId="0" applyFont="1" applyFill="1" applyBorder="1" applyAlignment="1">
      <alignment horizontal="left" vertical="center" wrapText="1"/>
    </xf>
    <xf numFmtId="0" fontId="23" fillId="17" borderId="36" xfId="0" applyFont="1" applyFill="1" applyBorder="1" applyAlignment="1">
      <alignment horizontal="left" vertical="center" wrapText="1"/>
    </xf>
    <xf numFmtId="0" fontId="23" fillId="17" borderId="37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CCFF"/>
      <color rgb="FFFF99FF"/>
      <color rgb="FFFFFF99"/>
      <color rgb="FF009900"/>
      <color rgb="FF008000"/>
      <color rgb="FFFFFFCC"/>
      <color rgb="FF0070C0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'EA, Inc Acumul'!$J$35:$L$35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'EA, Inc Acumul'!$J$36:$L$36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'EA, Inc Acumul'!$J$37:$L$37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057525" y="9715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1" name="Line 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2" name="Line 4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4" name="Line 4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5" name="Line 4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6" name="Line 4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8" name="Line 4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9" name="Line 4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0" name="Line 4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1" name="Line 4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2" name="Line 4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3" name="Line 4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4" name="Line 4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6" name="Line 4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zoomScale="70" zoomScaleNormal="70" workbookViewId="0">
      <selection activeCell="B2" sqref="B2:G2"/>
    </sheetView>
  </sheetViews>
  <sheetFormatPr baseColWidth="10" defaultRowHeight="13" x14ac:dyDescent="0.3"/>
  <cols>
    <col min="1" max="1" width="1.1796875" style="5" customWidth="1"/>
    <col min="2" max="2" width="31" style="5" customWidth="1"/>
    <col min="3" max="3" width="21.7265625" style="5" customWidth="1"/>
    <col min="4" max="4" width="16.453125" style="5" customWidth="1"/>
    <col min="5" max="5" width="20.7265625" style="5" customWidth="1"/>
    <col min="6" max="6" width="23.81640625" style="5" customWidth="1"/>
    <col min="7" max="7" width="18.08984375" style="5" customWidth="1"/>
    <col min="8" max="8" width="2.7265625" style="5" customWidth="1"/>
    <col min="9" max="9" width="15.81640625" style="5" hidden="1" customWidth="1"/>
    <col min="10" max="10" width="16.26953125" style="12" hidden="1" customWidth="1"/>
    <col min="11" max="11" width="2.1796875" style="12" hidden="1" customWidth="1"/>
    <col min="12" max="13" width="14.36328125" style="5" customWidth="1"/>
    <col min="14" max="14" width="13.81640625" style="5" bestFit="1" customWidth="1"/>
    <col min="15" max="15" width="11.453125" style="5"/>
    <col min="16" max="17" width="11.453125" style="12"/>
    <col min="18" max="256" width="11.453125" style="5"/>
    <col min="257" max="257" width="12.81640625" style="5" customWidth="1"/>
    <col min="258" max="258" width="18.26953125" style="5" customWidth="1"/>
    <col min="259" max="259" width="13.7265625" style="5" customWidth="1"/>
    <col min="260" max="260" width="16.453125" style="5" customWidth="1"/>
    <col min="261" max="261" width="20.7265625" style="5" customWidth="1"/>
    <col min="262" max="262" width="23.81640625" style="5" customWidth="1"/>
    <col min="263" max="263" width="18.81640625" style="5" customWidth="1"/>
    <col min="264" max="264" width="8.26953125" style="5" customWidth="1"/>
    <col min="265" max="265" width="14.54296875" style="5" bestFit="1" customWidth="1"/>
    <col min="266" max="266" width="14.1796875" style="5" bestFit="1" customWidth="1"/>
    <col min="267" max="267" width="11.453125" style="5"/>
    <col min="268" max="268" width="15.54296875" style="5" customWidth="1"/>
    <col min="269" max="269" width="11.453125" style="5"/>
    <col min="270" max="270" width="13.81640625" style="5" bestFit="1" customWidth="1"/>
    <col min="271" max="512" width="11.453125" style="5"/>
    <col min="513" max="513" width="12.81640625" style="5" customWidth="1"/>
    <col min="514" max="514" width="18.26953125" style="5" customWidth="1"/>
    <col min="515" max="515" width="13.7265625" style="5" customWidth="1"/>
    <col min="516" max="516" width="16.453125" style="5" customWidth="1"/>
    <col min="517" max="517" width="20.7265625" style="5" customWidth="1"/>
    <col min="518" max="518" width="23.81640625" style="5" customWidth="1"/>
    <col min="519" max="519" width="18.81640625" style="5" customWidth="1"/>
    <col min="520" max="520" width="8.26953125" style="5" customWidth="1"/>
    <col min="521" max="521" width="14.54296875" style="5" bestFit="1" customWidth="1"/>
    <col min="522" max="522" width="14.1796875" style="5" bestFit="1" customWidth="1"/>
    <col min="523" max="523" width="11.453125" style="5"/>
    <col min="524" max="524" width="15.54296875" style="5" customWidth="1"/>
    <col min="525" max="525" width="11.453125" style="5"/>
    <col min="526" max="526" width="13.81640625" style="5" bestFit="1" customWidth="1"/>
    <col min="527" max="768" width="11.453125" style="5"/>
    <col min="769" max="769" width="12.81640625" style="5" customWidth="1"/>
    <col min="770" max="770" width="18.26953125" style="5" customWidth="1"/>
    <col min="771" max="771" width="13.7265625" style="5" customWidth="1"/>
    <col min="772" max="772" width="16.453125" style="5" customWidth="1"/>
    <col min="773" max="773" width="20.7265625" style="5" customWidth="1"/>
    <col min="774" max="774" width="23.81640625" style="5" customWidth="1"/>
    <col min="775" max="775" width="18.81640625" style="5" customWidth="1"/>
    <col min="776" max="776" width="8.26953125" style="5" customWidth="1"/>
    <col min="777" max="777" width="14.54296875" style="5" bestFit="1" customWidth="1"/>
    <col min="778" max="778" width="14.1796875" style="5" bestFit="1" customWidth="1"/>
    <col min="779" max="779" width="11.453125" style="5"/>
    <col min="780" max="780" width="15.54296875" style="5" customWidth="1"/>
    <col min="781" max="781" width="11.453125" style="5"/>
    <col min="782" max="782" width="13.81640625" style="5" bestFit="1" customWidth="1"/>
    <col min="783" max="1024" width="11.453125" style="5"/>
    <col min="1025" max="1025" width="12.81640625" style="5" customWidth="1"/>
    <col min="1026" max="1026" width="18.26953125" style="5" customWidth="1"/>
    <col min="1027" max="1027" width="13.7265625" style="5" customWidth="1"/>
    <col min="1028" max="1028" width="16.453125" style="5" customWidth="1"/>
    <col min="1029" max="1029" width="20.7265625" style="5" customWidth="1"/>
    <col min="1030" max="1030" width="23.81640625" style="5" customWidth="1"/>
    <col min="1031" max="1031" width="18.81640625" style="5" customWidth="1"/>
    <col min="1032" max="1032" width="8.26953125" style="5" customWidth="1"/>
    <col min="1033" max="1033" width="14.54296875" style="5" bestFit="1" customWidth="1"/>
    <col min="1034" max="1034" width="14.1796875" style="5" bestFit="1" customWidth="1"/>
    <col min="1035" max="1035" width="11.453125" style="5"/>
    <col min="1036" max="1036" width="15.54296875" style="5" customWidth="1"/>
    <col min="1037" max="1037" width="11.453125" style="5"/>
    <col min="1038" max="1038" width="13.81640625" style="5" bestFit="1" customWidth="1"/>
    <col min="1039" max="1280" width="11.453125" style="5"/>
    <col min="1281" max="1281" width="12.81640625" style="5" customWidth="1"/>
    <col min="1282" max="1282" width="18.26953125" style="5" customWidth="1"/>
    <col min="1283" max="1283" width="13.7265625" style="5" customWidth="1"/>
    <col min="1284" max="1284" width="16.453125" style="5" customWidth="1"/>
    <col min="1285" max="1285" width="20.7265625" style="5" customWidth="1"/>
    <col min="1286" max="1286" width="23.81640625" style="5" customWidth="1"/>
    <col min="1287" max="1287" width="18.81640625" style="5" customWidth="1"/>
    <col min="1288" max="1288" width="8.26953125" style="5" customWidth="1"/>
    <col min="1289" max="1289" width="14.54296875" style="5" bestFit="1" customWidth="1"/>
    <col min="1290" max="1290" width="14.1796875" style="5" bestFit="1" customWidth="1"/>
    <col min="1291" max="1291" width="11.453125" style="5"/>
    <col min="1292" max="1292" width="15.54296875" style="5" customWidth="1"/>
    <col min="1293" max="1293" width="11.453125" style="5"/>
    <col min="1294" max="1294" width="13.81640625" style="5" bestFit="1" customWidth="1"/>
    <col min="1295" max="1536" width="11.453125" style="5"/>
    <col min="1537" max="1537" width="12.81640625" style="5" customWidth="1"/>
    <col min="1538" max="1538" width="18.26953125" style="5" customWidth="1"/>
    <col min="1539" max="1539" width="13.7265625" style="5" customWidth="1"/>
    <col min="1540" max="1540" width="16.453125" style="5" customWidth="1"/>
    <col min="1541" max="1541" width="20.7265625" style="5" customWidth="1"/>
    <col min="1542" max="1542" width="23.81640625" style="5" customWidth="1"/>
    <col min="1543" max="1543" width="18.81640625" style="5" customWidth="1"/>
    <col min="1544" max="1544" width="8.26953125" style="5" customWidth="1"/>
    <col min="1545" max="1545" width="14.54296875" style="5" bestFit="1" customWidth="1"/>
    <col min="1546" max="1546" width="14.1796875" style="5" bestFit="1" customWidth="1"/>
    <col min="1547" max="1547" width="11.453125" style="5"/>
    <col min="1548" max="1548" width="15.54296875" style="5" customWidth="1"/>
    <col min="1549" max="1549" width="11.453125" style="5"/>
    <col min="1550" max="1550" width="13.81640625" style="5" bestFit="1" customWidth="1"/>
    <col min="1551" max="1792" width="11.453125" style="5"/>
    <col min="1793" max="1793" width="12.81640625" style="5" customWidth="1"/>
    <col min="1794" max="1794" width="18.26953125" style="5" customWidth="1"/>
    <col min="1795" max="1795" width="13.7265625" style="5" customWidth="1"/>
    <col min="1796" max="1796" width="16.453125" style="5" customWidth="1"/>
    <col min="1797" max="1797" width="20.7265625" style="5" customWidth="1"/>
    <col min="1798" max="1798" width="23.81640625" style="5" customWidth="1"/>
    <col min="1799" max="1799" width="18.81640625" style="5" customWidth="1"/>
    <col min="1800" max="1800" width="8.26953125" style="5" customWidth="1"/>
    <col min="1801" max="1801" width="14.54296875" style="5" bestFit="1" customWidth="1"/>
    <col min="1802" max="1802" width="14.1796875" style="5" bestFit="1" customWidth="1"/>
    <col min="1803" max="1803" width="11.453125" style="5"/>
    <col min="1804" max="1804" width="15.54296875" style="5" customWidth="1"/>
    <col min="1805" max="1805" width="11.453125" style="5"/>
    <col min="1806" max="1806" width="13.81640625" style="5" bestFit="1" customWidth="1"/>
    <col min="1807" max="2048" width="11.453125" style="5"/>
    <col min="2049" max="2049" width="12.81640625" style="5" customWidth="1"/>
    <col min="2050" max="2050" width="18.26953125" style="5" customWidth="1"/>
    <col min="2051" max="2051" width="13.7265625" style="5" customWidth="1"/>
    <col min="2052" max="2052" width="16.453125" style="5" customWidth="1"/>
    <col min="2053" max="2053" width="20.7265625" style="5" customWidth="1"/>
    <col min="2054" max="2054" width="23.81640625" style="5" customWidth="1"/>
    <col min="2055" max="2055" width="18.81640625" style="5" customWidth="1"/>
    <col min="2056" max="2056" width="8.26953125" style="5" customWidth="1"/>
    <col min="2057" max="2057" width="14.54296875" style="5" bestFit="1" customWidth="1"/>
    <col min="2058" max="2058" width="14.1796875" style="5" bestFit="1" customWidth="1"/>
    <col min="2059" max="2059" width="11.453125" style="5"/>
    <col min="2060" max="2060" width="15.54296875" style="5" customWidth="1"/>
    <col min="2061" max="2061" width="11.453125" style="5"/>
    <col min="2062" max="2062" width="13.81640625" style="5" bestFit="1" customWidth="1"/>
    <col min="2063" max="2304" width="11.453125" style="5"/>
    <col min="2305" max="2305" width="12.81640625" style="5" customWidth="1"/>
    <col min="2306" max="2306" width="18.26953125" style="5" customWidth="1"/>
    <col min="2307" max="2307" width="13.7265625" style="5" customWidth="1"/>
    <col min="2308" max="2308" width="16.453125" style="5" customWidth="1"/>
    <col min="2309" max="2309" width="20.7265625" style="5" customWidth="1"/>
    <col min="2310" max="2310" width="23.81640625" style="5" customWidth="1"/>
    <col min="2311" max="2311" width="18.81640625" style="5" customWidth="1"/>
    <col min="2312" max="2312" width="8.26953125" style="5" customWidth="1"/>
    <col min="2313" max="2313" width="14.54296875" style="5" bestFit="1" customWidth="1"/>
    <col min="2314" max="2314" width="14.1796875" style="5" bestFit="1" customWidth="1"/>
    <col min="2315" max="2315" width="11.453125" style="5"/>
    <col min="2316" max="2316" width="15.54296875" style="5" customWidth="1"/>
    <col min="2317" max="2317" width="11.453125" style="5"/>
    <col min="2318" max="2318" width="13.81640625" style="5" bestFit="1" customWidth="1"/>
    <col min="2319" max="2560" width="11.453125" style="5"/>
    <col min="2561" max="2561" width="12.81640625" style="5" customWidth="1"/>
    <col min="2562" max="2562" width="18.26953125" style="5" customWidth="1"/>
    <col min="2563" max="2563" width="13.7265625" style="5" customWidth="1"/>
    <col min="2564" max="2564" width="16.453125" style="5" customWidth="1"/>
    <col min="2565" max="2565" width="20.7265625" style="5" customWidth="1"/>
    <col min="2566" max="2566" width="23.81640625" style="5" customWidth="1"/>
    <col min="2567" max="2567" width="18.81640625" style="5" customWidth="1"/>
    <col min="2568" max="2568" width="8.26953125" style="5" customWidth="1"/>
    <col min="2569" max="2569" width="14.54296875" style="5" bestFit="1" customWidth="1"/>
    <col min="2570" max="2570" width="14.1796875" style="5" bestFit="1" customWidth="1"/>
    <col min="2571" max="2571" width="11.453125" style="5"/>
    <col min="2572" max="2572" width="15.54296875" style="5" customWidth="1"/>
    <col min="2573" max="2573" width="11.453125" style="5"/>
    <col min="2574" max="2574" width="13.81640625" style="5" bestFit="1" customWidth="1"/>
    <col min="2575" max="2816" width="11.453125" style="5"/>
    <col min="2817" max="2817" width="12.81640625" style="5" customWidth="1"/>
    <col min="2818" max="2818" width="18.26953125" style="5" customWidth="1"/>
    <col min="2819" max="2819" width="13.7265625" style="5" customWidth="1"/>
    <col min="2820" max="2820" width="16.453125" style="5" customWidth="1"/>
    <col min="2821" max="2821" width="20.7265625" style="5" customWidth="1"/>
    <col min="2822" max="2822" width="23.81640625" style="5" customWidth="1"/>
    <col min="2823" max="2823" width="18.81640625" style="5" customWidth="1"/>
    <col min="2824" max="2824" width="8.26953125" style="5" customWidth="1"/>
    <col min="2825" max="2825" width="14.54296875" style="5" bestFit="1" customWidth="1"/>
    <col min="2826" max="2826" width="14.1796875" style="5" bestFit="1" customWidth="1"/>
    <col min="2827" max="2827" width="11.453125" style="5"/>
    <col min="2828" max="2828" width="15.54296875" style="5" customWidth="1"/>
    <col min="2829" max="2829" width="11.453125" style="5"/>
    <col min="2830" max="2830" width="13.81640625" style="5" bestFit="1" customWidth="1"/>
    <col min="2831" max="3072" width="11.453125" style="5"/>
    <col min="3073" max="3073" width="12.81640625" style="5" customWidth="1"/>
    <col min="3074" max="3074" width="18.26953125" style="5" customWidth="1"/>
    <col min="3075" max="3075" width="13.7265625" style="5" customWidth="1"/>
    <col min="3076" max="3076" width="16.453125" style="5" customWidth="1"/>
    <col min="3077" max="3077" width="20.7265625" style="5" customWidth="1"/>
    <col min="3078" max="3078" width="23.81640625" style="5" customWidth="1"/>
    <col min="3079" max="3079" width="18.81640625" style="5" customWidth="1"/>
    <col min="3080" max="3080" width="8.26953125" style="5" customWidth="1"/>
    <col min="3081" max="3081" width="14.54296875" style="5" bestFit="1" customWidth="1"/>
    <col min="3082" max="3082" width="14.1796875" style="5" bestFit="1" customWidth="1"/>
    <col min="3083" max="3083" width="11.453125" style="5"/>
    <col min="3084" max="3084" width="15.54296875" style="5" customWidth="1"/>
    <col min="3085" max="3085" width="11.453125" style="5"/>
    <col min="3086" max="3086" width="13.81640625" style="5" bestFit="1" customWidth="1"/>
    <col min="3087" max="3328" width="11.453125" style="5"/>
    <col min="3329" max="3329" width="12.81640625" style="5" customWidth="1"/>
    <col min="3330" max="3330" width="18.26953125" style="5" customWidth="1"/>
    <col min="3331" max="3331" width="13.7265625" style="5" customWidth="1"/>
    <col min="3332" max="3332" width="16.453125" style="5" customWidth="1"/>
    <col min="3333" max="3333" width="20.7265625" style="5" customWidth="1"/>
    <col min="3334" max="3334" width="23.81640625" style="5" customWidth="1"/>
    <col min="3335" max="3335" width="18.81640625" style="5" customWidth="1"/>
    <col min="3336" max="3336" width="8.26953125" style="5" customWidth="1"/>
    <col min="3337" max="3337" width="14.54296875" style="5" bestFit="1" customWidth="1"/>
    <col min="3338" max="3338" width="14.1796875" style="5" bestFit="1" customWidth="1"/>
    <col min="3339" max="3339" width="11.453125" style="5"/>
    <col min="3340" max="3340" width="15.54296875" style="5" customWidth="1"/>
    <col min="3341" max="3341" width="11.453125" style="5"/>
    <col min="3342" max="3342" width="13.81640625" style="5" bestFit="1" customWidth="1"/>
    <col min="3343" max="3584" width="11.453125" style="5"/>
    <col min="3585" max="3585" width="12.81640625" style="5" customWidth="1"/>
    <col min="3586" max="3586" width="18.26953125" style="5" customWidth="1"/>
    <col min="3587" max="3587" width="13.7265625" style="5" customWidth="1"/>
    <col min="3588" max="3588" width="16.453125" style="5" customWidth="1"/>
    <col min="3589" max="3589" width="20.7265625" style="5" customWidth="1"/>
    <col min="3590" max="3590" width="23.81640625" style="5" customWidth="1"/>
    <col min="3591" max="3591" width="18.81640625" style="5" customWidth="1"/>
    <col min="3592" max="3592" width="8.26953125" style="5" customWidth="1"/>
    <col min="3593" max="3593" width="14.54296875" style="5" bestFit="1" customWidth="1"/>
    <col min="3594" max="3594" width="14.1796875" style="5" bestFit="1" customWidth="1"/>
    <col min="3595" max="3595" width="11.453125" style="5"/>
    <col min="3596" max="3596" width="15.54296875" style="5" customWidth="1"/>
    <col min="3597" max="3597" width="11.453125" style="5"/>
    <col min="3598" max="3598" width="13.81640625" style="5" bestFit="1" customWidth="1"/>
    <col min="3599" max="3840" width="11.453125" style="5"/>
    <col min="3841" max="3841" width="12.81640625" style="5" customWidth="1"/>
    <col min="3842" max="3842" width="18.26953125" style="5" customWidth="1"/>
    <col min="3843" max="3843" width="13.7265625" style="5" customWidth="1"/>
    <col min="3844" max="3844" width="16.453125" style="5" customWidth="1"/>
    <col min="3845" max="3845" width="20.7265625" style="5" customWidth="1"/>
    <col min="3846" max="3846" width="23.81640625" style="5" customWidth="1"/>
    <col min="3847" max="3847" width="18.81640625" style="5" customWidth="1"/>
    <col min="3848" max="3848" width="8.26953125" style="5" customWidth="1"/>
    <col min="3849" max="3849" width="14.54296875" style="5" bestFit="1" customWidth="1"/>
    <col min="3850" max="3850" width="14.1796875" style="5" bestFit="1" customWidth="1"/>
    <col min="3851" max="3851" width="11.453125" style="5"/>
    <col min="3852" max="3852" width="15.54296875" style="5" customWidth="1"/>
    <col min="3853" max="3853" width="11.453125" style="5"/>
    <col min="3854" max="3854" width="13.81640625" style="5" bestFit="1" customWidth="1"/>
    <col min="3855" max="4096" width="11.453125" style="5"/>
    <col min="4097" max="4097" width="12.81640625" style="5" customWidth="1"/>
    <col min="4098" max="4098" width="18.26953125" style="5" customWidth="1"/>
    <col min="4099" max="4099" width="13.7265625" style="5" customWidth="1"/>
    <col min="4100" max="4100" width="16.453125" style="5" customWidth="1"/>
    <col min="4101" max="4101" width="20.7265625" style="5" customWidth="1"/>
    <col min="4102" max="4102" width="23.81640625" style="5" customWidth="1"/>
    <col min="4103" max="4103" width="18.81640625" style="5" customWidth="1"/>
    <col min="4104" max="4104" width="8.26953125" style="5" customWidth="1"/>
    <col min="4105" max="4105" width="14.54296875" style="5" bestFit="1" customWidth="1"/>
    <col min="4106" max="4106" width="14.1796875" style="5" bestFit="1" customWidth="1"/>
    <col min="4107" max="4107" width="11.453125" style="5"/>
    <col min="4108" max="4108" width="15.54296875" style="5" customWidth="1"/>
    <col min="4109" max="4109" width="11.453125" style="5"/>
    <col min="4110" max="4110" width="13.81640625" style="5" bestFit="1" customWidth="1"/>
    <col min="4111" max="4352" width="11.453125" style="5"/>
    <col min="4353" max="4353" width="12.81640625" style="5" customWidth="1"/>
    <col min="4354" max="4354" width="18.26953125" style="5" customWidth="1"/>
    <col min="4355" max="4355" width="13.7265625" style="5" customWidth="1"/>
    <col min="4356" max="4356" width="16.453125" style="5" customWidth="1"/>
    <col min="4357" max="4357" width="20.7265625" style="5" customWidth="1"/>
    <col min="4358" max="4358" width="23.81640625" style="5" customWidth="1"/>
    <col min="4359" max="4359" width="18.81640625" style="5" customWidth="1"/>
    <col min="4360" max="4360" width="8.26953125" style="5" customWidth="1"/>
    <col min="4361" max="4361" width="14.54296875" style="5" bestFit="1" customWidth="1"/>
    <col min="4362" max="4362" width="14.1796875" style="5" bestFit="1" customWidth="1"/>
    <col min="4363" max="4363" width="11.453125" style="5"/>
    <col min="4364" max="4364" width="15.54296875" style="5" customWidth="1"/>
    <col min="4365" max="4365" width="11.453125" style="5"/>
    <col min="4366" max="4366" width="13.81640625" style="5" bestFit="1" customWidth="1"/>
    <col min="4367" max="4608" width="11.453125" style="5"/>
    <col min="4609" max="4609" width="12.81640625" style="5" customWidth="1"/>
    <col min="4610" max="4610" width="18.26953125" style="5" customWidth="1"/>
    <col min="4611" max="4611" width="13.7265625" style="5" customWidth="1"/>
    <col min="4612" max="4612" width="16.453125" style="5" customWidth="1"/>
    <col min="4613" max="4613" width="20.7265625" style="5" customWidth="1"/>
    <col min="4614" max="4614" width="23.81640625" style="5" customWidth="1"/>
    <col min="4615" max="4615" width="18.81640625" style="5" customWidth="1"/>
    <col min="4616" max="4616" width="8.26953125" style="5" customWidth="1"/>
    <col min="4617" max="4617" width="14.54296875" style="5" bestFit="1" customWidth="1"/>
    <col min="4618" max="4618" width="14.1796875" style="5" bestFit="1" customWidth="1"/>
    <col min="4619" max="4619" width="11.453125" style="5"/>
    <col min="4620" max="4620" width="15.54296875" style="5" customWidth="1"/>
    <col min="4621" max="4621" width="11.453125" style="5"/>
    <col min="4622" max="4622" width="13.81640625" style="5" bestFit="1" customWidth="1"/>
    <col min="4623" max="4864" width="11.453125" style="5"/>
    <col min="4865" max="4865" width="12.81640625" style="5" customWidth="1"/>
    <col min="4866" max="4866" width="18.26953125" style="5" customWidth="1"/>
    <col min="4867" max="4867" width="13.7265625" style="5" customWidth="1"/>
    <col min="4868" max="4868" width="16.453125" style="5" customWidth="1"/>
    <col min="4869" max="4869" width="20.7265625" style="5" customWidth="1"/>
    <col min="4870" max="4870" width="23.81640625" style="5" customWidth="1"/>
    <col min="4871" max="4871" width="18.81640625" style="5" customWidth="1"/>
    <col min="4872" max="4872" width="8.26953125" style="5" customWidth="1"/>
    <col min="4873" max="4873" width="14.54296875" style="5" bestFit="1" customWidth="1"/>
    <col min="4874" max="4874" width="14.1796875" style="5" bestFit="1" customWidth="1"/>
    <col min="4875" max="4875" width="11.453125" style="5"/>
    <col min="4876" max="4876" width="15.54296875" style="5" customWidth="1"/>
    <col min="4877" max="4877" width="11.453125" style="5"/>
    <col min="4878" max="4878" width="13.81640625" style="5" bestFit="1" customWidth="1"/>
    <col min="4879" max="5120" width="11.453125" style="5"/>
    <col min="5121" max="5121" width="12.81640625" style="5" customWidth="1"/>
    <col min="5122" max="5122" width="18.26953125" style="5" customWidth="1"/>
    <col min="5123" max="5123" width="13.7265625" style="5" customWidth="1"/>
    <col min="5124" max="5124" width="16.453125" style="5" customWidth="1"/>
    <col min="5125" max="5125" width="20.7265625" style="5" customWidth="1"/>
    <col min="5126" max="5126" width="23.81640625" style="5" customWidth="1"/>
    <col min="5127" max="5127" width="18.81640625" style="5" customWidth="1"/>
    <col min="5128" max="5128" width="8.26953125" style="5" customWidth="1"/>
    <col min="5129" max="5129" width="14.54296875" style="5" bestFit="1" customWidth="1"/>
    <col min="5130" max="5130" width="14.1796875" style="5" bestFit="1" customWidth="1"/>
    <col min="5131" max="5131" width="11.453125" style="5"/>
    <col min="5132" max="5132" width="15.54296875" style="5" customWidth="1"/>
    <col min="5133" max="5133" width="11.453125" style="5"/>
    <col min="5134" max="5134" width="13.81640625" style="5" bestFit="1" customWidth="1"/>
    <col min="5135" max="5376" width="11.453125" style="5"/>
    <col min="5377" max="5377" width="12.81640625" style="5" customWidth="1"/>
    <col min="5378" max="5378" width="18.26953125" style="5" customWidth="1"/>
    <col min="5379" max="5379" width="13.7265625" style="5" customWidth="1"/>
    <col min="5380" max="5380" width="16.453125" style="5" customWidth="1"/>
    <col min="5381" max="5381" width="20.7265625" style="5" customWidth="1"/>
    <col min="5382" max="5382" width="23.81640625" style="5" customWidth="1"/>
    <col min="5383" max="5383" width="18.81640625" style="5" customWidth="1"/>
    <col min="5384" max="5384" width="8.26953125" style="5" customWidth="1"/>
    <col min="5385" max="5385" width="14.54296875" style="5" bestFit="1" customWidth="1"/>
    <col min="5386" max="5386" width="14.1796875" style="5" bestFit="1" customWidth="1"/>
    <col min="5387" max="5387" width="11.453125" style="5"/>
    <col min="5388" max="5388" width="15.54296875" style="5" customWidth="1"/>
    <col min="5389" max="5389" width="11.453125" style="5"/>
    <col min="5390" max="5390" width="13.81640625" style="5" bestFit="1" customWidth="1"/>
    <col min="5391" max="5632" width="11.453125" style="5"/>
    <col min="5633" max="5633" width="12.81640625" style="5" customWidth="1"/>
    <col min="5634" max="5634" width="18.26953125" style="5" customWidth="1"/>
    <col min="5635" max="5635" width="13.7265625" style="5" customWidth="1"/>
    <col min="5636" max="5636" width="16.453125" style="5" customWidth="1"/>
    <col min="5637" max="5637" width="20.7265625" style="5" customWidth="1"/>
    <col min="5638" max="5638" width="23.81640625" style="5" customWidth="1"/>
    <col min="5639" max="5639" width="18.81640625" style="5" customWidth="1"/>
    <col min="5640" max="5640" width="8.26953125" style="5" customWidth="1"/>
    <col min="5641" max="5641" width="14.54296875" style="5" bestFit="1" customWidth="1"/>
    <col min="5642" max="5642" width="14.1796875" style="5" bestFit="1" customWidth="1"/>
    <col min="5643" max="5643" width="11.453125" style="5"/>
    <col min="5644" max="5644" width="15.54296875" style="5" customWidth="1"/>
    <col min="5645" max="5645" width="11.453125" style="5"/>
    <col min="5646" max="5646" width="13.81640625" style="5" bestFit="1" customWidth="1"/>
    <col min="5647" max="5888" width="11.453125" style="5"/>
    <col min="5889" max="5889" width="12.81640625" style="5" customWidth="1"/>
    <col min="5890" max="5890" width="18.26953125" style="5" customWidth="1"/>
    <col min="5891" max="5891" width="13.7265625" style="5" customWidth="1"/>
    <col min="5892" max="5892" width="16.453125" style="5" customWidth="1"/>
    <col min="5893" max="5893" width="20.7265625" style="5" customWidth="1"/>
    <col min="5894" max="5894" width="23.81640625" style="5" customWidth="1"/>
    <col min="5895" max="5895" width="18.81640625" style="5" customWidth="1"/>
    <col min="5896" max="5896" width="8.26953125" style="5" customWidth="1"/>
    <col min="5897" max="5897" width="14.54296875" style="5" bestFit="1" customWidth="1"/>
    <col min="5898" max="5898" width="14.1796875" style="5" bestFit="1" customWidth="1"/>
    <col min="5899" max="5899" width="11.453125" style="5"/>
    <col min="5900" max="5900" width="15.54296875" style="5" customWidth="1"/>
    <col min="5901" max="5901" width="11.453125" style="5"/>
    <col min="5902" max="5902" width="13.81640625" style="5" bestFit="1" customWidth="1"/>
    <col min="5903" max="6144" width="11.453125" style="5"/>
    <col min="6145" max="6145" width="12.81640625" style="5" customWidth="1"/>
    <col min="6146" max="6146" width="18.26953125" style="5" customWidth="1"/>
    <col min="6147" max="6147" width="13.7265625" style="5" customWidth="1"/>
    <col min="6148" max="6148" width="16.453125" style="5" customWidth="1"/>
    <col min="6149" max="6149" width="20.7265625" style="5" customWidth="1"/>
    <col min="6150" max="6150" width="23.81640625" style="5" customWidth="1"/>
    <col min="6151" max="6151" width="18.81640625" style="5" customWidth="1"/>
    <col min="6152" max="6152" width="8.26953125" style="5" customWidth="1"/>
    <col min="6153" max="6153" width="14.54296875" style="5" bestFit="1" customWidth="1"/>
    <col min="6154" max="6154" width="14.1796875" style="5" bestFit="1" customWidth="1"/>
    <col min="6155" max="6155" width="11.453125" style="5"/>
    <col min="6156" max="6156" width="15.54296875" style="5" customWidth="1"/>
    <col min="6157" max="6157" width="11.453125" style="5"/>
    <col min="6158" max="6158" width="13.81640625" style="5" bestFit="1" customWidth="1"/>
    <col min="6159" max="6400" width="11.453125" style="5"/>
    <col min="6401" max="6401" width="12.81640625" style="5" customWidth="1"/>
    <col min="6402" max="6402" width="18.26953125" style="5" customWidth="1"/>
    <col min="6403" max="6403" width="13.7265625" style="5" customWidth="1"/>
    <col min="6404" max="6404" width="16.453125" style="5" customWidth="1"/>
    <col min="6405" max="6405" width="20.7265625" style="5" customWidth="1"/>
    <col min="6406" max="6406" width="23.81640625" style="5" customWidth="1"/>
    <col min="6407" max="6407" width="18.81640625" style="5" customWidth="1"/>
    <col min="6408" max="6408" width="8.26953125" style="5" customWidth="1"/>
    <col min="6409" max="6409" width="14.54296875" style="5" bestFit="1" customWidth="1"/>
    <col min="6410" max="6410" width="14.1796875" style="5" bestFit="1" customWidth="1"/>
    <col min="6411" max="6411" width="11.453125" style="5"/>
    <col min="6412" max="6412" width="15.54296875" style="5" customWidth="1"/>
    <col min="6413" max="6413" width="11.453125" style="5"/>
    <col min="6414" max="6414" width="13.81640625" style="5" bestFit="1" customWidth="1"/>
    <col min="6415" max="6656" width="11.453125" style="5"/>
    <col min="6657" max="6657" width="12.81640625" style="5" customWidth="1"/>
    <col min="6658" max="6658" width="18.26953125" style="5" customWidth="1"/>
    <col min="6659" max="6659" width="13.7265625" style="5" customWidth="1"/>
    <col min="6660" max="6660" width="16.453125" style="5" customWidth="1"/>
    <col min="6661" max="6661" width="20.7265625" style="5" customWidth="1"/>
    <col min="6662" max="6662" width="23.81640625" style="5" customWidth="1"/>
    <col min="6663" max="6663" width="18.81640625" style="5" customWidth="1"/>
    <col min="6664" max="6664" width="8.26953125" style="5" customWidth="1"/>
    <col min="6665" max="6665" width="14.54296875" style="5" bestFit="1" customWidth="1"/>
    <col min="6666" max="6666" width="14.1796875" style="5" bestFit="1" customWidth="1"/>
    <col min="6667" max="6667" width="11.453125" style="5"/>
    <col min="6668" max="6668" width="15.54296875" style="5" customWidth="1"/>
    <col min="6669" max="6669" width="11.453125" style="5"/>
    <col min="6670" max="6670" width="13.81640625" style="5" bestFit="1" customWidth="1"/>
    <col min="6671" max="6912" width="11.453125" style="5"/>
    <col min="6913" max="6913" width="12.81640625" style="5" customWidth="1"/>
    <col min="6914" max="6914" width="18.26953125" style="5" customWidth="1"/>
    <col min="6915" max="6915" width="13.7265625" style="5" customWidth="1"/>
    <col min="6916" max="6916" width="16.453125" style="5" customWidth="1"/>
    <col min="6917" max="6917" width="20.7265625" style="5" customWidth="1"/>
    <col min="6918" max="6918" width="23.81640625" style="5" customWidth="1"/>
    <col min="6919" max="6919" width="18.81640625" style="5" customWidth="1"/>
    <col min="6920" max="6920" width="8.26953125" style="5" customWidth="1"/>
    <col min="6921" max="6921" width="14.54296875" style="5" bestFit="1" customWidth="1"/>
    <col min="6922" max="6922" width="14.1796875" style="5" bestFit="1" customWidth="1"/>
    <col min="6923" max="6923" width="11.453125" style="5"/>
    <col min="6924" max="6924" width="15.54296875" style="5" customWidth="1"/>
    <col min="6925" max="6925" width="11.453125" style="5"/>
    <col min="6926" max="6926" width="13.81640625" style="5" bestFit="1" customWidth="1"/>
    <col min="6927" max="7168" width="11.453125" style="5"/>
    <col min="7169" max="7169" width="12.81640625" style="5" customWidth="1"/>
    <col min="7170" max="7170" width="18.26953125" style="5" customWidth="1"/>
    <col min="7171" max="7171" width="13.7265625" style="5" customWidth="1"/>
    <col min="7172" max="7172" width="16.453125" style="5" customWidth="1"/>
    <col min="7173" max="7173" width="20.7265625" style="5" customWidth="1"/>
    <col min="7174" max="7174" width="23.81640625" style="5" customWidth="1"/>
    <col min="7175" max="7175" width="18.81640625" style="5" customWidth="1"/>
    <col min="7176" max="7176" width="8.26953125" style="5" customWidth="1"/>
    <col min="7177" max="7177" width="14.54296875" style="5" bestFit="1" customWidth="1"/>
    <col min="7178" max="7178" width="14.1796875" style="5" bestFit="1" customWidth="1"/>
    <col min="7179" max="7179" width="11.453125" style="5"/>
    <col min="7180" max="7180" width="15.54296875" style="5" customWidth="1"/>
    <col min="7181" max="7181" width="11.453125" style="5"/>
    <col min="7182" max="7182" width="13.81640625" style="5" bestFit="1" customWidth="1"/>
    <col min="7183" max="7424" width="11.453125" style="5"/>
    <col min="7425" max="7425" width="12.81640625" style="5" customWidth="1"/>
    <col min="7426" max="7426" width="18.26953125" style="5" customWidth="1"/>
    <col min="7427" max="7427" width="13.7265625" style="5" customWidth="1"/>
    <col min="7428" max="7428" width="16.453125" style="5" customWidth="1"/>
    <col min="7429" max="7429" width="20.7265625" style="5" customWidth="1"/>
    <col min="7430" max="7430" width="23.81640625" style="5" customWidth="1"/>
    <col min="7431" max="7431" width="18.81640625" style="5" customWidth="1"/>
    <col min="7432" max="7432" width="8.26953125" style="5" customWidth="1"/>
    <col min="7433" max="7433" width="14.54296875" style="5" bestFit="1" customWidth="1"/>
    <col min="7434" max="7434" width="14.1796875" style="5" bestFit="1" customWidth="1"/>
    <col min="7435" max="7435" width="11.453125" style="5"/>
    <col min="7436" max="7436" width="15.54296875" style="5" customWidth="1"/>
    <col min="7437" max="7437" width="11.453125" style="5"/>
    <col min="7438" max="7438" width="13.81640625" style="5" bestFit="1" customWidth="1"/>
    <col min="7439" max="7680" width="11.453125" style="5"/>
    <col min="7681" max="7681" width="12.81640625" style="5" customWidth="1"/>
    <col min="7682" max="7682" width="18.26953125" style="5" customWidth="1"/>
    <col min="7683" max="7683" width="13.7265625" style="5" customWidth="1"/>
    <col min="7684" max="7684" width="16.453125" style="5" customWidth="1"/>
    <col min="7685" max="7685" width="20.7265625" style="5" customWidth="1"/>
    <col min="7686" max="7686" width="23.81640625" style="5" customWidth="1"/>
    <col min="7687" max="7687" width="18.81640625" style="5" customWidth="1"/>
    <col min="7688" max="7688" width="8.26953125" style="5" customWidth="1"/>
    <col min="7689" max="7689" width="14.54296875" style="5" bestFit="1" customWidth="1"/>
    <col min="7690" max="7690" width="14.1796875" style="5" bestFit="1" customWidth="1"/>
    <col min="7691" max="7691" width="11.453125" style="5"/>
    <col min="7692" max="7692" width="15.54296875" style="5" customWidth="1"/>
    <col min="7693" max="7693" width="11.453125" style="5"/>
    <col min="7694" max="7694" width="13.81640625" style="5" bestFit="1" customWidth="1"/>
    <col min="7695" max="7936" width="11.453125" style="5"/>
    <col min="7937" max="7937" width="12.81640625" style="5" customWidth="1"/>
    <col min="7938" max="7938" width="18.26953125" style="5" customWidth="1"/>
    <col min="7939" max="7939" width="13.7265625" style="5" customWidth="1"/>
    <col min="7940" max="7940" width="16.453125" style="5" customWidth="1"/>
    <col min="7941" max="7941" width="20.7265625" style="5" customWidth="1"/>
    <col min="7942" max="7942" width="23.81640625" style="5" customWidth="1"/>
    <col min="7943" max="7943" width="18.81640625" style="5" customWidth="1"/>
    <col min="7944" max="7944" width="8.26953125" style="5" customWidth="1"/>
    <col min="7945" max="7945" width="14.54296875" style="5" bestFit="1" customWidth="1"/>
    <col min="7946" max="7946" width="14.1796875" style="5" bestFit="1" customWidth="1"/>
    <col min="7947" max="7947" width="11.453125" style="5"/>
    <col min="7948" max="7948" width="15.54296875" style="5" customWidth="1"/>
    <col min="7949" max="7949" width="11.453125" style="5"/>
    <col min="7950" max="7950" width="13.81640625" style="5" bestFit="1" customWidth="1"/>
    <col min="7951" max="8192" width="11.453125" style="5"/>
    <col min="8193" max="8193" width="12.81640625" style="5" customWidth="1"/>
    <col min="8194" max="8194" width="18.26953125" style="5" customWidth="1"/>
    <col min="8195" max="8195" width="13.7265625" style="5" customWidth="1"/>
    <col min="8196" max="8196" width="16.453125" style="5" customWidth="1"/>
    <col min="8197" max="8197" width="20.7265625" style="5" customWidth="1"/>
    <col min="8198" max="8198" width="23.81640625" style="5" customWidth="1"/>
    <col min="8199" max="8199" width="18.81640625" style="5" customWidth="1"/>
    <col min="8200" max="8200" width="8.26953125" style="5" customWidth="1"/>
    <col min="8201" max="8201" width="14.54296875" style="5" bestFit="1" customWidth="1"/>
    <col min="8202" max="8202" width="14.1796875" style="5" bestFit="1" customWidth="1"/>
    <col min="8203" max="8203" width="11.453125" style="5"/>
    <col min="8204" max="8204" width="15.54296875" style="5" customWidth="1"/>
    <col min="8205" max="8205" width="11.453125" style="5"/>
    <col min="8206" max="8206" width="13.81640625" style="5" bestFit="1" customWidth="1"/>
    <col min="8207" max="8448" width="11.453125" style="5"/>
    <col min="8449" max="8449" width="12.81640625" style="5" customWidth="1"/>
    <col min="8450" max="8450" width="18.26953125" style="5" customWidth="1"/>
    <col min="8451" max="8451" width="13.7265625" style="5" customWidth="1"/>
    <col min="8452" max="8452" width="16.453125" style="5" customWidth="1"/>
    <col min="8453" max="8453" width="20.7265625" style="5" customWidth="1"/>
    <col min="8454" max="8454" width="23.81640625" style="5" customWidth="1"/>
    <col min="8455" max="8455" width="18.81640625" style="5" customWidth="1"/>
    <col min="8456" max="8456" width="8.26953125" style="5" customWidth="1"/>
    <col min="8457" max="8457" width="14.54296875" style="5" bestFit="1" customWidth="1"/>
    <col min="8458" max="8458" width="14.1796875" style="5" bestFit="1" customWidth="1"/>
    <col min="8459" max="8459" width="11.453125" style="5"/>
    <col min="8460" max="8460" width="15.54296875" style="5" customWidth="1"/>
    <col min="8461" max="8461" width="11.453125" style="5"/>
    <col min="8462" max="8462" width="13.81640625" style="5" bestFit="1" customWidth="1"/>
    <col min="8463" max="8704" width="11.453125" style="5"/>
    <col min="8705" max="8705" width="12.81640625" style="5" customWidth="1"/>
    <col min="8706" max="8706" width="18.26953125" style="5" customWidth="1"/>
    <col min="8707" max="8707" width="13.7265625" style="5" customWidth="1"/>
    <col min="8708" max="8708" width="16.453125" style="5" customWidth="1"/>
    <col min="8709" max="8709" width="20.7265625" style="5" customWidth="1"/>
    <col min="8710" max="8710" width="23.81640625" style="5" customWidth="1"/>
    <col min="8711" max="8711" width="18.81640625" style="5" customWidth="1"/>
    <col min="8712" max="8712" width="8.26953125" style="5" customWidth="1"/>
    <col min="8713" max="8713" width="14.54296875" style="5" bestFit="1" customWidth="1"/>
    <col min="8714" max="8714" width="14.1796875" style="5" bestFit="1" customWidth="1"/>
    <col min="8715" max="8715" width="11.453125" style="5"/>
    <col min="8716" max="8716" width="15.54296875" style="5" customWidth="1"/>
    <col min="8717" max="8717" width="11.453125" style="5"/>
    <col min="8718" max="8718" width="13.81640625" style="5" bestFit="1" customWidth="1"/>
    <col min="8719" max="8960" width="11.453125" style="5"/>
    <col min="8961" max="8961" width="12.81640625" style="5" customWidth="1"/>
    <col min="8962" max="8962" width="18.26953125" style="5" customWidth="1"/>
    <col min="8963" max="8963" width="13.7265625" style="5" customWidth="1"/>
    <col min="8964" max="8964" width="16.453125" style="5" customWidth="1"/>
    <col min="8965" max="8965" width="20.7265625" style="5" customWidth="1"/>
    <col min="8966" max="8966" width="23.81640625" style="5" customWidth="1"/>
    <col min="8967" max="8967" width="18.81640625" style="5" customWidth="1"/>
    <col min="8968" max="8968" width="8.26953125" style="5" customWidth="1"/>
    <col min="8969" max="8969" width="14.54296875" style="5" bestFit="1" customWidth="1"/>
    <col min="8970" max="8970" width="14.1796875" style="5" bestFit="1" customWidth="1"/>
    <col min="8971" max="8971" width="11.453125" style="5"/>
    <col min="8972" max="8972" width="15.54296875" style="5" customWidth="1"/>
    <col min="8973" max="8973" width="11.453125" style="5"/>
    <col min="8974" max="8974" width="13.81640625" style="5" bestFit="1" customWidth="1"/>
    <col min="8975" max="9216" width="11.453125" style="5"/>
    <col min="9217" max="9217" width="12.81640625" style="5" customWidth="1"/>
    <col min="9218" max="9218" width="18.26953125" style="5" customWidth="1"/>
    <col min="9219" max="9219" width="13.7265625" style="5" customWidth="1"/>
    <col min="9220" max="9220" width="16.453125" style="5" customWidth="1"/>
    <col min="9221" max="9221" width="20.7265625" style="5" customWidth="1"/>
    <col min="9222" max="9222" width="23.81640625" style="5" customWidth="1"/>
    <col min="9223" max="9223" width="18.81640625" style="5" customWidth="1"/>
    <col min="9224" max="9224" width="8.26953125" style="5" customWidth="1"/>
    <col min="9225" max="9225" width="14.54296875" style="5" bestFit="1" customWidth="1"/>
    <col min="9226" max="9226" width="14.1796875" style="5" bestFit="1" customWidth="1"/>
    <col min="9227" max="9227" width="11.453125" style="5"/>
    <col min="9228" max="9228" width="15.54296875" style="5" customWidth="1"/>
    <col min="9229" max="9229" width="11.453125" style="5"/>
    <col min="9230" max="9230" width="13.81640625" style="5" bestFit="1" customWidth="1"/>
    <col min="9231" max="9472" width="11.453125" style="5"/>
    <col min="9473" max="9473" width="12.81640625" style="5" customWidth="1"/>
    <col min="9474" max="9474" width="18.26953125" style="5" customWidth="1"/>
    <col min="9475" max="9475" width="13.7265625" style="5" customWidth="1"/>
    <col min="9476" max="9476" width="16.453125" style="5" customWidth="1"/>
    <col min="9477" max="9477" width="20.7265625" style="5" customWidth="1"/>
    <col min="9478" max="9478" width="23.81640625" style="5" customWidth="1"/>
    <col min="9479" max="9479" width="18.81640625" style="5" customWidth="1"/>
    <col min="9480" max="9480" width="8.26953125" style="5" customWidth="1"/>
    <col min="9481" max="9481" width="14.54296875" style="5" bestFit="1" customWidth="1"/>
    <col min="9482" max="9482" width="14.1796875" style="5" bestFit="1" customWidth="1"/>
    <col min="9483" max="9483" width="11.453125" style="5"/>
    <col min="9484" max="9484" width="15.54296875" style="5" customWidth="1"/>
    <col min="9485" max="9485" width="11.453125" style="5"/>
    <col min="9486" max="9486" width="13.81640625" style="5" bestFit="1" customWidth="1"/>
    <col min="9487" max="9728" width="11.453125" style="5"/>
    <col min="9729" max="9729" width="12.81640625" style="5" customWidth="1"/>
    <col min="9730" max="9730" width="18.26953125" style="5" customWidth="1"/>
    <col min="9731" max="9731" width="13.7265625" style="5" customWidth="1"/>
    <col min="9732" max="9732" width="16.453125" style="5" customWidth="1"/>
    <col min="9733" max="9733" width="20.7265625" style="5" customWidth="1"/>
    <col min="9734" max="9734" width="23.81640625" style="5" customWidth="1"/>
    <col min="9735" max="9735" width="18.81640625" style="5" customWidth="1"/>
    <col min="9736" max="9736" width="8.26953125" style="5" customWidth="1"/>
    <col min="9737" max="9737" width="14.54296875" style="5" bestFit="1" customWidth="1"/>
    <col min="9738" max="9738" width="14.1796875" style="5" bestFit="1" customWidth="1"/>
    <col min="9739" max="9739" width="11.453125" style="5"/>
    <col min="9740" max="9740" width="15.54296875" style="5" customWidth="1"/>
    <col min="9741" max="9741" width="11.453125" style="5"/>
    <col min="9742" max="9742" width="13.81640625" style="5" bestFit="1" customWidth="1"/>
    <col min="9743" max="9984" width="11.453125" style="5"/>
    <col min="9985" max="9985" width="12.81640625" style="5" customWidth="1"/>
    <col min="9986" max="9986" width="18.26953125" style="5" customWidth="1"/>
    <col min="9987" max="9987" width="13.7265625" style="5" customWidth="1"/>
    <col min="9988" max="9988" width="16.453125" style="5" customWidth="1"/>
    <col min="9989" max="9989" width="20.7265625" style="5" customWidth="1"/>
    <col min="9990" max="9990" width="23.81640625" style="5" customWidth="1"/>
    <col min="9991" max="9991" width="18.81640625" style="5" customWidth="1"/>
    <col min="9992" max="9992" width="8.26953125" style="5" customWidth="1"/>
    <col min="9993" max="9993" width="14.54296875" style="5" bestFit="1" customWidth="1"/>
    <col min="9994" max="9994" width="14.1796875" style="5" bestFit="1" customWidth="1"/>
    <col min="9995" max="9995" width="11.453125" style="5"/>
    <col min="9996" max="9996" width="15.54296875" style="5" customWidth="1"/>
    <col min="9997" max="9997" width="11.453125" style="5"/>
    <col min="9998" max="9998" width="13.81640625" style="5" bestFit="1" customWidth="1"/>
    <col min="9999" max="10240" width="11.453125" style="5"/>
    <col min="10241" max="10241" width="12.81640625" style="5" customWidth="1"/>
    <col min="10242" max="10242" width="18.26953125" style="5" customWidth="1"/>
    <col min="10243" max="10243" width="13.7265625" style="5" customWidth="1"/>
    <col min="10244" max="10244" width="16.453125" style="5" customWidth="1"/>
    <col min="10245" max="10245" width="20.7265625" style="5" customWidth="1"/>
    <col min="10246" max="10246" width="23.81640625" style="5" customWidth="1"/>
    <col min="10247" max="10247" width="18.81640625" style="5" customWidth="1"/>
    <col min="10248" max="10248" width="8.26953125" style="5" customWidth="1"/>
    <col min="10249" max="10249" width="14.54296875" style="5" bestFit="1" customWidth="1"/>
    <col min="10250" max="10250" width="14.1796875" style="5" bestFit="1" customWidth="1"/>
    <col min="10251" max="10251" width="11.453125" style="5"/>
    <col min="10252" max="10252" width="15.54296875" style="5" customWidth="1"/>
    <col min="10253" max="10253" width="11.453125" style="5"/>
    <col min="10254" max="10254" width="13.81640625" style="5" bestFit="1" customWidth="1"/>
    <col min="10255" max="10496" width="11.453125" style="5"/>
    <col min="10497" max="10497" width="12.81640625" style="5" customWidth="1"/>
    <col min="10498" max="10498" width="18.26953125" style="5" customWidth="1"/>
    <col min="10499" max="10499" width="13.7265625" style="5" customWidth="1"/>
    <col min="10500" max="10500" width="16.453125" style="5" customWidth="1"/>
    <col min="10501" max="10501" width="20.7265625" style="5" customWidth="1"/>
    <col min="10502" max="10502" width="23.81640625" style="5" customWidth="1"/>
    <col min="10503" max="10503" width="18.81640625" style="5" customWidth="1"/>
    <col min="10504" max="10504" width="8.26953125" style="5" customWidth="1"/>
    <col min="10505" max="10505" width="14.54296875" style="5" bestFit="1" customWidth="1"/>
    <col min="10506" max="10506" width="14.1796875" style="5" bestFit="1" customWidth="1"/>
    <col min="10507" max="10507" width="11.453125" style="5"/>
    <col min="10508" max="10508" width="15.54296875" style="5" customWidth="1"/>
    <col min="10509" max="10509" width="11.453125" style="5"/>
    <col min="10510" max="10510" width="13.81640625" style="5" bestFit="1" customWidth="1"/>
    <col min="10511" max="10752" width="11.453125" style="5"/>
    <col min="10753" max="10753" width="12.81640625" style="5" customWidth="1"/>
    <col min="10754" max="10754" width="18.26953125" style="5" customWidth="1"/>
    <col min="10755" max="10755" width="13.7265625" style="5" customWidth="1"/>
    <col min="10756" max="10756" width="16.453125" style="5" customWidth="1"/>
    <col min="10757" max="10757" width="20.7265625" style="5" customWidth="1"/>
    <col min="10758" max="10758" width="23.81640625" style="5" customWidth="1"/>
    <col min="10759" max="10759" width="18.81640625" style="5" customWidth="1"/>
    <col min="10760" max="10760" width="8.26953125" style="5" customWidth="1"/>
    <col min="10761" max="10761" width="14.54296875" style="5" bestFit="1" customWidth="1"/>
    <col min="10762" max="10762" width="14.1796875" style="5" bestFit="1" customWidth="1"/>
    <col min="10763" max="10763" width="11.453125" style="5"/>
    <col min="10764" max="10764" width="15.54296875" style="5" customWidth="1"/>
    <col min="10765" max="10765" width="11.453125" style="5"/>
    <col min="10766" max="10766" width="13.81640625" style="5" bestFit="1" customWidth="1"/>
    <col min="10767" max="11008" width="11.453125" style="5"/>
    <col min="11009" max="11009" width="12.81640625" style="5" customWidth="1"/>
    <col min="11010" max="11010" width="18.26953125" style="5" customWidth="1"/>
    <col min="11011" max="11011" width="13.7265625" style="5" customWidth="1"/>
    <col min="11012" max="11012" width="16.453125" style="5" customWidth="1"/>
    <col min="11013" max="11013" width="20.7265625" style="5" customWidth="1"/>
    <col min="11014" max="11014" width="23.81640625" style="5" customWidth="1"/>
    <col min="11015" max="11015" width="18.81640625" style="5" customWidth="1"/>
    <col min="11016" max="11016" width="8.26953125" style="5" customWidth="1"/>
    <col min="11017" max="11017" width="14.54296875" style="5" bestFit="1" customWidth="1"/>
    <col min="11018" max="11018" width="14.1796875" style="5" bestFit="1" customWidth="1"/>
    <col min="11019" max="11019" width="11.453125" style="5"/>
    <col min="11020" max="11020" width="15.54296875" style="5" customWidth="1"/>
    <col min="11021" max="11021" width="11.453125" style="5"/>
    <col min="11022" max="11022" width="13.81640625" style="5" bestFit="1" customWidth="1"/>
    <col min="11023" max="11264" width="11.453125" style="5"/>
    <col min="11265" max="11265" width="12.81640625" style="5" customWidth="1"/>
    <col min="11266" max="11266" width="18.26953125" style="5" customWidth="1"/>
    <col min="11267" max="11267" width="13.7265625" style="5" customWidth="1"/>
    <col min="11268" max="11268" width="16.453125" style="5" customWidth="1"/>
    <col min="11269" max="11269" width="20.7265625" style="5" customWidth="1"/>
    <col min="11270" max="11270" width="23.81640625" style="5" customWidth="1"/>
    <col min="11271" max="11271" width="18.81640625" style="5" customWidth="1"/>
    <col min="11272" max="11272" width="8.26953125" style="5" customWidth="1"/>
    <col min="11273" max="11273" width="14.54296875" style="5" bestFit="1" customWidth="1"/>
    <col min="11274" max="11274" width="14.1796875" style="5" bestFit="1" customWidth="1"/>
    <col min="11275" max="11275" width="11.453125" style="5"/>
    <col min="11276" max="11276" width="15.54296875" style="5" customWidth="1"/>
    <col min="11277" max="11277" width="11.453125" style="5"/>
    <col min="11278" max="11278" width="13.81640625" style="5" bestFit="1" customWidth="1"/>
    <col min="11279" max="11520" width="11.453125" style="5"/>
    <col min="11521" max="11521" width="12.81640625" style="5" customWidth="1"/>
    <col min="11522" max="11522" width="18.26953125" style="5" customWidth="1"/>
    <col min="11523" max="11523" width="13.7265625" style="5" customWidth="1"/>
    <col min="11524" max="11524" width="16.453125" style="5" customWidth="1"/>
    <col min="11525" max="11525" width="20.7265625" style="5" customWidth="1"/>
    <col min="11526" max="11526" width="23.81640625" style="5" customWidth="1"/>
    <col min="11527" max="11527" width="18.81640625" style="5" customWidth="1"/>
    <col min="11528" max="11528" width="8.26953125" style="5" customWidth="1"/>
    <col min="11529" max="11529" width="14.54296875" style="5" bestFit="1" customWidth="1"/>
    <col min="11530" max="11530" width="14.1796875" style="5" bestFit="1" customWidth="1"/>
    <col min="11531" max="11531" width="11.453125" style="5"/>
    <col min="11532" max="11532" width="15.54296875" style="5" customWidth="1"/>
    <col min="11533" max="11533" width="11.453125" style="5"/>
    <col min="11534" max="11534" width="13.81640625" style="5" bestFit="1" customWidth="1"/>
    <col min="11535" max="11776" width="11.453125" style="5"/>
    <col min="11777" max="11777" width="12.81640625" style="5" customWidth="1"/>
    <col min="11778" max="11778" width="18.26953125" style="5" customWidth="1"/>
    <col min="11779" max="11779" width="13.7265625" style="5" customWidth="1"/>
    <col min="11780" max="11780" width="16.453125" style="5" customWidth="1"/>
    <col min="11781" max="11781" width="20.7265625" style="5" customWidth="1"/>
    <col min="11782" max="11782" width="23.81640625" style="5" customWidth="1"/>
    <col min="11783" max="11783" width="18.81640625" style="5" customWidth="1"/>
    <col min="11784" max="11784" width="8.26953125" style="5" customWidth="1"/>
    <col min="11785" max="11785" width="14.54296875" style="5" bestFit="1" customWidth="1"/>
    <col min="11786" max="11786" width="14.1796875" style="5" bestFit="1" customWidth="1"/>
    <col min="11787" max="11787" width="11.453125" style="5"/>
    <col min="11788" max="11788" width="15.54296875" style="5" customWidth="1"/>
    <col min="11789" max="11789" width="11.453125" style="5"/>
    <col min="11790" max="11790" width="13.81640625" style="5" bestFit="1" customWidth="1"/>
    <col min="11791" max="12032" width="11.453125" style="5"/>
    <col min="12033" max="12033" width="12.81640625" style="5" customWidth="1"/>
    <col min="12034" max="12034" width="18.26953125" style="5" customWidth="1"/>
    <col min="12035" max="12035" width="13.7265625" style="5" customWidth="1"/>
    <col min="12036" max="12036" width="16.453125" style="5" customWidth="1"/>
    <col min="12037" max="12037" width="20.7265625" style="5" customWidth="1"/>
    <col min="12038" max="12038" width="23.81640625" style="5" customWidth="1"/>
    <col min="12039" max="12039" width="18.81640625" style="5" customWidth="1"/>
    <col min="12040" max="12040" width="8.26953125" style="5" customWidth="1"/>
    <col min="12041" max="12041" width="14.54296875" style="5" bestFit="1" customWidth="1"/>
    <col min="12042" max="12042" width="14.1796875" style="5" bestFit="1" customWidth="1"/>
    <col min="12043" max="12043" width="11.453125" style="5"/>
    <col min="12044" max="12044" width="15.54296875" style="5" customWidth="1"/>
    <col min="12045" max="12045" width="11.453125" style="5"/>
    <col min="12046" max="12046" width="13.81640625" style="5" bestFit="1" customWidth="1"/>
    <col min="12047" max="12288" width="11.453125" style="5"/>
    <col min="12289" max="12289" width="12.81640625" style="5" customWidth="1"/>
    <col min="12290" max="12290" width="18.26953125" style="5" customWidth="1"/>
    <col min="12291" max="12291" width="13.7265625" style="5" customWidth="1"/>
    <col min="12292" max="12292" width="16.453125" style="5" customWidth="1"/>
    <col min="12293" max="12293" width="20.7265625" style="5" customWidth="1"/>
    <col min="12294" max="12294" width="23.81640625" style="5" customWidth="1"/>
    <col min="12295" max="12295" width="18.81640625" style="5" customWidth="1"/>
    <col min="12296" max="12296" width="8.26953125" style="5" customWidth="1"/>
    <col min="12297" max="12297" width="14.54296875" style="5" bestFit="1" customWidth="1"/>
    <col min="12298" max="12298" width="14.1796875" style="5" bestFit="1" customWidth="1"/>
    <col min="12299" max="12299" width="11.453125" style="5"/>
    <col min="12300" max="12300" width="15.54296875" style="5" customWidth="1"/>
    <col min="12301" max="12301" width="11.453125" style="5"/>
    <col min="12302" max="12302" width="13.81640625" style="5" bestFit="1" customWidth="1"/>
    <col min="12303" max="12544" width="11.453125" style="5"/>
    <col min="12545" max="12545" width="12.81640625" style="5" customWidth="1"/>
    <col min="12546" max="12546" width="18.26953125" style="5" customWidth="1"/>
    <col min="12547" max="12547" width="13.7265625" style="5" customWidth="1"/>
    <col min="12548" max="12548" width="16.453125" style="5" customWidth="1"/>
    <col min="12549" max="12549" width="20.7265625" style="5" customWidth="1"/>
    <col min="12550" max="12550" width="23.81640625" style="5" customWidth="1"/>
    <col min="12551" max="12551" width="18.81640625" style="5" customWidth="1"/>
    <col min="12552" max="12552" width="8.26953125" style="5" customWidth="1"/>
    <col min="12553" max="12553" width="14.54296875" style="5" bestFit="1" customWidth="1"/>
    <col min="12554" max="12554" width="14.1796875" style="5" bestFit="1" customWidth="1"/>
    <col min="12555" max="12555" width="11.453125" style="5"/>
    <col min="12556" max="12556" width="15.54296875" style="5" customWidth="1"/>
    <col min="12557" max="12557" width="11.453125" style="5"/>
    <col min="12558" max="12558" width="13.81640625" style="5" bestFit="1" customWidth="1"/>
    <col min="12559" max="12800" width="11.453125" style="5"/>
    <col min="12801" max="12801" width="12.81640625" style="5" customWidth="1"/>
    <col min="12802" max="12802" width="18.26953125" style="5" customWidth="1"/>
    <col min="12803" max="12803" width="13.7265625" style="5" customWidth="1"/>
    <col min="12804" max="12804" width="16.453125" style="5" customWidth="1"/>
    <col min="12805" max="12805" width="20.7265625" style="5" customWidth="1"/>
    <col min="12806" max="12806" width="23.81640625" style="5" customWidth="1"/>
    <col min="12807" max="12807" width="18.81640625" style="5" customWidth="1"/>
    <col min="12808" max="12808" width="8.26953125" style="5" customWidth="1"/>
    <col min="12809" max="12809" width="14.54296875" style="5" bestFit="1" customWidth="1"/>
    <col min="12810" max="12810" width="14.1796875" style="5" bestFit="1" customWidth="1"/>
    <col min="12811" max="12811" width="11.453125" style="5"/>
    <col min="12812" max="12812" width="15.54296875" style="5" customWidth="1"/>
    <col min="12813" max="12813" width="11.453125" style="5"/>
    <col min="12814" max="12814" width="13.81640625" style="5" bestFit="1" customWidth="1"/>
    <col min="12815" max="13056" width="11.453125" style="5"/>
    <col min="13057" max="13057" width="12.81640625" style="5" customWidth="1"/>
    <col min="13058" max="13058" width="18.26953125" style="5" customWidth="1"/>
    <col min="13059" max="13059" width="13.7265625" style="5" customWidth="1"/>
    <col min="13060" max="13060" width="16.453125" style="5" customWidth="1"/>
    <col min="13061" max="13061" width="20.7265625" style="5" customWidth="1"/>
    <col min="13062" max="13062" width="23.81640625" style="5" customWidth="1"/>
    <col min="13063" max="13063" width="18.81640625" style="5" customWidth="1"/>
    <col min="13064" max="13064" width="8.26953125" style="5" customWidth="1"/>
    <col min="13065" max="13065" width="14.54296875" style="5" bestFit="1" customWidth="1"/>
    <col min="13066" max="13066" width="14.1796875" style="5" bestFit="1" customWidth="1"/>
    <col min="13067" max="13067" width="11.453125" style="5"/>
    <col min="13068" max="13068" width="15.54296875" style="5" customWidth="1"/>
    <col min="13069" max="13069" width="11.453125" style="5"/>
    <col min="13070" max="13070" width="13.81640625" style="5" bestFit="1" customWidth="1"/>
    <col min="13071" max="13312" width="11.453125" style="5"/>
    <col min="13313" max="13313" width="12.81640625" style="5" customWidth="1"/>
    <col min="13314" max="13314" width="18.26953125" style="5" customWidth="1"/>
    <col min="13315" max="13315" width="13.7265625" style="5" customWidth="1"/>
    <col min="13316" max="13316" width="16.453125" style="5" customWidth="1"/>
    <col min="13317" max="13317" width="20.7265625" style="5" customWidth="1"/>
    <col min="13318" max="13318" width="23.81640625" style="5" customWidth="1"/>
    <col min="13319" max="13319" width="18.81640625" style="5" customWidth="1"/>
    <col min="13320" max="13320" width="8.26953125" style="5" customWidth="1"/>
    <col min="13321" max="13321" width="14.54296875" style="5" bestFit="1" customWidth="1"/>
    <col min="13322" max="13322" width="14.1796875" style="5" bestFit="1" customWidth="1"/>
    <col min="13323" max="13323" width="11.453125" style="5"/>
    <col min="13324" max="13324" width="15.54296875" style="5" customWidth="1"/>
    <col min="13325" max="13325" width="11.453125" style="5"/>
    <col min="13326" max="13326" width="13.81640625" style="5" bestFit="1" customWidth="1"/>
    <col min="13327" max="13568" width="11.453125" style="5"/>
    <col min="13569" max="13569" width="12.81640625" style="5" customWidth="1"/>
    <col min="13570" max="13570" width="18.26953125" style="5" customWidth="1"/>
    <col min="13571" max="13571" width="13.7265625" style="5" customWidth="1"/>
    <col min="13572" max="13572" width="16.453125" style="5" customWidth="1"/>
    <col min="13573" max="13573" width="20.7265625" style="5" customWidth="1"/>
    <col min="13574" max="13574" width="23.81640625" style="5" customWidth="1"/>
    <col min="13575" max="13575" width="18.81640625" style="5" customWidth="1"/>
    <col min="13576" max="13576" width="8.26953125" style="5" customWidth="1"/>
    <col min="13577" max="13577" width="14.54296875" style="5" bestFit="1" customWidth="1"/>
    <col min="13578" max="13578" width="14.1796875" style="5" bestFit="1" customWidth="1"/>
    <col min="13579" max="13579" width="11.453125" style="5"/>
    <col min="13580" max="13580" width="15.54296875" style="5" customWidth="1"/>
    <col min="13581" max="13581" width="11.453125" style="5"/>
    <col min="13582" max="13582" width="13.81640625" style="5" bestFit="1" customWidth="1"/>
    <col min="13583" max="13824" width="11.453125" style="5"/>
    <col min="13825" max="13825" width="12.81640625" style="5" customWidth="1"/>
    <col min="13826" max="13826" width="18.26953125" style="5" customWidth="1"/>
    <col min="13827" max="13827" width="13.7265625" style="5" customWidth="1"/>
    <col min="13828" max="13828" width="16.453125" style="5" customWidth="1"/>
    <col min="13829" max="13829" width="20.7265625" style="5" customWidth="1"/>
    <col min="13830" max="13830" width="23.81640625" style="5" customWidth="1"/>
    <col min="13831" max="13831" width="18.81640625" style="5" customWidth="1"/>
    <col min="13832" max="13832" width="8.26953125" style="5" customWidth="1"/>
    <col min="13833" max="13833" width="14.54296875" style="5" bestFit="1" customWidth="1"/>
    <col min="13834" max="13834" width="14.1796875" style="5" bestFit="1" customWidth="1"/>
    <col min="13835" max="13835" width="11.453125" style="5"/>
    <col min="13836" max="13836" width="15.54296875" style="5" customWidth="1"/>
    <col min="13837" max="13837" width="11.453125" style="5"/>
    <col min="13838" max="13838" width="13.81640625" style="5" bestFit="1" customWidth="1"/>
    <col min="13839" max="14080" width="11.453125" style="5"/>
    <col min="14081" max="14081" width="12.81640625" style="5" customWidth="1"/>
    <col min="14082" max="14082" width="18.26953125" style="5" customWidth="1"/>
    <col min="14083" max="14083" width="13.7265625" style="5" customWidth="1"/>
    <col min="14084" max="14084" width="16.453125" style="5" customWidth="1"/>
    <col min="14085" max="14085" width="20.7265625" style="5" customWidth="1"/>
    <col min="14086" max="14086" width="23.81640625" style="5" customWidth="1"/>
    <col min="14087" max="14087" width="18.81640625" style="5" customWidth="1"/>
    <col min="14088" max="14088" width="8.26953125" style="5" customWidth="1"/>
    <col min="14089" max="14089" width="14.54296875" style="5" bestFit="1" customWidth="1"/>
    <col min="14090" max="14090" width="14.1796875" style="5" bestFit="1" customWidth="1"/>
    <col min="14091" max="14091" width="11.453125" style="5"/>
    <col min="14092" max="14092" width="15.54296875" style="5" customWidth="1"/>
    <col min="14093" max="14093" width="11.453125" style="5"/>
    <col min="14094" max="14094" width="13.81640625" style="5" bestFit="1" customWidth="1"/>
    <col min="14095" max="14336" width="11.453125" style="5"/>
    <col min="14337" max="14337" width="12.81640625" style="5" customWidth="1"/>
    <col min="14338" max="14338" width="18.26953125" style="5" customWidth="1"/>
    <col min="14339" max="14339" width="13.7265625" style="5" customWidth="1"/>
    <col min="14340" max="14340" width="16.453125" style="5" customWidth="1"/>
    <col min="14341" max="14341" width="20.7265625" style="5" customWidth="1"/>
    <col min="14342" max="14342" width="23.81640625" style="5" customWidth="1"/>
    <col min="14343" max="14343" width="18.81640625" style="5" customWidth="1"/>
    <col min="14344" max="14344" width="8.26953125" style="5" customWidth="1"/>
    <col min="14345" max="14345" width="14.54296875" style="5" bestFit="1" customWidth="1"/>
    <col min="14346" max="14346" width="14.1796875" style="5" bestFit="1" customWidth="1"/>
    <col min="14347" max="14347" width="11.453125" style="5"/>
    <col min="14348" max="14348" width="15.54296875" style="5" customWidth="1"/>
    <col min="14349" max="14349" width="11.453125" style="5"/>
    <col min="14350" max="14350" width="13.81640625" style="5" bestFit="1" customWidth="1"/>
    <col min="14351" max="14592" width="11.453125" style="5"/>
    <col min="14593" max="14593" width="12.81640625" style="5" customWidth="1"/>
    <col min="14594" max="14594" width="18.26953125" style="5" customWidth="1"/>
    <col min="14595" max="14595" width="13.7265625" style="5" customWidth="1"/>
    <col min="14596" max="14596" width="16.453125" style="5" customWidth="1"/>
    <col min="14597" max="14597" width="20.7265625" style="5" customWidth="1"/>
    <col min="14598" max="14598" width="23.81640625" style="5" customWidth="1"/>
    <col min="14599" max="14599" width="18.81640625" style="5" customWidth="1"/>
    <col min="14600" max="14600" width="8.26953125" style="5" customWidth="1"/>
    <col min="14601" max="14601" width="14.54296875" style="5" bestFit="1" customWidth="1"/>
    <col min="14602" max="14602" width="14.1796875" style="5" bestFit="1" customWidth="1"/>
    <col min="14603" max="14603" width="11.453125" style="5"/>
    <col min="14604" max="14604" width="15.54296875" style="5" customWidth="1"/>
    <col min="14605" max="14605" width="11.453125" style="5"/>
    <col min="14606" max="14606" width="13.81640625" style="5" bestFit="1" customWidth="1"/>
    <col min="14607" max="14848" width="11.453125" style="5"/>
    <col min="14849" max="14849" width="12.81640625" style="5" customWidth="1"/>
    <col min="14850" max="14850" width="18.26953125" style="5" customWidth="1"/>
    <col min="14851" max="14851" width="13.7265625" style="5" customWidth="1"/>
    <col min="14852" max="14852" width="16.453125" style="5" customWidth="1"/>
    <col min="14853" max="14853" width="20.7265625" style="5" customWidth="1"/>
    <col min="14854" max="14854" width="23.81640625" style="5" customWidth="1"/>
    <col min="14855" max="14855" width="18.81640625" style="5" customWidth="1"/>
    <col min="14856" max="14856" width="8.26953125" style="5" customWidth="1"/>
    <col min="14857" max="14857" width="14.54296875" style="5" bestFit="1" customWidth="1"/>
    <col min="14858" max="14858" width="14.1796875" style="5" bestFit="1" customWidth="1"/>
    <col min="14859" max="14859" width="11.453125" style="5"/>
    <col min="14860" max="14860" width="15.54296875" style="5" customWidth="1"/>
    <col min="14861" max="14861" width="11.453125" style="5"/>
    <col min="14862" max="14862" width="13.81640625" style="5" bestFit="1" customWidth="1"/>
    <col min="14863" max="15104" width="11.453125" style="5"/>
    <col min="15105" max="15105" width="12.81640625" style="5" customWidth="1"/>
    <col min="15106" max="15106" width="18.26953125" style="5" customWidth="1"/>
    <col min="15107" max="15107" width="13.7265625" style="5" customWidth="1"/>
    <col min="15108" max="15108" width="16.453125" style="5" customWidth="1"/>
    <col min="15109" max="15109" width="20.7265625" style="5" customWidth="1"/>
    <col min="15110" max="15110" width="23.81640625" style="5" customWidth="1"/>
    <col min="15111" max="15111" width="18.81640625" style="5" customWidth="1"/>
    <col min="15112" max="15112" width="8.26953125" style="5" customWidth="1"/>
    <col min="15113" max="15113" width="14.54296875" style="5" bestFit="1" customWidth="1"/>
    <col min="15114" max="15114" width="14.1796875" style="5" bestFit="1" customWidth="1"/>
    <col min="15115" max="15115" width="11.453125" style="5"/>
    <col min="15116" max="15116" width="15.54296875" style="5" customWidth="1"/>
    <col min="15117" max="15117" width="11.453125" style="5"/>
    <col min="15118" max="15118" width="13.81640625" style="5" bestFit="1" customWidth="1"/>
    <col min="15119" max="15360" width="11.453125" style="5"/>
    <col min="15361" max="15361" width="12.81640625" style="5" customWidth="1"/>
    <col min="15362" max="15362" width="18.26953125" style="5" customWidth="1"/>
    <col min="15363" max="15363" width="13.7265625" style="5" customWidth="1"/>
    <col min="15364" max="15364" width="16.453125" style="5" customWidth="1"/>
    <col min="15365" max="15365" width="20.7265625" style="5" customWidth="1"/>
    <col min="15366" max="15366" width="23.81640625" style="5" customWidth="1"/>
    <col min="15367" max="15367" width="18.81640625" style="5" customWidth="1"/>
    <col min="15368" max="15368" width="8.26953125" style="5" customWidth="1"/>
    <col min="15369" max="15369" width="14.54296875" style="5" bestFit="1" customWidth="1"/>
    <col min="15370" max="15370" width="14.1796875" style="5" bestFit="1" customWidth="1"/>
    <col min="15371" max="15371" width="11.453125" style="5"/>
    <col min="15372" max="15372" width="15.54296875" style="5" customWidth="1"/>
    <col min="15373" max="15373" width="11.453125" style="5"/>
    <col min="15374" max="15374" width="13.81640625" style="5" bestFit="1" customWidth="1"/>
    <col min="15375" max="15616" width="11.453125" style="5"/>
    <col min="15617" max="15617" width="12.81640625" style="5" customWidth="1"/>
    <col min="15618" max="15618" width="18.26953125" style="5" customWidth="1"/>
    <col min="15619" max="15619" width="13.7265625" style="5" customWidth="1"/>
    <col min="15620" max="15620" width="16.453125" style="5" customWidth="1"/>
    <col min="15621" max="15621" width="20.7265625" style="5" customWidth="1"/>
    <col min="15622" max="15622" width="23.81640625" style="5" customWidth="1"/>
    <col min="15623" max="15623" width="18.81640625" style="5" customWidth="1"/>
    <col min="15624" max="15624" width="8.26953125" style="5" customWidth="1"/>
    <col min="15625" max="15625" width="14.54296875" style="5" bestFit="1" customWidth="1"/>
    <col min="15626" max="15626" width="14.1796875" style="5" bestFit="1" customWidth="1"/>
    <col min="15627" max="15627" width="11.453125" style="5"/>
    <col min="15628" max="15628" width="15.54296875" style="5" customWidth="1"/>
    <col min="15629" max="15629" width="11.453125" style="5"/>
    <col min="15630" max="15630" width="13.81640625" style="5" bestFit="1" customWidth="1"/>
    <col min="15631" max="15872" width="11.453125" style="5"/>
    <col min="15873" max="15873" width="12.81640625" style="5" customWidth="1"/>
    <col min="15874" max="15874" width="18.26953125" style="5" customWidth="1"/>
    <col min="15875" max="15875" width="13.7265625" style="5" customWidth="1"/>
    <col min="15876" max="15876" width="16.453125" style="5" customWidth="1"/>
    <col min="15877" max="15877" width="20.7265625" style="5" customWidth="1"/>
    <col min="15878" max="15878" width="23.81640625" style="5" customWidth="1"/>
    <col min="15879" max="15879" width="18.81640625" style="5" customWidth="1"/>
    <col min="15880" max="15880" width="8.26953125" style="5" customWidth="1"/>
    <col min="15881" max="15881" width="14.54296875" style="5" bestFit="1" customWidth="1"/>
    <col min="15882" max="15882" width="14.1796875" style="5" bestFit="1" customWidth="1"/>
    <col min="15883" max="15883" width="11.453125" style="5"/>
    <col min="15884" max="15884" width="15.54296875" style="5" customWidth="1"/>
    <col min="15885" max="15885" width="11.453125" style="5"/>
    <col min="15886" max="15886" width="13.81640625" style="5" bestFit="1" customWidth="1"/>
    <col min="15887" max="16128" width="11.453125" style="5"/>
    <col min="16129" max="16129" width="12.81640625" style="5" customWidth="1"/>
    <col min="16130" max="16130" width="18.26953125" style="5" customWidth="1"/>
    <col min="16131" max="16131" width="13.7265625" style="5" customWidth="1"/>
    <col min="16132" max="16132" width="16.453125" style="5" customWidth="1"/>
    <col min="16133" max="16133" width="20.7265625" style="5" customWidth="1"/>
    <col min="16134" max="16134" width="23.81640625" style="5" customWidth="1"/>
    <col min="16135" max="16135" width="18.81640625" style="5" customWidth="1"/>
    <col min="16136" max="16136" width="8.26953125" style="5" customWidth="1"/>
    <col min="16137" max="16137" width="14.54296875" style="5" bestFit="1" customWidth="1"/>
    <col min="16138" max="16138" width="14.1796875" style="5" bestFit="1" customWidth="1"/>
    <col min="16139" max="16139" width="11.453125" style="5"/>
    <col min="16140" max="16140" width="15.54296875" style="5" customWidth="1"/>
    <col min="16141" max="16141" width="11.453125" style="5"/>
    <col min="16142" max="16142" width="13.81640625" style="5" bestFit="1" customWidth="1"/>
    <col min="16143" max="16384" width="11.453125" style="5"/>
  </cols>
  <sheetData>
    <row r="1" spans="1:34" ht="9" customHeight="1" thickBot="1" x14ac:dyDescent="0.35"/>
    <row r="2" spans="1:34" s="4" customFormat="1" ht="20.25" customHeight="1" thickBot="1" x14ac:dyDescent="0.35">
      <c r="B2" s="445" t="s">
        <v>85</v>
      </c>
      <c r="C2" s="446"/>
      <c r="D2" s="446"/>
      <c r="E2" s="446"/>
      <c r="F2" s="446"/>
      <c r="G2" s="447"/>
      <c r="H2" s="30"/>
      <c r="K2" s="2"/>
      <c r="L2" s="2"/>
      <c r="M2" s="2"/>
      <c r="N2" s="2"/>
      <c r="O2" s="2"/>
      <c r="P2" s="2"/>
      <c r="Q2" s="2"/>
      <c r="R2" s="2"/>
    </row>
    <row r="3" spans="1:34" s="12" customFormat="1" ht="31.5" customHeight="1" x14ac:dyDescent="0.3">
      <c r="B3" s="495" t="s">
        <v>143</v>
      </c>
      <c r="C3" s="496"/>
      <c r="D3" s="496"/>
      <c r="E3" s="496"/>
      <c r="F3" s="496"/>
      <c r="G3" s="497"/>
      <c r="H3" s="38"/>
      <c r="I3" s="38"/>
      <c r="L3" s="85"/>
    </row>
    <row r="4" spans="1:34" s="12" customFormat="1" ht="16.5" customHeight="1" thickBot="1" x14ac:dyDescent="0.7">
      <c r="A4" s="111"/>
      <c r="B4" s="5"/>
      <c r="C4" s="5"/>
      <c r="D4" s="5"/>
      <c r="E4" s="5"/>
      <c r="F4" s="5"/>
      <c r="G4" s="5"/>
      <c r="H4" s="38"/>
      <c r="I4" s="38"/>
      <c r="J4" s="110" t="s">
        <v>131</v>
      </c>
      <c r="K4" s="99" t="s">
        <v>132</v>
      </c>
      <c r="L4" s="110"/>
    </row>
    <row r="5" spans="1:34" ht="19.5" customHeight="1" thickBot="1" x14ac:dyDescent="0.35">
      <c r="A5" s="117"/>
      <c r="B5" s="112" t="s">
        <v>86</v>
      </c>
      <c r="C5" s="113">
        <v>0.20421052631578948</v>
      </c>
      <c r="D5" s="114" t="s">
        <v>82</v>
      </c>
      <c r="E5" s="115" t="s">
        <v>87</v>
      </c>
      <c r="F5" s="116">
        <f>1-C5</f>
        <v>0.79578947368421049</v>
      </c>
      <c r="G5" s="124"/>
      <c r="H5" s="314"/>
      <c r="I5" s="315"/>
      <c r="J5" s="110" t="s">
        <v>133</v>
      </c>
      <c r="K5" s="2"/>
      <c r="L5" s="85"/>
      <c r="M5" s="12"/>
      <c r="N5" s="12"/>
      <c r="O5" s="43"/>
      <c r="P5" s="43"/>
      <c r="Q5" s="43"/>
      <c r="R5" s="12"/>
      <c r="S5" s="12"/>
      <c r="T5" s="12"/>
      <c r="U5" s="12"/>
      <c r="V5" s="12"/>
      <c r="W5" s="12"/>
      <c r="X5" s="12"/>
    </row>
    <row r="6" spans="1:34" ht="15.5" thickBot="1" x14ac:dyDescent="0.35">
      <c r="A6" s="362"/>
      <c r="B6" s="124"/>
      <c r="C6" s="124"/>
      <c r="D6" s="124"/>
      <c r="E6" s="124"/>
      <c r="F6" s="124"/>
      <c r="G6" s="124"/>
      <c r="H6" s="129"/>
      <c r="I6" s="317"/>
      <c r="J6" s="117" t="s">
        <v>134</v>
      </c>
      <c r="L6" s="27"/>
      <c r="M6" s="12"/>
      <c r="N6" s="12"/>
      <c r="U6" s="45"/>
      <c r="V6" s="45"/>
      <c r="W6" s="45"/>
      <c r="X6" s="45"/>
      <c r="Y6" s="45"/>
      <c r="Z6" s="45"/>
    </row>
    <row r="7" spans="1:34" ht="21" customHeight="1" thickBot="1" x14ac:dyDescent="0.35">
      <c r="A7" s="362"/>
      <c r="B7" s="363"/>
      <c r="C7" s="124"/>
      <c r="D7" s="448" t="s">
        <v>55</v>
      </c>
      <c r="E7" s="449"/>
      <c r="F7" s="450"/>
      <c r="G7" s="124"/>
      <c r="H7" s="318"/>
      <c r="I7" s="317"/>
      <c r="J7" s="110" t="s">
        <v>135</v>
      </c>
      <c r="K7" s="117" t="s">
        <v>136</v>
      </c>
      <c r="N7" s="51"/>
      <c r="O7" s="43"/>
      <c r="P7" s="43"/>
      <c r="Q7" s="43"/>
      <c r="R7" s="4"/>
      <c r="S7" s="4"/>
      <c r="T7" s="86"/>
      <c r="U7" s="4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149999999999999" customHeight="1" thickBot="1" x14ac:dyDescent="0.35">
      <c r="A8" s="316"/>
      <c r="B8" s="319"/>
      <c r="C8" s="124"/>
      <c r="D8" s="104" t="s">
        <v>88</v>
      </c>
      <c r="E8" s="105" t="s">
        <v>137</v>
      </c>
      <c r="F8" s="104" t="s">
        <v>138</v>
      </c>
      <c r="G8" s="145"/>
      <c r="H8" s="320"/>
      <c r="I8" s="146"/>
      <c r="K8" s="4"/>
      <c r="L8" s="2"/>
      <c r="M8" s="42"/>
      <c r="N8" s="41"/>
      <c r="O8" s="43"/>
      <c r="P8" s="43"/>
      <c r="Q8" s="43"/>
      <c r="R8" s="4"/>
      <c r="S8" s="87"/>
      <c r="T8" s="4"/>
      <c r="U8" s="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149999999999999" customHeight="1" thickBot="1" x14ac:dyDescent="0.35">
      <c r="A9" s="316"/>
      <c r="B9" s="124"/>
      <c r="C9" s="124"/>
      <c r="D9" s="106">
        <v>0.99</v>
      </c>
      <c r="E9" s="107">
        <v>0.36</v>
      </c>
      <c r="F9" s="107">
        <v>1.31</v>
      </c>
      <c r="G9" s="145"/>
      <c r="H9" s="321"/>
      <c r="I9" s="149"/>
      <c r="J9" s="117"/>
      <c r="K9" s="4"/>
      <c r="L9" s="4"/>
      <c r="M9" s="4"/>
      <c r="N9" s="4"/>
      <c r="O9" s="4"/>
      <c r="P9" s="4"/>
      <c r="Q9" s="4"/>
      <c r="R9" s="4"/>
      <c r="S9" s="88"/>
      <c r="T9" s="4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30.75" hidden="1" customHeight="1" x14ac:dyDescent="0.4">
      <c r="A10" s="322"/>
      <c r="B10" s="90"/>
      <c r="C10" s="323" t="s">
        <v>139</v>
      </c>
      <c r="D10" s="7">
        <f>F5^D9</f>
        <v>0.79760929847787643</v>
      </c>
      <c r="E10" s="324">
        <f>F5^E9</f>
        <v>0.92105878350118575</v>
      </c>
      <c r="F10" s="324">
        <f>F5^F9</f>
        <v>0.74138813120166203</v>
      </c>
      <c r="H10" s="46"/>
      <c r="I10" s="4"/>
      <c r="K10" s="4"/>
      <c r="L10" s="2"/>
      <c r="M10" s="42"/>
      <c r="N10" s="41"/>
      <c r="O10" s="43"/>
      <c r="P10" s="43"/>
      <c r="Q10" s="4"/>
      <c r="R10" s="4"/>
      <c r="S10" s="89"/>
      <c r="T10" s="4"/>
      <c r="U10" s="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30.75" hidden="1" customHeight="1" x14ac:dyDescent="0.3">
      <c r="A11" s="322"/>
      <c r="B11" s="90"/>
      <c r="C11" s="91" t="s">
        <v>140</v>
      </c>
      <c r="D11" s="7">
        <f>1-D10</f>
        <v>0.20239070152212357</v>
      </c>
      <c r="E11" s="7">
        <f>1-E10</f>
        <v>7.8941216498814248E-2</v>
      </c>
      <c r="F11" s="7">
        <f>1-F10</f>
        <v>0.25861186879833797</v>
      </c>
      <c r="H11" s="46"/>
      <c r="I11" s="4"/>
      <c r="J11" s="30"/>
      <c r="K11" s="4"/>
      <c r="L11" s="4"/>
      <c r="M11" s="4"/>
      <c r="N11" s="4"/>
      <c r="O11" s="4"/>
      <c r="P11" s="4"/>
      <c r="Q11" s="43"/>
      <c r="R11" s="4"/>
      <c r="S11" s="87"/>
      <c r="T11" s="4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.75" hidden="1" customHeight="1" x14ac:dyDescent="0.3">
      <c r="A12" s="322"/>
      <c r="B12" s="118"/>
      <c r="C12" s="44"/>
      <c r="D12" s="118"/>
      <c r="E12" s="118"/>
      <c r="F12" s="118"/>
      <c r="H12" s="92"/>
      <c r="I12" s="4"/>
      <c r="J12" s="93"/>
      <c r="K12" s="40"/>
      <c r="L12" s="94"/>
      <c r="M12" s="4"/>
      <c r="N12" s="4"/>
      <c r="O12" s="4"/>
      <c r="P12" s="4"/>
      <c r="Q12" s="4"/>
      <c r="R12" s="4"/>
      <c r="S12" s="95"/>
      <c r="T12" s="96"/>
      <c r="U12" s="9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0.75" hidden="1" customHeight="1" x14ac:dyDescent="0.4">
      <c r="A13" s="322"/>
      <c r="B13" s="325"/>
      <c r="C13" s="326" t="s">
        <v>83</v>
      </c>
      <c r="D13" s="300" t="s">
        <v>23</v>
      </c>
      <c r="E13" s="327">
        <f>D10-F5</f>
        <v>1.8198247936659362E-3</v>
      </c>
      <c r="F13" s="327">
        <f>F10-F5</f>
        <v>-5.4401342482548465E-2</v>
      </c>
      <c r="G13" s="327">
        <f>E10-F5</f>
        <v>0.12526930981697526</v>
      </c>
      <c r="H13" s="46"/>
      <c r="I13" s="4"/>
      <c r="J13" s="95"/>
      <c r="K13" s="96"/>
      <c r="L13" s="4"/>
      <c r="M13" s="9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30.75" hidden="1" customHeight="1" x14ac:dyDescent="0.3">
      <c r="A14" s="322"/>
      <c r="B14" s="325"/>
      <c r="C14" s="328" t="s">
        <v>46</v>
      </c>
      <c r="D14" s="300" t="s">
        <v>24</v>
      </c>
      <c r="E14" s="329">
        <f>1/E13</f>
        <v>549.50344861801523</v>
      </c>
      <c r="F14" s="329">
        <f>1/G13</f>
        <v>7.9828012261027874</v>
      </c>
      <c r="G14" s="329">
        <f>1/F13</f>
        <v>-18.381899312885384</v>
      </c>
      <c r="J14" s="5"/>
      <c r="K14" s="5"/>
      <c r="P14" s="5"/>
      <c r="Q14" s="5"/>
      <c r="R14" s="12"/>
      <c r="S14" s="12"/>
      <c r="T14" s="12"/>
      <c r="U14" s="12"/>
      <c r="V14" s="12"/>
      <c r="W14" s="12"/>
      <c r="X14" s="12"/>
    </row>
    <row r="15" spans="1:34" ht="30.75" hidden="1" customHeight="1" x14ac:dyDescent="0.3">
      <c r="A15" s="322"/>
      <c r="B15" s="330"/>
      <c r="C15" s="330"/>
      <c r="D15" s="330"/>
      <c r="E15" s="330"/>
      <c r="F15" s="330"/>
      <c r="G15" s="12"/>
      <c r="J15" s="5"/>
      <c r="K15" s="5"/>
      <c r="P15" s="5"/>
      <c r="Q15" s="5"/>
    </row>
    <row r="16" spans="1:34" ht="30.75" hidden="1" customHeight="1" x14ac:dyDescent="0.3">
      <c r="A16" s="322"/>
      <c r="B16" s="331"/>
      <c r="C16" s="332" t="s">
        <v>64</v>
      </c>
      <c r="D16" s="333" t="s">
        <v>65</v>
      </c>
      <c r="E16" s="98">
        <f>E14</f>
        <v>549.50344861801523</v>
      </c>
      <c r="F16" s="98">
        <f>F14</f>
        <v>7.9828012261027874</v>
      </c>
      <c r="G16" s="98">
        <f>G14</f>
        <v>-18.381899312885384</v>
      </c>
      <c r="J16" s="5"/>
      <c r="K16" s="5"/>
      <c r="P16" s="5"/>
      <c r="Q16" s="5"/>
    </row>
    <row r="17" spans="1:17" s="4" customFormat="1" ht="30.75" hidden="1" customHeight="1" x14ac:dyDescent="0.3">
      <c r="A17" s="322"/>
      <c r="B17" s="334"/>
      <c r="C17" s="334"/>
      <c r="D17" s="335" t="s">
        <v>42</v>
      </c>
      <c r="E17" s="329">
        <f>(1-C5)*E14</f>
        <v>437.28906016338897</v>
      </c>
      <c r="F17" s="329">
        <f>(1-C5)*F14</f>
        <v>6.3526291862460074</v>
      </c>
      <c r="G17" s="329">
        <f>(1-C5)*G14</f>
        <v>-14.628121979517211</v>
      </c>
      <c r="I17" s="53"/>
    </row>
    <row r="18" spans="1:17" s="4" customFormat="1" ht="30.75" hidden="1" customHeight="1" x14ac:dyDescent="0.3">
      <c r="A18" s="322"/>
      <c r="B18" s="336"/>
      <c r="C18" s="336"/>
      <c r="D18" s="332" t="s">
        <v>61</v>
      </c>
      <c r="E18" s="329">
        <f>E14*E13</f>
        <v>0.99999999999999989</v>
      </c>
      <c r="F18" s="329">
        <f>F14*G13</f>
        <v>1</v>
      </c>
      <c r="G18" s="329">
        <f>G14*F13</f>
        <v>1</v>
      </c>
    </row>
    <row r="19" spans="1:17" s="4" customFormat="1" ht="30.75" hidden="1" customHeight="1" x14ac:dyDescent="0.3">
      <c r="A19" s="322"/>
      <c r="B19" s="336"/>
      <c r="C19" s="336"/>
      <c r="D19" s="332" t="s">
        <v>43</v>
      </c>
      <c r="E19" s="329">
        <f>(C5-E13)*E14</f>
        <v>111.21438845462627</v>
      </c>
      <c r="F19" s="329">
        <f>(C5-G13)*F14</f>
        <v>0.63017203985677972</v>
      </c>
      <c r="G19" s="329">
        <f>(C5-F13)*G14</f>
        <v>-4.7537773333681743</v>
      </c>
    </row>
    <row r="20" spans="1:17" s="4" customFormat="1" ht="30.75" hidden="1" customHeight="1" x14ac:dyDescent="0.3">
      <c r="A20" s="322"/>
      <c r="B20" s="119"/>
      <c r="C20" s="119"/>
      <c r="D20" s="119"/>
      <c r="E20" s="337"/>
      <c r="F20" s="337"/>
      <c r="G20" s="337"/>
      <c r="J20" s="291"/>
      <c r="K20" s="59"/>
      <c r="L20" s="61"/>
    </row>
    <row r="21" spans="1:17" s="4" customFormat="1" ht="30.75" hidden="1" customHeight="1" x14ac:dyDescent="0.3">
      <c r="A21" s="322"/>
      <c r="B21" s="331"/>
      <c r="C21" s="332" t="s">
        <v>66</v>
      </c>
      <c r="D21" s="333" t="s">
        <v>67</v>
      </c>
      <c r="E21" s="98">
        <f>E14</f>
        <v>549.50344861801523</v>
      </c>
      <c r="F21" s="98">
        <f>F14</f>
        <v>7.9828012261027874</v>
      </c>
      <c r="G21" s="98">
        <f>G14</f>
        <v>-18.381899312885384</v>
      </c>
      <c r="I21" s="291"/>
      <c r="J21" s="291"/>
      <c r="K21" s="60"/>
      <c r="L21" s="61"/>
    </row>
    <row r="22" spans="1:17" s="4" customFormat="1" ht="30.75" hidden="1" customHeight="1" x14ac:dyDescent="0.3">
      <c r="A22" s="322"/>
      <c r="B22" s="338"/>
      <c r="C22" s="338"/>
      <c r="D22" s="216" t="s">
        <v>42</v>
      </c>
      <c r="E22" s="329">
        <f>ABS((1-(C5-E13))*E14)</f>
        <v>438.28906016338897</v>
      </c>
      <c r="F22" s="329">
        <f>ABS((1-(C5-G13))*F14)</f>
        <v>7.3526291862460074</v>
      </c>
      <c r="G22" s="329">
        <f>ABS((1-(C5-F13))*G14)</f>
        <v>13.628121979517211</v>
      </c>
      <c r="I22" s="291"/>
      <c r="J22" s="291"/>
      <c r="K22" s="59"/>
      <c r="L22" s="61"/>
    </row>
    <row r="23" spans="1:17" ht="30.75" hidden="1" customHeight="1" x14ac:dyDescent="0.3">
      <c r="A23" s="322"/>
      <c r="B23" s="120"/>
      <c r="C23" s="120"/>
      <c r="D23" s="29" t="s">
        <v>62</v>
      </c>
      <c r="E23" s="339">
        <f>E14*E13</f>
        <v>0.99999999999999989</v>
      </c>
      <c r="F23" s="329">
        <f>F14*G13</f>
        <v>1</v>
      </c>
      <c r="G23" s="329">
        <f>G14*F13</f>
        <v>1</v>
      </c>
      <c r="J23" s="5"/>
      <c r="K23" s="5"/>
      <c r="P23" s="5"/>
      <c r="Q23" s="5"/>
    </row>
    <row r="24" spans="1:17" ht="30.75" hidden="1" customHeight="1" x14ac:dyDescent="0.3">
      <c r="A24" s="322"/>
      <c r="B24" s="334"/>
      <c r="C24" s="340"/>
      <c r="D24" s="335" t="s">
        <v>63</v>
      </c>
      <c r="E24" s="329">
        <f>ABS(C5*E14)</f>
        <v>112.21438845462627</v>
      </c>
      <c r="F24" s="329">
        <f>ABS(C5*F14)</f>
        <v>1.6301720398567798</v>
      </c>
      <c r="G24" s="329">
        <f>ABS(C5*G14)</f>
        <v>3.7537773333681734</v>
      </c>
      <c r="I24" s="6"/>
      <c r="J24" s="6"/>
      <c r="K24" s="6"/>
      <c r="P24" s="5"/>
      <c r="Q24" s="5"/>
    </row>
    <row r="25" spans="1:17" s="4" customFormat="1" ht="30.75" hidden="1" customHeight="1" x14ac:dyDescent="0.3">
      <c r="A25" s="322"/>
      <c r="B25" s="120"/>
      <c r="C25" s="121"/>
      <c r="D25" s="66"/>
      <c r="E25" s="67"/>
      <c r="F25" s="67"/>
      <c r="G25" s="67"/>
      <c r="I25" s="6"/>
      <c r="J25" s="6"/>
      <c r="K25" s="1"/>
    </row>
    <row r="26" spans="1:17" ht="30.75" hidden="1" customHeight="1" x14ac:dyDescent="0.3">
      <c r="A26" s="322"/>
      <c r="B26" s="341" t="s">
        <v>49</v>
      </c>
      <c r="C26" s="342">
        <f>ROUND(D11,4)</f>
        <v>0.2024</v>
      </c>
      <c r="D26" s="342">
        <f>ROUND(C5,4)</f>
        <v>0.20419999999999999</v>
      </c>
      <c r="E26" s="343">
        <f>ROUND(D9,2)</f>
        <v>0.99</v>
      </c>
      <c r="F26" s="344">
        <f>ROUND(E13,4)</f>
        <v>1.8E-3</v>
      </c>
      <c r="G26" s="345">
        <f>ROUND(E14,0)</f>
        <v>550</v>
      </c>
      <c r="I26" s="6"/>
      <c r="J26" s="6"/>
      <c r="K26" s="5"/>
      <c r="P26" s="5"/>
      <c r="Q26" s="5"/>
    </row>
    <row r="27" spans="1:17" ht="30.75" hidden="1" customHeight="1" x14ac:dyDescent="0.3">
      <c r="A27" s="322"/>
      <c r="B27" s="346" t="s">
        <v>51</v>
      </c>
      <c r="C27" s="342">
        <f>ROUND(E11,4)</f>
        <v>7.8899999999999998E-2</v>
      </c>
      <c r="E27" s="347">
        <f>ROUND(E9,2)</f>
        <v>0.36</v>
      </c>
      <c r="F27" s="31">
        <f>ROUND(F13,4)</f>
        <v>-5.4399999999999997E-2</v>
      </c>
      <c r="G27" s="348">
        <f>ROUND(F14,0)</f>
        <v>8</v>
      </c>
      <c r="I27" s="6"/>
      <c r="J27" s="6"/>
      <c r="P27" s="5"/>
      <c r="Q27" s="5"/>
    </row>
    <row r="28" spans="1:17" ht="30.75" hidden="1" customHeight="1" x14ac:dyDescent="0.3">
      <c r="A28" s="322"/>
      <c r="B28" s="346" t="s">
        <v>50</v>
      </c>
      <c r="C28" s="342">
        <f>ROUND(F11,4)</f>
        <v>0.2586</v>
      </c>
      <c r="D28" s="120"/>
      <c r="E28" s="347">
        <f>ROUND(F9,2)</f>
        <v>1.31</v>
      </c>
      <c r="F28" s="31">
        <f>ROUND(G13,4)</f>
        <v>0.12529999999999999</v>
      </c>
      <c r="G28" s="348">
        <f>ROUND(G14,0)</f>
        <v>-18</v>
      </c>
      <c r="I28" s="6"/>
      <c r="J28" s="6"/>
      <c r="P28" s="5"/>
      <c r="Q28" s="5"/>
    </row>
    <row r="29" spans="1:17" ht="30.75" hidden="1" customHeight="1" x14ac:dyDescent="0.3">
      <c r="A29" s="322"/>
      <c r="B29" s="346" t="s">
        <v>52</v>
      </c>
      <c r="C29" s="300" t="s">
        <v>76</v>
      </c>
      <c r="D29" s="300" t="s">
        <v>77</v>
      </c>
      <c r="E29" s="300" t="s">
        <v>55</v>
      </c>
      <c r="F29" s="300" t="s">
        <v>54</v>
      </c>
      <c r="G29" s="300" t="s">
        <v>48</v>
      </c>
      <c r="I29" s="6"/>
      <c r="J29" s="6"/>
      <c r="K29" s="5"/>
      <c r="P29" s="5"/>
      <c r="Q29" s="5"/>
    </row>
    <row r="30" spans="1:17" ht="30.75" hidden="1" customHeight="1" x14ac:dyDescent="0.3">
      <c r="A30" s="322"/>
      <c r="B30" s="349" t="s">
        <v>19</v>
      </c>
      <c r="C30" s="300" t="str">
        <f>CONCATENATE(C26*100,B29," ",B26,C27*100,B29,B27,C28*100,B29,B28)</f>
        <v>20,24% (7,89%-25,86%)</v>
      </c>
      <c r="D30" s="300" t="str">
        <f>CONCATENATE(D26*100,B29)</f>
        <v>20,42%</v>
      </c>
      <c r="E30" s="300" t="str">
        <f>CONCATENATE(E26," ",B26,E27,B27,E28,B28)</f>
        <v>0,99 (0,36-1,31)</v>
      </c>
      <c r="F30" s="300" t="str">
        <f>CONCATENATE(F26*100,B29," ",B26,F27*100,B29," ",B30," ",F28*100,B29,B28)</f>
        <v>0,18% (-5,44% a 12,53%)</v>
      </c>
      <c r="G30" s="300" t="str">
        <f>CONCATENATE(G26," ",B26,G27," ",B30," ",G28,B28)</f>
        <v>550 (8 a -18)</v>
      </c>
      <c r="I30" s="6"/>
      <c r="J30" s="6"/>
      <c r="K30" s="5"/>
      <c r="P30" s="5"/>
      <c r="Q30" s="5"/>
    </row>
    <row r="31" spans="1:17" s="12" customFormat="1" ht="30.75" hidden="1" customHeight="1" x14ac:dyDescent="0.3">
      <c r="A31" s="322"/>
      <c r="B31" s="120"/>
      <c r="C31" s="2"/>
      <c r="D31" s="120"/>
      <c r="E31" s="120"/>
      <c r="F31" s="120"/>
      <c r="G31" s="4"/>
      <c r="I31" s="6"/>
      <c r="J31" s="6"/>
    </row>
    <row r="32" spans="1:17" x14ac:dyDescent="0.3">
      <c r="A32" s="322"/>
      <c r="B32" s="118"/>
      <c r="C32" s="118"/>
      <c r="D32" s="122"/>
      <c r="E32" s="118"/>
      <c r="F32" s="118"/>
      <c r="I32" s="6"/>
      <c r="J32" s="6"/>
      <c r="K32" s="5"/>
      <c r="P32" s="5"/>
      <c r="Q32" s="5"/>
    </row>
    <row r="33" spans="1:16" ht="18.75" customHeight="1" x14ac:dyDescent="0.3">
      <c r="A33" s="322"/>
      <c r="C33" s="351" t="s">
        <v>76</v>
      </c>
      <c r="D33" s="351" t="s">
        <v>77</v>
      </c>
      <c r="E33" s="351" t="s">
        <v>55</v>
      </c>
      <c r="F33" s="351" t="s">
        <v>47</v>
      </c>
      <c r="G33" s="351" t="s">
        <v>48</v>
      </c>
      <c r="I33" s="310" t="s">
        <v>141</v>
      </c>
      <c r="J33" s="310" t="s">
        <v>130</v>
      </c>
      <c r="L33" s="27"/>
      <c r="M33" s="123"/>
    </row>
    <row r="34" spans="1:16" ht="27.75" customHeight="1" x14ac:dyDescent="0.3">
      <c r="A34" s="322"/>
      <c r="C34" s="80" t="str">
        <f>C30</f>
        <v>20,24% (7,89%-25,86%)</v>
      </c>
      <c r="D34" s="354" t="str">
        <f>D30</f>
        <v>20,42%</v>
      </c>
      <c r="E34" s="80" t="str">
        <f>E30</f>
        <v>0,99 (0,36-1,31)</v>
      </c>
      <c r="F34" s="80" t="str">
        <f>F30</f>
        <v>0,18% (-5,44% a 12,53%)</v>
      </c>
      <c r="G34" s="80" t="str">
        <f>G30</f>
        <v>550 (8 a -18)</v>
      </c>
      <c r="I34" s="350">
        <f>IF((F27*F28&lt;0),(C26+D26)/2,C26)</f>
        <v>0.20329999999999998</v>
      </c>
      <c r="J34" s="350">
        <f>IF((F27*F28&lt;0),(C26+D26)/2,D26)</f>
        <v>0.20329999999999998</v>
      </c>
      <c r="L34" s="27"/>
      <c r="M34" s="123"/>
    </row>
    <row r="35" spans="1:16" x14ac:dyDescent="0.3">
      <c r="B35" s="54"/>
      <c r="G35" s="124"/>
      <c r="L35" s="27"/>
      <c r="M35" s="123"/>
    </row>
    <row r="36" spans="1:16" x14ac:dyDescent="0.3">
      <c r="A36" s="366"/>
      <c r="B36" s="364" t="s">
        <v>173</v>
      </c>
      <c r="G36" s="124"/>
      <c r="L36" s="27"/>
      <c r="M36" s="123"/>
    </row>
    <row r="37" spans="1:16" ht="13.5" thickBot="1" x14ac:dyDescent="0.35">
      <c r="A37" s="366"/>
      <c r="B37" s="365" t="s">
        <v>169</v>
      </c>
    </row>
    <row r="38" spans="1:16" ht="33.75" customHeight="1" thickBot="1" x14ac:dyDescent="0.35">
      <c r="A38" s="366"/>
      <c r="B38" s="456" t="s">
        <v>174</v>
      </c>
      <c r="C38" s="457"/>
      <c r="D38" s="457"/>
      <c r="E38" s="457"/>
      <c r="F38" s="457"/>
      <c r="G38" s="458"/>
      <c r="H38" s="366"/>
      <c r="I38" s="453" t="s">
        <v>144</v>
      </c>
      <c r="J38" s="455"/>
      <c r="K38" s="366"/>
      <c r="L38" s="462" t="s">
        <v>176</v>
      </c>
      <c r="M38" s="463"/>
    </row>
    <row r="39" spans="1:16" ht="37.5" customHeight="1" thickBot="1" x14ac:dyDescent="0.35">
      <c r="A39" s="366"/>
      <c r="B39" s="451" t="s">
        <v>175</v>
      </c>
      <c r="C39" s="367" t="s">
        <v>281</v>
      </c>
      <c r="D39" s="368" t="s">
        <v>147</v>
      </c>
      <c r="E39" s="453" t="s">
        <v>170</v>
      </c>
      <c r="F39" s="454"/>
      <c r="G39" s="455"/>
      <c r="H39" s="366"/>
      <c r="I39" s="466" t="s">
        <v>150</v>
      </c>
      <c r="J39" s="467"/>
      <c r="K39" s="366"/>
      <c r="L39" s="464" t="s">
        <v>177</v>
      </c>
      <c r="M39" s="465"/>
    </row>
    <row r="40" spans="1:16" ht="28.5" customHeight="1" thickBot="1" x14ac:dyDescent="0.35">
      <c r="A40" s="366"/>
      <c r="B40" s="452"/>
      <c r="C40" s="432" t="s">
        <v>149</v>
      </c>
      <c r="D40" s="369" t="s">
        <v>148</v>
      </c>
      <c r="E40" s="370" t="s">
        <v>55</v>
      </c>
      <c r="F40" s="370" t="s">
        <v>47</v>
      </c>
      <c r="G40" s="370" t="s">
        <v>171</v>
      </c>
      <c r="H40" s="366"/>
      <c r="I40" s="371" t="s">
        <v>282</v>
      </c>
      <c r="J40" s="372" t="s">
        <v>145</v>
      </c>
      <c r="K40" s="366"/>
      <c r="L40" s="384" t="s">
        <v>282</v>
      </c>
      <c r="M40" s="385" t="s">
        <v>145</v>
      </c>
    </row>
    <row r="41" spans="1:16" ht="23.25" customHeight="1" x14ac:dyDescent="0.35">
      <c r="A41" s="366"/>
      <c r="B41" s="418" t="s">
        <v>279</v>
      </c>
      <c r="C41" s="374"/>
      <c r="D41" s="374"/>
      <c r="E41" s="374"/>
      <c r="F41" s="374"/>
      <c r="G41" s="374"/>
      <c r="H41" s="366"/>
      <c r="I41" s="375"/>
      <c r="J41" s="375"/>
      <c r="K41" s="366"/>
      <c r="L41" s="366"/>
      <c r="M41" s="366"/>
    </row>
    <row r="42" spans="1:16" ht="28.5" customHeight="1" x14ac:dyDescent="0.3">
      <c r="A42" s="366"/>
      <c r="B42" s="429" t="s">
        <v>152</v>
      </c>
      <c r="C42" s="390" t="s">
        <v>161</v>
      </c>
      <c r="D42" s="390">
        <v>0.14249999999999999</v>
      </c>
      <c r="E42" s="389" t="s">
        <v>162</v>
      </c>
      <c r="F42" s="420" t="s">
        <v>163</v>
      </c>
      <c r="G42" s="420" t="s">
        <v>164</v>
      </c>
      <c r="H42" s="366"/>
      <c r="I42" s="376">
        <v>0.13719999999999999</v>
      </c>
      <c r="J42" s="376">
        <v>0.13719999999999999</v>
      </c>
      <c r="K42" s="366"/>
      <c r="L42" s="377">
        <f t="shared" ref="L42:M43" si="0">I42*100</f>
        <v>13.719999999999999</v>
      </c>
      <c r="M42" s="377">
        <f t="shared" si="0"/>
        <v>13.719999999999999</v>
      </c>
    </row>
    <row r="43" spans="1:16" ht="28.5" customHeight="1" x14ac:dyDescent="0.3">
      <c r="A43" s="366"/>
      <c r="B43" s="430" t="s">
        <v>151</v>
      </c>
      <c r="C43" s="390" t="s">
        <v>157</v>
      </c>
      <c r="D43" s="390">
        <v>0.1082</v>
      </c>
      <c r="E43" s="389" t="s">
        <v>158</v>
      </c>
      <c r="F43" s="420" t="s">
        <v>159</v>
      </c>
      <c r="G43" s="420" t="s">
        <v>160</v>
      </c>
      <c r="H43" s="366"/>
      <c r="I43" s="376">
        <v>0.1041</v>
      </c>
      <c r="J43" s="376">
        <v>0.1041</v>
      </c>
      <c r="K43" s="366"/>
      <c r="L43" s="377">
        <f t="shared" si="0"/>
        <v>10.41</v>
      </c>
      <c r="M43" s="377">
        <f t="shared" si="0"/>
        <v>10.41</v>
      </c>
    </row>
    <row r="44" spans="1:16" ht="31.5" customHeight="1" x14ac:dyDescent="0.3">
      <c r="A44" s="366"/>
      <c r="B44" s="429" t="s">
        <v>272</v>
      </c>
      <c r="C44" s="390" t="s">
        <v>153</v>
      </c>
      <c r="D44" s="390">
        <v>0.1832</v>
      </c>
      <c r="E44" s="389" t="s">
        <v>154</v>
      </c>
      <c r="F44" s="420" t="s">
        <v>155</v>
      </c>
      <c r="G44" s="431" t="s">
        <v>156</v>
      </c>
      <c r="H44" s="366"/>
      <c r="I44" s="378">
        <v>0.1303</v>
      </c>
      <c r="J44" s="379">
        <v>0.1832</v>
      </c>
      <c r="K44" s="366"/>
      <c r="L44" s="392">
        <f t="shared" ref="L44:L47" si="1">I44*100</f>
        <v>13.03</v>
      </c>
      <c r="M44" s="380">
        <f t="shared" ref="M44:M47" si="2">J44*100</f>
        <v>18.32</v>
      </c>
    </row>
    <row r="45" spans="1:16" ht="16.5" customHeight="1" x14ac:dyDescent="0.3">
      <c r="A45" s="366"/>
      <c r="B45" s="427" t="s">
        <v>275</v>
      </c>
      <c r="C45" s="428" t="s">
        <v>276</v>
      </c>
      <c r="D45" s="428" t="s">
        <v>277</v>
      </c>
      <c r="E45" s="425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</row>
    <row r="46" spans="1:16" ht="23.25" customHeight="1" thickBot="1" x14ac:dyDescent="0.4">
      <c r="A46" s="366"/>
      <c r="B46" s="419" t="s">
        <v>271</v>
      </c>
      <c r="C46" s="374"/>
      <c r="D46" s="374"/>
      <c r="E46" s="374"/>
      <c r="F46" s="374"/>
      <c r="G46" s="374"/>
      <c r="H46" s="366"/>
      <c r="I46" s="375"/>
      <c r="J46" s="375"/>
      <c r="K46" s="366"/>
      <c r="L46" s="366"/>
      <c r="M46" s="366"/>
      <c r="N46" s="361"/>
      <c r="O46" s="361"/>
    </row>
    <row r="47" spans="1:16" ht="28" customHeight="1" thickBot="1" x14ac:dyDescent="0.35">
      <c r="A47" s="366"/>
      <c r="B47" s="424" t="s">
        <v>273</v>
      </c>
      <c r="C47" s="421" t="s">
        <v>165</v>
      </c>
      <c r="D47" s="421">
        <v>0.2475</v>
      </c>
      <c r="E47" s="422" t="s">
        <v>166</v>
      </c>
      <c r="F47" s="423" t="s">
        <v>167</v>
      </c>
      <c r="G47" s="404" t="s">
        <v>168</v>
      </c>
      <c r="H47" s="381"/>
      <c r="I47" s="382">
        <v>0.192</v>
      </c>
      <c r="J47" s="383">
        <v>0.2475</v>
      </c>
      <c r="K47" s="366"/>
      <c r="L47" s="416">
        <f t="shared" si="1"/>
        <v>19.2</v>
      </c>
      <c r="M47" s="417">
        <f t="shared" si="2"/>
        <v>24.75</v>
      </c>
    </row>
    <row r="48" spans="1:16" ht="21.75" customHeight="1" x14ac:dyDescent="0.3">
      <c r="A48" s="366"/>
      <c r="B48" s="394" t="s">
        <v>242</v>
      </c>
      <c r="C48" s="398" t="s">
        <v>250</v>
      </c>
      <c r="D48" s="399" t="s">
        <v>251</v>
      </c>
      <c r="E48" s="398" t="s">
        <v>262</v>
      </c>
      <c r="F48" s="398" t="s">
        <v>252</v>
      </c>
      <c r="G48" s="400" t="s">
        <v>253</v>
      </c>
      <c r="I48" s="350">
        <v>0.15670000000000001</v>
      </c>
      <c r="J48" s="350">
        <v>0.21340000000000001</v>
      </c>
      <c r="L48" s="405">
        <f t="shared" ref="L48" si="3">I48*100</f>
        <v>15.67</v>
      </c>
      <c r="M48" s="396">
        <f t="shared" ref="M48" si="4">J48*100</f>
        <v>21.34</v>
      </c>
    </row>
    <row r="49" spans="1:13" ht="21.75" customHeight="1" thickBot="1" x14ac:dyDescent="0.35">
      <c r="A49" s="366"/>
      <c r="B49" s="395" t="s">
        <v>241</v>
      </c>
      <c r="C49" s="401" t="s">
        <v>254</v>
      </c>
      <c r="D49" s="402" t="s">
        <v>255</v>
      </c>
      <c r="E49" s="401" t="s">
        <v>263</v>
      </c>
      <c r="F49" s="401" t="s">
        <v>256</v>
      </c>
      <c r="G49" s="403" t="s">
        <v>257</v>
      </c>
      <c r="I49" s="350">
        <v>0.3251</v>
      </c>
      <c r="J49" s="350">
        <v>0.3251</v>
      </c>
      <c r="L49" s="397">
        <f t="shared" ref="L49:L51" si="5">I49*100</f>
        <v>32.51</v>
      </c>
      <c r="M49" s="397">
        <f t="shared" ref="M49:M51" si="6">J49*100</f>
        <v>32.51</v>
      </c>
    </row>
    <row r="50" spans="1:13" ht="21.75" customHeight="1" x14ac:dyDescent="0.3">
      <c r="A50" s="366"/>
      <c r="B50" s="394" t="s">
        <v>244</v>
      </c>
      <c r="C50" s="398" t="s">
        <v>245</v>
      </c>
      <c r="D50" s="399" t="s">
        <v>246</v>
      </c>
      <c r="E50" s="398" t="s">
        <v>249</v>
      </c>
      <c r="F50" s="398" t="s">
        <v>247</v>
      </c>
      <c r="G50" s="400" t="s">
        <v>248</v>
      </c>
      <c r="I50" s="350">
        <v>0.15670000000000001</v>
      </c>
      <c r="J50" s="350">
        <v>0.21340000000000001</v>
      </c>
      <c r="L50" s="405">
        <v>19</v>
      </c>
      <c r="M50" s="396">
        <v>26</v>
      </c>
    </row>
    <row r="51" spans="1:13" ht="21.75" customHeight="1" thickBot="1" x14ac:dyDescent="0.35">
      <c r="A51" s="366"/>
      <c r="B51" s="395" t="s">
        <v>243</v>
      </c>
      <c r="C51" s="401" t="s">
        <v>258</v>
      </c>
      <c r="D51" s="402" t="s">
        <v>259</v>
      </c>
      <c r="E51" s="401" t="s">
        <v>264</v>
      </c>
      <c r="F51" s="401" t="s">
        <v>260</v>
      </c>
      <c r="G51" s="403" t="s">
        <v>261</v>
      </c>
      <c r="I51" s="350">
        <v>0.20329999999999998</v>
      </c>
      <c r="J51" s="350">
        <v>0.20329999999999998</v>
      </c>
      <c r="L51" s="397">
        <f t="shared" si="5"/>
        <v>20.329999999999998</v>
      </c>
      <c r="M51" s="397">
        <f t="shared" si="6"/>
        <v>20.329999999999998</v>
      </c>
    </row>
    <row r="52" spans="1:13" ht="5.25" customHeight="1" x14ac:dyDescent="0.3">
      <c r="A52" s="366"/>
      <c r="B52" s="373"/>
      <c r="C52" s="374"/>
      <c r="D52" s="374"/>
      <c r="E52" s="374"/>
      <c r="F52" s="374"/>
      <c r="G52" s="374"/>
      <c r="H52" s="366"/>
      <c r="I52" s="375"/>
      <c r="J52" s="375"/>
      <c r="K52" s="366"/>
      <c r="L52" s="366"/>
      <c r="M52" s="366"/>
    </row>
    <row r="53" spans="1:13" ht="45" customHeight="1" x14ac:dyDescent="0.3">
      <c r="A53" s="366"/>
      <c r="B53" s="459" t="s">
        <v>274</v>
      </c>
      <c r="C53" s="460"/>
      <c r="D53" s="460"/>
      <c r="E53" s="460"/>
      <c r="F53" s="460"/>
      <c r="G53" s="461"/>
      <c r="H53" s="381"/>
      <c r="I53" s="366"/>
      <c r="J53" s="366"/>
      <c r="K53" s="366"/>
      <c r="L53" s="366"/>
      <c r="M53" s="366"/>
    </row>
    <row r="54" spans="1:13" x14ac:dyDescent="0.3">
      <c r="A54" s="366"/>
      <c r="B54" s="373"/>
      <c r="C54" s="374"/>
      <c r="D54" s="374"/>
      <c r="E54" s="374"/>
      <c r="F54" s="374"/>
      <c r="G54" s="374"/>
      <c r="H54" s="366"/>
      <c r="I54" s="375"/>
      <c r="J54" s="375"/>
      <c r="K54" s="366"/>
      <c r="L54" s="366"/>
      <c r="M54" s="366"/>
    </row>
  </sheetData>
  <mergeCells count="11">
    <mergeCell ref="B53:G53"/>
    <mergeCell ref="L38:M38"/>
    <mergeCell ref="L39:M39"/>
    <mergeCell ref="I38:J38"/>
    <mergeCell ref="I39:J39"/>
    <mergeCell ref="D7:F7"/>
    <mergeCell ref="B39:B40"/>
    <mergeCell ref="E39:G39"/>
    <mergeCell ref="B38:G38"/>
    <mergeCell ref="B2:G2"/>
    <mergeCell ref="B3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3"/>
  <sheetViews>
    <sheetView zoomScale="70" zoomScaleNormal="70" workbookViewId="0">
      <selection activeCell="B2" sqref="B2:F2"/>
    </sheetView>
  </sheetViews>
  <sheetFormatPr baseColWidth="10" defaultColWidth="11.453125" defaultRowHeight="13" x14ac:dyDescent="0.3"/>
  <cols>
    <col min="1" max="1" width="1" style="5" customWidth="1"/>
    <col min="2" max="2" width="37.26953125" style="5" customWidth="1"/>
    <col min="3" max="3" width="19" style="5" customWidth="1"/>
    <col min="4" max="4" width="18.453125" style="5" customWidth="1"/>
    <col min="5" max="5" width="15.54296875" style="5" customWidth="1"/>
    <col min="6" max="6" width="22.1796875" style="5" customWidth="1"/>
    <col min="7" max="7" width="16.54296875" style="5" customWidth="1"/>
    <col min="8" max="8" width="8.7265625" style="5" customWidth="1"/>
    <col min="9" max="9" width="3.90625" style="5" customWidth="1"/>
    <col min="10" max="10" width="13.81640625" style="5" hidden="1" customWidth="1"/>
    <col min="11" max="11" width="2.453125" style="5" hidden="1" customWidth="1"/>
    <col min="12" max="13" width="14.26953125" style="5" hidden="1" customWidth="1"/>
    <col min="14" max="14" width="2.453125" style="5" hidden="1" customWidth="1"/>
    <col min="15" max="15" width="15.1796875" style="12" customWidth="1"/>
    <col min="16" max="16" width="15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134"/>
      <c r="C1" s="135"/>
      <c r="D1" s="134"/>
      <c r="E1" s="136"/>
      <c r="F1" s="5"/>
      <c r="G1" s="5"/>
      <c r="H1" s="137"/>
      <c r="I1" s="137"/>
      <c r="J1" s="137"/>
      <c r="K1" s="137"/>
      <c r="L1" s="8"/>
      <c r="M1" s="13"/>
      <c r="N1" s="13"/>
      <c r="O1" s="2"/>
      <c r="P1" s="2"/>
      <c r="Q1" s="3"/>
      <c r="R1" s="2"/>
      <c r="S1" s="2"/>
      <c r="T1" s="2"/>
      <c r="U1" s="138"/>
      <c r="V1" s="138"/>
      <c r="W1" s="138"/>
      <c r="X1" s="138"/>
      <c r="Y1" s="138"/>
      <c r="Z1" s="138"/>
      <c r="AA1" s="138"/>
      <c r="AB1" s="138"/>
      <c r="AC1" s="138"/>
    </row>
    <row r="2" spans="2:30" ht="24.75" customHeight="1" thickBot="1" x14ac:dyDescent="0.35">
      <c r="B2" s="478" t="s">
        <v>84</v>
      </c>
      <c r="C2" s="479"/>
      <c r="D2" s="479"/>
      <c r="E2" s="479"/>
      <c r="F2" s="480"/>
      <c r="G2" s="139"/>
      <c r="H2" s="140" t="s">
        <v>93</v>
      </c>
      <c r="I2" s="141">
        <v>0.95</v>
      </c>
      <c r="J2" s="139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481" t="s">
        <v>142</v>
      </c>
      <c r="C3" s="482"/>
      <c r="D3" s="482"/>
      <c r="E3" s="482"/>
      <c r="F3" s="483"/>
      <c r="G3" s="142"/>
      <c r="H3" s="142"/>
      <c r="I3" s="142"/>
      <c r="J3" s="142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102"/>
      <c r="C4" s="14"/>
      <c r="D4" s="13"/>
      <c r="E4" s="13"/>
      <c r="F4" s="6"/>
      <c r="G4" s="15"/>
      <c r="J4" s="142"/>
      <c r="K4" s="103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43" t="s">
        <v>73</v>
      </c>
      <c r="C5" s="433"/>
      <c r="D5" s="65" t="s">
        <v>20</v>
      </c>
      <c r="E5" s="65" t="s">
        <v>21</v>
      </c>
      <c r="F5" s="109"/>
      <c r="I5" s="144"/>
      <c r="J5" s="142"/>
      <c r="K5" s="144"/>
      <c r="L5" s="145"/>
      <c r="M5" s="145"/>
      <c r="N5" s="145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117"/>
      <c r="C6" s="434"/>
      <c r="D6" s="435" t="s">
        <v>3</v>
      </c>
      <c r="E6" s="435" t="s">
        <v>2</v>
      </c>
      <c r="F6" s="436" t="s">
        <v>22</v>
      </c>
      <c r="I6" s="144"/>
      <c r="J6" s="142"/>
      <c r="K6" s="144"/>
      <c r="L6" s="145"/>
      <c r="M6" s="145"/>
      <c r="N6" s="145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117"/>
      <c r="C7" s="437" t="s">
        <v>282</v>
      </c>
      <c r="D7" s="439">
        <v>352</v>
      </c>
      <c r="E7" s="440">
        <f>F7-D7</f>
        <v>4776</v>
      </c>
      <c r="F7" s="441">
        <v>5128</v>
      </c>
      <c r="G7" s="144"/>
      <c r="H7" s="144"/>
      <c r="I7" s="144"/>
      <c r="J7" s="142"/>
      <c r="K7" s="144"/>
      <c r="L7" s="145"/>
      <c r="M7" s="145"/>
      <c r="N7" s="145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117"/>
      <c r="C8" s="437" t="s">
        <v>145</v>
      </c>
      <c r="D8" s="439">
        <v>371</v>
      </c>
      <c r="E8" s="440">
        <f>F8-D8</f>
        <v>4752</v>
      </c>
      <c r="F8" s="441">
        <v>5123</v>
      </c>
      <c r="G8" s="144"/>
      <c r="H8" s="144"/>
      <c r="I8" s="144"/>
      <c r="J8" s="142"/>
      <c r="K8" s="144"/>
      <c r="L8" s="145"/>
      <c r="M8" s="146"/>
      <c r="N8" s="145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117"/>
      <c r="C9" s="438" t="s">
        <v>22</v>
      </c>
      <c r="D9" s="442">
        <f>SUM(D7:D8)</f>
        <v>723</v>
      </c>
      <c r="E9" s="443">
        <f>SUM(E7:E8)</f>
        <v>9528</v>
      </c>
      <c r="F9" s="444">
        <f>SUM(F7:F8)</f>
        <v>10251</v>
      </c>
      <c r="G9" s="144"/>
      <c r="H9" s="144"/>
      <c r="I9" s="144"/>
      <c r="J9" s="142"/>
      <c r="K9" s="144"/>
      <c r="L9" s="145"/>
      <c r="M9" s="146"/>
      <c r="N9" s="145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117"/>
      <c r="C10" s="25"/>
      <c r="D10" s="26"/>
      <c r="E10" s="22"/>
      <c r="F10" s="22"/>
      <c r="G10" s="145"/>
      <c r="H10" s="145"/>
      <c r="I10" s="144"/>
      <c r="J10" s="144"/>
      <c r="K10" s="144"/>
      <c r="L10" s="145"/>
      <c r="M10" s="146"/>
      <c r="N10" s="145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47" t="s">
        <v>94</v>
      </c>
      <c r="C11" s="28"/>
      <c r="D11" s="29"/>
      <c r="E11" s="2"/>
      <c r="F11" s="21"/>
      <c r="G11" s="148"/>
      <c r="H11" s="146"/>
      <c r="I11" s="148"/>
      <c r="J11" s="146"/>
      <c r="K11" s="149"/>
      <c r="L11" s="149"/>
      <c r="M11" s="148"/>
      <c r="N11" s="149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117" t="s">
        <v>89</v>
      </c>
      <c r="C12" s="28"/>
      <c r="D12" s="29"/>
      <c r="E12" s="2"/>
      <c r="F12" s="21"/>
      <c r="G12" s="148"/>
      <c r="H12" s="146"/>
      <c r="I12" s="148"/>
      <c r="J12" s="146"/>
      <c r="K12" s="150"/>
      <c r="L12" s="149"/>
      <c r="M12" s="149"/>
      <c r="N12" s="149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125" t="s">
        <v>25</v>
      </c>
      <c r="C13" s="125" t="s">
        <v>90</v>
      </c>
      <c r="D13" s="125" t="s">
        <v>95</v>
      </c>
      <c r="E13" s="125" t="s">
        <v>91</v>
      </c>
      <c r="F13" s="125" t="s">
        <v>92</v>
      </c>
      <c r="G13" s="125" t="s">
        <v>4</v>
      </c>
      <c r="H13" s="125" t="s">
        <v>96</v>
      </c>
      <c r="I13" s="125" t="s">
        <v>97</v>
      </c>
      <c r="J13" s="146"/>
      <c r="K13" s="151" t="s">
        <v>45</v>
      </c>
      <c r="L13" s="152" t="s">
        <v>0</v>
      </c>
      <c r="M13" s="152" t="s">
        <v>1</v>
      </c>
      <c r="N13" s="149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126">
        <f>LN((D7/F7)/(D8/F8))</f>
        <v>-5.3546401670641751E-2</v>
      </c>
      <c r="C14" s="126">
        <f>SQRT((E7/(D7*F7)+(E8/(D8*F8))))</f>
        <v>7.1736468788591079E-2</v>
      </c>
      <c r="D14" s="153">
        <f>-NORMSINV((1-I2)/2)</f>
        <v>1.9599639845400536</v>
      </c>
      <c r="E14" s="127">
        <f>B14-(D14*C14)</f>
        <v>-0.19414729687436191</v>
      </c>
      <c r="F14" s="128">
        <f>B14+(D14*C14)</f>
        <v>8.7054493533078398E-2</v>
      </c>
      <c r="G14" s="154">
        <f>(D7/F7)/(D8/F8)</f>
        <v>0.94786195760498881</v>
      </c>
      <c r="H14" s="154">
        <f>EXP(E14)</f>
        <v>0.82353659096848886</v>
      </c>
      <c r="I14" s="154">
        <f>EXP(F14)</f>
        <v>1.0909561281523419</v>
      </c>
      <c r="J14" s="146"/>
      <c r="K14" s="155">
        <f>1-G14</f>
        <v>5.2138042395011186E-2</v>
      </c>
      <c r="L14" s="154">
        <f>1-H14</f>
        <v>0.17646340903151114</v>
      </c>
      <c r="M14" s="154">
        <f>1-I14</f>
        <v>-9.0956128152341886E-2</v>
      </c>
      <c r="N14" s="156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57"/>
      <c r="C15" s="28"/>
      <c r="D15" s="28"/>
      <c r="E15" s="28"/>
      <c r="F15" s="32"/>
      <c r="G15" s="158"/>
      <c r="H15" s="146"/>
      <c r="I15" s="148"/>
      <c r="J15" s="146"/>
      <c r="K15" s="148"/>
      <c r="L15" s="148"/>
      <c r="M15" s="148"/>
      <c r="N15" s="149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110"/>
      <c r="C16" s="33"/>
      <c r="D16" s="34"/>
      <c r="E16" s="35"/>
      <c r="F16" s="36"/>
      <c r="G16" s="159"/>
      <c r="H16" s="160"/>
      <c r="I16" s="161"/>
      <c r="J16" s="161"/>
      <c r="K16" s="162"/>
      <c r="L16" s="162"/>
      <c r="M16" s="163"/>
      <c r="N16" s="163"/>
    </row>
    <row r="17" spans="2:30" ht="15.75" hidden="1" customHeight="1" x14ac:dyDescent="0.3">
      <c r="B17" s="40" t="s">
        <v>98</v>
      </c>
      <c r="C17" s="2"/>
      <c r="D17" s="164"/>
      <c r="E17" s="164"/>
      <c r="F17" s="13"/>
      <c r="G17" s="13"/>
      <c r="H17" s="165"/>
      <c r="I17" s="41"/>
      <c r="J17" s="166"/>
      <c r="K17" s="166"/>
      <c r="L17" s="4"/>
      <c r="M17" s="149"/>
      <c r="N17" s="146"/>
      <c r="O17" s="41"/>
      <c r="P17" s="2"/>
      <c r="Q17" s="2"/>
      <c r="R17" s="42"/>
      <c r="S17" s="41"/>
      <c r="T17" s="43"/>
      <c r="U17" s="43"/>
      <c r="V17" s="43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7" t="s">
        <v>99</v>
      </c>
      <c r="C18" s="2"/>
      <c r="D18" s="41"/>
      <c r="E18" s="41"/>
      <c r="F18" s="2"/>
      <c r="G18" s="2"/>
      <c r="H18" s="42"/>
      <c r="I18" s="41"/>
      <c r="J18" s="43"/>
      <c r="K18" s="43"/>
      <c r="L18" s="43"/>
      <c r="M18" s="149"/>
      <c r="N18" s="146"/>
      <c r="O18" s="2"/>
      <c r="P18" s="2"/>
      <c r="Q18" s="42"/>
      <c r="R18" s="41"/>
      <c r="S18" s="43"/>
      <c r="T18" s="43"/>
      <c r="U18" s="43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67" t="s">
        <v>100</v>
      </c>
      <c r="C19" s="5" t="s">
        <v>9</v>
      </c>
      <c r="D19" s="4"/>
      <c r="E19" s="5" t="s">
        <v>101</v>
      </c>
      <c r="G19" s="5" t="s">
        <v>7</v>
      </c>
      <c r="I19" s="5" t="s">
        <v>8</v>
      </c>
      <c r="J19" s="43"/>
      <c r="K19" s="43"/>
      <c r="L19" s="43"/>
      <c r="M19" s="149"/>
      <c r="N19" s="162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125" t="s">
        <v>102</v>
      </c>
      <c r="C20" s="125" t="s">
        <v>26</v>
      </c>
      <c r="D20" s="168" t="s">
        <v>10</v>
      </c>
      <c r="E20" s="168" t="s">
        <v>9</v>
      </c>
      <c r="F20" s="168" t="s">
        <v>103</v>
      </c>
      <c r="G20" s="168" t="s">
        <v>7</v>
      </c>
      <c r="H20" s="168" t="s">
        <v>8</v>
      </c>
      <c r="I20" s="169" t="s">
        <v>5</v>
      </c>
      <c r="J20" s="168" t="s">
        <v>104</v>
      </c>
      <c r="K20" s="168" t="s">
        <v>0</v>
      </c>
      <c r="L20" s="168" t="s">
        <v>1</v>
      </c>
      <c r="M20" s="170"/>
      <c r="N20" s="171"/>
      <c r="O20" s="172" t="s">
        <v>13</v>
      </c>
      <c r="P20" s="173" t="s">
        <v>78</v>
      </c>
      <c r="Q20" s="174"/>
      <c r="R20" s="175"/>
      <c r="S20" s="176"/>
      <c r="T20" s="176"/>
      <c r="U20" s="177"/>
      <c r="W20" s="178"/>
      <c r="X20" s="172" t="s">
        <v>79</v>
      </c>
      <c r="Y20" s="173" t="s">
        <v>105</v>
      </c>
      <c r="Z20" s="130"/>
      <c r="AA20" s="130"/>
      <c r="AB20" s="130" t="s">
        <v>106</v>
      </c>
      <c r="AC20" s="130"/>
      <c r="AD20" s="109"/>
    </row>
    <row r="21" spans="2:30" ht="12.75" hidden="1" customHeight="1" x14ac:dyDescent="0.3">
      <c r="B21" s="179">
        <f>D7</f>
        <v>352</v>
      </c>
      <c r="C21" s="180">
        <f>F7</f>
        <v>5128</v>
      </c>
      <c r="D21" s="181">
        <f>B21/C21</f>
        <v>6.8642745709828396E-2</v>
      </c>
      <c r="E21" s="182">
        <f>2*B21+I21^2</f>
        <v>707.84145882069413</v>
      </c>
      <c r="F21" s="182">
        <f>I21*SQRT((I21^2)+(4*B21*(1-D21)))</f>
        <v>71.079235545856747</v>
      </c>
      <c r="G21" s="183">
        <f>2*(C21+I21^2)</f>
        <v>10263.682917641388</v>
      </c>
      <c r="H21" s="184" t="s">
        <v>11</v>
      </c>
      <c r="I21" s="153">
        <f>-NORMSINV((1-I2)/2)</f>
        <v>1.9599639845400536</v>
      </c>
      <c r="J21" s="185">
        <f>D21</f>
        <v>6.8642745709828396E-2</v>
      </c>
      <c r="K21" s="185">
        <f>(E21-F21)/G21</f>
        <v>6.2040324938366906E-2</v>
      </c>
      <c r="L21" s="185">
        <f>(E21+F21)/G21</f>
        <v>7.589095460341326E-2</v>
      </c>
      <c r="M21" s="170"/>
      <c r="N21" s="186">
        <f>F9/2</f>
        <v>5125.5</v>
      </c>
      <c r="O21" s="20" t="s">
        <v>14</v>
      </c>
      <c r="P21" s="2"/>
      <c r="Q21" s="42"/>
      <c r="R21" s="41"/>
      <c r="S21" s="43"/>
      <c r="T21" s="43"/>
      <c r="U21" s="187"/>
      <c r="W21" s="188">
        <f>ABS(D21-D22)</f>
        <v>3.7757590725256973E-3</v>
      </c>
      <c r="X21" s="20" t="s">
        <v>107</v>
      </c>
      <c r="Y21" s="2"/>
      <c r="Z21" s="20"/>
      <c r="AA21" s="20"/>
      <c r="AB21" s="20" t="s">
        <v>108</v>
      </c>
      <c r="AC21" s="20"/>
      <c r="AD21" s="189"/>
    </row>
    <row r="22" spans="2:30" ht="14.25" hidden="1" customHeight="1" x14ac:dyDescent="0.4">
      <c r="B22" s="179">
        <f>D8</f>
        <v>371</v>
      </c>
      <c r="C22" s="180">
        <f>F8</f>
        <v>5123</v>
      </c>
      <c r="D22" s="181">
        <f>B22/C22</f>
        <v>7.2418504782354093E-2</v>
      </c>
      <c r="E22" s="182">
        <f>2*B22+I22^2</f>
        <v>745.84145882069413</v>
      </c>
      <c r="F22" s="182">
        <f>I22*SQRT((I22^2)+(4*B22*(1-D22)))</f>
        <v>72.819253793748317</v>
      </c>
      <c r="G22" s="183">
        <f>2*(C22+I22^2)</f>
        <v>10253.682917641388</v>
      </c>
      <c r="H22" s="184" t="s">
        <v>11</v>
      </c>
      <c r="I22" s="153">
        <f>-NORMSINV((1-I2)/2)</f>
        <v>1.9599639845400536</v>
      </c>
      <c r="J22" s="185">
        <f>D22</f>
        <v>7.2418504782354093E-2</v>
      </c>
      <c r="K22" s="185">
        <f>(E22-F22)/G22</f>
        <v>6.5637118919390017E-2</v>
      </c>
      <c r="L22" s="185">
        <f>(E22+F22)/G22</f>
        <v>7.9840650348758355E-2</v>
      </c>
      <c r="M22" s="170"/>
      <c r="N22" s="190">
        <f>J26</f>
        <v>3.7757590725256973E-3</v>
      </c>
      <c r="O22" s="20" t="s">
        <v>15</v>
      </c>
      <c r="P22" s="20"/>
      <c r="Q22" s="20"/>
      <c r="R22" s="20"/>
      <c r="S22" s="20"/>
      <c r="T22" s="20"/>
      <c r="U22" s="132"/>
      <c r="W22" s="191">
        <f>SQRT((D23*(1-D23)/C21)+(D23*(1-D23)/C22))</f>
        <v>5.0576726855087245E-3</v>
      </c>
      <c r="X22" s="47" t="s">
        <v>109</v>
      </c>
      <c r="Y22" s="20"/>
      <c r="Z22" s="20"/>
      <c r="AA22" s="20"/>
      <c r="AB22" s="20"/>
      <c r="AC22" s="20"/>
      <c r="AD22" s="189"/>
    </row>
    <row r="23" spans="2:30" ht="12.75" hidden="1" customHeight="1" x14ac:dyDescent="0.3">
      <c r="B23" s="179">
        <f>D9</f>
        <v>723</v>
      </c>
      <c r="C23" s="180">
        <f>F9</f>
        <v>10251</v>
      </c>
      <c r="D23" s="181">
        <f>B23/C23</f>
        <v>7.052970441908106E-2</v>
      </c>
      <c r="E23" s="182">
        <f>2*B23+I23^2</f>
        <v>1449.841458820694</v>
      </c>
      <c r="F23" s="182">
        <f>I23*SQRT((I23^2)+(4*B23*(1-D23)))</f>
        <v>101.68926217153444</v>
      </c>
      <c r="G23" s="183">
        <f>2*(C23+I23^2)</f>
        <v>20509.682917641388</v>
      </c>
      <c r="H23" s="184" t="s">
        <v>11</v>
      </c>
      <c r="I23" s="153">
        <f>-NORMSINV((1-I2)/2)</f>
        <v>1.9599639845400536</v>
      </c>
      <c r="J23" s="185">
        <f>D23</f>
        <v>7.052970441908106E-2</v>
      </c>
      <c r="K23" s="185">
        <f>(E23-F23)/G23</f>
        <v>6.5732473878937811E-2</v>
      </c>
      <c r="L23" s="185">
        <f>(E23+F23)/G23</f>
        <v>7.5648693703483857E-2</v>
      </c>
      <c r="M23" s="170"/>
      <c r="N23" s="192">
        <f>(B21+B22)/(C21+C22)</f>
        <v>7.052970441908106E-2</v>
      </c>
      <c r="O23" s="20" t="s">
        <v>6</v>
      </c>
      <c r="P23" s="2"/>
      <c r="Q23" s="42"/>
      <c r="R23" s="41"/>
      <c r="S23" s="43"/>
      <c r="T23" s="43"/>
      <c r="U23" s="189"/>
      <c r="W23" s="193">
        <f>W21/W22</f>
        <v>0.74654081181331211</v>
      </c>
      <c r="X23" s="20" t="s">
        <v>44</v>
      </c>
      <c r="Y23" s="2"/>
      <c r="Z23" s="20"/>
      <c r="AA23" s="20"/>
      <c r="AB23" s="20"/>
      <c r="AC23" s="20"/>
      <c r="AD23" s="189"/>
    </row>
    <row r="24" spans="2:30" ht="15" hidden="1" customHeight="1" x14ac:dyDescent="0.3">
      <c r="B24" s="117"/>
      <c r="C24" s="194" t="s">
        <v>12</v>
      </c>
      <c r="F24" s="37"/>
      <c r="G24" s="161"/>
      <c r="H24" s="161"/>
      <c r="I24" s="161"/>
      <c r="J24" s="161"/>
      <c r="K24" s="162"/>
      <c r="L24" s="145"/>
      <c r="M24" s="170"/>
      <c r="N24" s="195">
        <f>SQRT(N21*N22^2/(2*N23*(1-N23)))-I21</f>
        <v>-1.2134230839230176</v>
      </c>
      <c r="O24" s="20" t="s">
        <v>110</v>
      </c>
      <c r="P24" s="20"/>
      <c r="Q24" s="20"/>
      <c r="R24" s="20"/>
      <c r="S24" s="20"/>
      <c r="T24" s="4"/>
      <c r="U24" s="187"/>
      <c r="W24" s="196">
        <f>NORMSDIST(-W23)</f>
        <v>0.22767039378957996</v>
      </c>
      <c r="X24" s="40" t="s">
        <v>111</v>
      </c>
      <c r="Y24" s="20"/>
      <c r="Z24" s="4"/>
      <c r="AA24" s="4"/>
      <c r="AB24" s="4"/>
      <c r="AC24" s="4"/>
      <c r="AD24" s="132"/>
    </row>
    <row r="25" spans="2:30" ht="13.5" hidden="1" customHeight="1" thickBot="1" x14ac:dyDescent="0.35">
      <c r="B25" s="117"/>
      <c r="C25" s="194" t="s">
        <v>112</v>
      </c>
      <c r="D25" s="27"/>
      <c r="E25" s="39"/>
      <c r="F25" s="37"/>
      <c r="G25" s="161"/>
      <c r="H25" s="145"/>
      <c r="I25" s="145"/>
      <c r="J25" s="197"/>
      <c r="K25" s="197"/>
      <c r="L25" s="197"/>
      <c r="M25" s="170"/>
      <c r="N25" s="198">
        <f>NORMSDIST(N24)</f>
        <v>0.11248405254946059</v>
      </c>
      <c r="O25" s="40" t="s">
        <v>16</v>
      </c>
      <c r="P25" s="48"/>
      <c r="Q25" s="20"/>
      <c r="R25" s="20"/>
      <c r="S25" s="20"/>
      <c r="T25" s="20"/>
      <c r="U25" s="189"/>
      <c r="W25" s="199">
        <f>1-W24</f>
        <v>0.77232960621042002</v>
      </c>
      <c r="X25" s="49" t="s">
        <v>113</v>
      </c>
      <c r="Y25" s="48"/>
      <c r="Z25" s="4"/>
      <c r="AA25" s="4"/>
      <c r="AB25" s="4"/>
      <c r="AC25" s="4"/>
      <c r="AD25" s="132"/>
    </row>
    <row r="26" spans="2:30" ht="15" hidden="1" customHeight="1" thickBot="1" x14ac:dyDescent="0.4">
      <c r="F26" s="50"/>
      <c r="G26" s="145"/>
      <c r="H26" s="145"/>
      <c r="I26" s="140" t="s">
        <v>23</v>
      </c>
      <c r="J26" s="200">
        <f>D22-D21</f>
        <v>3.7757590725256973E-3</v>
      </c>
      <c r="K26" s="201">
        <f>J26+SQRT((D22-K22)^2+(L21-D21)^2)</f>
        <v>1.3701670939324222E-2</v>
      </c>
      <c r="L26" s="202">
        <f>J26-SQRT((D21-K21)^2+(L22-D22)^2)</f>
        <v>-6.1580319889130604E-3</v>
      </c>
      <c r="M26" s="144"/>
      <c r="N26" s="203">
        <f>1-N25</f>
        <v>0.88751594745053941</v>
      </c>
      <c r="O26" s="204" t="s">
        <v>114</v>
      </c>
      <c r="P26" s="205"/>
      <c r="Q26" s="206"/>
      <c r="R26" s="205"/>
      <c r="S26" s="205"/>
      <c r="T26" s="205"/>
      <c r="U26" s="207"/>
      <c r="W26" s="208"/>
      <c r="X26" s="209"/>
      <c r="Y26" s="205"/>
      <c r="Z26" s="209"/>
      <c r="AA26" s="209"/>
      <c r="AB26" s="209"/>
      <c r="AC26" s="209"/>
      <c r="AD26" s="210"/>
    </row>
    <row r="27" spans="2:30" ht="13.5" hidden="1" customHeight="1" thickBot="1" x14ac:dyDescent="0.35">
      <c r="F27" s="52"/>
      <c r="G27" s="145"/>
      <c r="H27" s="145"/>
      <c r="I27" s="140" t="s">
        <v>24</v>
      </c>
      <c r="J27" s="211">
        <f>1/J26</f>
        <v>264.84740704895546</v>
      </c>
      <c r="K27" s="212">
        <f>1/K26</f>
        <v>72.983799160580404</v>
      </c>
      <c r="L27" s="213">
        <f>1/L26</f>
        <v>-162.38954292546759</v>
      </c>
      <c r="M27" s="144"/>
      <c r="N27" s="145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45"/>
      <c r="H28" s="145"/>
      <c r="K28" s="214"/>
      <c r="L28" s="214"/>
      <c r="M28" s="215"/>
      <c r="N28" s="171"/>
      <c r="O28" s="216"/>
      <c r="P28" s="216" t="s">
        <v>109</v>
      </c>
      <c r="Q28" s="217">
        <f>SQRT((D23*(1-D23)/C21)+(D23*(1-D23)/C22))</f>
        <v>5.0576726855087245E-3</v>
      </c>
      <c r="R28" s="218"/>
      <c r="S28" s="218"/>
      <c r="T28" s="218"/>
      <c r="U28" s="109"/>
      <c r="V28" s="5"/>
    </row>
    <row r="29" spans="2:30" ht="31.5" hidden="1" customHeight="1" x14ac:dyDescent="0.35">
      <c r="F29" s="219"/>
      <c r="G29" s="220"/>
      <c r="H29" s="221" t="s">
        <v>64</v>
      </c>
      <c r="I29" s="222" t="s">
        <v>56</v>
      </c>
      <c r="J29" s="223">
        <f>J27</f>
        <v>264.84740704895546</v>
      </c>
      <c r="K29" s="223">
        <f>K27</f>
        <v>72.983799160580404</v>
      </c>
      <c r="L29" s="223">
        <f>L27</f>
        <v>-162.38954292546759</v>
      </c>
      <c r="M29" s="145"/>
      <c r="N29" s="224" t="s">
        <v>115</v>
      </c>
      <c r="O29" s="225"/>
      <c r="P29" s="20" t="s">
        <v>116</v>
      </c>
      <c r="Q29" s="20"/>
      <c r="R29" s="42"/>
      <c r="S29" s="226" t="s">
        <v>117</v>
      </c>
      <c r="T29" s="20"/>
      <c r="U29" s="189"/>
      <c r="V29" s="5"/>
    </row>
    <row r="30" spans="2:30" s="4" customFormat="1" ht="14.25" hidden="1" customHeight="1" x14ac:dyDescent="0.4">
      <c r="F30" s="55"/>
      <c r="G30" s="227"/>
      <c r="H30" s="228"/>
      <c r="I30" s="229" t="s">
        <v>68</v>
      </c>
      <c r="J30" s="230">
        <f>(1-D22)*J27</f>
        <v>245.66755383498659</v>
      </c>
      <c r="K30" s="230">
        <f>(1-D22)*K27</f>
        <v>67.698421552035541</v>
      </c>
      <c r="L30" s="230">
        <f>(1-D22)*L27</f>
        <v>-150.62953503451533</v>
      </c>
      <c r="M30" s="145"/>
      <c r="N30" s="231"/>
      <c r="O30" s="84" t="s">
        <v>118</v>
      </c>
      <c r="Q30" s="232" t="s">
        <v>119</v>
      </c>
      <c r="R30" s="84" t="s">
        <v>120</v>
      </c>
      <c r="S30" s="20"/>
      <c r="T30" s="20"/>
      <c r="U30" s="132"/>
    </row>
    <row r="31" spans="2:30" s="4" customFormat="1" ht="14.25" hidden="1" customHeight="1" x14ac:dyDescent="0.4">
      <c r="F31" s="56"/>
      <c r="G31" s="233"/>
      <c r="H31" s="234"/>
      <c r="I31" s="235" t="s">
        <v>71</v>
      </c>
      <c r="J31" s="236">
        <f>J27*J26</f>
        <v>0.99999999999999989</v>
      </c>
      <c r="K31" s="236">
        <f>K27*K26</f>
        <v>1</v>
      </c>
      <c r="L31" s="236">
        <f>L27*L26</f>
        <v>1</v>
      </c>
      <c r="M31" s="149"/>
      <c r="N31" s="195">
        <f>ABS((J26/Q28))-I21</f>
        <v>-1.2134231727267415</v>
      </c>
      <c r="O31" s="84" t="s">
        <v>121</v>
      </c>
      <c r="P31" s="20"/>
      <c r="Q31" s="20"/>
      <c r="R31" s="41"/>
      <c r="S31" s="43"/>
      <c r="T31" s="43"/>
      <c r="U31" s="187"/>
    </row>
    <row r="32" spans="2:30" s="4" customFormat="1" ht="12.75" hidden="1" customHeight="1" x14ac:dyDescent="0.3">
      <c r="B32" s="237"/>
      <c r="C32" s="57"/>
      <c r="E32" s="30"/>
      <c r="G32" s="238"/>
      <c r="H32" s="239"/>
      <c r="I32" s="240" t="s">
        <v>72</v>
      </c>
      <c r="J32" s="241">
        <f>(D22-J26)*J27</f>
        <v>18.179853213968862</v>
      </c>
      <c r="K32" s="241">
        <f>(D22-K26)*K27</f>
        <v>4.2853776085448629</v>
      </c>
      <c r="L32" s="241">
        <f>(D22-L26)*L27</f>
        <v>-12.76000789095227</v>
      </c>
      <c r="M32" s="149"/>
      <c r="N32" s="198">
        <f>NORMSDIST(N31)</f>
        <v>0.1124840355820885</v>
      </c>
      <c r="O32" s="47" t="s">
        <v>122</v>
      </c>
      <c r="P32" s="48"/>
      <c r="Q32" s="20"/>
      <c r="R32" s="20"/>
      <c r="S32" s="20"/>
      <c r="T32" s="20"/>
      <c r="U32" s="132"/>
    </row>
    <row r="33" spans="2:22" s="4" customFormat="1" ht="12.75" hidden="1" customHeight="1" x14ac:dyDescent="0.3">
      <c r="B33" s="237"/>
      <c r="G33" s="242"/>
      <c r="H33" s="243"/>
      <c r="I33" s="243"/>
      <c r="J33" s="244"/>
      <c r="K33" s="244"/>
      <c r="L33" s="244"/>
      <c r="M33" s="149"/>
      <c r="N33" s="203">
        <f>1-N32</f>
        <v>0.88751596441791147</v>
      </c>
      <c r="O33" s="205" t="s">
        <v>123</v>
      </c>
      <c r="P33" s="205"/>
      <c r="Q33" s="206"/>
      <c r="R33" s="245"/>
      <c r="S33" s="246"/>
      <c r="T33" s="246"/>
      <c r="U33" s="207"/>
    </row>
    <row r="34" spans="2:22" s="4" customFormat="1" ht="31.5" hidden="1" customHeight="1" x14ac:dyDescent="0.3">
      <c r="B34" s="157"/>
      <c r="F34" s="29"/>
      <c r="G34" s="247"/>
      <c r="H34" s="221" t="s">
        <v>66</v>
      </c>
      <c r="I34" s="248" t="s">
        <v>124</v>
      </c>
      <c r="J34" s="249">
        <f>ABS(J27)</f>
        <v>264.84740704895546</v>
      </c>
      <c r="K34" s="249">
        <f>ABS(L27)</f>
        <v>162.38954292546759</v>
      </c>
      <c r="L34" s="249">
        <f>ABS(K27)</f>
        <v>72.983799160580404</v>
      </c>
      <c r="M34" s="149"/>
      <c r="N34" s="144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57"/>
      <c r="G35" s="227"/>
      <c r="H35" s="228"/>
      <c r="I35" s="229" t="s">
        <v>68</v>
      </c>
      <c r="J35" s="230">
        <f>ABS((1-(D22-J26))*J27)</f>
        <v>246.66755383498659</v>
      </c>
      <c r="K35" s="230">
        <f>ABS((1-(D22-L26))*L27)</f>
        <v>149.62953503451533</v>
      </c>
      <c r="L35" s="230">
        <f>ABS((1-(D22-K26))*K27)</f>
        <v>68.698421552035541</v>
      </c>
      <c r="M35" s="149"/>
      <c r="N35" s="144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57"/>
      <c r="F36" s="62"/>
      <c r="G36" s="250"/>
      <c r="H36" s="251"/>
      <c r="I36" s="252" t="s">
        <v>69</v>
      </c>
      <c r="J36" s="253">
        <f>J27*J26</f>
        <v>0.99999999999999989</v>
      </c>
      <c r="K36" s="253">
        <f>L27*L26</f>
        <v>1</v>
      </c>
      <c r="L36" s="253">
        <f>K27*K26</f>
        <v>1</v>
      </c>
      <c r="M36" s="149"/>
      <c r="N36" s="144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54" t="s">
        <v>125</v>
      </c>
      <c r="C37" s="63"/>
      <c r="D37" s="63"/>
      <c r="E37" s="63"/>
      <c r="F37" s="58"/>
      <c r="G37" s="238"/>
      <c r="H37" s="239"/>
      <c r="I37" s="240" t="s">
        <v>70</v>
      </c>
      <c r="J37" s="241">
        <f>ABS(D22*J27)</f>
        <v>19.179853213968862</v>
      </c>
      <c r="K37" s="241">
        <f>ABS(D22*L27)</f>
        <v>11.76000789095227</v>
      </c>
      <c r="L37" s="241">
        <f>ABS(D22*K27)</f>
        <v>5.2853776085448629</v>
      </c>
      <c r="M37" s="145"/>
      <c r="N37" s="144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117"/>
      <c r="C38" s="64" t="s">
        <v>20</v>
      </c>
      <c r="D38" s="65" t="s">
        <v>21</v>
      </c>
      <c r="E38" s="20"/>
      <c r="F38" s="58"/>
      <c r="G38" s="255"/>
      <c r="H38" s="256"/>
      <c r="I38" s="257"/>
      <c r="J38" s="258"/>
      <c r="K38" s="258"/>
      <c r="L38" s="258"/>
      <c r="M38" s="162"/>
      <c r="N38" s="149"/>
      <c r="O38" s="4"/>
      <c r="P38" s="4"/>
      <c r="Q38" s="4"/>
      <c r="R38" s="4"/>
    </row>
    <row r="39" spans="2:22" ht="12.75" hidden="1" customHeight="1" x14ac:dyDescent="0.3">
      <c r="B39" s="259" t="s">
        <v>32</v>
      </c>
      <c r="C39" s="69" t="s">
        <v>3</v>
      </c>
      <c r="D39" s="70" t="s">
        <v>2</v>
      </c>
      <c r="E39" s="71" t="s">
        <v>22</v>
      </c>
      <c r="G39" s="145"/>
      <c r="H39" s="145"/>
      <c r="I39" s="145"/>
      <c r="J39" s="145"/>
      <c r="K39" s="145"/>
      <c r="L39" s="145"/>
      <c r="M39" s="145"/>
      <c r="N39" s="149"/>
      <c r="O39" s="4"/>
      <c r="P39" s="4"/>
      <c r="Q39" s="4"/>
      <c r="R39" s="4"/>
      <c r="U39" s="5"/>
      <c r="V39" s="5"/>
    </row>
    <row r="40" spans="2:22" ht="12.75" hidden="1" customHeight="1" x14ac:dyDescent="0.3">
      <c r="B40" s="260" t="s">
        <v>17</v>
      </c>
      <c r="C40" s="72">
        <f>F7*D9/F9</f>
        <v>361.67632426104768</v>
      </c>
      <c r="D40" s="72">
        <f>F7*E9/F9</f>
        <v>4766.3236757389523</v>
      </c>
      <c r="E40" s="72">
        <f>F7</f>
        <v>5128</v>
      </c>
      <c r="G40" s="261"/>
      <c r="H40" s="262" t="s">
        <v>30</v>
      </c>
      <c r="I40" s="263">
        <f>CHIINV(0.05,K41)</f>
        <v>3.8414588206941236</v>
      </c>
      <c r="J40" s="145"/>
      <c r="K40" s="145"/>
      <c r="L40" s="145"/>
      <c r="M40" s="145"/>
      <c r="N40" s="149"/>
      <c r="O40" s="59"/>
      <c r="P40" s="59"/>
      <c r="Q40" s="59"/>
      <c r="R40" s="4"/>
      <c r="U40" s="5"/>
      <c r="V40" s="5"/>
    </row>
    <row r="41" spans="2:22" ht="12.75" hidden="1" customHeight="1" x14ac:dyDescent="0.3">
      <c r="B41" s="264" t="s">
        <v>18</v>
      </c>
      <c r="C41" s="72">
        <f>F8*D9/F9</f>
        <v>361.32367573895232</v>
      </c>
      <c r="D41" s="72">
        <f>F8*E9/F9</f>
        <v>4761.6763242610477</v>
      </c>
      <c r="E41" s="72">
        <f>F8</f>
        <v>5123</v>
      </c>
      <c r="F41" s="12"/>
      <c r="G41" s="265"/>
      <c r="H41" s="265"/>
      <c r="I41" s="266"/>
      <c r="J41" s="267" t="s">
        <v>31</v>
      </c>
      <c r="K41" s="268">
        <f>(COUNT(C40:D40)-1)*(COUNT(C40:C41)-1)</f>
        <v>1</v>
      </c>
      <c r="L41" s="145"/>
      <c r="M41" s="145"/>
      <c r="N41" s="145"/>
      <c r="O41" s="59"/>
      <c r="P41" s="59"/>
      <c r="Q41" s="59"/>
      <c r="R41" s="4"/>
      <c r="U41" s="5"/>
      <c r="V41" s="5"/>
    </row>
    <row r="42" spans="2:22" ht="12.75" hidden="1" customHeight="1" x14ac:dyDescent="0.3">
      <c r="B42" s="269" t="s">
        <v>29</v>
      </c>
      <c r="C42" s="72">
        <f>SUM(C40:C41)</f>
        <v>723</v>
      </c>
      <c r="D42" s="72">
        <f>SUM(D40:D41)</f>
        <v>9528</v>
      </c>
      <c r="E42" s="73">
        <f>SUM(E40:E41)</f>
        <v>10251</v>
      </c>
      <c r="F42" s="12"/>
      <c r="G42" s="162"/>
      <c r="H42" s="270" t="s">
        <v>33</v>
      </c>
      <c r="I42" s="101" t="s">
        <v>34</v>
      </c>
      <c r="J42" s="145"/>
      <c r="K42" s="145"/>
      <c r="L42" s="145"/>
      <c r="M42" s="145"/>
      <c r="N42" s="145"/>
      <c r="O42" s="59"/>
      <c r="P42" s="60"/>
      <c r="Q42" s="59"/>
      <c r="R42" s="4"/>
      <c r="U42" s="5"/>
      <c r="V42" s="5"/>
    </row>
    <row r="43" spans="2:22" ht="12.75" hidden="1" customHeight="1" x14ac:dyDescent="0.3">
      <c r="B43" s="269"/>
      <c r="C43" s="74"/>
      <c r="D43" s="74"/>
      <c r="E43" s="75"/>
      <c r="F43" s="12"/>
      <c r="G43" s="162"/>
      <c r="H43" s="270" t="s">
        <v>35</v>
      </c>
      <c r="I43" s="101" t="s">
        <v>36</v>
      </c>
      <c r="J43" s="145"/>
      <c r="K43" s="145"/>
      <c r="L43" s="145"/>
      <c r="M43" s="145"/>
      <c r="N43" s="145"/>
      <c r="O43" s="61"/>
      <c r="P43" s="61"/>
      <c r="Q43" s="61"/>
      <c r="R43" s="4"/>
      <c r="U43" s="5"/>
      <c r="V43" s="5"/>
    </row>
    <row r="44" spans="2:22" ht="26.25" hidden="1" customHeight="1" x14ac:dyDescent="0.3">
      <c r="B44" s="271"/>
      <c r="C44" s="484" t="s">
        <v>126</v>
      </c>
      <c r="D44" s="485"/>
      <c r="G44" s="145"/>
      <c r="H44" s="272"/>
      <c r="I44" s="145"/>
      <c r="J44" s="145"/>
      <c r="K44" s="145"/>
      <c r="L44" s="145"/>
      <c r="M44" s="145"/>
      <c r="N44" s="145"/>
      <c r="O44" s="5"/>
      <c r="P44" s="5"/>
      <c r="U44" s="5"/>
      <c r="V44" s="5"/>
    </row>
    <row r="45" spans="2:22" ht="12.75" hidden="1" customHeight="1" x14ac:dyDescent="0.3">
      <c r="B45" s="271"/>
      <c r="C45" s="76">
        <f>(D7-C40)^2/C40</f>
        <v>0.25888133926444018</v>
      </c>
      <c r="D45" s="76">
        <f>(E7-D40)^2/D40</f>
        <v>1.9644333363580235E-2</v>
      </c>
      <c r="F45" s="68"/>
      <c r="G45" s="273"/>
      <c r="H45" s="145"/>
      <c r="I45" s="145"/>
      <c r="J45" s="149"/>
      <c r="K45" s="149"/>
      <c r="L45" s="274"/>
      <c r="M45" s="145"/>
      <c r="N45" s="145"/>
      <c r="O45" s="5"/>
      <c r="P45" s="5"/>
      <c r="U45" s="5"/>
      <c r="V45" s="5"/>
    </row>
    <row r="46" spans="2:22" ht="12.75" hidden="1" customHeight="1" x14ac:dyDescent="0.3">
      <c r="B46" s="271"/>
      <c r="C46" s="76">
        <f>(D8-C41)^2/C41</f>
        <v>0.25913400502597095</v>
      </c>
      <c r="D46" s="76">
        <f>(E8-D41)^2/D41</f>
        <v>1.966350604888531E-2</v>
      </c>
      <c r="E46" s="16"/>
      <c r="F46" s="77" t="s">
        <v>37</v>
      </c>
      <c r="G46" s="275">
        <f>C48-I40</f>
        <v>-3.2841356369912469</v>
      </c>
      <c r="H46" s="145"/>
      <c r="I46" s="145"/>
      <c r="J46" s="149"/>
      <c r="K46" s="149"/>
      <c r="L46" s="145"/>
      <c r="M46" s="145"/>
      <c r="N46" s="145"/>
      <c r="O46" s="5"/>
      <c r="P46" s="5"/>
      <c r="U46" s="5"/>
      <c r="V46" s="5"/>
    </row>
    <row r="47" spans="2:22" ht="12.75" hidden="1" customHeight="1" thickBot="1" x14ac:dyDescent="0.35">
      <c r="B47" s="101" t="s">
        <v>39</v>
      </c>
      <c r="D47" s="78"/>
      <c r="G47" s="124" t="s">
        <v>40</v>
      </c>
      <c r="H47" s="145"/>
      <c r="I47" s="145"/>
      <c r="J47" s="149"/>
      <c r="K47" s="149"/>
      <c r="L47" s="145"/>
      <c r="M47" s="145"/>
      <c r="N47" s="145"/>
      <c r="O47" s="5"/>
      <c r="P47" s="5"/>
      <c r="U47" s="5"/>
      <c r="V47" s="5"/>
    </row>
    <row r="48" spans="2:22" ht="13.5" hidden="1" customHeight="1" thickBot="1" x14ac:dyDescent="0.35">
      <c r="B48" s="133" t="s">
        <v>38</v>
      </c>
      <c r="C48" s="276">
        <f>SUM(C45:D46)</f>
        <v>0.5573231837028767</v>
      </c>
      <c r="D48" s="20"/>
      <c r="G48" s="124" t="s">
        <v>41</v>
      </c>
      <c r="H48" s="145"/>
      <c r="I48" s="277"/>
      <c r="J48" s="149"/>
      <c r="K48" s="149"/>
      <c r="L48" s="278"/>
      <c r="M48" s="145"/>
      <c r="N48" s="145"/>
      <c r="O48" s="5"/>
      <c r="P48" s="5"/>
      <c r="U48" s="5"/>
      <c r="V48" s="5"/>
    </row>
    <row r="49" spans="2:22" ht="12.75" hidden="1" customHeight="1" thickBot="1" x14ac:dyDescent="0.35">
      <c r="B49" s="279" t="s">
        <v>80</v>
      </c>
      <c r="C49" s="280">
        <f>CHIDIST(C48,1)</f>
        <v>0.45534078757916086</v>
      </c>
      <c r="E49" s="20"/>
      <c r="F49" s="20"/>
      <c r="G49" s="144"/>
      <c r="H49" s="281"/>
      <c r="I49" s="144"/>
      <c r="J49" s="149"/>
      <c r="K49" s="149"/>
      <c r="L49" s="144"/>
      <c r="M49" s="145"/>
      <c r="N49" s="145"/>
      <c r="O49" s="5"/>
      <c r="P49" s="5"/>
      <c r="U49" s="5"/>
      <c r="V49" s="5"/>
    </row>
    <row r="50" spans="2:22" s="4" customFormat="1" ht="12.75" hidden="1" customHeight="1" x14ac:dyDescent="0.3">
      <c r="B50" s="157"/>
      <c r="E50" s="79"/>
      <c r="F50" s="79"/>
      <c r="G50" s="149"/>
      <c r="H50" s="149"/>
      <c r="I50" s="282"/>
      <c r="J50" s="149"/>
      <c r="K50" s="149"/>
      <c r="L50" s="149"/>
      <c r="M50" s="149"/>
      <c r="N50" s="149"/>
    </row>
    <row r="51" spans="2:22" ht="13.5" hidden="1" customHeight="1" x14ac:dyDescent="0.3">
      <c r="B51" s="117"/>
      <c r="G51" s="145"/>
      <c r="H51" s="145"/>
      <c r="I51" s="145"/>
      <c r="J51" s="149"/>
      <c r="K51" s="149"/>
      <c r="L51" s="145"/>
      <c r="M51" s="145"/>
      <c r="N51" s="145"/>
      <c r="O51" s="5"/>
      <c r="P51" s="5"/>
      <c r="U51" s="5"/>
      <c r="V51" s="5"/>
    </row>
    <row r="52" spans="2:22" ht="12.75" hidden="1" customHeight="1" thickBot="1" x14ac:dyDescent="0.35">
      <c r="B52" s="283" t="s">
        <v>127</v>
      </c>
      <c r="C52" s="131"/>
      <c r="D52" s="131"/>
      <c r="E52" s="131"/>
      <c r="F52" s="131"/>
      <c r="G52" s="131"/>
      <c r="H52" s="284"/>
      <c r="I52" s="145"/>
      <c r="J52" s="285" t="s">
        <v>128</v>
      </c>
      <c r="K52" s="286"/>
      <c r="L52" s="287"/>
      <c r="M52" s="287"/>
      <c r="N52" s="287"/>
      <c r="O52" s="109"/>
      <c r="P52" s="5"/>
      <c r="U52" s="5"/>
      <c r="V52" s="5"/>
    </row>
    <row r="53" spans="2:22" ht="12.75" hidden="1" customHeight="1" thickBot="1" x14ac:dyDescent="0.35">
      <c r="B53" s="288">
        <f>I2*100</f>
        <v>95</v>
      </c>
      <c r="C53" s="58"/>
      <c r="D53" s="58"/>
      <c r="E53" s="4"/>
      <c r="F53" s="4"/>
      <c r="G53" s="4"/>
      <c r="H53" s="132"/>
      <c r="I53" s="145"/>
      <c r="J53" s="289"/>
      <c r="K53" s="149"/>
      <c r="L53" s="144"/>
      <c r="M53" s="144"/>
      <c r="N53" s="144"/>
      <c r="O53" s="189"/>
      <c r="P53" s="5"/>
      <c r="U53" s="5"/>
      <c r="V53" s="5"/>
    </row>
    <row r="54" spans="2:22" ht="12.75" hidden="1" customHeight="1" x14ac:dyDescent="0.3">
      <c r="B54" s="290" t="s">
        <v>49</v>
      </c>
      <c r="C54" s="291"/>
      <c r="D54" s="291"/>
      <c r="E54" s="1">
        <f>ROUND(G14,2)</f>
        <v>0.95</v>
      </c>
      <c r="F54" s="53">
        <f>ROUND(J26,4)</f>
        <v>3.8E-3</v>
      </c>
      <c r="G54" s="292">
        <f>ROUND(J27,0)</f>
        <v>265</v>
      </c>
      <c r="H54" s="293"/>
      <c r="I54" s="145"/>
      <c r="J54" s="294" t="s">
        <v>49</v>
      </c>
      <c r="K54" s="4"/>
      <c r="L54" s="4"/>
      <c r="M54" s="4"/>
      <c r="N54" s="144"/>
      <c r="O54" s="189"/>
      <c r="P54" s="5"/>
      <c r="U54" s="5"/>
      <c r="V54" s="5"/>
    </row>
    <row r="55" spans="2:22" ht="12.75" hidden="1" customHeight="1" x14ac:dyDescent="0.3">
      <c r="B55" s="290" t="s">
        <v>51</v>
      </c>
      <c r="C55" s="20"/>
      <c r="D55" s="20"/>
      <c r="E55" s="1">
        <f>ROUND(H14,2)</f>
        <v>0.82</v>
      </c>
      <c r="F55" s="53">
        <f>ROUND(L26,4)</f>
        <v>-6.1999999999999998E-3</v>
      </c>
      <c r="G55" s="292">
        <f>ROUND(L27,0)</f>
        <v>-162</v>
      </c>
      <c r="H55" s="293"/>
      <c r="I55" s="145"/>
      <c r="J55" s="294" t="s">
        <v>51</v>
      </c>
      <c r="K55" s="295" t="str">
        <f>ROUND(J21,4)*100&amp;J57</f>
        <v>6,86%</v>
      </c>
      <c r="L55" s="295" t="str">
        <f>ROUND(K21,4)*100&amp;J57</f>
        <v>6,2%</v>
      </c>
      <c r="M55" s="295" t="str">
        <f>ROUND(L21,4)*100&amp;J57</f>
        <v>7,59%</v>
      </c>
      <c r="N55" s="120" t="str">
        <f>CONCATENATE(K55," ",J54,L55," ",J58," ",M55,J56)</f>
        <v>6,86% (6,2% a 7,59%)</v>
      </c>
      <c r="O55" s="189"/>
      <c r="P55" s="5"/>
      <c r="U55" s="5"/>
      <c r="V55" s="5"/>
    </row>
    <row r="56" spans="2:22" s="12" customFormat="1" ht="12.75" hidden="1" customHeight="1" x14ac:dyDescent="0.3">
      <c r="B56" s="290" t="s">
        <v>50</v>
      </c>
      <c r="C56" s="291">
        <f>ROUND(D7,0)</f>
        <v>352</v>
      </c>
      <c r="D56" s="291">
        <f>ROUND(D8,0)</f>
        <v>371</v>
      </c>
      <c r="E56" s="1">
        <f>ROUND(I14,2)</f>
        <v>1.0900000000000001</v>
      </c>
      <c r="F56" s="53">
        <f>ROUND(K26,4)</f>
        <v>1.37E-2</v>
      </c>
      <c r="G56" s="292">
        <f>ROUND(K27,0)</f>
        <v>73</v>
      </c>
      <c r="H56" s="296">
        <f>ROUND(N32,4)</f>
        <v>0.1125</v>
      </c>
      <c r="I56" s="162"/>
      <c r="J56" s="294" t="s">
        <v>50</v>
      </c>
      <c r="K56" s="81" t="str">
        <f>ROUND(J22,4)*100&amp;J57</f>
        <v>7,24%</v>
      </c>
      <c r="L56" s="81" t="str">
        <f>ROUND(K22,4)*100&amp;J57</f>
        <v>6,56%</v>
      </c>
      <c r="M56" s="81" t="str">
        <f>ROUND(L22,4)*100&amp;J57</f>
        <v>7,98%</v>
      </c>
      <c r="N56" s="120" t="str">
        <f>CONCATENATE(K56," ",J54,L56," ",J58," ",M56,J56)</f>
        <v>7,24% (6,56% a 7,98%)</v>
      </c>
      <c r="O56" s="132"/>
    </row>
    <row r="57" spans="2:22" ht="12.75" hidden="1" customHeight="1" x14ac:dyDescent="0.3">
      <c r="B57" s="290" t="s">
        <v>52</v>
      </c>
      <c r="C57" s="297" t="s">
        <v>74</v>
      </c>
      <c r="D57" s="297" t="s">
        <v>75</v>
      </c>
      <c r="E57" s="297" t="s">
        <v>4</v>
      </c>
      <c r="F57" s="297" t="s">
        <v>58</v>
      </c>
      <c r="G57" s="298" t="s">
        <v>56</v>
      </c>
      <c r="H57" s="261" t="s">
        <v>59</v>
      </c>
      <c r="I57" s="145"/>
      <c r="J57" s="294" t="s">
        <v>52</v>
      </c>
      <c r="K57" s="81" t="str">
        <f>ROUND(J23,4)*100&amp;J57</f>
        <v>7,05%</v>
      </c>
      <c r="L57" s="81" t="str">
        <f>ROUND(K23,4)*100&amp;J57</f>
        <v>6,57%</v>
      </c>
      <c r="M57" s="81" t="str">
        <f>ROUND(L23,4)*100&amp;J57</f>
        <v>7,56%</v>
      </c>
      <c r="N57" s="120" t="str">
        <f>CONCATENATE(K57," ",J54,L57," ",J58," ",M57,J56)</f>
        <v>7,05% (6,57% a 7,56%)</v>
      </c>
      <c r="O57" s="132"/>
    </row>
    <row r="58" spans="2:22" ht="12.75" hidden="1" customHeight="1" x14ac:dyDescent="0.3">
      <c r="B58" s="299" t="s">
        <v>19</v>
      </c>
      <c r="C58" s="300" t="str">
        <f>CONCATENATE(C56,B59,C21," ",B54,K55,B56)</f>
        <v>352/5128 (6,86%)</v>
      </c>
      <c r="D58" s="140" t="str">
        <f>CONCATENATE(D56,B59,C22," ",B54,K56,B56)</f>
        <v>371/5123 (7,24%)</v>
      </c>
      <c r="E58" s="300" t="str">
        <f>CONCATENATE(E54," ",B54,E55,B55,E56,B56)</f>
        <v>0,95 (0,82-1,09)</v>
      </c>
      <c r="F58" s="300" t="str">
        <f>CONCATENATE(F54*100,B57," ",B54,F55*100,B57," ",B58," ",F56*100,B57,B56)</f>
        <v>0,38% (-0,62% a 1,37%)</v>
      </c>
      <c r="G58" s="261" t="str">
        <f>CONCATENATE(G54," ",B54,G56," ",B58," ",G55,B56)</f>
        <v>265 (73 a -162)</v>
      </c>
      <c r="H58" s="261" t="str">
        <f>CONCATENATE(H56*100,B57)</f>
        <v>11,25%</v>
      </c>
      <c r="I58" s="145"/>
      <c r="J58" s="301" t="s">
        <v>19</v>
      </c>
      <c r="K58" s="20"/>
      <c r="L58" s="20"/>
      <c r="M58" s="20"/>
      <c r="N58" s="144"/>
      <c r="O58" s="189"/>
      <c r="P58" s="5"/>
      <c r="U58" s="5"/>
      <c r="V58" s="5"/>
    </row>
    <row r="59" spans="2:22" ht="13.5" hidden="1" customHeight="1" thickBot="1" x14ac:dyDescent="0.35">
      <c r="B59" s="302" t="s">
        <v>57</v>
      </c>
      <c r="C59" s="209"/>
      <c r="D59" s="209"/>
      <c r="E59" s="209"/>
      <c r="F59" s="209"/>
      <c r="G59" s="303"/>
      <c r="H59" s="304"/>
      <c r="I59" s="145"/>
      <c r="J59" s="305" t="s">
        <v>57</v>
      </c>
      <c r="K59" s="209"/>
      <c r="L59" s="209"/>
      <c r="M59" s="209"/>
      <c r="N59" s="306"/>
      <c r="O59" s="207"/>
      <c r="P59" s="5"/>
      <c r="U59" s="5"/>
      <c r="V59" s="5"/>
    </row>
    <row r="60" spans="2:22" x14ac:dyDescent="0.3">
      <c r="B60" s="117"/>
      <c r="G60" s="145"/>
      <c r="H60" s="145"/>
      <c r="I60" s="145"/>
      <c r="J60" s="145"/>
      <c r="K60" s="145"/>
      <c r="L60" s="149"/>
      <c r="M60" s="145"/>
      <c r="N60" s="145"/>
      <c r="O60" s="5"/>
      <c r="P60" s="5"/>
      <c r="U60" s="5"/>
      <c r="V60" s="5"/>
    </row>
    <row r="61" spans="2:22" ht="27" customHeight="1" x14ac:dyDescent="0.3">
      <c r="B61" s="117"/>
      <c r="C61" s="307" t="s">
        <v>74</v>
      </c>
      <c r="D61" s="307" t="s">
        <v>75</v>
      </c>
      <c r="E61" s="308" t="str">
        <f>CONCATENATE(E57," ",B54,H2," ",B53,B57,B56)</f>
        <v>RR (IC 95%)</v>
      </c>
      <c r="F61" s="308" t="str">
        <f>CONCATENATE(F57," ",B54,H2," ",B53,B57,B56)</f>
        <v>RAR (IC 95%)</v>
      </c>
      <c r="G61" s="308" t="str">
        <f>CONCATENATE(G57," ",B54,H2," ",B53,B57,B56)</f>
        <v>NNT (IC 95%)</v>
      </c>
      <c r="H61" s="308" t="s">
        <v>60</v>
      </c>
      <c r="I61" s="309"/>
      <c r="J61" s="308" t="s">
        <v>81</v>
      </c>
      <c r="L61" s="310" t="s">
        <v>129</v>
      </c>
      <c r="M61" s="310" t="s">
        <v>130</v>
      </c>
      <c r="O61" s="5"/>
      <c r="P61" s="5"/>
      <c r="U61" s="5"/>
      <c r="V61" s="5"/>
    </row>
    <row r="62" spans="2:22" ht="21" customHeight="1" x14ac:dyDescent="0.3">
      <c r="B62" s="117"/>
      <c r="C62" s="140" t="str">
        <f t="shared" ref="C62:H62" si="0">C58</f>
        <v>352/5128 (6,86%)</v>
      </c>
      <c r="D62" s="140" t="str">
        <f t="shared" si="0"/>
        <v>371/5123 (7,24%)</v>
      </c>
      <c r="E62" s="140" t="str">
        <f t="shared" si="0"/>
        <v>0,95 (0,82-1,09)</v>
      </c>
      <c r="F62" s="140" t="str">
        <f t="shared" si="0"/>
        <v>0,38% (-0,62% a 1,37%)</v>
      </c>
      <c r="G62" s="140" t="str">
        <f t="shared" si="0"/>
        <v>265 (73 a -162)</v>
      </c>
      <c r="H62" s="140" t="str">
        <f t="shared" si="0"/>
        <v>11,25%</v>
      </c>
      <c r="I62" s="311"/>
      <c r="J62" s="312">
        <f>C49</f>
        <v>0.45534078757916086</v>
      </c>
      <c r="L62" s="313">
        <f>IF((K26*L26&lt;0),J23,J21)</f>
        <v>7.052970441908106E-2</v>
      </c>
      <c r="M62" s="313">
        <f>IF((K26*L26&lt;0),J23,J22)</f>
        <v>7.052970441908106E-2</v>
      </c>
      <c r="O62" s="5"/>
      <c r="P62" s="5"/>
      <c r="U62" s="5"/>
      <c r="V62" s="5"/>
    </row>
    <row r="63" spans="2:22" x14ac:dyDescent="0.3">
      <c r="L63" s="4"/>
    </row>
    <row r="64" spans="2:22" x14ac:dyDescent="0.3">
      <c r="B64" s="364" t="s">
        <v>173</v>
      </c>
      <c r="L64" s="4"/>
    </row>
    <row r="65" spans="1:22" ht="16" thickBot="1" x14ac:dyDescent="0.4">
      <c r="B65" s="365" t="s">
        <v>169</v>
      </c>
      <c r="C65" s="4"/>
      <c r="D65" s="4"/>
      <c r="E65" s="4"/>
      <c r="F65" s="4"/>
      <c r="G65" s="4"/>
      <c r="H65" s="4"/>
      <c r="I65" s="4"/>
      <c r="J65" s="4"/>
      <c r="K65" s="82"/>
      <c r="L65" s="4"/>
      <c r="M65" s="4"/>
      <c r="N65" s="4"/>
      <c r="O65" s="4"/>
    </row>
    <row r="66" spans="1:22" ht="29.25" customHeight="1" thickBot="1" x14ac:dyDescent="0.4">
      <c r="A66" s="366"/>
      <c r="B66" s="491" t="s">
        <v>278</v>
      </c>
      <c r="C66" s="492"/>
      <c r="D66" s="492"/>
      <c r="E66" s="493"/>
      <c r="F66" s="493"/>
      <c r="G66" s="493"/>
      <c r="H66" s="494"/>
      <c r="I66" s="374"/>
      <c r="K66" s="82"/>
      <c r="L66" s="474" t="s">
        <v>144</v>
      </c>
      <c r="M66" s="475"/>
      <c r="N66" s="4"/>
      <c r="O66" s="472" t="s">
        <v>176</v>
      </c>
      <c r="P66" s="473"/>
    </row>
    <row r="67" spans="1:22" ht="32.5" customHeight="1" thickBot="1" x14ac:dyDescent="0.4">
      <c r="A67" s="366"/>
      <c r="B67" s="486" t="s">
        <v>175</v>
      </c>
      <c r="C67" s="357" t="s">
        <v>281</v>
      </c>
      <c r="D67" s="358" t="s">
        <v>147</v>
      </c>
      <c r="E67" s="488" t="s">
        <v>172</v>
      </c>
      <c r="F67" s="489"/>
      <c r="G67" s="489"/>
      <c r="H67" s="490"/>
      <c r="I67" s="366"/>
      <c r="K67" s="82"/>
      <c r="L67" s="476" t="s">
        <v>150</v>
      </c>
      <c r="M67" s="477"/>
      <c r="N67" s="4"/>
      <c r="O67" s="464" t="s">
        <v>177</v>
      </c>
      <c r="P67" s="465"/>
    </row>
    <row r="68" spans="1:22" ht="33" customHeight="1" thickBot="1" x14ac:dyDescent="0.35">
      <c r="A68" s="366"/>
      <c r="B68" s="487"/>
      <c r="C68" s="359" t="s">
        <v>148</v>
      </c>
      <c r="D68" s="360" t="s">
        <v>148</v>
      </c>
      <c r="E68" s="83" t="s">
        <v>53</v>
      </c>
      <c r="F68" s="83" t="s">
        <v>47</v>
      </c>
      <c r="G68" s="108" t="s">
        <v>48</v>
      </c>
      <c r="H68" s="355" t="s">
        <v>60</v>
      </c>
      <c r="I68" s="366"/>
      <c r="J68" s="356" t="s">
        <v>146</v>
      </c>
      <c r="K68" s="4"/>
      <c r="L68" s="352" t="s">
        <v>282</v>
      </c>
      <c r="M68" s="353" t="s">
        <v>145</v>
      </c>
      <c r="N68" s="4"/>
      <c r="O68" s="384" t="s">
        <v>282</v>
      </c>
      <c r="P68" s="385" t="s">
        <v>145</v>
      </c>
    </row>
    <row r="69" spans="1:22" s="100" customFormat="1" ht="9.75" customHeight="1" x14ac:dyDescent="0.3">
      <c r="A69" s="408"/>
      <c r="B69" s="409"/>
      <c r="C69" s="410"/>
      <c r="D69" s="410"/>
      <c r="E69" s="411"/>
      <c r="F69" s="411"/>
      <c r="G69" s="412"/>
      <c r="H69" s="410"/>
      <c r="I69" s="366"/>
      <c r="J69" s="413"/>
      <c r="K69" s="374"/>
      <c r="L69" s="375"/>
      <c r="M69" s="375"/>
      <c r="N69" s="414"/>
      <c r="O69" s="366"/>
      <c r="P69" s="366"/>
      <c r="U69" s="99"/>
      <c r="V69" s="99"/>
    </row>
    <row r="70" spans="1:22" s="100" customFormat="1" ht="30.75" customHeight="1" x14ac:dyDescent="0.3">
      <c r="A70" s="408"/>
      <c r="B70" s="415" t="s">
        <v>178</v>
      </c>
      <c r="C70" s="389" t="s">
        <v>179</v>
      </c>
      <c r="D70" s="389" t="s">
        <v>180</v>
      </c>
      <c r="E70" s="389" t="s">
        <v>181</v>
      </c>
      <c r="F70" s="389" t="s">
        <v>182</v>
      </c>
      <c r="G70" s="406" t="s">
        <v>183</v>
      </c>
      <c r="H70" s="390">
        <v>0.98050000000000004</v>
      </c>
      <c r="I70" s="386"/>
      <c r="J70" s="391">
        <v>5.7070416286743867E-5</v>
      </c>
      <c r="K70" s="387"/>
      <c r="L70" s="388">
        <v>0.41438539989264628</v>
      </c>
      <c r="M70" s="388">
        <v>0.4799143010176754</v>
      </c>
      <c r="N70" s="387"/>
      <c r="O70" s="392">
        <v>41.438539989264626</v>
      </c>
      <c r="P70" s="380">
        <v>47.991430101767541</v>
      </c>
      <c r="U70" s="99"/>
      <c r="V70" s="99"/>
    </row>
    <row r="71" spans="1:22" s="100" customFormat="1" ht="21" customHeight="1" x14ac:dyDescent="0.3">
      <c r="A71" s="408"/>
      <c r="B71" s="415" t="s">
        <v>184</v>
      </c>
      <c r="C71" s="389" t="s">
        <v>185</v>
      </c>
      <c r="D71" s="389" t="s">
        <v>186</v>
      </c>
      <c r="E71" s="389" t="s">
        <v>187</v>
      </c>
      <c r="F71" s="389" t="s">
        <v>188</v>
      </c>
      <c r="G71" s="389" t="s">
        <v>189</v>
      </c>
      <c r="H71" s="390" t="s">
        <v>190</v>
      </c>
      <c r="I71" s="386"/>
      <c r="J71" s="391">
        <v>0.81844820786731942</v>
      </c>
      <c r="K71" s="387"/>
      <c r="L71" s="388">
        <v>5.6032171581769437E-2</v>
      </c>
      <c r="M71" s="388">
        <v>5.6032171581769437E-2</v>
      </c>
      <c r="N71" s="387"/>
      <c r="O71" s="377">
        <v>5.6032171581769434</v>
      </c>
      <c r="P71" s="377">
        <v>5.6032171581769434</v>
      </c>
      <c r="U71" s="99"/>
      <c r="V71" s="99"/>
    </row>
    <row r="72" spans="1:22" s="100" customFormat="1" ht="26.25" customHeight="1" x14ac:dyDescent="0.3">
      <c r="A72" s="408"/>
      <c r="B72" s="415" t="s">
        <v>191</v>
      </c>
      <c r="C72" s="389" t="s">
        <v>192</v>
      </c>
      <c r="D72" s="389" t="s">
        <v>193</v>
      </c>
      <c r="E72" s="389" t="s">
        <v>194</v>
      </c>
      <c r="F72" s="389" t="s">
        <v>195</v>
      </c>
      <c r="G72" s="389" t="s">
        <v>196</v>
      </c>
      <c r="H72" s="390" t="s">
        <v>197</v>
      </c>
      <c r="I72" s="386"/>
      <c r="J72" s="391">
        <v>0.8982811450920174</v>
      </c>
      <c r="K72" s="387"/>
      <c r="L72" s="388">
        <v>1.4745308310991957E-2</v>
      </c>
      <c r="M72" s="388">
        <v>1.4745308310991957E-2</v>
      </c>
      <c r="N72" s="387"/>
      <c r="O72" s="377">
        <v>1.4745308310991956</v>
      </c>
      <c r="P72" s="377">
        <v>1.4745308310991956</v>
      </c>
      <c r="U72" s="99"/>
      <c r="V72" s="99"/>
    </row>
    <row r="73" spans="1:22" s="100" customFormat="1" ht="26.25" customHeight="1" x14ac:dyDescent="0.3">
      <c r="A73" s="408"/>
      <c r="B73" s="415" t="s">
        <v>265</v>
      </c>
      <c r="C73" s="389" t="s">
        <v>266</v>
      </c>
      <c r="D73" s="389" t="s">
        <v>267</v>
      </c>
      <c r="E73" s="389" t="s">
        <v>268</v>
      </c>
      <c r="F73" s="389" t="s">
        <v>269</v>
      </c>
      <c r="G73" s="389" t="s">
        <v>270</v>
      </c>
      <c r="H73" s="390">
        <v>0.20760000000000001</v>
      </c>
      <c r="I73" s="386"/>
      <c r="J73" s="391">
        <v>0.25220004843012589</v>
      </c>
      <c r="K73" s="387"/>
      <c r="L73" s="388">
        <v>0.14033149171270717</v>
      </c>
      <c r="M73" s="388">
        <v>0.14033149171270717</v>
      </c>
      <c r="N73" s="387"/>
      <c r="O73" s="377">
        <v>14.033149171270717</v>
      </c>
      <c r="P73" s="377">
        <v>14.033149171270717</v>
      </c>
      <c r="U73" s="99"/>
      <c r="V73" s="99"/>
    </row>
    <row r="74" spans="1:22" s="100" customFormat="1" ht="21" customHeight="1" x14ac:dyDescent="0.3">
      <c r="A74" s="408"/>
      <c r="B74" s="415" t="s">
        <v>198</v>
      </c>
      <c r="C74" s="389" t="s">
        <v>199</v>
      </c>
      <c r="D74" s="389" t="s">
        <v>200</v>
      </c>
      <c r="E74" s="389" t="s">
        <v>201</v>
      </c>
      <c r="F74" s="389" t="s">
        <v>202</v>
      </c>
      <c r="G74" s="389" t="s">
        <v>203</v>
      </c>
      <c r="H74" s="390" t="s">
        <v>204</v>
      </c>
      <c r="I74" s="386"/>
      <c r="J74" s="391">
        <v>0.52501942984745398</v>
      </c>
      <c r="K74" s="387"/>
      <c r="L74" s="388">
        <v>4.6648793565683647E-2</v>
      </c>
      <c r="M74" s="388">
        <v>4.6648793565683647E-2</v>
      </c>
      <c r="N74" s="387"/>
      <c r="O74" s="377">
        <v>4.6648793565683651</v>
      </c>
      <c r="P74" s="377">
        <v>4.6648793565683651</v>
      </c>
      <c r="U74" s="99"/>
      <c r="V74" s="99"/>
    </row>
    <row r="75" spans="1:22" s="100" customFormat="1" ht="28.5" customHeight="1" x14ac:dyDescent="0.3">
      <c r="A75" s="408"/>
      <c r="B75" s="415" t="s">
        <v>205</v>
      </c>
      <c r="C75" s="389" t="s">
        <v>206</v>
      </c>
      <c r="D75" s="389" t="s">
        <v>207</v>
      </c>
      <c r="E75" s="389" t="s">
        <v>208</v>
      </c>
      <c r="F75" s="389" t="s">
        <v>209</v>
      </c>
      <c r="G75" s="389" t="s">
        <v>210</v>
      </c>
      <c r="H75" s="390" t="s">
        <v>211</v>
      </c>
      <c r="I75" s="386"/>
      <c r="J75" s="391">
        <v>0.48678929783970692</v>
      </c>
      <c r="K75" s="387"/>
      <c r="L75" s="388">
        <v>9.1152815013404824E-3</v>
      </c>
      <c r="M75" s="388">
        <v>9.1152815013404824E-3</v>
      </c>
      <c r="N75" s="387"/>
      <c r="O75" s="377">
        <v>0.9115281501340482</v>
      </c>
      <c r="P75" s="377">
        <v>0.9115281501340482</v>
      </c>
      <c r="U75" s="99"/>
      <c r="V75" s="99"/>
    </row>
    <row r="76" spans="1:22" ht="21" x14ac:dyDescent="0.3">
      <c r="A76" s="366"/>
      <c r="B76" s="415" t="s">
        <v>212</v>
      </c>
      <c r="C76" s="389" t="s">
        <v>213</v>
      </c>
      <c r="D76" s="389" t="s">
        <v>214</v>
      </c>
      <c r="E76" s="389" t="s">
        <v>215</v>
      </c>
      <c r="F76" s="389" t="s">
        <v>216</v>
      </c>
      <c r="G76" s="393" t="s">
        <v>217</v>
      </c>
      <c r="H76" s="390" t="s">
        <v>218</v>
      </c>
      <c r="I76" s="386"/>
      <c r="J76" s="391">
        <v>3.4846820318297001E-3</v>
      </c>
      <c r="K76" s="387"/>
      <c r="L76" s="388">
        <v>1.6639828234031134E-2</v>
      </c>
      <c r="M76" s="388">
        <v>6.427423674343867E-3</v>
      </c>
      <c r="N76" s="387"/>
      <c r="O76" s="380">
        <v>1.6639828234031133</v>
      </c>
      <c r="P76" s="392">
        <v>0.64274236743438673</v>
      </c>
    </row>
    <row r="77" spans="1:22" ht="21" x14ac:dyDescent="0.3">
      <c r="A77" s="366"/>
      <c r="B77" s="415" t="s">
        <v>219</v>
      </c>
      <c r="C77" s="389" t="s">
        <v>220</v>
      </c>
      <c r="D77" s="389" t="s">
        <v>221</v>
      </c>
      <c r="E77" s="389" t="s">
        <v>222</v>
      </c>
      <c r="F77" s="389" t="s">
        <v>223</v>
      </c>
      <c r="G77" s="389" t="s">
        <v>224</v>
      </c>
      <c r="H77" s="390" t="s">
        <v>225</v>
      </c>
      <c r="I77" s="386"/>
      <c r="J77" s="391">
        <v>0.75997086173396455</v>
      </c>
      <c r="K77" s="387"/>
      <c r="L77" s="388">
        <v>2.9490616621983914E-3</v>
      </c>
      <c r="M77" s="388">
        <v>2.9490616621983914E-3</v>
      </c>
      <c r="N77" s="387"/>
      <c r="O77" s="407">
        <v>0.29490616621983912</v>
      </c>
      <c r="P77" s="407">
        <v>0.29490616621983912</v>
      </c>
    </row>
    <row r="78" spans="1:22" ht="21" x14ac:dyDescent="0.3">
      <c r="A78" s="366"/>
      <c r="B78" s="415" t="s">
        <v>226</v>
      </c>
      <c r="C78" s="389" t="s">
        <v>227</v>
      </c>
      <c r="D78" s="389" t="s">
        <v>228</v>
      </c>
      <c r="E78" s="389" t="s">
        <v>229</v>
      </c>
      <c r="F78" s="389" t="s">
        <v>230</v>
      </c>
      <c r="G78" s="389" t="s">
        <v>231</v>
      </c>
      <c r="H78" s="390" t="s">
        <v>232</v>
      </c>
      <c r="I78" s="386"/>
      <c r="J78" s="391">
        <v>0.73719280225253414</v>
      </c>
      <c r="K78" s="387"/>
      <c r="L78" s="388">
        <v>2.3324396782841823E-2</v>
      </c>
      <c r="M78" s="388">
        <v>2.3324396782841823E-2</v>
      </c>
      <c r="N78" s="387"/>
      <c r="O78" s="377">
        <v>2.3324396782841825</v>
      </c>
      <c r="P78" s="377">
        <v>2.3324396782841825</v>
      </c>
    </row>
    <row r="79" spans="1:22" ht="26" x14ac:dyDescent="0.3">
      <c r="A79" s="366"/>
      <c r="B79" s="415" t="s">
        <v>233</v>
      </c>
      <c r="C79" s="389" t="s">
        <v>234</v>
      </c>
      <c r="D79" s="389" t="s">
        <v>235</v>
      </c>
      <c r="E79" s="389" t="s">
        <v>236</v>
      </c>
      <c r="F79" s="389" t="s">
        <v>237</v>
      </c>
      <c r="G79" s="389" t="s">
        <v>238</v>
      </c>
      <c r="H79" s="390" t="s">
        <v>239</v>
      </c>
      <c r="I79" s="386"/>
      <c r="J79" s="391">
        <v>0.52696869258443568</v>
      </c>
      <c r="K79" s="387"/>
      <c r="L79" s="388">
        <v>6.1662198391420914E-3</v>
      </c>
      <c r="M79" s="388">
        <v>6.1662198391420914E-3</v>
      </c>
      <c r="N79" s="387"/>
      <c r="O79" s="377">
        <v>0.61662198391420919</v>
      </c>
      <c r="P79" s="377">
        <v>0.61662198391420919</v>
      </c>
    </row>
    <row r="80" spans="1:22" ht="9" customHeight="1" x14ac:dyDescent="0.3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16" ht="43.5" customHeight="1" x14ac:dyDescent="0.3">
      <c r="A81" s="366"/>
      <c r="B81" s="468" t="s">
        <v>240</v>
      </c>
      <c r="C81" s="469"/>
      <c r="D81" s="469"/>
      <c r="E81" s="469"/>
      <c r="F81" s="469"/>
      <c r="G81" s="469"/>
      <c r="H81" s="470"/>
      <c r="I81" s="366"/>
      <c r="J81" s="366"/>
      <c r="K81" s="366"/>
      <c r="L81" s="366"/>
      <c r="M81" s="366"/>
      <c r="N81" s="366"/>
      <c r="O81" s="366"/>
      <c r="P81" s="366"/>
    </row>
    <row r="82" spans="1:16" ht="36" customHeight="1" x14ac:dyDescent="0.3">
      <c r="A82" s="366"/>
      <c r="B82" s="471" t="s">
        <v>280</v>
      </c>
      <c r="C82" s="471"/>
      <c r="D82" s="471"/>
      <c r="E82" s="471"/>
      <c r="F82" s="471"/>
      <c r="G82" s="471"/>
      <c r="H82" s="471"/>
      <c r="I82" s="366"/>
      <c r="J82" s="366"/>
      <c r="K82" s="366"/>
      <c r="L82" s="366"/>
      <c r="M82" s="366"/>
      <c r="N82" s="366"/>
      <c r="O82" s="366"/>
      <c r="P82" s="366"/>
    </row>
    <row r="83" spans="1:16" x14ac:dyDescent="0.3">
      <c r="A83" s="366"/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</row>
  </sheetData>
  <mergeCells count="12">
    <mergeCell ref="B2:F2"/>
    <mergeCell ref="B3:F3"/>
    <mergeCell ref="C44:D44"/>
    <mergeCell ref="B67:B68"/>
    <mergeCell ref="E67:H67"/>
    <mergeCell ref="B66:H66"/>
    <mergeCell ref="B81:H81"/>
    <mergeCell ref="B82:H82"/>
    <mergeCell ref="O66:P66"/>
    <mergeCell ref="O67:P67"/>
    <mergeCell ref="L66:M66"/>
    <mergeCell ref="L67:M67"/>
  </mergeCells>
  <phoneticPr fontId="2" type="noConversion"/>
  <pageMargins left="0.17" right="0.17" top="0.21" bottom="0.7" header="0" footer="0"/>
  <pageSetup paperSize="9" scale="85" orientation="landscape" r:id="rId1"/>
  <headerFooter alignWithMargins="0"/>
  <ignoredErrors>
    <ignoredError sqref="H74:H79 H71:H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NNT desde HR</vt:lpstr>
      <vt:lpstr>EA, 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2022-12-18T11:18:50Z</dcterms:modified>
</cp:coreProperties>
</file>