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oa\Desktop\20210524-VÑ EMPAREG\"/>
    </mc:Choice>
  </mc:AlternateContent>
  <xr:revisionPtr revIDLastSave="0" documentId="13_ncr:1_{FCC8C00E-DD54-41C9-901B-6BA26FFF430C}" xr6:coauthVersionLast="47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Inc Acumul" sheetId="1" r:id="rId1"/>
  </sheets>
  <definedNames>
    <definedName name="ArticleComments" localSheetId="0">'Inc Acumul'!#REF!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B23" i="1" s="1"/>
  <c r="D56" i="1"/>
  <c r="B53" i="1"/>
  <c r="E61" i="1" s="1"/>
  <c r="E41" i="1"/>
  <c r="E40" i="1"/>
  <c r="I23" i="1"/>
  <c r="I22" i="1"/>
  <c r="C22" i="1"/>
  <c r="B22" i="1"/>
  <c r="I21" i="1"/>
  <c r="C21" i="1"/>
  <c r="G21" i="1" s="1"/>
  <c r="D14" i="1"/>
  <c r="F9" i="1"/>
  <c r="C23" i="1" s="1"/>
  <c r="E8" i="1"/>
  <c r="B14" i="1"/>
  <c r="G14" i="1"/>
  <c r="E54" i="1" s="1"/>
  <c r="E7" i="1"/>
  <c r="B21" i="1"/>
  <c r="C56" i="1"/>
  <c r="G61" i="1" l="1"/>
  <c r="E21" i="1"/>
  <c r="F61" i="1"/>
  <c r="E9" i="1"/>
  <c r="D41" i="1" s="1"/>
  <c r="D46" i="1" s="1"/>
  <c r="D21" i="1"/>
  <c r="J21" i="1" s="1"/>
  <c r="K55" i="1" s="1"/>
  <c r="C58" i="1" s="1"/>
  <c r="C62" i="1" s="1"/>
  <c r="E23" i="1"/>
  <c r="E22" i="1"/>
  <c r="C14" i="1"/>
  <c r="E14" i="1" s="1"/>
  <c r="H14" i="1" s="1"/>
  <c r="L14" i="1" s="1"/>
  <c r="K14" i="1"/>
  <c r="N21" i="1"/>
  <c r="E42" i="1"/>
  <c r="D22" i="1"/>
  <c r="F22" i="1" s="1"/>
  <c r="G22" i="1"/>
  <c r="N23" i="1"/>
  <c r="D23" i="1"/>
  <c r="G23" i="1"/>
  <c r="C41" i="1"/>
  <c r="C46" i="1" s="1"/>
  <c r="C40" i="1"/>
  <c r="D40" i="1" l="1"/>
  <c r="D45" i="1" s="1"/>
  <c r="F21" i="1"/>
  <c r="L21" i="1" s="1"/>
  <c r="M55" i="1" s="1"/>
  <c r="F14" i="1"/>
  <c r="I14" i="1" s="1"/>
  <c r="E56" i="1" s="1"/>
  <c r="E55" i="1"/>
  <c r="W21" i="1"/>
  <c r="K21" i="1"/>
  <c r="L55" i="1" s="1"/>
  <c r="N55" i="1" s="1"/>
  <c r="J26" i="1"/>
  <c r="N22" i="1" s="1"/>
  <c r="N24" i="1" s="1"/>
  <c r="N25" i="1" s="1"/>
  <c r="N26" i="1" s="1"/>
  <c r="J22" i="1"/>
  <c r="K56" i="1" s="1"/>
  <c r="D58" i="1" s="1"/>
  <c r="D62" i="1" s="1"/>
  <c r="K22" i="1"/>
  <c r="L22" i="1"/>
  <c r="Q28" i="1"/>
  <c r="F23" i="1"/>
  <c r="W22" i="1"/>
  <c r="J23" i="1"/>
  <c r="K57" i="1" s="1"/>
  <c r="C42" i="1"/>
  <c r="C45" i="1"/>
  <c r="K41" i="1"/>
  <c r="I40" i="1" s="1"/>
  <c r="D42" i="1" l="1"/>
  <c r="M14" i="1"/>
  <c r="E58" i="1"/>
  <c r="E62" i="1" s="1"/>
  <c r="W23" i="1"/>
  <c r="W24" i="1" s="1"/>
  <c r="W25" i="1" s="1"/>
  <c r="N31" i="1"/>
  <c r="N32" i="1" s="1"/>
  <c r="N33" i="1" s="1"/>
  <c r="F54" i="1"/>
  <c r="J27" i="1"/>
  <c r="L56" i="1"/>
  <c r="K26" i="1"/>
  <c r="M56" i="1"/>
  <c r="L26" i="1"/>
  <c r="C48" i="1"/>
  <c r="K23" i="1"/>
  <c r="L57" i="1" s="1"/>
  <c r="L23" i="1"/>
  <c r="M57" i="1" s="1"/>
  <c r="H56" i="1" l="1"/>
  <c r="H58" i="1" s="1"/>
  <c r="H62" i="1" s="1"/>
  <c r="J29" i="1"/>
  <c r="G54" i="1"/>
  <c r="J34" i="1"/>
  <c r="J36" i="1"/>
  <c r="J31" i="1"/>
  <c r="J37" i="1"/>
  <c r="J35" i="1"/>
  <c r="J32" i="1"/>
  <c r="J30" i="1"/>
  <c r="N57" i="1"/>
  <c r="F55" i="1"/>
  <c r="L27" i="1"/>
  <c r="L32" i="1" s="1"/>
  <c r="K27" i="1"/>
  <c r="F56" i="1"/>
  <c r="M62" i="1"/>
  <c r="L62" i="1"/>
  <c r="N56" i="1"/>
  <c r="G46" i="1"/>
  <c r="C49" i="1"/>
  <c r="J62" i="1" s="1"/>
  <c r="K29" i="1" l="1"/>
  <c r="L34" i="1"/>
  <c r="L35" i="1"/>
  <c r="G56" i="1"/>
  <c r="K30" i="1"/>
  <c r="K31" i="1"/>
  <c r="L36" i="1"/>
  <c r="L37" i="1"/>
  <c r="K32" i="1"/>
  <c r="K35" i="1"/>
  <c r="K37" i="1"/>
  <c r="K34" i="1"/>
  <c r="L29" i="1"/>
  <c r="K36" i="1"/>
  <c r="L31" i="1"/>
  <c r="G55" i="1"/>
  <c r="L30" i="1"/>
  <c r="F58" i="1"/>
  <c r="F62" i="1" s="1"/>
  <c r="G58" i="1" l="1"/>
  <c r="G62" i="1" s="1"/>
</calcChain>
</file>

<file path=xl/sharedStrings.xml><?xml version="1.0" encoding="utf-8"?>
<sst xmlns="http://schemas.openxmlformats.org/spreadsheetml/2006/main" count="276" uniqueCount="250">
  <si>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</si>
  <si>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</si>
  <si>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</si>
  <si>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</si>
  <si>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</si>
  <si>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</si>
  <si>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</si>
  <si>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</si>
  <si>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</si>
  <si>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</si>
  <si>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</si>
  <si>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</si>
  <si>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</si>
  <si>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</si>
  <si>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</si>
  <si>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</si>
  <si>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</si>
  <si>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</si>
  <si>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</si>
  <si>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</si>
  <si>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</si>
  <si>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</si>
  <si>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</si>
  <si>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</si>
  <si>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</si>
  <si>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</si>
  <si>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</si>
  <si>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</si>
  <si>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</si>
  <si>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</si>
  <si>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</si>
  <si>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</si>
  <si>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</si>
  <si>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</si>
  <si>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</si>
  <si>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</si>
  <si>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</si>
  <si>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</si>
  <si>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</si>
  <si>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</si>
  <si>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</si>
  <si>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</si>
  <si>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</si>
  <si>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</si>
  <si>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(</t>
  </si>
  <si>
    <t>)</t>
  </si>
  <si>
    <t>-</t>
  </si>
  <si>
    <t>%</t>
  </si>
  <si>
    <t>NNT</t>
  </si>
  <si>
    <t>/</t>
  </si>
  <si>
    <t>RAR</t>
  </si>
  <si>
    <t>potencia</t>
  </si>
  <si>
    <t>Potencia</t>
  </si>
  <si>
    <t>APLICAR SÓLO SI EL NNT Y SUS IC SON POSITIVOS</t>
  </si>
  <si>
    <t>APLICAR SÓLO SI EL NNT Y SUS IC SON NEGATIVOS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</si>
  <si>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</si>
  <si>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</si>
  <si>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</si>
  <si>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</si>
  <si>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</si>
  <si>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</si>
  <si>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</si>
  <si>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</si>
  <si>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</si>
  <si>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</si>
  <si>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</si>
  <si>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</si>
  <si>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 con sus IC 95%, potencia estadística y valor de p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</si>
  <si>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</si>
  <si>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</si>
  <si>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</si>
  <si>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</si>
  <si>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</si>
  <si>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t>Intervención</t>
  </si>
  <si>
    <t>Control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</si>
  <si>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</si>
  <si>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</si>
  <si>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</si>
  <si>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</si>
  <si>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</si>
  <si>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</si>
  <si>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</si>
  <si>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</si>
  <si>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</si>
  <si>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</si>
  <si>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</si>
  <si>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</si>
  <si>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</si>
  <si>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</si>
  <si>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</si>
  <si>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</si>
  <si>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</si>
  <si>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</si>
  <si>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</si>
  <si>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</si>
  <si>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</si>
  <si>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</si>
  <si>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</si>
  <si>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</si>
  <si>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</si>
  <si>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</si>
  <si>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</si>
  <si>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</si>
  <si>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</si>
  <si>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</si>
  <si>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</si>
  <si>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</si>
  <si>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</si>
  <si>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</si>
  <si>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</si>
  <si>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</si>
  <si>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</si>
  <si>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</si>
  <si>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t>Las variables dicotómicas se informan en número (%) y las variables continuas en Media (DE)</t>
  </si>
  <si>
    <t>valor de p para la diferencia</t>
  </si>
  <si>
    <t>Edad, años</t>
  </si>
  <si>
    <t>PAS, mm Hg</t>
  </si>
  <si>
    <t>IMC, Kg/m2</t>
  </si>
  <si>
    <t>Raza</t>
  </si>
  <si>
    <t>Blancos</t>
  </si>
  <si>
    <t>Asiáticos</t>
  </si>
  <si>
    <t>Otros</t>
  </si>
  <si>
    <t>Región Geográfica</t>
  </si>
  <si>
    <t>America Latina</t>
  </si>
  <si>
    <t>Asia y Pacífico</t>
  </si>
  <si>
    <t>Europa</t>
  </si>
  <si>
    <t>FGe, ml/min/1,73 m2</t>
  </si>
  <si>
    <t>Nº con FGe &lt; 60 ml/min/1,73 m2</t>
  </si>
  <si>
    <t>Tratamientos para la insuficiencia cardíaca en el momento de la aleatorización</t>
  </si>
  <si>
    <t>20150917-ECA EMPA-REG 2,9y, tto PS+DM2+[empa vs plac], -Mort yCV. Zinman</t>
  </si>
  <si>
    <t xml:space="preserve">Zinman B, Wanner C, Lachin JM, Fitchett D, Bluhmki E, Hantel S, Mattheus M, Devins T, Johansen OE, Woerle HJ, Broedl UC, Inzucchi SE; EMPA-REG OUTCOME Investigators. Empagliflozin, Cardiovascular Outcomes, and Mortality in Type 2 Diabetes.. N Engl J Med. 2015 Nov 26;373(22):2117-28. </t>
  </si>
  <si>
    <t>Tto estándar + Empaglifozina, n= 4687</t>
  </si>
  <si>
    <t>Tto estándar + Placebo, n= 2333</t>
  </si>
  <si>
    <t>Varones</t>
  </si>
  <si>
    <t>63,1 (DE 8,6)</t>
  </si>
  <si>
    <t>63,2 (DE 8,8)</t>
  </si>
  <si>
    <t>135,3 (DE 16,9)</t>
  </si>
  <si>
    <t>135,8 (DE 17,2)</t>
  </si>
  <si>
    <t>PAD, mm Hg</t>
  </si>
  <si>
    <t>76,6 (DE 9,7)</t>
  </si>
  <si>
    <t>76,8 (DE 10,1)</t>
  </si>
  <si>
    <t>Col total, mg/dl</t>
  </si>
  <si>
    <t>163,5 (DE 44,2)</t>
  </si>
  <si>
    <t>161,9 (DE 43,1)</t>
  </si>
  <si>
    <t>Col LDL, mg/dl</t>
  </si>
  <si>
    <t>85,9 (DE 36)</t>
  </si>
  <si>
    <t>84,9 (DE 35,3)</t>
  </si>
  <si>
    <t>Col HDL, mg/dl</t>
  </si>
  <si>
    <t>44,6 (DE 11,9)</t>
  </si>
  <si>
    <t>44 (DE 11,3)</t>
  </si>
  <si>
    <t>74,2 (DE 21,6)</t>
  </si>
  <si>
    <t>73,8 (DE 21,1)</t>
  </si>
  <si>
    <r>
      <t xml:space="preserve">Nº con FGe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90 ml/min/1,73 m2</t>
    </r>
  </si>
  <si>
    <t>Nº con FGe 90-60 ml/min/1,73 m2</t>
  </si>
  <si>
    <t>Cociente albúmina (mg)/ creatinina (g)</t>
  </si>
  <si>
    <t>Nº con &lt; 30 mg/g</t>
  </si>
  <si>
    <t>Nº con  30-300 mg/g</t>
  </si>
  <si>
    <t>Nº con &gt; 300 mg/g</t>
  </si>
  <si>
    <t>Medicación antihipertesiva</t>
  </si>
  <si>
    <t>Anticoagulantes AVK</t>
  </si>
  <si>
    <t>Aspirina</t>
  </si>
  <si>
    <t>Clopidogrel</t>
  </si>
  <si>
    <t>Hipolimiantes</t>
  </si>
  <si>
    <t>Enfermedad coronaria</t>
  </si>
  <si>
    <t>Enfermedad coronaria multivaso</t>
  </si>
  <si>
    <t>Enfermedad coronaria de 1 vaso</t>
  </si>
  <si>
    <t>Insuficiencia cardíaca</t>
  </si>
  <si>
    <t>Infarto de miocardio</t>
  </si>
  <si>
    <t>Bypass coronario</t>
  </si>
  <si>
    <t>Enfermedad arterial periférica</t>
  </si>
  <si>
    <t>Ictus</t>
  </si>
  <si>
    <t>Tiempo desde el diagnóstico de la DM</t>
  </si>
  <si>
    <t>&lt; 1 a 5 años</t>
  </si>
  <si>
    <t>&gt; 5 a 10 años</t>
  </si>
  <si>
    <t>&gt; 10 años</t>
  </si>
  <si>
    <t>Peso, Kg</t>
  </si>
  <si>
    <t>86,2 (DE 18,9)</t>
  </si>
  <si>
    <t>86,6 (DE 19,1)</t>
  </si>
  <si>
    <t>30,6 (DE 5,3)</t>
  </si>
  <si>
    <t>30,7 (DE 5,2)</t>
  </si>
  <si>
    <t>Norteamérica, Australia y Nueva Zelanda</t>
  </si>
  <si>
    <t>Negros/ Afroamericanos</t>
  </si>
  <si>
    <t>África</t>
  </si>
  <si>
    <t>Función renal</t>
  </si>
  <si>
    <r>
      <t>Caracterìsticas de la Enferemedad cardiovascular</t>
    </r>
    <r>
      <rPr>
        <sz val="11"/>
        <rFont val="Calibri"/>
        <family val="2"/>
      </rPr>
      <t/>
    </r>
  </si>
  <si>
    <r>
      <rPr>
        <b/>
        <sz val="10"/>
        <color indexed="60"/>
        <rFont val="Calibri"/>
        <family val="2"/>
      </rPr>
      <t>Suplemento 1:</t>
    </r>
    <r>
      <rPr>
        <b/>
        <sz val="10"/>
        <rFont val="Calibri"/>
        <family val="2"/>
      </rPr>
      <t xml:space="preserve"> Características sociodemográficas y clínicas en el inicio (baseline), ECA EMPA-REG</t>
    </r>
  </si>
  <si>
    <r>
      <rPr>
        <u/>
        <sz val="9"/>
        <rFont val="Calibri"/>
        <family val="2"/>
      </rPr>
      <t>Abreviaturas</t>
    </r>
    <r>
      <rPr>
        <sz val="9"/>
        <rFont val="Calibri"/>
        <family val="2"/>
      </rPr>
      <t xml:space="preserve">: </t>
    </r>
    <r>
      <rPr>
        <b/>
        <sz val="9"/>
        <rFont val="Calibri"/>
        <family val="2"/>
      </rPr>
      <t>AVK:</t>
    </r>
    <r>
      <rPr>
        <sz val="9"/>
        <rFont val="Calibri"/>
        <family val="2"/>
      </rPr>
      <t xml:space="preserve"> antagonistas de vitamina K; </t>
    </r>
    <r>
      <rPr>
        <b/>
        <sz val="9"/>
        <rFont val="Calibri"/>
        <family val="2"/>
      </rPr>
      <t>Col:</t>
    </r>
    <r>
      <rPr>
        <sz val="9"/>
        <rFont val="Calibri"/>
        <family val="2"/>
      </rPr>
      <t xml:space="preserve"> colesterol en sangre; </t>
    </r>
    <r>
      <rPr>
        <b/>
        <sz val="9"/>
        <rFont val="Calibri"/>
        <family val="2"/>
      </rPr>
      <t xml:space="preserve">DE: </t>
    </r>
    <r>
      <rPr>
        <sz val="9"/>
        <rFont val="Calibri"/>
        <family val="2"/>
      </rPr>
      <t xml:space="preserve">desviación estándar; </t>
    </r>
    <r>
      <rPr>
        <b/>
        <sz val="9"/>
        <rFont val="Calibri"/>
        <family val="2"/>
      </rPr>
      <t>FGe:</t>
    </r>
    <r>
      <rPr>
        <sz val="9"/>
        <rFont val="Calibri"/>
        <family val="2"/>
      </rPr>
      <t xml:space="preserve"> tasa de filtración glomerular estimada; </t>
    </r>
    <r>
      <rPr>
        <b/>
        <sz val="9"/>
        <rFont val="Calibri"/>
        <family val="2"/>
      </rPr>
      <t xml:space="preserve">IMC: </t>
    </r>
    <r>
      <rPr>
        <sz val="9"/>
        <rFont val="Calibri"/>
        <family val="2"/>
      </rPr>
      <t xml:space="preserve">índice de masa corporal: </t>
    </r>
    <r>
      <rPr>
        <b/>
        <sz val="9"/>
        <rFont val="Calibri"/>
        <family val="2"/>
      </rPr>
      <t>PAS:</t>
    </r>
    <r>
      <rPr>
        <sz val="9"/>
        <rFont val="Calibri"/>
        <family val="2"/>
      </rPr>
      <t xml:space="preserve"> presión arterial sistólica; </t>
    </r>
    <r>
      <rPr>
        <b/>
        <sz val="9"/>
        <rFont val="Calibri"/>
        <family val="2"/>
      </rPr>
      <t xml:space="preserve">PAD: </t>
    </r>
    <r>
      <rPr>
        <sz val="9"/>
        <rFont val="Calibri"/>
        <family val="2"/>
      </rPr>
      <t>presión arterial diastólica.</t>
    </r>
  </si>
  <si>
    <t>3336 (71,18%)</t>
  </si>
  <si>
    <t>712 (15,19%)</t>
  </si>
  <si>
    <t>1175 (25,07%)</t>
  </si>
  <si>
    <t>2672 (57,01%)</t>
  </si>
  <si>
    <t>1050 (22,4%)</t>
  </si>
  <si>
    <t>2423 (51,7%)</t>
  </si>
  <si>
    <t>1212 (25,86%)</t>
  </si>
  <si>
    <t>2789 (59,51%)</t>
  </si>
  <si>
    <t>1338 (28,55%)</t>
  </si>
  <si>
    <t>509 (10,86%)</t>
  </si>
  <si>
    <t>3545 (75,63%)</t>
  </si>
  <si>
    <t>2179 (46,49%)</t>
  </si>
  <si>
    <t>498 (10,63%)</t>
  </si>
  <si>
    <t>462 (9,86%)</t>
  </si>
  <si>
    <t>2190 (46,72%)</t>
  </si>
  <si>
    <t>1084 (23,13%)</t>
  </si>
  <si>
    <t>982 (20,95%)</t>
  </si>
  <si>
    <t>4446 (94,86%)</t>
  </si>
  <si>
    <t>3820 (81,5%)</t>
  </si>
  <si>
    <t>266 (5,68%)</t>
  </si>
  <si>
    <t>3876 (82,7%)</t>
  </si>
  <si>
    <t>494 (10,54%)</t>
  </si>
  <si>
    <t>3403 (72,61%)</t>
  </si>
  <si>
    <t>1006 (21,46%)</t>
  </si>
  <si>
    <t>237 (5,06%)</t>
  </si>
  <si>
    <t>41 (0,87%)</t>
  </si>
  <si>
    <t>1926 (41,09%)</t>
  </si>
  <si>
    <t>932 (19,88%)</t>
  </si>
  <si>
    <t>721 (15,38%)</t>
  </si>
  <si>
    <t>897 (19,14%)</t>
  </si>
  <si>
    <t>211 (4,5%)</t>
  </si>
  <si>
    <t>1681 (72,05%)</t>
  </si>
  <si>
    <t>371 (15,9%)</t>
  </si>
  <si>
    <t>571 (24,47%)</t>
  </si>
  <si>
    <t>1339 (57,39%)</t>
  </si>
  <si>
    <t>488 (20,92%)</t>
  </si>
  <si>
    <t>1238 (53,06%)</t>
  </si>
  <si>
    <t>607 (26,02%)</t>
  </si>
  <si>
    <t>1382 (59,24%)</t>
  </si>
  <si>
    <t>675 (28,93%)</t>
  </si>
  <si>
    <t>260 (11,14%)</t>
  </si>
  <si>
    <t>1763 (75,57%)</t>
  </si>
  <si>
    <t>1100 (47,15%)</t>
  </si>
  <si>
    <t>238 (10,2%)</t>
  </si>
  <si>
    <t>244 (10,46%)</t>
  </si>
  <si>
    <t>1083 (46,42%)</t>
  </si>
  <si>
    <t>553 (23,7%)</t>
  </si>
  <si>
    <t>563 (24,13%)</t>
  </si>
  <si>
    <t>479 (20,53%)</t>
  </si>
  <si>
    <t>2221 (95,2%)</t>
  </si>
  <si>
    <t>1864 (79,9%)</t>
  </si>
  <si>
    <t>156 (6,69%)</t>
  </si>
  <si>
    <t>1927 (82,6%)</t>
  </si>
  <si>
    <t>249 (10,67%)</t>
  </si>
  <si>
    <t>1678 (71,92%)</t>
  </si>
  <si>
    <t>511 (21,9%)</t>
  </si>
  <si>
    <t>120 (5,14%)</t>
  </si>
  <si>
    <t>24 (1,03%)</t>
  </si>
  <si>
    <t>959 (41,11%)</t>
  </si>
  <si>
    <t>462 (19,8%)</t>
  </si>
  <si>
    <t>360 (15,43%)</t>
  </si>
  <si>
    <t>450 (19,29%)</t>
  </si>
  <si>
    <t>102 (4,37%)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</si>
</sst>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\ _€_-;\-* #,##0.000\ _€_-;_-* &quot;-&quot;???\ _€_-;_-@_-"/>
    <numFmt numFmtId="172" formatCode="_-* #,##0.0\ _€_-;\-* #,##0.0\ _€_-;_-* &quot;-&quot;??\ _€_-;_-@_-"/>
    <numFmt numFmtId="173" formatCode="_-* #,##0.0\ _€_-;\-* #,##0.0\ _€_-;_-* &quot;-&quot;?\ _€_-;_-@_-"/>
    <numFmt numFmtId="174" formatCode="_-* #,##0.0000\ _€_-;\-* #,##0.0000\ _€_-;_-* &quot;-&quot;?\ _€_-;_-@_-"/>
    <numFmt numFmtId="175" formatCode="0.000"/>
    <numFmt numFmtId="176" formatCode="0.0000"/>
    <numFmt numFmtId="177" formatCode="#,##0.00_ ;\-#,##0.00\ 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b/>
      <sz val="24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60"/>
      <name val="Calibri"/>
      <family val="2"/>
    </font>
    <font>
      <b/>
      <sz val="5"/>
      <name val="Calibri"/>
      <family val="2"/>
      <scheme val="minor"/>
    </font>
    <font>
      <i/>
      <sz val="10"/>
      <color rgb="FF000000"/>
      <name val="Calibri"/>
      <family val="2"/>
      <scheme val="minor"/>
    </font>
    <font>
      <u/>
      <sz val="9"/>
      <name val="Calibri"/>
      <family val="2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7">
    <xf numFmtId="0" fontId="0" fillId="0" borderId="0" xfId="0"/>
    <xf numFmtId="2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2" fontId="10" fillId="0" borderId="0" xfId="0" applyNumberFormat="1" applyFont="1"/>
    <xf numFmtId="10" fontId="10" fillId="0" borderId="0" xfId="2" applyNumberFormat="1" applyFont="1" applyBorder="1" applyAlignment="1">
      <alignment horizontal="center"/>
    </xf>
    <xf numFmtId="10" fontId="11" fillId="0" borderId="0" xfId="2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distributed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Border="1" applyAlignment="1">
      <alignment horizontal="center"/>
    </xf>
    <xf numFmtId="18" fontId="10" fillId="0" borderId="0" xfId="1" applyNumberFormat="1" applyFont="1" applyBorder="1" applyAlignment="1">
      <alignment horizontal="center"/>
    </xf>
    <xf numFmtId="164" fontId="10" fillId="0" borderId="0" xfId="1" applyFont="1" applyFill="1" applyAlignment="1">
      <alignment horizontal="center"/>
    </xf>
    <xf numFmtId="164" fontId="10" fillId="0" borderId="0" xfId="0" applyNumberFormat="1" applyFont="1"/>
    <xf numFmtId="164" fontId="13" fillId="0" borderId="0" xfId="1" applyFont="1" applyFill="1" applyBorder="1" applyAlignment="1">
      <alignment horizontal="center"/>
    </xf>
    <xf numFmtId="164" fontId="10" fillId="0" borderId="0" xfId="1" applyFont="1" applyFill="1"/>
    <xf numFmtId="0" fontId="14" fillId="0" borderId="0" xfId="0" applyFont="1" applyFill="1"/>
    <xf numFmtId="0" fontId="10" fillId="0" borderId="0" xfId="0" applyFont="1" applyBorder="1"/>
    <xf numFmtId="164" fontId="10" fillId="0" borderId="0" xfId="1" applyFont="1" applyFill="1" applyBorder="1"/>
    <xf numFmtId="0" fontId="10" fillId="0" borderId="0" xfId="0" applyFont="1" applyBorder="1" applyAlignment="1">
      <alignment horizontal="right"/>
    </xf>
    <xf numFmtId="10" fontId="10" fillId="0" borderId="0" xfId="2" applyNumberFormat="1" applyFont="1" applyFill="1"/>
    <xf numFmtId="10" fontId="10" fillId="0" borderId="0" xfId="0" applyNumberFormat="1" applyFont="1" applyFill="1"/>
    <xf numFmtId="0" fontId="18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/>
    <xf numFmtId="10" fontId="10" fillId="0" borderId="0" xfId="2" applyNumberFormat="1" applyFont="1" applyFill="1" applyBorder="1" applyAlignment="1">
      <alignment horizontal="center"/>
    </xf>
    <xf numFmtId="164" fontId="16" fillId="0" borderId="0" xfId="1" applyFont="1" applyFill="1" applyBorder="1"/>
    <xf numFmtId="0" fontId="15" fillId="0" borderId="0" xfId="0" applyFont="1" applyFill="1" applyAlignment="1">
      <alignment horizontal="center"/>
    </xf>
    <xf numFmtId="164" fontId="16" fillId="0" borderId="0" xfId="1" applyFont="1" applyFill="1" applyAlignment="1">
      <alignment horizontal="right"/>
    </xf>
    <xf numFmtId="0" fontId="16" fillId="0" borderId="0" xfId="0" applyFont="1" applyFill="1" applyBorder="1"/>
    <xf numFmtId="164" fontId="10" fillId="0" borderId="0" xfId="0" applyNumberFormat="1" applyFont="1" applyFill="1"/>
    <xf numFmtId="172" fontId="10" fillId="0" borderId="0" xfId="0" applyNumberFormat="1" applyFont="1" applyFill="1" applyBorder="1"/>
    <xf numFmtId="0" fontId="15" fillId="0" borderId="0" xfId="0" applyFont="1" applyBorder="1"/>
    <xf numFmtId="0" fontId="15" fillId="0" borderId="0" xfId="0" applyFont="1" applyFill="1" applyBorder="1" applyAlignment="1">
      <alignment horizontal="left"/>
    </xf>
    <xf numFmtId="164" fontId="10" fillId="0" borderId="0" xfId="1" applyFont="1" applyFill="1" applyBorder="1" applyAlignment="1">
      <alignment horizontal="center"/>
    </xf>
    <xf numFmtId="170" fontId="10" fillId="0" borderId="0" xfId="1" applyNumberFormat="1" applyFont="1" applyFill="1" applyBorder="1" applyAlignment="1">
      <alignment horizontal="center"/>
    </xf>
    <xf numFmtId="164" fontId="15" fillId="0" borderId="0" xfId="1" applyFont="1" applyFill="1" applyBorder="1" applyAlignment="1"/>
    <xf numFmtId="0" fontId="10" fillId="0" borderId="0" xfId="0" applyFont="1" applyFill="1" applyBorder="1" applyAlignment="1">
      <alignment horizontal="left"/>
    </xf>
    <xf numFmtId="170" fontId="10" fillId="0" borderId="0" xfId="0" applyNumberFormat="1" applyFont="1" applyBorder="1"/>
    <xf numFmtId="0" fontId="22" fillId="0" borderId="0" xfId="0" applyFont="1" applyBorder="1"/>
    <xf numFmtId="49" fontId="23" fillId="0" borderId="0" xfId="0" applyNumberFormat="1" applyFont="1"/>
    <xf numFmtId="10" fontId="10" fillId="0" borderId="0" xfId="0" applyNumberFormat="1" applyFont="1"/>
    <xf numFmtId="10" fontId="10" fillId="0" borderId="0" xfId="0" applyNumberFormat="1" applyFont="1" applyFill="1" applyBorder="1"/>
    <xf numFmtId="10" fontId="19" fillId="0" borderId="0" xfId="2" applyNumberFormat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166" fontId="10" fillId="0" borderId="0" xfId="0" applyNumberFormat="1" applyFont="1" applyFill="1" applyBorder="1"/>
    <xf numFmtId="49" fontId="10" fillId="0" borderId="0" xfId="0" applyNumberFormat="1" applyFont="1" applyFill="1" applyBorder="1"/>
    <xf numFmtId="165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/>
    <xf numFmtId="49" fontId="11" fillId="0" borderId="0" xfId="0" applyNumberFormat="1" applyFont="1"/>
    <xf numFmtId="0" fontId="25" fillId="0" borderId="0" xfId="0" applyFont="1" applyFill="1" applyBorder="1"/>
    <xf numFmtId="0" fontId="10" fillId="0" borderId="1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11" fillId="0" borderId="4" xfId="1" applyNumberFormat="1" applyFont="1" applyFill="1" applyBorder="1"/>
    <xf numFmtId="165" fontId="12" fillId="0" borderId="4" xfId="1" applyNumberFormat="1" applyFont="1" applyFill="1" applyBorder="1"/>
    <xf numFmtId="165" fontId="11" fillId="0" borderId="0" xfId="1" applyNumberFormat="1" applyFont="1" applyFill="1" applyBorder="1"/>
    <xf numFmtId="165" fontId="12" fillId="0" borderId="0" xfId="1" applyNumberFormat="1" applyFont="1" applyFill="1" applyBorder="1"/>
    <xf numFmtId="164" fontId="26" fillId="0" borderId="4" xfId="1" applyFont="1" applyBorder="1"/>
    <xf numFmtId="0" fontId="12" fillId="0" borderId="0" xfId="0" applyFont="1" applyBorder="1" applyAlignment="1">
      <alignment horizontal="right"/>
    </xf>
    <xf numFmtId="164" fontId="10" fillId="0" borderId="0" xfId="1" applyFont="1" applyBorder="1"/>
    <xf numFmtId="0" fontId="15" fillId="0" borderId="0" xfId="0" applyFont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27" fillId="0" borderId="0" xfId="0" applyFont="1"/>
    <xf numFmtId="9" fontId="10" fillId="0" borderId="0" xfId="0" applyNumberFormat="1" applyFont="1" applyBorder="1"/>
    <xf numFmtId="0" fontId="10" fillId="0" borderId="27" xfId="0" applyFont="1" applyBorder="1"/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0" fontId="10" fillId="0" borderId="14" xfId="0" applyFont="1" applyBorder="1"/>
    <xf numFmtId="0" fontId="10" fillId="0" borderId="14" xfId="0" applyFont="1" applyFill="1" applyBorder="1"/>
    <xf numFmtId="0" fontId="10" fillId="0" borderId="28" xfId="0" applyFont="1" applyFill="1" applyBorder="1"/>
    <xf numFmtId="0" fontId="15" fillId="0" borderId="0" xfId="0" applyFont="1" applyBorder="1" applyAlignment="1">
      <alignment horizontal="left" vertical="center"/>
    </xf>
    <xf numFmtId="165" fontId="15" fillId="0" borderId="0" xfId="1" applyNumberFormat="1" applyFont="1" applyFill="1" applyBorder="1" applyAlignment="1"/>
    <xf numFmtId="165" fontId="32" fillId="0" borderId="0" xfId="1" applyNumberFormat="1" applyFont="1" applyFill="1" applyBorder="1" applyAlignment="1"/>
    <xf numFmtId="165" fontId="30" fillId="0" borderId="0" xfId="0" applyNumberFormat="1" applyFont="1" applyFill="1" applyBorder="1" applyAlignment="1">
      <alignment horizontal="left"/>
    </xf>
    <xf numFmtId="2" fontId="10" fillId="0" borderId="0" xfId="0" applyNumberFormat="1" applyFont="1" applyBorder="1"/>
    <xf numFmtId="0" fontId="19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vertical="distributed"/>
    </xf>
    <xf numFmtId="0" fontId="10" fillId="0" borderId="4" xfId="0" applyFont="1" applyBorder="1" applyAlignment="1">
      <alignment horizontal="center" vertical="center"/>
    </xf>
    <xf numFmtId="9" fontId="10" fillId="10" borderId="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66" fontId="10" fillId="0" borderId="0" xfId="0" applyNumberFormat="1" applyFont="1" applyBorder="1" applyAlignment="1">
      <alignment horizontal="left" vertical="center"/>
    </xf>
    <xf numFmtId="172" fontId="15" fillId="0" borderId="16" xfId="1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7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11" xfId="0" applyFont="1" applyBorder="1"/>
    <xf numFmtId="0" fontId="15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6" xfId="0" applyFont="1" applyBorder="1" applyAlignment="1">
      <alignment horizontal="right"/>
    </xf>
    <xf numFmtId="165" fontId="10" fillId="9" borderId="4" xfId="0" applyNumberFormat="1" applyFont="1" applyFill="1" applyBorder="1" applyAlignment="1">
      <alignment vertical="center"/>
    </xf>
    <xf numFmtId="165" fontId="10" fillId="0" borderId="4" xfId="0" applyNumberFormat="1" applyFont="1" applyBorder="1" applyAlignment="1">
      <alignment vertical="center"/>
    </xf>
    <xf numFmtId="165" fontId="10" fillId="9" borderId="4" xfId="1" applyNumberFormat="1" applyFont="1" applyFill="1" applyBorder="1" applyAlignment="1">
      <alignment vertical="center"/>
    </xf>
    <xf numFmtId="164" fontId="10" fillId="0" borderId="0" xfId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165" fontId="15" fillId="0" borderId="17" xfId="0" applyNumberFormat="1" applyFont="1" applyBorder="1" applyAlignment="1">
      <alignment horizontal="right"/>
    </xf>
    <xf numFmtId="165" fontId="15" fillId="0" borderId="31" xfId="0" applyNumberFormat="1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2" applyNumberFormat="1" applyFont="1" applyFill="1" applyBorder="1" applyAlignment="1">
      <alignment horizontal="center" vertical="center" wrapText="1"/>
    </xf>
    <xf numFmtId="164" fontId="15" fillId="0" borderId="5" xfId="1" applyFont="1" applyFill="1" applyBorder="1" applyAlignment="1">
      <alignment horizontal="center" vertical="center" wrapText="1"/>
    </xf>
    <xf numFmtId="164" fontId="15" fillId="0" borderId="5" xfId="1" applyFont="1" applyBorder="1" applyAlignment="1">
      <alignment horizontal="center" vertical="center" wrapText="1"/>
    </xf>
    <xf numFmtId="177" fontId="10" fillId="0" borderId="4" xfId="1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 wrapText="1"/>
    </xf>
    <xf numFmtId="168" fontId="15" fillId="0" borderId="4" xfId="2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9" fontId="10" fillId="0" borderId="0" xfId="1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3" fontId="10" fillId="0" borderId="0" xfId="0" applyNumberFormat="1" applyFont="1" applyFill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170" fontId="10" fillId="0" borderId="0" xfId="1" applyNumberFormat="1" applyFont="1" applyBorder="1" applyAlignment="1">
      <alignment horizontal="center"/>
    </xf>
    <xf numFmtId="10" fontId="15" fillId="0" borderId="0" xfId="2" applyNumberFormat="1" applyFont="1" applyFill="1" applyBorder="1" applyAlignment="1"/>
    <xf numFmtId="0" fontId="24" fillId="0" borderId="0" xfId="0" applyFont="1"/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wrapText="1"/>
    </xf>
    <xf numFmtId="164" fontId="20" fillId="0" borderId="14" xfId="1" applyFont="1" applyFill="1" applyBorder="1" applyAlignment="1">
      <alignment horizontal="right"/>
    </xf>
    <xf numFmtId="0" fontId="10" fillId="0" borderId="14" xfId="0" applyFont="1" applyFill="1" applyBorder="1" applyAlignment="1">
      <alignment horizontal="left"/>
    </xf>
    <xf numFmtId="170" fontId="10" fillId="0" borderId="14" xfId="1" applyNumberFormat="1" applyFont="1" applyFill="1" applyBorder="1" applyAlignment="1">
      <alignment horizontal="center"/>
    </xf>
    <xf numFmtId="164" fontId="10" fillId="0" borderId="14" xfId="1" applyFont="1" applyFill="1" applyBorder="1" applyAlignment="1">
      <alignment horizontal="center"/>
    </xf>
    <xf numFmtId="164" fontId="15" fillId="0" borderId="14" xfId="1" applyFont="1" applyFill="1" applyBorder="1" applyAlignment="1"/>
    <xf numFmtId="164" fontId="15" fillId="0" borderId="27" xfId="1" applyFont="1" applyFill="1" applyBorder="1" applyAlignment="1"/>
    <xf numFmtId="0" fontId="10" fillId="0" borderId="16" xfId="0" applyFont="1" applyFill="1" applyBorder="1"/>
    <xf numFmtId="165" fontId="15" fillId="0" borderId="4" xfId="0" applyNumberFormat="1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center"/>
    </xf>
    <xf numFmtId="10" fontId="15" fillId="0" borderId="4" xfId="2" applyNumberFormat="1" applyFont="1" applyBorder="1" applyAlignment="1">
      <alignment horizontal="center"/>
    </xf>
    <xf numFmtId="164" fontId="15" fillId="0" borderId="4" xfId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0" fontId="15" fillId="13" borderId="4" xfId="2" applyNumberFormat="1" applyFont="1" applyFill="1" applyBorder="1" applyAlignment="1"/>
    <xf numFmtId="1" fontId="10" fillId="0" borderId="13" xfId="0" applyNumberFormat="1" applyFont="1" applyFill="1" applyBorder="1" applyAlignment="1">
      <alignment horizontal="center" vertical="center" wrapText="1"/>
    </xf>
    <xf numFmtId="164" fontId="15" fillId="0" borderId="28" xfId="1" applyFont="1" applyFill="1" applyBorder="1" applyAlignment="1"/>
    <xf numFmtId="10" fontId="10" fillId="0" borderId="13" xfId="2" applyNumberFormat="1" applyFont="1" applyFill="1" applyBorder="1"/>
    <xf numFmtId="0" fontId="10" fillId="0" borderId="28" xfId="0" applyFont="1" applyBorder="1"/>
    <xf numFmtId="2" fontId="10" fillId="0" borderId="13" xfId="1" applyNumberFormat="1" applyFont="1" applyFill="1" applyBorder="1" applyAlignment="1">
      <alignment horizontal="center" vertical="center" wrapText="1"/>
    </xf>
    <xf numFmtId="174" fontId="10" fillId="0" borderId="13" xfId="0" applyNumberFormat="1" applyFont="1" applyBorder="1"/>
    <xf numFmtId="168" fontId="10" fillId="0" borderId="13" xfId="2" applyNumberFormat="1" applyFont="1" applyFill="1" applyBorder="1" applyAlignment="1">
      <alignment horizontal="center" vertical="center" wrapText="1"/>
    </xf>
    <xf numFmtId="166" fontId="15" fillId="0" borderId="13" xfId="1" applyNumberFormat="1" applyFont="1" applyFill="1" applyBorder="1"/>
    <xf numFmtId="0" fontId="15" fillId="0" borderId="0" xfId="0" applyFont="1" applyAlignment="1">
      <alignment horizontal="left"/>
    </xf>
    <xf numFmtId="175" fontId="10" fillId="0" borderId="13" xfId="0" applyNumberFormat="1" applyFont="1" applyFill="1" applyBorder="1" applyAlignment="1">
      <alignment horizontal="center" vertical="center" wrapText="1"/>
    </xf>
    <xf numFmtId="167" fontId="10" fillId="2" borderId="13" xfId="1" applyNumberFormat="1" applyFont="1" applyFill="1" applyBorder="1"/>
    <xf numFmtId="168" fontId="10" fillId="0" borderId="0" xfId="2" applyNumberFormat="1" applyFont="1" applyAlignment="1">
      <alignment horizontal="center" vertical="center" wrapText="1"/>
    </xf>
    <xf numFmtId="10" fontId="10" fillId="11" borderId="13" xfId="2" applyNumberFormat="1" applyFont="1" applyFill="1" applyBorder="1" applyAlignment="1">
      <alignment horizontal="center" vertical="center" wrapText="1"/>
    </xf>
    <xf numFmtId="10" fontId="21" fillId="0" borderId="13" xfId="0" applyNumberFormat="1" applyFont="1" applyBorder="1"/>
    <xf numFmtId="10" fontId="10" fillId="2" borderId="4" xfId="2" applyNumberFormat="1" applyFont="1" applyFill="1" applyBorder="1" applyAlignment="1">
      <alignment horizontal="center"/>
    </xf>
    <xf numFmtId="10" fontId="10" fillId="4" borderId="4" xfId="2" applyNumberFormat="1" applyFont="1" applyFill="1" applyBorder="1" applyAlignment="1">
      <alignment horizontal="center"/>
    </xf>
    <xf numFmtId="10" fontId="10" fillId="3" borderId="4" xfId="2" applyNumberFormat="1" applyFont="1" applyFill="1" applyBorder="1" applyAlignment="1">
      <alignment horizontal="center"/>
    </xf>
    <xf numFmtId="10" fontId="10" fillId="0" borderId="11" xfId="2" applyNumberFormat="1" applyFont="1" applyBorder="1" applyAlignment="1">
      <alignment horizontal="center" vertical="center" wrapText="1"/>
    </xf>
    <xf numFmtId="0" fontId="22" fillId="0" borderId="12" xfId="0" applyFont="1" applyBorder="1"/>
    <xf numFmtId="0" fontId="10" fillId="0" borderId="12" xfId="0" applyFont="1" applyBorder="1"/>
    <xf numFmtId="171" fontId="10" fillId="0" borderId="12" xfId="0" applyNumberFormat="1" applyFont="1" applyBorder="1"/>
    <xf numFmtId="0" fontId="10" fillId="0" borderId="31" xfId="0" applyFont="1" applyBorder="1"/>
    <xf numFmtId="0" fontId="10" fillId="0" borderId="11" xfId="0" applyFont="1" applyFill="1" applyBorder="1"/>
    <xf numFmtId="0" fontId="10" fillId="0" borderId="12" xfId="0" applyFont="1" applyFill="1" applyBorder="1"/>
    <xf numFmtId="0" fontId="10" fillId="0" borderId="31" xfId="0" applyFont="1" applyFill="1" applyBorder="1"/>
    <xf numFmtId="1" fontId="10" fillId="2" borderId="4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1" fontId="10" fillId="3" borderId="4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14" xfId="0" applyFont="1" applyFill="1" applyBorder="1" applyAlignment="1">
      <alignment horizontal="right"/>
    </xf>
    <xf numFmtId="176" fontId="10" fillId="0" borderId="14" xfId="1" applyNumberFormat="1" applyFont="1" applyBorder="1" applyAlignment="1">
      <alignment horizontal="center" vertical="center"/>
    </xf>
    <xf numFmtId="2" fontId="10" fillId="0" borderId="14" xfId="0" applyNumberFormat="1" applyFont="1" applyBorder="1"/>
    <xf numFmtId="10" fontId="19" fillId="0" borderId="0" xfId="2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/>
    </xf>
    <xf numFmtId="49" fontId="35" fillId="0" borderId="0" xfId="1" applyNumberFormat="1" applyFont="1" applyBorder="1" applyAlignment="1">
      <alignment horizontal="right"/>
    </xf>
    <xf numFmtId="1" fontId="35" fillId="0" borderId="0" xfId="0" applyNumberFormat="1" applyFont="1" applyFill="1" applyBorder="1" applyAlignment="1">
      <alignment horizontal="center"/>
    </xf>
    <xf numFmtId="164" fontId="15" fillId="0" borderId="13" xfId="1" applyFont="1" applyFill="1" applyBorder="1" applyAlignment="1">
      <alignment horizontal="center" vertical="center" wrapText="1"/>
    </xf>
    <xf numFmtId="0" fontId="13" fillId="0" borderId="0" xfId="0" applyFont="1" applyFill="1" applyBorder="1"/>
    <xf numFmtId="164" fontId="10" fillId="0" borderId="0" xfId="1" applyFont="1" applyFill="1" applyBorder="1" applyAlignment="1"/>
    <xf numFmtId="0" fontId="34" fillId="5" borderId="0" xfId="0" applyFont="1" applyFill="1" applyBorder="1" applyAlignment="1">
      <alignment horizontal="center" vertical="center" wrapText="1"/>
    </xf>
    <xf numFmtId="0" fontId="34" fillId="5" borderId="0" xfId="0" applyFont="1" applyFill="1" applyBorder="1"/>
    <xf numFmtId="0" fontId="34" fillId="5" borderId="0" xfId="0" applyFont="1" applyFill="1" applyBorder="1" applyAlignment="1">
      <alignment horizontal="right"/>
    </xf>
    <xf numFmtId="1" fontId="34" fillId="5" borderId="0" xfId="0" applyNumberFormat="1" applyFont="1" applyFill="1" applyBorder="1" applyAlignment="1">
      <alignment horizontal="center" vertical="distributed"/>
    </xf>
    <xf numFmtId="0" fontId="10" fillId="0" borderId="1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34" fillId="6" borderId="0" xfId="0" applyFont="1" applyFill="1" applyBorder="1" applyAlignment="1">
      <alignment horizontal="center" vertical="center" wrapText="1"/>
    </xf>
    <xf numFmtId="0" fontId="34" fillId="6" borderId="0" xfId="0" applyFont="1" applyFill="1" applyBorder="1"/>
    <xf numFmtId="0" fontId="34" fillId="6" borderId="0" xfId="0" applyFont="1" applyFill="1" applyBorder="1" applyAlignment="1">
      <alignment horizontal="right"/>
    </xf>
    <xf numFmtId="1" fontId="34" fillId="6" borderId="0" xfId="0" applyNumberFormat="1" applyFont="1" applyFill="1" applyBorder="1" applyAlignment="1">
      <alignment horizontal="center" vertical="distributed"/>
    </xf>
    <xf numFmtId="164" fontId="10" fillId="0" borderId="0" xfId="0" applyNumberFormat="1" applyFont="1" applyFill="1" applyBorder="1" applyAlignment="1">
      <alignment horizontal="left" vertical="center"/>
    </xf>
    <xf numFmtId="165" fontId="34" fillId="7" borderId="0" xfId="0" applyNumberFormat="1" applyFont="1" applyFill="1" applyBorder="1" applyAlignment="1">
      <alignment horizontal="center" vertical="center" wrapText="1"/>
    </xf>
    <xf numFmtId="164" fontId="36" fillId="7" borderId="0" xfId="1" applyFont="1" applyFill="1" applyBorder="1"/>
    <xf numFmtId="164" fontId="34" fillId="7" borderId="0" xfId="1" applyFont="1" applyFill="1" applyBorder="1" applyAlignment="1">
      <alignment horizontal="right"/>
    </xf>
    <xf numFmtId="1" fontId="34" fillId="7" borderId="0" xfId="0" applyNumberFormat="1" applyFont="1" applyFill="1" applyBorder="1" applyAlignment="1">
      <alignment horizontal="center" vertical="distributed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/>
    <xf numFmtId="1" fontId="34" fillId="0" borderId="0" xfId="0" applyNumberFormat="1" applyFont="1" applyBorder="1" applyAlignment="1">
      <alignment horizontal="center"/>
    </xf>
    <xf numFmtId="164" fontId="10" fillId="0" borderId="12" xfId="1" applyFont="1" applyFill="1" applyBorder="1" applyAlignment="1">
      <alignment horizontal="center"/>
    </xf>
    <xf numFmtId="164" fontId="15" fillId="0" borderId="12" xfId="1" applyFont="1" applyFill="1" applyBorder="1" applyAlignment="1"/>
    <xf numFmtId="0" fontId="34" fillId="0" borderId="0" xfId="0" applyFont="1" applyFill="1" applyBorder="1" applyAlignment="1">
      <alignment horizontal="right" vertical="center"/>
    </xf>
    <xf numFmtId="49" fontId="34" fillId="0" borderId="0" xfId="1" applyNumberFormat="1" applyFont="1" applyBorder="1" applyAlignment="1">
      <alignment horizontal="right"/>
    </xf>
    <xf numFmtId="1" fontId="34" fillId="0" borderId="0" xfId="0" applyNumberFormat="1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/>
    <xf numFmtId="0" fontId="34" fillId="3" borderId="0" xfId="0" applyFont="1" applyFill="1" applyBorder="1" applyAlignment="1">
      <alignment horizontal="right"/>
    </xf>
    <xf numFmtId="1" fontId="34" fillId="3" borderId="0" xfId="0" applyNumberFormat="1" applyFont="1" applyFill="1" applyBorder="1" applyAlignment="1">
      <alignment horizontal="center" vertical="distributed"/>
    </xf>
    <xf numFmtId="0" fontId="29" fillId="0" borderId="0" xfId="0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horizontal="center" vertical="center" wrapText="1"/>
    </xf>
    <xf numFmtId="164" fontId="15" fillId="0" borderId="0" xfId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right" vertical="center"/>
    </xf>
    <xf numFmtId="164" fontId="10" fillId="0" borderId="4" xfId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/>
    </xf>
    <xf numFmtId="165" fontId="15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6" fillId="0" borderId="1" xfId="0" applyFont="1" applyBorder="1" applyAlignment="1">
      <alignment horizontal="left" vertical="center"/>
    </xf>
    <xf numFmtId="165" fontId="10" fillId="0" borderId="0" xfId="1" applyNumberFormat="1" applyFont="1" applyAlignment="1">
      <alignment horizontal="center" vertical="center" wrapText="1"/>
    </xf>
    <xf numFmtId="164" fontId="15" fillId="0" borderId="0" xfId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164" fontId="10" fillId="11" borderId="0" xfId="0" applyNumberFormat="1" applyFont="1" applyFill="1" applyAlignment="1">
      <alignment horizontal="center" vertical="center" wrapText="1"/>
    </xf>
    <xf numFmtId="164" fontId="15" fillId="0" borderId="4" xfId="0" applyNumberFormat="1" applyFont="1" applyBorder="1"/>
    <xf numFmtId="164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166" fontId="15" fillId="11" borderId="4" xfId="1" applyNumberFormat="1" applyFont="1" applyFill="1" applyBorder="1"/>
    <xf numFmtId="170" fontId="10" fillId="0" borderId="0" xfId="0" applyNumberFormat="1" applyFont="1" applyFill="1" applyBorder="1" applyAlignment="1">
      <alignment horizontal="center" vertical="center" wrapText="1"/>
    </xf>
    <xf numFmtId="9" fontId="10" fillId="0" borderId="0" xfId="2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/>
    <xf numFmtId="166" fontId="10" fillId="0" borderId="0" xfId="0" applyNumberFormat="1" applyFont="1" applyFill="1" applyBorder="1" applyAlignment="1">
      <alignment horizontal="center" vertical="center"/>
    </xf>
    <xf numFmtId="10" fontId="10" fillId="0" borderId="28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/>
    </xf>
    <xf numFmtId="0" fontId="10" fillId="0" borderId="13" xfId="0" applyFont="1" applyFill="1" applyBorder="1"/>
    <xf numFmtId="49" fontId="10" fillId="0" borderId="11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0" fontId="10" fillId="0" borderId="12" xfId="0" applyFont="1" applyBorder="1" applyAlignment="1">
      <alignment horizontal="center" vertical="center" wrapText="1"/>
    </xf>
    <xf numFmtId="49" fontId="15" fillId="8" borderId="4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6" fontId="10" fillId="0" borderId="0" xfId="0" applyNumberFormat="1" applyFont="1" applyAlignment="1">
      <alignment vertical="center"/>
    </xf>
    <xf numFmtId="175" fontId="10" fillId="0" borderId="4" xfId="0" applyNumberFormat="1" applyFont="1" applyBorder="1" applyAlignment="1">
      <alignment horizontal="center" vertical="center"/>
    </xf>
    <xf numFmtId="10" fontId="10" fillId="0" borderId="4" xfId="2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left" vertical="center" wrapText="1"/>
    </xf>
    <xf numFmtId="0" fontId="15" fillId="12" borderId="9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30" fillId="12" borderId="2" xfId="0" applyFont="1" applyFill="1" applyBorder="1" applyAlignment="1">
      <alignment horizontal="center" vertical="center" wrapText="1"/>
    </xf>
    <xf numFmtId="0" fontId="40" fillId="12" borderId="0" xfId="0" applyFont="1" applyFill="1" applyBorder="1" applyAlignment="1">
      <alignment vertical="center" wrapText="1"/>
    </xf>
    <xf numFmtId="0" fontId="40" fillId="12" borderId="7" xfId="0" applyFont="1" applyFill="1" applyBorder="1" applyAlignment="1">
      <alignment vertical="center" wrapText="1"/>
    </xf>
    <xf numFmtId="0" fontId="34" fillId="12" borderId="22" xfId="0" applyFont="1" applyFill="1" applyBorder="1" applyAlignment="1">
      <alignment horizontal="left" vertical="center"/>
    </xf>
    <xf numFmtId="0" fontId="10" fillId="12" borderId="21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vertical="center" wrapText="1"/>
    </xf>
    <xf numFmtId="0" fontId="34" fillId="12" borderId="29" xfId="0" applyFont="1" applyFill="1" applyBorder="1" applyAlignment="1">
      <alignment horizontal="left" vertical="center"/>
    </xf>
    <xf numFmtId="0" fontId="10" fillId="12" borderId="19" xfId="0" applyFont="1" applyFill="1" applyBorder="1" applyAlignment="1">
      <alignment horizontal="center" vertical="center"/>
    </xf>
    <xf numFmtId="0" fontId="34" fillId="12" borderId="23" xfId="0" applyFont="1" applyFill="1" applyBorder="1" applyAlignment="1">
      <alignment horizontal="left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vertical="center"/>
    </xf>
    <xf numFmtId="0" fontId="4" fillId="12" borderId="18" xfId="0" applyFont="1" applyFill="1" applyBorder="1" applyAlignment="1">
      <alignment vertical="distributed"/>
    </xf>
    <xf numFmtId="0" fontId="4" fillId="12" borderId="25" xfId="0" applyFont="1" applyFill="1" applyBorder="1" applyAlignment="1">
      <alignment vertical="distributed"/>
    </xf>
    <xf numFmtId="0" fontId="43" fillId="0" borderId="0" xfId="0" applyFont="1"/>
    <xf numFmtId="0" fontId="44" fillId="0" borderId="0" xfId="0" applyFont="1"/>
    <xf numFmtId="0" fontId="45" fillId="0" borderId="29" xfId="0" applyFont="1" applyFill="1" applyBorder="1" applyAlignment="1">
      <alignment horizontal="left" vertical="center"/>
    </xf>
    <xf numFmtId="175" fontId="24" fillId="12" borderId="30" xfId="0" applyNumberFormat="1" applyFont="1" applyFill="1" applyBorder="1" applyAlignment="1">
      <alignment horizontal="center" vertical="center"/>
    </xf>
    <xf numFmtId="175" fontId="24" fillId="12" borderId="20" xfId="0" applyNumberFormat="1" applyFont="1" applyFill="1" applyBorder="1" applyAlignment="1">
      <alignment horizontal="center" vertical="center"/>
    </xf>
    <xf numFmtId="175" fontId="24" fillId="12" borderId="24" xfId="0" applyNumberFormat="1" applyFont="1" applyFill="1" applyBorder="1" applyAlignment="1">
      <alignment horizontal="center" vertical="center"/>
    </xf>
    <xf numFmtId="0" fontId="46" fillId="12" borderId="19" xfId="0" applyFont="1" applyFill="1" applyBorder="1" applyAlignment="1">
      <alignment horizontal="center" vertical="center"/>
    </xf>
    <xf numFmtId="175" fontId="47" fillId="12" borderId="30" xfId="0" applyNumberFormat="1" applyFont="1" applyFill="1" applyBorder="1" applyAlignment="1">
      <alignment horizontal="center" vertical="center"/>
    </xf>
    <xf numFmtId="175" fontId="47" fillId="12" borderId="20" xfId="0" applyNumberFormat="1" applyFont="1" applyFill="1" applyBorder="1" applyAlignment="1">
      <alignment horizontal="center" vertical="center"/>
    </xf>
    <xf numFmtId="175" fontId="41" fillId="12" borderId="20" xfId="0" applyNumberFormat="1" applyFont="1" applyFill="1" applyBorder="1" applyAlignment="1">
      <alignment horizontal="center" vertical="center"/>
    </xf>
    <xf numFmtId="175" fontId="24" fillId="12" borderId="26" xfId="0" applyNumberFormat="1" applyFont="1" applyFill="1" applyBorder="1" applyAlignment="1">
      <alignment horizontal="center" vertical="center"/>
    </xf>
    <xf numFmtId="0" fontId="46" fillId="12" borderId="4" xfId="0" applyFont="1" applyFill="1" applyBorder="1" applyAlignment="1">
      <alignment horizontal="center" vertical="center"/>
    </xf>
    <xf numFmtId="0" fontId="34" fillId="12" borderId="4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left" vertical="center"/>
    </xf>
    <xf numFmtId="0" fontId="10" fillId="12" borderId="22" xfId="0" applyFont="1" applyFill="1" applyBorder="1" applyAlignment="1">
      <alignment horizontal="left" vertical="center"/>
    </xf>
    <xf numFmtId="0" fontId="10" fillId="12" borderId="29" xfId="0" applyFont="1" applyFill="1" applyBorder="1" applyAlignment="1">
      <alignment horizontal="left" vertical="center"/>
    </xf>
    <xf numFmtId="0" fontId="4" fillId="12" borderId="0" xfId="0" applyFont="1" applyFill="1"/>
    <xf numFmtId="0" fontId="10" fillId="12" borderId="0" xfId="0" applyFont="1" applyFill="1"/>
    <xf numFmtId="0" fontId="10" fillId="12" borderId="26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right" vertical="center"/>
    </xf>
    <xf numFmtId="0" fontId="10" fillId="12" borderId="22" xfId="0" applyFont="1" applyFill="1" applyBorder="1" applyAlignment="1">
      <alignment horizontal="right" vertical="center"/>
    </xf>
    <xf numFmtId="0" fontId="10" fillId="12" borderId="23" xfId="0" applyFont="1" applyFill="1" applyBorder="1" applyAlignment="1">
      <alignment horizontal="left" vertical="center" wrapText="1"/>
    </xf>
    <xf numFmtId="0" fontId="10" fillId="12" borderId="22" xfId="0" applyFont="1" applyFill="1" applyBorder="1" applyAlignment="1">
      <alignment horizontal="left" vertical="center" wrapText="1"/>
    </xf>
    <xf numFmtId="0" fontId="15" fillId="12" borderId="0" xfId="0" applyFont="1" applyFill="1"/>
    <xf numFmtId="0" fontId="10" fillId="12" borderId="32" xfId="0" applyFont="1" applyFill="1" applyBorder="1" applyAlignment="1">
      <alignment horizontal="left" vertical="center"/>
    </xf>
    <xf numFmtId="0" fontId="37" fillId="12" borderId="6" xfId="0" applyFont="1" applyFill="1" applyBorder="1" applyAlignment="1">
      <alignment horizontal="left" vertical="center" wrapText="1"/>
    </xf>
    <xf numFmtId="0" fontId="28" fillId="12" borderId="10" xfId="0" applyFont="1" applyFill="1" applyBorder="1" applyAlignment="1">
      <alignment horizontal="left" vertical="center" wrapText="1"/>
    </xf>
    <xf numFmtId="0" fontId="28" fillId="12" borderId="15" xfId="0" applyFont="1" applyFill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distributed"/>
    </xf>
    <xf numFmtId="0" fontId="10" fillId="0" borderId="15" xfId="0" applyFont="1" applyBorder="1" applyAlignment="1">
      <alignment horizontal="center" vertical="distributed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008000"/>
      <color rgb="FF009900"/>
      <color rgb="FF0070C0"/>
      <color rgb="FFFFFF99"/>
      <color rgb="FF99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Acumul'!$J$35:$L$35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Acumul'!$J$36:$L$36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Acumul'!$J$37:$L$37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A65AC891-D1C9-43FB-9808-A52C8E566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AA57A113-58A5-4E94-BDE8-AEAF8A4C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1FE8F15B-BF78-4A40-AA0A-D79F6651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C29DCF90-53A0-4DFA-9B4C-C76C012EA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257175</xdr:colOff>
      <xdr:row>27</xdr:row>
      <xdr:rowOff>76200</xdr:rowOff>
    </xdr:from>
    <xdr:to>
      <xdr:col>30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F3BAF80F-DC88-43D5-876D-001F15DF3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20"/>
  <sheetViews>
    <sheetView tabSelected="1" zoomScale="85" zoomScaleNormal="85" workbookViewId="0">
      <selection activeCell="B1" sqref="B1"/>
    </sheetView>
  </sheetViews>
  <sheetFormatPr baseColWidth="10" defaultColWidth="11.453125" defaultRowHeight="13" x14ac:dyDescent="0.3"/>
  <cols>
    <col min="1" max="1" width="1" style="5" customWidth="1"/>
    <col min="2" max="2" width="38.81640625" style="5" customWidth="1"/>
    <col min="3" max="3" width="19" style="5" customWidth="1"/>
    <col min="4" max="4" width="18.453125" style="5" customWidth="1"/>
    <col min="5" max="5" width="15.54296875" style="5" customWidth="1"/>
    <col min="6" max="6" width="20.1796875" style="5" customWidth="1"/>
    <col min="7" max="7" width="16.54296875" style="5" customWidth="1"/>
    <col min="8" max="8" width="8.7265625" style="5" customWidth="1"/>
    <col min="9" max="9" width="4.54296875" style="5" customWidth="1"/>
    <col min="10" max="10" width="13.81640625" style="5" customWidth="1"/>
    <col min="11" max="11" width="2.453125" style="5" customWidth="1"/>
    <col min="12" max="13" width="14.26953125" style="5" customWidth="1"/>
    <col min="14" max="14" width="14.7265625" style="5" bestFit="1" customWidth="1"/>
    <col min="15" max="15" width="14.26953125" style="12" bestFit="1" customWidth="1"/>
    <col min="16" max="16" width="14.26953125" style="12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453125" style="5"/>
    <col min="21" max="22" width="11.453125" style="12"/>
    <col min="23" max="16384" width="11.453125" style="5"/>
  </cols>
  <sheetData>
    <row r="1" spans="2:30" s="4" customFormat="1" ht="8.25" customHeight="1" thickBot="1" x14ac:dyDescent="0.35">
      <c r="B1" s="90"/>
      <c r="C1" s="91"/>
      <c r="D1" s="90"/>
      <c r="E1" s="92"/>
      <c r="F1" s="5"/>
      <c r="G1" s="5"/>
      <c r="H1" s="93"/>
      <c r="I1" s="93"/>
      <c r="J1" s="93"/>
      <c r="K1" s="93"/>
      <c r="L1" s="8"/>
      <c r="M1" s="13"/>
      <c r="N1" s="13"/>
      <c r="O1" s="2"/>
      <c r="P1" s="2"/>
      <c r="Q1" s="3"/>
      <c r="R1" s="2"/>
      <c r="S1" s="2"/>
      <c r="T1" s="2"/>
      <c r="U1" s="94"/>
      <c r="V1" s="94"/>
      <c r="W1" s="94"/>
      <c r="X1" s="94"/>
      <c r="Y1" s="94"/>
      <c r="Z1" s="94"/>
      <c r="AA1" s="94"/>
      <c r="AB1" s="94"/>
      <c r="AC1" s="94"/>
    </row>
    <row r="2" spans="2:30" ht="24.75" customHeight="1" thickBot="1" x14ac:dyDescent="0.35">
      <c r="B2" s="329" t="s">
        <v>67</v>
      </c>
      <c r="C2" s="330"/>
      <c r="D2" s="330"/>
      <c r="E2" s="330"/>
      <c r="F2" s="331"/>
      <c r="G2" s="95"/>
      <c r="H2" s="96" t="s">
        <v>72</v>
      </c>
      <c r="I2" s="97">
        <v>0.95</v>
      </c>
      <c r="J2" s="95"/>
      <c r="K2" s="7"/>
      <c r="L2" s="8"/>
      <c r="M2" s="9"/>
      <c r="N2" s="9"/>
      <c r="O2" s="10"/>
      <c r="P2" s="10"/>
      <c r="Q2" s="11"/>
      <c r="R2" s="10"/>
      <c r="S2" s="10"/>
      <c r="T2" s="10"/>
      <c r="U2" s="10"/>
      <c r="V2" s="10"/>
      <c r="W2" s="10"/>
      <c r="X2" s="12"/>
      <c r="Y2" s="12"/>
      <c r="Z2" s="12"/>
      <c r="AA2" s="12"/>
      <c r="AB2" s="12"/>
      <c r="AC2" s="12"/>
      <c r="AD2" s="12"/>
    </row>
    <row r="3" spans="2:30" ht="28.5" customHeight="1" x14ac:dyDescent="0.3">
      <c r="B3" s="332" t="s">
        <v>112</v>
      </c>
      <c r="C3" s="333"/>
      <c r="D3" s="333"/>
      <c r="E3" s="333"/>
      <c r="F3" s="334"/>
      <c r="G3" s="98"/>
      <c r="H3" s="98"/>
      <c r="I3" s="98"/>
      <c r="J3" s="98"/>
      <c r="K3" s="7"/>
      <c r="L3" s="8"/>
      <c r="M3" s="9"/>
      <c r="N3" s="9"/>
      <c r="O3" s="10"/>
      <c r="P3" s="10"/>
      <c r="Q3" s="11"/>
      <c r="R3" s="10"/>
      <c r="S3" s="10"/>
      <c r="T3" s="10"/>
      <c r="U3" s="10"/>
      <c r="V3" s="10"/>
      <c r="W3" s="10"/>
      <c r="X3" s="12"/>
      <c r="Y3" s="12"/>
      <c r="Z3" s="12"/>
      <c r="AA3" s="12"/>
      <c r="AB3" s="12"/>
      <c r="AC3" s="12"/>
      <c r="AD3" s="12"/>
    </row>
    <row r="4" spans="2:30" ht="12.75" customHeight="1" x14ac:dyDescent="0.7">
      <c r="B4" s="75"/>
      <c r="C4" s="14"/>
      <c r="D4" s="13"/>
      <c r="E4" s="13"/>
      <c r="F4" s="6"/>
      <c r="G4" s="15"/>
      <c r="J4" s="98"/>
      <c r="K4" s="76"/>
      <c r="L4" s="16"/>
      <c r="O4" s="10"/>
      <c r="P4" s="10"/>
      <c r="Q4" s="17"/>
      <c r="R4" s="10"/>
      <c r="S4" s="10"/>
      <c r="T4" s="15"/>
      <c r="V4" s="18"/>
      <c r="W4" s="18"/>
      <c r="X4" s="12"/>
      <c r="Y4" s="18"/>
      <c r="Z4" s="19"/>
      <c r="AA4" s="12"/>
      <c r="AB4" s="12"/>
      <c r="AC4" s="12"/>
      <c r="AD4" s="12"/>
    </row>
    <row r="5" spans="2:30" x14ac:dyDescent="0.3">
      <c r="B5" s="99" t="s">
        <v>60</v>
      </c>
      <c r="C5" s="100"/>
      <c r="D5" s="101" t="s">
        <v>20</v>
      </c>
      <c r="E5" s="101" t="s">
        <v>21</v>
      </c>
      <c r="F5" s="102"/>
      <c r="I5" s="103"/>
      <c r="J5" s="98"/>
      <c r="K5" s="103"/>
      <c r="L5" s="104"/>
      <c r="M5" s="104"/>
      <c r="N5" s="104"/>
      <c r="O5" s="10"/>
      <c r="P5" s="10"/>
      <c r="Q5" s="10"/>
      <c r="R5" s="10"/>
      <c r="S5" s="10"/>
      <c r="T5" s="15"/>
      <c r="V5" s="18"/>
      <c r="W5" s="18"/>
      <c r="X5" s="12"/>
      <c r="Y5" s="18"/>
      <c r="Z5" s="19"/>
      <c r="AA5" s="12"/>
      <c r="AB5" s="12"/>
      <c r="AC5" s="12"/>
      <c r="AD5" s="12"/>
    </row>
    <row r="6" spans="2:30" x14ac:dyDescent="0.3">
      <c r="B6" s="79"/>
      <c r="C6" s="105"/>
      <c r="D6" s="106" t="s">
        <v>3</v>
      </c>
      <c r="E6" s="106" t="s">
        <v>2</v>
      </c>
      <c r="F6" s="107" t="s">
        <v>22</v>
      </c>
      <c r="I6" s="103"/>
      <c r="J6" s="98"/>
      <c r="K6" s="103"/>
      <c r="L6" s="104"/>
      <c r="M6" s="104"/>
      <c r="N6" s="104"/>
      <c r="O6" s="10"/>
      <c r="P6" s="10"/>
      <c r="Q6" s="10"/>
      <c r="R6" s="10"/>
      <c r="S6" s="10"/>
      <c r="T6" s="15"/>
      <c r="V6" s="18"/>
      <c r="W6" s="18"/>
      <c r="X6" s="12"/>
      <c r="Y6" s="18"/>
      <c r="Z6" s="12"/>
      <c r="AA6" s="12"/>
      <c r="AB6" s="12"/>
      <c r="AC6" s="12"/>
      <c r="AD6" s="12"/>
    </row>
    <row r="7" spans="2:30" ht="12.75" customHeight="1" x14ac:dyDescent="0.3">
      <c r="B7" s="79"/>
      <c r="C7" s="108" t="s">
        <v>73</v>
      </c>
      <c r="D7" s="109">
        <v>494</v>
      </c>
      <c r="E7" s="110">
        <f>F7-D7</f>
        <v>4193</v>
      </c>
      <c r="F7" s="111">
        <v>4687</v>
      </c>
      <c r="H7" s="283"/>
      <c r="J7" s="284"/>
      <c r="K7" s="103"/>
      <c r="L7" s="104"/>
      <c r="M7" s="104"/>
      <c r="N7" s="104"/>
      <c r="O7" s="10"/>
      <c r="P7" s="10"/>
      <c r="Q7" s="10"/>
      <c r="R7" s="10"/>
      <c r="S7" s="10"/>
      <c r="T7" s="15"/>
      <c r="V7" s="18"/>
      <c r="W7" s="18"/>
      <c r="X7" s="12"/>
      <c r="Y7" s="18"/>
      <c r="Z7" s="12"/>
      <c r="AA7" s="12"/>
      <c r="AB7" s="12"/>
      <c r="AC7" s="12"/>
      <c r="AD7" s="12"/>
    </row>
    <row r="8" spans="2:30" ht="12.75" customHeight="1" x14ac:dyDescent="0.3">
      <c r="B8" s="79"/>
      <c r="C8" s="108" t="s">
        <v>74</v>
      </c>
      <c r="D8" s="109">
        <v>249</v>
      </c>
      <c r="E8" s="110">
        <f>F8-D8</f>
        <v>2084</v>
      </c>
      <c r="F8" s="111">
        <v>2333</v>
      </c>
      <c r="H8" s="283"/>
      <c r="I8" s="103"/>
      <c r="J8" s="284"/>
      <c r="K8" s="103"/>
      <c r="L8" s="104"/>
      <c r="M8" s="112"/>
      <c r="N8" s="104"/>
      <c r="O8" s="10"/>
      <c r="P8" s="10"/>
      <c r="Q8" s="10"/>
      <c r="R8" s="10"/>
      <c r="S8" s="10"/>
      <c r="T8" s="15"/>
      <c r="V8" s="18"/>
      <c r="W8" s="18"/>
      <c r="X8" s="12"/>
      <c r="Y8" s="18"/>
      <c r="Z8" s="12"/>
      <c r="AA8" s="12"/>
      <c r="AB8" s="12"/>
      <c r="AC8" s="12"/>
      <c r="AD8" s="12"/>
    </row>
    <row r="9" spans="2:30" x14ac:dyDescent="0.3">
      <c r="B9" s="79"/>
      <c r="C9" s="113" t="s">
        <v>22</v>
      </c>
      <c r="D9" s="114">
        <f>SUM(D7:D8)</f>
        <v>743</v>
      </c>
      <c r="E9" s="115">
        <f>SUM(E7:E8)</f>
        <v>6277</v>
      </c>
      <c r="F9" s="116">
        <f>SUM(F7:F8)</f>
        <v>7020</v>
      </c>
      <c r="G9" s="103"/>
      <c r="H9" s="103"/>
      <c r="I9" s="103"/>
      <c r="J9" s="98"/>
      <c r="K9" s="103"/>
      <c r="L9" s="104"/>
      <c r="M9" s="112"/>
      <c r="N9" s="104"/>
      <c r="P9" s="23"/>
      <c r="Q9" s="24"/>
      <c r="R9" s="24"/>
      <c r="S9" s="24"/>
      <c r="T9" s="18"/>
      <c r="V9" s="18"/>
      <c r="W9" s="18"/>
      <c r="X9" s="12"/>
      <c r="Y9" s="18"/>
      <c r="Z9" s="12"/>
      <c r="AA9" s="12"/>
      <c r="AB9" s="12"/>
      <c r="AC9" s="12"/>
      <c r="AD9" s="12"/>
    </row>
    <row r="10" spans="2:30" ht="12.75" hidden="1" customHeight="1" x14ac:dyDescent="0.3">
      <c r="B10" s="79"/>
      <c r="C10" s="25"/>
      <c r="D10" s="26"/>
      <c r="E10" s="22"/>
      <c r="F10" s="22"/>
      <c r="G10" s="104"/>
      <c r="H10" s="104"/>
      <c r="I10" s="103"/>
      <c r="J10" s="103"/>
      <c r="K10" s="103"/>
      <c r="L10" s="104"/>
      <c r="M10" s="112"/>
      <c r="N10" s="104"/>
      <c r="P10" s="23"/>
      <c r="Q10" s="24"/>
      <c r="R10" s="24"/>
      <c r="S10" s="24"/>
      <c r="T10" s="18"/>
      <c r="V10" s="18"/>
      <c r="W10" s="18"/>
      <c r="X10" s="12"/>
      <c r="Y10" s="18"/>
      <c r="Z10" s="12"/>
      <c r="AA10" s="12"/>
      <c r="AB10" s="12"/>
      <c r="AC10" s="12"/>
      <c r="AD10" s="12"/>
    </row>
    <row r="11" spans="2:30" s="4" customFormat="1" ht="14.25" hidden="1" customHeight="1" x14ac:dyDescent="0.3">
      <c r="B11" s="117" t="s">
        <v>75</v>
      </c>
      <c r="C11" s="28"/>
      <c r="D11" s="29"/>
      <c r="E11" s="2"/>
      <c r="F11" s="21"/>
      <c r="G11" s="118"/>
      <c r="H11" s="112"/>
      <c r="I11" s="118"/>
      <c r="J11" s="112"/>
      <c r="K11" s="119"/>
      <c r="L11" s="119"/>
      <c r="M11" s="118"/>
      <c r="N11" s="119"/>
      <c r="P11" s="2"/>
      <c r="Q11" s="31"/>
      <c r="R11" s="31"/>
      <c r="S11" s="31"/>
      <c r="T11" s="2"/>
      <c r="U11" s="2"/>
      <c r="V11" s="2"/>
      <c r="W11" s="2"/>
    </row>
    <row r="12" spans="2:30" s="4" customFormat="1" ht="12.75" hidden="1" customHeight="1" x14ac:dyDescent="0.3">
      <c r="B12" s="79" t="s">
        <v>68</v>
      </c>
      <c r="C12" s="28"/>
      <c r="D12" s="29"/>
      <c r="E12" s="2"/>
      <c r="F12" s="21"/>
      <c r="G12" s="118"/>
      <c r="H12" s="112"/>
      <c r="I12" s="118"/>
      <c r="J12" s="112"/>
      <c r="K12" s="120"/>
      <c r="L12" s="119"/>
      <c r="M12" s="119"/>
      <c r="N12" s="119"/>
      <c r="P12" s="2"/>
      <c r="Q12" s="3"/>
      <c r="R12" s="3"/>
      <c r="S12" s="3"/>
      <c r="T12" s="2"/>
      <c r="U12" s="2"/>
      <c r="V12" s="2"/>
      <c r="W12" s="2"/>
    </row>
    <row r="13" spans="2:30" s="4" customFormat="1" ht="45" hidden="1" customHeight="1" x14ac:dyDescent="0.3">
      <c r="B13" s="82" t="s">
        <v>25</v>
      </c>
      <c r="C13" s="82" t="s">
        <v>69</v>
      </c>
      <c r="D13" s="82" t="s">
        <v>76</v>
      </c>
      <c r="E13" s="82" t="s">
        <v>70</v>
      </c>
      <c r="F13" s="82" t="s">
        <v>71</v>
      </c>
      <c r="G13" s="82" t="s">
        <v>4</v>
      </c>
      <c r="H13" s="82" t="s">
        <v>77</v>
      </c>
      <c r="I13" s="82" t="s">
        <v>78</v>
      </c>
      <c r="J13" s="112"/>
      <c r="K13" s="121" t="s">
        <v>43</v>
      </c>
      <c r="L13" s="122" t="s">
        <v>0</v>
      </c>
      <c r="M13" s="122" t="s">
        <v>1</v>
      </c>
      <c r="N13" s="119"/>
      <c r="P13" s="2"/>
      <c r="Q13" s="2"/>
      <c r="R13" s="2"/>
      <c r="S13" s="2"/>
      <c r="T13" s="2"/>
      <c r="U13" s="2"/>
      <c r="V13" s="2"/>
      <c r="W13" s="2"/>
    </row>
    <row r="14" spans="2:30" s="4" customFormat="1" ht="12.75" hidden="1" customHeight="1" x14ac:dyDescent="0.3">
      <c r="B14" s="83">
        <f>LN((D7/F7)/(D8/F8))</f>
        <v>-1.2555105178061198E-2</v>
      </c>
      <c r="C14" s="83">
        <f>SQRT((E7/(D7*F7)+(E8/(D8*F8))))</f>
        <v>7.3473580298489494E-2</v>
      </c>
      <c r="D14" s="123">
        <f>-NORMSINV((1-I2)/2)</f>
        <v>1.9599639845400536</v>
      </c>
      <c r="E14" s="84">
        <f>B14-(D14*C14)</f>
        <v>-0.15656067637831222</v>
      </c>
      <c r="F14" s="85">
        <f>B14+(D14*C14)</f>
        <v>0.13145046602218985</v>
      </c>
      <c r="G14" s="124">
        <f>(D7/F7)/(D8/F8)</f>
        <v>0.9875233813427382</v>
      </c>
      <c r="H14" s="124">
        <f>EXP(E14)</f>
        <v>0.85507963299353906</v>
      </c>
      <c r="I14" s="124">
        <f>EXP(F14)</f>
        <v>1.1404814137421559</v>
      </c>
      <c r="J14" s="112"/>
      <c r="K14" s="125">
        <f>1-G14</f>
        <v>1.2476618657261795E-2</v>
      </c>
      <c r="L14" s="124">
        <f>1-H14</f>
        <v>0.14492036700646094</v>
      </c>
      <c r="M14" s="124">
        <f>1-I14</f>
        <v>-0.14048141374215595</v>
      </c>
      <c r="N14" s="126"/>
      <c r="P14" s="2"/>
      <c r="Q14" s="2"/>
      <c r="R14" s="2"/>
      <c r="S14" s="2"/>
      <c r="T14" s="2"/>
      <c r="U14" s="2"/>
      <c r="V14" s="2"/>
      <c r="W14" s="2"/>
    </row>
    <row r="15" spans="2:30" s="4" customFormat="1" ht="12.75" hidden="1" customHeight="1" x14ac:dyDescent="0.3">
      <c r="B15" s="127"/>
      <c r="C15" s="28"/>
      <c r="D15" s="28"/>
      <c r="E15" s="28"/>
      <c r="F15" s="32"/>
      <c r="G15" s="128"/>
      <c r="H15" s="112"/>
      <c r="I15" s="118"/>
      <c r="J15" s="112"/>
      <c r="K15" s="118"/>
      <c r="L15" s="118"/>
      <c r="M15" s="118"/>
      <c r="N15" s="119"/>
      <c r="P15" s="2"/>
      <c r="Q15" s="2"/>
      <c r="R15" s="2"/>
      <c r="S15" s="2"/>
      <c r="T15" s="2"/>
      <c r="U15" s="2"/>
      <c r="V15" s="2"/>
      <c r="W15" s="2"/>
    </row>
    <row r="16" spans="2:30" s="12" customFormat="1" ht="12.75" hidden="1" customHeight="1" x14ac:dyDescent="0.3">
      <c r="B16" s="78"/>
      <c r="C16" s="33"/>
      <c r="D16" s="34"/>
      <c r="E16" s="35"/>
      <c r="F16" s="36"/>
      <c r="G16" s="129"/>
      <c r="H16" s="130"/>
      <c r="I16" s="131"/>
      <c r="J16" s="131"/>
      <c r="K16" s="132"/>
      <c r="L16" s="132"/>
      <c r="M16" s="133"/>
      <c r="N16" s="133"/>
    </row>
    <row r="17" spans="2:30" ht="15.75" hidden="1" customHeight="1" x14ac:dyDescent="0.3">
      <c r="B17" s="39" t="s">
        <v>79</v>
      </c>
      <c r="C17" s="2"/>
      <c r="D17" s="134"/>
      <c r="E17" s="134"/>
      <c r="F17" s="13"/>
      <c r="G17" s="13"/>
      <c r="H17" s="135"/>
      <c r="I17" s="40"/>
      <c r="J17" s="136"/>
      <c r="K17" s="136"/>
      <c r="L17" s="4"/>
      <c r="M17" s="119"/>
      <c r="N17" s="112"/>
      <c r="O17" s="40"/>
      <c r="P17" s="2"/>
      <c r="Q17" s="2"/>
      <c r="R17" s="41"/>
      <c r="S17" s="40"/>
      <c r="T17" s="42"/>
      <c r="U17" s="42"/>
      <c r="V17" s="42"/>
      <c r="W17" s="12"/>
      <c r="X17" s="12"/>
      <c r="Y17" s="12"/>
      <c r="Z17" s="12"/>
      <c r="AA17" s="12"/>
      <c r="AB17" s="12"/>
      <c r="AC17" s="12"/>
    </row>
    <row r="18" spans="2:30" ht="12.75" hidden="1" customHeight="1" x14ac:dyDescent="0.3">
      <c r="B18" s="43" t="s">
        <v>80</v>
      </c>
      <c r="C18" s="2"/>
      <c r="D18" s="40"/>
      <c r="E18" s="40"/>
      <c r="F18" s="2"/>
      <c r="G18" s="2"/>
      <c r="H18" s="41"/>
      <c r="I18" s="40"/>
      <c r="J18" s="42"/>
      <c r="K18" s="42"/>
      <c r="L18" s="42"/>
      <c r="M18" s="119"/>
      <c r="N18" s="112"/>
      <c r="O18" s="2"/>
      <c r="P18" s="2"/>
      <c r="Q18" s="41"/>
      <c r="R18" s="40"/>
      <c r="S18" s="42"/>
      <c r="T18" s="42"/>
      <c r="U18" s="42"/>
      <c r="W18" s="12" t="s">
        <v>27</v>
      </c>
      <c r="X18" s="12"/>
      <c r="Y18" s="12"/>
      <c r="Z18" s="12"/>
      <c r="AA18" s="12"/>
      <c r="AB18" s="12"/>
    </row>
    <row r="19" spans="2:30" ht="25.5" hidden="1" customHeight="1" thickBot="1" x14ac:dyDescent="0.35">
      <c r="B19" s="137" t="s">
        <v>81</v>
      </c>
      <c r="C19" s="5" t="s">
        <v>9</v>
      </c>
      <c r="D19" s="4"/>
      <c r="E19" s="5" t="s">
        <v>82</v>
      </c>
      <c r="G19" s="5" t="s">
        <v>7</v>
      </c>
      <c r="I19" s="5" t="s">
        <v>8</v>
      </c>
      <c r="J19" s="42"/>
      <c r="K19" s="42"/>
      <c r="L19" s="42"/>
      <c r="M19" s="119"/>
      <c r="N19" s="132"/>
      <c r="P19" s="5"/>
      <c r="T19" s="12"/>
      <c r="V19" s="5"/>
      <c r="W19" s="5" t="s">
        <v>28</v>
      </c>
      <c r="Y19" s="12"/>
      <c r="Z19" s="12"/>
      <c r="AA19" s="12"/>
      <c r="AB19" s="12"/>
      <c r="AC19" s="12"/>
      <c r="AD19" s="12"/>
    </row>
    <row r="20" spans="2:30" ht="38.25" hidden="1" customHeight="1" x14ac:dyDescent="0.4">
      <c r="B20" s="82" t="s">
        <v>83</v>
      </c>
      <c r="C20" s="82" t="s">
        <v>26</v>
      </c>
      <c r="D20" s="138" t="s">
        <v>10</v>
      </c>
      <c r="E20" s="138" t="s">
        <v>9</v>
      </c>
      <c r="F20" s="138" t="s">
        <v>84</v>
      </c>
      <c r="G20" s="138" t="s">
        <v>7</v>
      </c>
      <c r="H20" s="138" t="s">
        <v>8</v>
      </c>
      <c r="I20" s="139" t="s">
        <v>5</v>
      </c>
      <c r="J20" s="138" t="s">
        <v>85</v>
      </c>
      <c r="K20" s="138" t="s">
        <v>0</v>
      </c>
      <c r="L20" s="138" t="s">
        <v>1</v>
      </c>
      <c r="M20" s="140"/>
      <c r="N20" s="141"/>
      <c r="O20" s="142" t="s">
        <v>13</v>
      </c>
      <c r="P20" s="143" t="s">
        <v>63</v>
      </c>
      <c r="Q20" s="144"/>
      <c r="R20" s="145"/>
      <c r="S20" s="146"/>
      <c r="T20" s="146"/>
      <c r="U20" s="147"/>
      <c r="W20" s="148"/>
      <c r="X20" s="142" t="s">
        <v>64</v>
      </c>
      <c r="Y20" s="143" t="s">
        <v>86</v>
      </c>
      <c r="Z20" s="86"/>
      <c r="AA20" s="86"/>
      <c r="AB20" s="86" t="s">
        <v>87</v>
      </c>
      <c r="AC20" s="86"/>
      <c r="AD20" s="77"/>
    </row>
    <row r="21" spans="2:30" ht="12.75" hidden="1" customHeight="1" x14ac:dyDescent="0.3">
      <c r="B21" s="149">
        <f>D7</f>
        <v>494</v>
      </c>
      <c r="C21" s="150">
        <f>F7</f>
        <v>4687</v>
      </c>
      <c r="D21" s="151">
        <f>B21/C21</f>
        <v>0.1053979091103051</v>
      </c>
      <c r="E21" s="152">
        <f>2*B21+I21^2</f>
        <v>991.84145882069413</v>
      </c>
      <c r="F21" s="152">
        <f>I21*SQRT((I21^2)+(4*B21*(1-D21)))</f>
        <v>82.495049195432969</v>
      </c>
      <c r="G21" s="153">
        <f>2*(C21+I21^2)</f>
        <v>9381.6829176413885</v>
      </c>
      <c r="H21" s="154" t="s">
        <v>11</v>
      </c>
      <c r="I21" s="123">
        <f>-NORMSINV((1-I2)/2)</f>
        <v>1.9599639845400536</v>
      </c>
      <c r="J21" s="155">
        <f>D21</f>
        <v>0.1053979091103051</v>
      </c>
      <c r="K21" s="155">
        <f>(E21-F21)/G21</f>
        <v>9.6927855866383972E-2</v>
      </c>
      <c r="L21" s="155">
        <f>(E21+F21)/G21</f>
        <v>0.11451426332006344</v>
      </c>
      <c r="M21" s="140"/>
      <c r="N21" s="156">
        <f>F9/2</f>
        <v>3510</v>
      </c>
      <c r="O21" s="20" t="s">
        <v>14</v>
      </c>
      <c r="P21" s="2"/>
      <c r="Q21" s="41"/>
      <c r="R21" s="40"/>
      <c r="S21" s="42"/>
      <c r="T21" s="42"/>
      <c r="U21" s="157"/>
      <c r="W21" s="158">
        <f>ABS(D21-D22)</f>
        <v>1.3316236800935272E-3</v>
      </c>
      <c r="X21" s="20" t="s">
        <v>88</v>
      </c>
      <c r="Y21" s="2"/>
      <c r="Z21" s="20"/>
      <c r="AA21" s="20"/>
      <c r="AB21" s="20" t="s">
        <v>89</v>
      </c>
      <c r="AC21" s="20"/>
      <c r="AD21" s="159"/>
    </row>
    <row r="22" spans="2:30" ht="14.25" hidden="1" customHeight="1" x14ac:dyDescent="0.4">
      <c r="B22" s="149">
        <f>D8</f>
        <v>249</v>
      </c>
      <c r="C22" s="150">
        <f>F8</f>
        <v>2333</v>
      </c>
      <c r="D22" s="151">
        <f>B22/C22</f>
        <v>0.10672953279039862</v>
      </c>
      <c r="E22" s="152">
        <f>2*B22+I22^2</f>
        <v>501.84145882069413</v>
      </c>
      <c r="F22" s="152">
        <f>I22*SQRT((I22^2)+(4*B22*(1-D22)))</f>
        <v>58.587478820451565</v>
      </c>
      <c r="G22" s="153">
        <f>2*(C22+I22^2)</f>
        <v>4673.6829176413885</v>
      </c>
      <c r="H22" s="154" t="s">
        <v>11</v>
      </c>
      <c r="I22" s="123">
        <f>-NORMSINV((1-I2)/2)</f>
        <v>1.9599639845400536</v>
      </c>
      <c r="J22" s="155">
        <f>D22</f>
        <v>0.10672953279039862</v>
      </c>
      <c r="K22" s="155">
        <f>(E22-F22)/G22</f>
        <v>9.4840404839431042E-2</v>
      </c>
      <c r="L22" s="155">
        <f>(E22+F22)/G22</f>
        <v>0.11991163018906098</v>
      </c>
      <c r="M22" s="140"/>
      <c r="N22" s="160">
        <f>J26</f>
        <v>1.3316236800935272E-3</v>
      </c>
      <c r="O22" s="20" t="s">
        <v>15</v>
      </c>
      <c r="P22" s="20"/>
      <c r="Q22" s="20"/>
      <c r="R22" s="20"/>
      <c r="S22" s="20"/>
      <c r="T22" s="20"/>
      <c r="U22" s="88"/>
      <c r="W22" s="161">
        <f>SQRT((D23*(1-D23)/C21)+(D23*(1-D23)/C22))</f>
        <v>7.7946580759896073E-3</v>
      </c>
      <c r="X22" s="43" t="s">
        <v>90</v>
      </c>
      <c r="Y22" s="20"/>
      <c r="Z22" s="20"/>
      <c r="AA22" s="20"/>
      <c r="AB22" s="20"/>
      <c r="AC22" s="20"/>
      <c r="AD22" s="159"/>
    </row>
    <row r="23" spans="2:30" ht="12.75" hidden="1" customHeight="1" x14ac:dyDescent="0.3">
      <c r="B23" s="149">
        <f>D9</f>
        <v>743</v>
      </c>
      <c r="C23" s="150">
        <f>F9</f>
        <v>7020</v>
      </c>
      <c r="D23" s="151">
        <f>B23/C23</f>
        <v>0.10584045584045584</v>
      </c>
      <c r="E23" s="152">
        <f>2*B23+I23^2</f>
        <v>1489.841458820694</v>
      </c>
      <c r="F23" s="152">
        <f>I23*SQRT((I23^2)+(4*B23*(1-D23)))</f>
        <v>101.10989789345598</v>
      </c>
      <c r="G23" s="153">
        <f>2*(C23+I23^2)</f>
        <v>14047.682917641388</v>
      </c>
      <c r="H23" s="154" t="s">
        <v>11</v>
      </c>
      <c r="I23" s="123">
        <f>-NORMSINV((1-I2)/2)</f>
        <v>1.9599639845400536</v>
      </c>
      <c r="J23" s="155">
        <f>D23</f>
        <v>0.10584045584045584</v>
      </c>
      <c r="K23" s="155">
        <f>(E23-F23)/G23</f>
        <v>9.8858407402066167E-2</v>
      </c>
      <c r="L23" s="155">
        <f>(E23+F23)/G23</f>
        <v>0.11325364944820888</v>
      </c>
      <c r="M23" s="140"/>
      <c r="N23" s="162">
        <f>(B21+B22)/(C21+C22)</f>
        <v>0.10584045584045584</v>
      </c>
      <c r="O23" s="20" t="s">
        <v>6</v>
      </c>
      <c r="P23" s="2"/>
      <c r="Q23" s="41"/>
      <c r="R23" s="40"/>
      <c r="S23" s="42"/>
      <c r="T23" s="42"/>
      <c r="U23" s="159"/>
      <c r="W23" s="163">
        <f>W21/W22</f>
        <v>0.17083798508050202</v>
      </c>
      <c r="X23" s="20" t="s">
        <v>42</v>
      </c>
      <c r="Y23" s="2"/>
      <c r="Z23" s="20"/>
      <c r="AA23" s="20"/>
      <c r="AB23" s="20"/>
      <c r="AC23" s="20"/>
      <c r="AD23" s="159"/>
    </row>
    <row r="24" spans="2:30" ht="15" hidden="1" customHeight="1" x14ac:dyDescent="0.3">
      <c r="B24" s="79"/>
      <c r="C24" s="164" t="s">
        <v>12</v>
      </c>
      <c r="F24" s="37"/>
      <c r="G24" s="131"/>
      <c r="H24" s="131"/>
      <c r="I24" s="131"/>
      <c r="J24" s="131"/>
      <c r="K24" s="132"/>
      <c r="L24" s="104"/>
      <c r="M24" s="140"/>
      <c r="N24" s="165">
        <f>SQRT(N21*N22^2/(2*N23*(1-N23)))-I21</f>
        <v>-1.7786268658314717</v>
      </c>
      <c r="O24" s="20" t="s">
        <v>91</v>
      </c>
      <c r="P24" s="20"/>
      <c r="Q24" s="20"/>
      <c r="R24" s="20"/>
      <c r="S24" s="20"/>
      <c r="T24" s="4"/>
      <c r="U24" s="157"/>
      <c r="W24" s="166">
        <f>NORMSDIST(-W23)</f>
        <v>0.43217558016547597</v>
      </c>
      <c r="X24" s="39" t="s">
        <v>92</v>
      </c>
      <c r="Y24" s="20"/>
      <c r="Z24" s="4"/>
      <c r="AA24" s="4"/>
      <c r="AB24" s="4"/>
      <c r="AC24" s="4"/>
      <c r="AD24" s="88"/>
    </row>
    <row r="25" spans="2:30" ht="13.5" hidden="1" customHeight="1" thickBot="1" x14ac:dyDescent="0.35">
      <c r="B25" s="79"/>
      <c r="C25" s="164" t="s">
        <v>93</v>
      </c>
      <c r="D25" s="27"/>
      <c r="E25" s="38"/>
      <c r="F25" s="37"/>
      <c r="G25" s="131"/>
      <c r="H25" s="104"/>
      <c r="I25" s="104"/>
      <c r="J25" s="167"/>
      <c r="K25" s="167"/>
      <c r="L25" s="167"/>
      <c r="M25" s="140"/>
      <c r="N25" s="168">
        <f>NORMSDIST(N24)</f>
        <v>3.765047825483013E-2</v>
      </c>
      <c r="O25" s="39" t="s">
        <v>16</v>
      </c>
      <c r="P25" s="44"/>
      <c r="Q25" s="20"/>
      <c r="R25" s="20"/>
      <c r="S25" s="20"/>
      <c r="T25" s="20"/>
      <c r="U25" s="159"/>
      <c r="W25" s="169">
        <f>1-W24</f>
        <v>0.56782441983452403</v>
      </c>
      <c r="X25" s="45" t="s">
        <v>94</v>
      </c>
      <c r="Y25" s="44"/>
      <c r="Z25" s="4"/>
      <c r="AA25" s="4"/>
      <c r="AB25" s="4"/>
      <c r="AC25" s="4"/>
      <c r="AD25" s="88"/>
    </row>
    <row r="26" spans="2:30" ht="15" hidden="1" customHeight="1" thickBot="1" x14ac:dyDescent="0.4">
      <c r="F26" s="46"/>
      <c r="G26" s="104"/>
      <c r="H26" s="104"/>
      <c r="I26" s="96" t="s">
        <v>23</v>
      </c>
      <c r="J26" s="170">
        <f>D22-D21</f>
        <v>1.3316236800935272E-3</v>
      </c>
      <c r="K26" s="171">
        <f>J26+SQRT((D22-K22)^2+(L21-D21)^2)</f>
        <v>1.631358875521826E-2</v>
      </c>
      <c r="L26" s="172">
        <f>J26-SQRT((D21-K21)^2+(L22-D22)^2)</f>
        <v>-1.4337118891749295E-2</v>
      </c>
      <c r="M26" s="103"/>
      <c r="N26" s="173">
        <f>1-N25</f>
        <v>0.96234952174516986</v>
      </c>
      <c r="O26" s="174" t="s">
        <v>95</v>
      </c>
      <c r="P26" s="175"/>
      <c r="Q26" s="176"/>
      <c r="R26" s="175"/>
      <c r="S26" s="175"/>
      <c r="T26" s="175"/>
      <c r="U26" s="177"/>
      <c r="W26" s="178"/>
      <c r="X26" s="179"/>
      <c r="Y26" s="175"/>
      <c r="Z26" s="179"/>
      <c r="AA26" s="179"/>
      <c r="AB26" s="179"/>
      <c r="AC26" s="179"/>
      <c r="AD26" s="180"/>
    </row>
    <row r="27" spans="2:30" ht="13.5" hidden="1" customHeight="1" thickBot="1" x14ac:dyDescent="0.35">
      <c r="F27" s="47"/>
      <c r="G27" s="104"/>
      <c r="H27" s="104"/>
      <c r="I27" s="96" t="s">
        <v>24</v>
      </c>
      <c r="J27" s="181">
        <f>1/J26</f>
        <v>750.96291463498494</v>
      </c>
      <c r="K27" s="182">
        <f>1/K26</f>
        <v>61.298590702804617</v>
      </c>
      <c r="L27" s="183">
        <f>1/L26</f>
        <v>-69.749020535463274</v>
      </c>
      <c r="M27" s="103"/>
      <c r="N27" s="104"/>
      <c r="O27" s="5"/>
      <c r="P27" s="5"/>
      <c r="U27" s="5"/>
      <c r="V27" s="5"/>
      <c r="W27" s="12"/>
      <c r="X27" s="12"/>
      <c r="Y27" s="12"/>
      <c r="Z27" s="12"/>
      <c r="AA27" s="12"/>
      <c r="AB27" s="12"/>
      <c r="AC27" s="12"/>
    </row>
    <row r="28" spans="2:30" ht="14.25" hidden="1" customHeight="1" x14ac:dyDescent="0.4">
      <c r="G28" s="104"/>
      <c r="H28" s="104"/>
      <c r="K28" s="184"/>
      <c r="L28" s="184"/>
      <c r="M28" s="185"/>
      <c r="N28" s="141"/>
      <c r="O28" s="186"/>
      <c r="P28" s="186" t="s">
        <v>90</v>
      </c>
      <c r="Q28" s="187">
        <f>SQRT((D23*(1-D23)/C21)+(D23*(1-D23)/C22))</f>
        <v>7.7946580759896073E-3</v>
      </c>
      <c r="R28" s="188"/>
      <c r="S28" s="188"/>
      <c r="T28" s="188"/>
      <c r="U28" s="77"/>
      <c r="V28" s="5"/>
    </row>
    <row r="29" spans="2:30" ht="31.5" hidden="1" customHeight="1" x14ac:dyDescent="0.35">
      <c r="F29" s="189"/>
      <c r="G29" s="190"/>
      <c r="H29" s="191" t="s">
        <v>53</v>
      </c>
      <c r="I29" s="192" t="s">
        <v>48</v>
      </c>
      <c r="J29" s="193">
        <f>J27</f>
        <v>750.96291463498494</v>
      </c>
      <c r="K29" s="193">
        <f>K27</f>
        <v>61.298590702804617</v>
      </c>
      <c r="L29" s="193">
        <f>L27</f>
        <v>-69.749020535463274</v>
      </c>
      <c r="M29" s="104"/>
      <c r="N29" s="194" t="s">
        <v>96</v>
      </c>
      <c r="O29" s="195"/>
      <c r="P29" s="20" t="s">
        <v>97</v>
      </c>
      <c r="Q29" s="20"/>
      <c r="R29" s="41"/>
      <c r="S29" s="196" t="s">
        <v>98</v>
      </c>
      <c r="T29" s="20"/>
      <c r="U29" s="159"/>
      <c r="V29" s="5"/>
    </row>
    <row r="30" spans="2:30" s="4" customFormat="1" ht="14.25" hidden="1" customHeight="1" x14ac:dyDescent="0.4">
      <c r="F30" s="49"/>
      <c r="G30" s="197"/>
      <c r="H30" s="198"/>
      <c r="I30" s="199" t="s">
        <v>55</v>
      </c>
      <c r="J30" s="200">
        <f>(1-D22)*J27</f>
        <v>670.81299361307697</v>
      </c>
      <c r="K30" s="200">
        <f>(1-D22)*K27</f>
        <v>54.756220756384408</v>
      </c>
      <c r="L30" s="200">
        <f>(1-D22)*L27</f>
        <v>-62.304740161125359</v>
      </c>
      <c r="M30" s="104"/>
      <c r="N30" s="201"/>
      <c r="O30" s="73" t="s">
        <v>99</v>
      </c>
      <c r="Q30" s="202" t="s">
        <v>100</v>
      </c>
      <c r="R30" s="73" t="s">
        <v>101</v>
      </c>
      <c r="S30" s="20"/>
      <c r="T30" s="20"/>
      <c r="U30" s="88"/>
    </row>
    <row r="31" spans="2:30" s="4" customFormat="1" ht="14.25" hidden="1" customHeight="1" x14ac:dyDescent="0.4">
      <c r="F31" s="50"/>
      <c r="G31" s="203"/>
      <c r="H31" s="204"/>
      <c r="I31" s="205" t="s">
        <v>58</v>
      </c>
      <c r="J31" s="206">
        <f>J27*J26</f>
        <v>0.99999999999999989</v>
      </c>
      <c r="K31" s="206">
        <f>K27*K26</f>
        <v>1</v>
      </c>
      <c r="L31" s="206">
        <f>L27*L26</f>
        <v>1</v>
      </c>
      <c r="M31" s="119"/>
      <c r="N31" s="165">
        <f>ABS((J26/Q28))-I21</f>
        <v>-1.7891259994595516</v>
      </c>
      <c r="O31" s="73" t="s">
        <v>102</v>
      </c>
      <c r="P31" s="20"/>
      <c r="Q31" s="20"/>
      <c r="R31" s="40"/>
      <c r="S31" s="42"/>
      <c r="T31" s="42"/>
      <c r="U31" s="157"/>
    </row>
    <row r="32" spans="2:30" s="4" customFormat="1" ht="12.75" hidden="1" customHeight="1" x14ac:dyDescent="0.3">
      <c r="B32" s="207"/>
      <c r="C32" s="51"/>
      <c r="E32" s="30"/>
      <c r="G32" s="208"/>
      <c r="H32" s="209"/>
      <c r="I32" s="210" t="s">
        <v>59</v>
      </c>
      <c r="J32" s="211">
        <f>(D22-J26)*J27</f>
        <v>79.149921021907943</v>
      </c>
      <c r="K32" s="211">
        <f>(D22-K26)*K27</f>
        <v>5.5423699464202087</v>
      </c>
      <c r="L32" s="211">
        <f>(D22-L26)*L27</f>
        <v>-8.4442803743379145</v>
      </c>
      <c r="M32" s="119"/>
      <c r="N32" s="168">
        <f>NORMSDIST(N31)</f>
        <v>3.6797262930655245E-2</v>
      </c>
      <c r="O32" s="43" t="s">
        <v>103</v>
      </c>
      <c r="P32" s="44"/>
      <c r="Q32" s="20"/>
      <c r="R32" s="20"/>
      <c r="S32" s="20"/>
      <c r="T32" s="20"/>
      <c r="U32" s="88"/>
    </row>
    <row r="33" spans="2:22" s="4" customFormat="1" ht="12.75" hidden="1" customHeight="1" x14ac:dyDescent="0.3">
      <c r="B33" s="207"/>
      <c r="G33" s="212"/>
      <c r="H33" s="213"/>
      <c r="I33" s="213"/>
      <c r="J33" s="214"/>
      <c r="K33" s="214"/>
      <c r="L33" s="214"/>
      <c r="M33" s="119"/>
      <c r="N33" s="173">
        <f>1-N32</f>
        <v>0.96320273706934478</v>
      </c>
      <c r="O33" s="175" t="s">
        <v>104</v>
      </c>
      <c r="P33" s="175"/>
      <c r="Q33" s="176"/>
      <c r="R33" s="215"/>
      <c r="S33" s="216"/>
      <c r="T33" s="216"/>
      <c r="U33" s="177"/>
    </row>
    <row r="34" spans="2:22" s="4" customFormat="1" ht="31.5" hidden="1" customHeight="1" x14ac:dyDescent="0.3">
      <c r="B34" s="127"/>
      <c r="F34" s="29"/>
      <c r="G34" s="217"/>
      <c r="H34" s="191" t="s">
        <v>54</v>
      </c>
      <c r="I34" s="218" t="s">
        <v>105</v>
      </c>
      <c r="J34" s="219">
        <f>ABS(J27)</f>
        <v>750.96291463498494</v>
      </c>
      <c r="K34" s="219">
        <f>ABS(L27)</f>
        <v>69.749020535463274</v>
      </c>
      <c r="L34" s="219">
        <f>ABS(K27)</f>
        <v>61.298590702804617</v>
      </c>
      <c r="M34" s="119"/>
      <c r="N34" s="103"/>
      <c r="O34" s="20"/>
      <c r="P34" s="20"/>
      <c r="Q34" s="20"/>
      <c r="R34" s="20"/>
      <c r="S34" s="20"/>
      <c r="T34" s="20"/>
      <c r="U34" s="20"/>
      <c r="V34" s="20"/>
    </row>
    <row r="35" spans="2:22" s="4" customFormat="1" ht="13.5" hidden="1" customHeight="1" x14ac:dyDescent="0.3">
      <c r="B35" s="127"/>
      <c r="G35" s="197"/>
      <c r="H35" s="198"/>
      <c r="I35" s="199" t="s">
        <v>55</v>
      </c>
      <c r="J35" s="200">
        <f>ABS((1-(D22-J26))*J27)</f>
        <v>671.81299361307697</v>
      </c>
      <c r="K35" s="200">
        <f>ABS((1-(D22-L26))*L27)</f>
        <v>61.304740161125359</v>
      </c>
      <c r="L35" s="200">
        <f>ABS((1-(D22-K26))*K27)</f>
        <v>55.756220756384408</v>
      </c>
      <c r="M35" s="119"/>
      <c r="N35" s="103"/>
      <c r="O35" s="20"/>
      <c r="P35" s="20"/>
      <c r="Q35" s="20"/>
      <c r="R35" s="20"/>
      <c r="S35" s="20"/>
      <c r="T35" s="20"/>
      <c r="U35" s="20"/>
      <c r="V35" s="20"/>
    </row>
    <row r="36" spans="2:22" s="4" customFormat="1" ht="12.75" hidden="1" customHeight="1" x14ac:dyDescent="0.3">
      <c r="B36" s="127"/>
      <c r="F36" s="56"/>
      <c r="G36" s="220"/>
      <c r="H36" s="221"/>
      <c r="I36" s="222" t="s">
        <v>56</v>
      </c>
      <c r="J36" s="223">
        <f>J27*J26</f>
        <v>0.99999999999999989</v>
      </c>
      <c r="K36" s="223">
        <f>L27*L26</f>
        <v>1</v>
      </c>
      <c r="L36" s="223">
        <f>K27*K26</f>
        <v>1</v>
      </c>
      <c r="M36" s="119"/>
      <c r="N36" s="103"/>
      <c r="O36" s="20"/>
      <c r="P36" s="20"/>
      <c r="Q36" s="20"/>
      <c r="R36" s="20"/>
      <c r="S36" s="20"/>
      <c r="T36" s="20"/>
      <c r="U36" s="20"/>
      <c r="V36" s="20"/>
    </row>
    <row r="37" spans="2:22" ht="15.75" hidden="1" customHeight="1" x14ac:dyDescent="0.35">
      <c r="B37" s="224" t="s">
        <v>106</v>
      </c>
      <c r="C37" s="57"/>
      <c r="D37" s="57"/>
      <c r="E37" s="57"/>
      <c r="F37" s="52"/>
      <c r="G37" s="208"/>
      <c r="H37" s="209"/>
      <c r="I37" s="210" t="s">
        <v>57</v>
      </c>
      <c r="J37" s="211">
        <f>ABS(D22*J27)</f>
        <v>80.149921021907943</v>
      </c>
      <c r="K37" s="211">
        <f>ABS(D22*L27)</f>
        <v>7.4442803743379145</v>
      </c>
      <c r="L37" s="211">
        <f>ABS(D22*K27)</f>
        <v>6.5423699464202096</v>
      </c>
      <c r="M37" s="104"/>
      <c r="N37" s="103"/>
      <c r="O37" s="20"/>
      <c r="P37" s="20"/>
      <c r="Q37" s="20"/>
      <c r="R37" s="20"/>
      <c r="S37" s="20"/>
      <c r="T37" s="20"/>
      <c r="U37" s="20"/>
      <c r="V37" s="20"/>
    </row>
    <row r="38" spans="2:22" s="12" customFormat="1" ht="12.75" hidden="1" customHeight="1" x14ac:dyDescent="0.3">
      <c r="B38" s="79"/>
      <c r="C38" s="58" t="s">
        <v>20</v>
      </c>
      <c r="D38" s="59" t="s">
        <v>21</v>
      </c>
      <c r="E38" s="20"/>
      <c r="F38" s="52"/>
      <c r="G38" s="225"/>
      <c r="H38" s="226"/>
      <c r="I38" s="227"/>
      <c r="J38" s="228"/>
      <c r="K38" s="228"/>
      <c r="L38" s="228"/>
      <c r="M38" s="132"/>
      <c r="N38" s="119"/>
      <c r="O38" s="4"/>
      <c r="P38" s="4"/>
      <c r="Q38" s="4"/>
      <c r="R38" s="4"/>
    </row>
    <row r="39" spans="2:22" ht="12.75" hidden="1" customHeight="1" x14ac:dyDescent="0.3">
      <c r="B39" s="229" t="s">
        <v>32</v>
      </c>
      <c r="C39" s="61" t="s">
        <v>3</v>
      </c>
      <c r="D39" s="62" t="s">
        <v>2</v>
      </c>
      <c r="E39" s="63" t="s">
        <v>22</v>
      </c>
      <c r="G39" s="104"/>
      <c r="H39" s="104"/>
      <c r="I39" s="104"/>
      <c r="J39" s="104"/>
      <c r="K39" s="104"/>
      <c r="L39" s="104"/>
      <c r="M39" s="104"/>
      <c r="N39" s="119"/>
      <c r="O39" s="4"/>
      <c r="P39" s="4"/>
      <c r="Q39" s="4"/>
      <c r="R39" s="4"/>
      <c r="U39" s="5"/>
      <c r="V39" s="5"/>
    </row>
    <row r="40" spans="2:22" ht="12.75" hidden="1" customHeight="1" x14ac:dyDescent="0.3">
      <c r="B40" s="230" t="s">
        <v>17</v>
      </c>
      <c r="C40" s="64">
        <f>F7*D9/F9</f>
        <v>496.07421652421652</v>
      </c>
      <c r="D40" s="64">
        <f>F7*E9/F9</f>
        <v>4190.9257834757836</v>
      </c>
      <c r="E40" s="64">
        <f>F7</f>
        <v>4687</v>
      </c>
      <c r="G40" s="231"/>
      <c r="H40" s="232" t="s">
        <v>30</v>
      </c>
      <c r="I40" s="233">
        <f>CHIINV(0.05,K41)</f>
        <v>3.8414588206941236</v>
      </c>
      <c r="J40" s="104"/>
      <c r="K40" s="104"/>
      <c r="L40" s="104"/>
      <c r="M40" s="104"/>
      <c r="N40" s="119"/>
      <c r="O40" s="53"/>
      <c r="P40" s="53"/>
      <c r="Q40" s="53"/>
      <c r="R40" s="4"/>
      <c r="U40" s="5"/>
      <c r="V40" s="5"/>
    </row>
    <row r="41" spans="2:22" ht="12.75" hidden="1" customHeight="1" x14ac:dyDescent="0.3">
      <c r="B41" s="234" t="s">
        <v>18</v>
      </c>
      <c r="C41" s="64">
        <f>F8*D9/F9</f>
        <v>246.92578347578348</v>
      </c>
      <c r="D41" s="64">
        <f>F8*E9/F9</f>
        <v>2086.0742165242164</v>
      </c>
      <c r="E41" s="64">
        <f>F8</f>
        <v>2333</v>
      </c>
      <c r="F41" s="12"/>
      <c r="G41" s="235"/>
      <c r="H41" s="235"/>
      <c r="I41" s="236"/>
      <c r="J41" s="237" t="s">
        <v>31</v>
      </c>
      <c r="K41" s="238">
        <f>(COUNT(C40:D40)-1)*(COUNT(C40:C41)-1)</f>
        <v>1</v>
      </c>
      <c r="L41" s="104"/>
      <c r="M41" s="104"/>
      <c r="N41" s="104"/>
      <c r="O41" s="53"/>
      <c r="P41" s="53"/>
      <c r="Q41" s="53"/>
      <c r="R41" s="4"/>
      <c r="U41" s="5"/>
      <c r="V41" s="5"/>
    </row>
    <row r="42" spans="2:22" ht="12.75" hidden="1" customHeight="1" x14ac:dyDescent="0.3">
      <c r="B42" s="239" t="s">
        <v>29</v>
      </c>
      <c r="C42" s="64">
        <f>SUM(C40:C41)</f>
        <v>743</v>
      </c>
      <c r="D42" s="64">
        <f>SUM(D40:D41)</f>
        <v>6277</v>
      </c>
      <c r="E42" s="65">
        <f>SUM(E40:E41)</f>
        <v>7020</v>
      </c>
      <c r="F42" s="12"/>
      <c r="G42" s="132"/>
      <c r="H42" s="240" t="s">
        <v>33</v>
      </c>
      <c r="I42" s="74" t="s">
        <v>34</v>
      </c>
      <c r="J42" s="104"/>
      <c r="K42" s="104"/>
      <c r="L42" s="104"/>
      <c r="M42" s="104"/>
      <c r="N42" s="104"/>
      <c r="O42" s="53"/>
      <c r="P42" s="54"/>
      <c r="Q42" s="53"/>
      <c r="R42" s="4"/>
      <c r="U42" s="5"/>
      <c r="V42" s="5"/>
    </row>
    <row r="43" spans="2:22" ht="12.75" hidden="1" customHeight="1" x14ac:dyDescent="0.3">
      <c r="B43" s="239"/>
      <c r="C43" s="66"/>
      <c r="D43" s="66"/>
      <c r="E43" s="67"/>
      <c r="F43" s="12"/>
      <c r="G43" s="132"/>
      <c r="H43" s="240" t="s">
        <v>35</v>
      </c>
      <c r="I43" s="74" t="s">
        <v>36</v>
      </c>
      <c r="J43" s="104"/>
      <c r="K43" s="104"/>
      <c r="L43" s="104"/>
      <c r="M43" s="104"/>
      <c r="N43" s="104"/>
      <c r="O43" s="55"/>
      <c r="P43" s="55"/>
      <c r="Q43" s="55"/>
      <c r="R43" s="4"/>
      <c r="U43" s="5"/>
      <c r="V43" s="5"/>
    </row>
    <row r="44" spans="2:22" ht="26.25" hidden="1" customHeight="1" x14ac:dyDescent="0.3">
      <c r="B44" s="241"/>
      <c r="C44" s="335" t="s">
        <v>107</v>
      </c>
      <c r="D44" s="336"/>
      <c r="G44" s="104"/>
      <c r="H44" s="242"/>
      <c r="I44" s="104"/>
      <c r="J44" s="104"/>
      <c r="K44" s="104"/>
      <c r="L44" s="104"/>
      <c r="M44" s="104"/>
      <c r="N44" s="104"/>
      <c r="O44" s="5"/>
      <c r="P44" s="5"/>
      <c r="U44" s="5"/>
      <c r="V44" s="5"/>
    </row>
    <row r="45" spans="2:22" ht="12.75" hidden="1" customHeight="1" x14ac:dyDescent="0.3">
      <c r="B45" s="241"/>
      <c r="C45" s="68">
        <f>(D7-C40)^2/C40</f>
        <v>8.672843792361969E-3</v>
      </c>
      <c r="D45" s="68">
        <f>(E7-D40)^2/D40</f>
        <v>1.0265927891865356E-3</v>
      </c>
      <c r="F45" s="60"/>
      <c r="G45" s="243"/>
      <c r="H45" s="104"/>
      <c r="I45" s="104"/>
      <c r="J45" s="119"/>
      <c r="K45" s="119"/>
      <c r="L45" s="244"/>
      <c r="M45" s="104"/>
      <c r="N45" s="104"/>
      <c r="O45" s="5"/>
      <c r="P45" s="5"/>
      <c r="U45" s="5"/>
      <c r="V45" s="5"/>
    </row>
    <row r="46" spans="2:22" ht="12.75" hidden="1" customHeight="1" x14ac:dyDescent="0.3">
      <c r="B46" s="241"/>
      <c r="C46" s="68">
        <f>(D8-C41)^2/C41</f>
        <v>1.7423754331247557E-2</v>
      </c>
      <c r="D46" s="68">
        <f>(E8-D41)^2/D41</f>
        <v>2.0624262335693496E-3</v>
      </c>
      <c r="E46" s="16"/>
      <c r="F46" s="69" t="s">
        <v>37</v>
      </c>
      <c r="G46" s="245">
        <f>C48-I40</f>
        <v>-3.812273203547758</v>
      </c>
      <c r="H46" s="104"/>
      <c r="I46" s="104"/>
      <c r="J46" s="119"/>
      <c r="K46" s="119"/>
      <c r="L46" s="104"/>
      <c r="M46" s="104"/>
      <c r="N46" s="104"/>
      <c r="O46" s="5"/>
      <c r="P46" s="5"/>
      <c r="U46" s="5"/>
      <c r="V46" s="5"/>
    </row>
    <row r="47" spans="2:22" ht="12.75" hidden="1" customHeight="1" thickBot="1" x14ac:dyDescent="0.35">
      <c r="B47" s="74" t="s">
        <v>39</v>
      </c>
      <c r="D47" s="70"/>
      <c r="G47" s="81" t="s">
        <v>40</v>
      </c>
      <c r="H47" s="104"/>
      <c r="I47" s="104"/>
      <c r="J47" s="119"/>
      <c r="K47" s="119"/>
      <c r="L47" s="104"/>
      <c r="M47" s="104"/>
      <c r="N47" s="104"/>
      <c r="O47" s="5"/>
      <c r="P47" s="5"/>
      <c r="U47" s="5"/>
      <c r="V47" s="5"/>
    </row>
    <row r="48" spans="2:22" ht="13.5" hidden="1" customHeight="1" thickBot="1" x14ac:dyDescent="0.35">
      <c r="B48" s="89" t="s">
        <v>38</v>
      </c>
      <c r="C48" s="246">
        <f>SUM(C45:D46)</f>
        <v>2.918561714636541E-2</v>
      </c>
      <c r="D48" s="20"/>
      <c r="G48" s="81" t="s">
        <v>41</v>
      </c>
      <c r="H48" s="104"/>
      <c r="I48" s="247"/>
      <c r="J48" s="119"/>
      <c r="K48" s="119"/>
      <c r="L48" s="248"/>
      <c r="M48" s="104"/>
      <c r="N48" s="104"/>
      <c r="O48" s="5"/>
      <c r="P48" s="5"/>
      <c r="U48" s="5"/>
      <c r="V48" s="5"/>
    </row>
    <row r="49" spans="2:22" ht="12.75" hidden="1" customHeight="1" thickBot="1" x14ac:dyDescent="0.35">
      <c r="B49" s="249" t="s">
        <v>65</v>
      </c>
      <c r="C49" s="250">
        <f>CHIDIST(C48,1)</f>
        <v>0.86435116033095305</v>
      </c>
      <c r="E49" s="20"/>
      <c r="F49" s="20"/>
      <c r="G49" s="103"/>
      <c r="H49" s="251"/>
      <c r="I49" s="103"/>
      <c r="J49" s="119"/>
      <c r="K49" s="119"/>
      <c r="L49" s="103"/>
      <c r="M49" s="104"/>
      <c r="N49" s="104"/>
      <c r="O49" s="5"/>
      <c r="P49" s="5"/>
      <c r="U49" s="5"/>
      <c r="V49" s="5"/>
    </row>
    <row r="50" spans="2:22" s="4" customFormat="1" ht="12.75" hidden="1" customHeight="1" x14ac:dyDescent="0.3">
      <c r="B50" s="127"/>
      <c r="E50" s="71"/>
      <c r="F50" s="71"/>
      <c r="G50" s="119"/>
      <c r="H50" s="119"/>
      <c r="I50" s="252"/>
      <c r="J50" s="119"/>
      <c r="K50" s="119"/>
      <c r="L50" s="119"/>
      <c r="M50" s="119"/>
      <c r="N50" s="119"/>
    </row>
    <row r="51" spans="2:22" ht="13.5" hidden="1" customHeight="1" x14ac:dyDescent="0.3">
      <c r="B51" s="79"/>
      <c r="G51" s="104"/>
      <c r="H51" s="104"/>
      <c r="I51" s="104"/>
      <c r="J51" s="119"/>
      <c r="K51" s="119"/>
      <c r="L51" s="104"/>
      <c r="M51" s="104"/>
      <c r="N51" s="104"/>
      <c r="O51" s="5"/>
      <c r="P51" s="5"/>
      <c r="U51" s="5"/>
      <c r="V51" s="5"/>
    </row>
    <row r="52" spans="2:22" ht="12.75" hidden="1" customHeight="1" thickBot="1" x14ac:dyDescent="0.35">
      <c r="B52" s="253" t="s">
        <v>108</v>
      </c>
      <c r="C52" s="87"/>
      <c r="D52" s="87"/>
      <c r="E52" s="87"/>
      <c r="F52" s="87"/>
      <c r="G52" s="87"/>
      <c r="H52" s="254"/>
      <c r="I52" s="104"/>
      <c r="J52" s="255" t="s">
        <v>109</v>
      </c>
      <c r="K52" s="256"/>
      <c r="L52" s="257"/>
      <c r="M52" s="257"/>
      <c r="N52" s="257"/>
      <c r="O52" s="77"/>
      <c r="P52" s="5"/>
      <c r="U52" s="5"/>
      <c r="V52" s="5"/>
    </row>
    <row r="53" spans="2:22" ht="12.75" hidden="1" customHeight="1" thickBot="1" x14ac:dyDescent="0.35">
      <c r="B53" s="258">
        <f>I2*100</f>
        <v>95</v>
      </c>
      <c r="C53" s="52"/>
      <c r="D53" s="52"/>
      <c r="E53" s="4"/>
      <c r="F53" s="4"/>
      <c r="G53" s="4"/>
      <c r="H53" s="88"/>
      <c r="I53" s="104"/>
      <c r="J53" s="259"/>
      <c r="K53" s="119"/>
      <c r="L53" s="103"/>
      <c r="M53" s="103"/>
      <c r="N53" s="103"/>
      <c r="O53" s="159"/>
      <c r="P53" s="5"/>
      <c r="U53" s="5"/>
      <c r="V53" s="5"/>
    </row>
    <row r="54" spans="2:22" ht="12.75" hidden="1" customHeight="1" x14ac:dyDescent="0.3">
      <c r="B54" s="260" t="s">
        <v>44</v>
      </c>
      <c r="C54" s="261"/>
      <c r="D54" s="261"/>
      <c r="E54" s="1">
        <f>ROUND(G14,2)</f>
        <v>0.99</v>
      </c>
      <c r="F54" s="48">
        <f>ROUND(J26,4)</f>
        <v>1.2999999999999999E-3</v>
      </c>
      <c r="G54" s="262">
        <f>ROUND(J27,0)</f>
        <v>751</v>
      </c>
      <c r="H54" s="263"/>
      <c r="I54" s="104"/>
      <c r="J54" s="264" t="s">
        <v>44</v>
      </c>
      <c r="K54" s="4"/>
      <c r="L54" s="4"/>
      <c r="M54" s="4"/>
      <c r="N54" s="103"/>
      <c r="O54" s="159"/>
      <c r="P54" s="5"/>
      <c r="U54" s="5"/>
      <c r="V54" s="5"/>
    </row>
    <row r="55" spans="2:22" ht="12.75" hidden="1" customHeight="1" x14ac:dyDescent="0.3">
      <c r="B55" s="260" t="s">
        <v>46</v>
      </c>
      <c r="C55" s="20"/>
      <c r="D55" s="20"/>
      <c r="E55" s="1">
        <f>ROUND(H14,2)</f>
        <v>0.86</v>
      </c>
      <c r="F55" s="48">
        <f>ROUND(L26,4)</f>
        <v>-1.43E-2</v>
      </c>
      <c r="G55" s="262">
        <f>ROUND(L27,0)</f>
        <v>-70</v>
      </c>
      <c r="H55" s="263"/>
      <c r="I55" s="104"/>
      <c r="J55" s="264" t="s">
        <v>46</v>
      </c>
      <c r="K55" s="265" t="str">
        <f>ROUND(J21,4)*100&amp;J57</f>
        <v>10,54%</v>
      </c>
      <c r="L55" s="265" t="str">
        <f>ROUND(K21,4)*100&amp;J57</f>
        <v>9,69%</v>
      </c>
      <c r="M55" s="265" t="str">
        <f>ROUND(L21,4)*100&amp;J57</f>
        <v>11,45%</v>
      </c>
      <c r="N55" s="80" t="str">
        <f>CONCATENATE(K55," ",J54,L55," ",J58," ",M55,J56)</f>
        <v>10,54% (9,69% a 11,45%)</v>
      </c>
      <c r="O55" s="159"/>
      <c r="P55" s="5"/>
      <c r="U55" s="5"/>
      <c r="V55" s="5"/>
    </row>
    <row r="56" spans="2:22" s="12" customFormat="1" ht="12.75" hidden="1" customHeight="1" x14ac:dyDescent="0.3">
      <c r="B56" s="260" t="s">
        <v>45</v>
      </c>
      <c r="C56" s="261">
        <f>ROUND(D7,0)</f>
        <v>494</v>
      </c>
      <c r="D56" s="261">
        <f>ROUND(D8,0)</f>
        <v>249</v>
      </c>
      <c r="E56" s="1">
        <f>ROUND(I14,2)</f>
        <v>1.1399999999999999</v>
      </c>
      <c r="F56" s="48">
        <f>ROUND(K26,4)</f>
        <v>1.6299999999999999E-2</v>
      </c>
      <c r="G56" s="262">
        <f>ROUND(K27,0)</f>
        <v>61</v>
      </c>
      <c r="H56" s="266">
        <f>ROUND(N32,4)</f>
        <v>3.6799999999999999E-2</v>
      </c>
      <c r="I56" s="132"/>
      <c r="J56" s="264" t="s">
        <v>45</v>
      </c>
      <c r="K56" s="72" t="str">
        <f>ROUND(J22,4)*100&amp;J57</f>
        <v>10,67%</v>
      </c>
      <c r="L56" s="72" t="str">
        <f>ROUND(K22,4)*100&amp;J57</f>
        <v>9,48%</v>
      </c>
      <c r="M56" s="72" t="str">
        <f>ROUND(L22,4)*100&amp;J57</f>
        <v>11,99%</v>
      </c>
      <c r="N56" s="80" t="str">
        <f>CONCATENATE(K56," ",J54,L56," ",J58," ",M56,J56)</f>
        <v>10,67% (9,48% a 11,99%)</v>
      </c>
      <c r="O56" s="88"/>
    </row>
    <row r="57" spans="2:22" ht="12.75" hidden="1" customHeight="1" x14ac:dyDescent="0.3">
      <c r="B57" s="260" t="s">
        <v>47</v>
      </c>
      <c r="C57" s="267" t="s">
        <v>61</v>
      </c>
      <c r="D57" s="267" t="s">
        <v>62</v>
      </c>
      <c r="E57" s="267" t="s">
        <v>4</v>
      </c>
      <c r="F57" s="267" t="s">
        <v>50</v>
      </c>
      <c r="G57" s="268" t="s">
        <v>48</v>
      </c>
      <c r="H57" s="231" t="s">
        <v>51</v>
      </c>
      <c r="I57" s="104"/>
      <c r="J57" s="264" t="s">
        <v>47</v>
      </c>
      <c r="K57" s="72" t="str">
        <f>ROUND(J23,4)*100&amp;J57</f>
        <v>10,58%</v>
      </c>
      <c r="L57" s="72" t="str">
        <f>ROUND(K23,4)*100&amp;J57</f>
        <v>9,89%</v>
      </c>
      <c r="M57" s="72" t="str">
        <f>ROUND(L23,4)*100&amp;J57</f>
        <v>11,33%</v>
      </c>
      <c r="N57" s="80" t="str">
        <f>CONCATENATE(K57," ",J54,L57," ",J58," ",M57,J56)</f>
        <v>10,58% (9,89% a 11,33%)</v>
      </c>
      <c r="O57" s="88"/>
    </row>
    <row r="58" spans="2:22" ht="12.75" hidden="1" customHeight="1" x14ac:dyDescent="0.3">
      <c r="B58" s="269" t="s">
        <v>19</v>
      </c>
      <c r="C58" s="270" t="str">
        <f>CONCATENATE(C56,B59,C21," ",B54,K55,B56)</f>
        <v>494/4687 (10,54%)</v>
      </c>
      <c r="D58" s="96" t="str">
        <f>CONCATENATE(D56,B59,C22," ",B54,K56,B56)</f>
        <v>249/2333 (10,67%)</v>
      </c>
      <c r="E58" s="270" t="str">
        <f>CONCATENATE(E54," ",B54,E55,B55,E56,B56)</f>
        <v>0,99 (0,86-1,14)</v>
      </c>
      <c r="F58" s="270" t="str">
        <f>CONCATENATE(F54*100,B57," ",B54,F55*100,B57," ",B58," ",F56*100,B57,B56)</f>
        <v>0,13% (-1,43% a 1,63%)</v>
      </c>
      <c r="G58" s="231" t="str">
        <f>CONCATENATE(G54," ",B54,G56," ",B58," ",G55,B56)</f>
        <v>751 (61 a -70)</v>
      </c>
      <c r="H58" s="231" t="str">
        <f>CONCATENATE(H56*100,B57)</f>
        <v>3,68%</v>
      </c>
      <c r="I58" s="104"/>
      <c r="J58" s="271" t="s">
        <v>19</v>
      </c>
      <c r="K58" s="20"/>
      <c r="L58" s="20"/>
      <c r="M58" s="20"/>
      <c r="N58" s="103"/>
      <c r="O58" s="159"/>
      <c r="P58" s="5"/>
      <c r="U58" s="5"/>
      <c r="V58" s="5"/>
    </row>
    <row r="59" spans="2:22" ht="13.5" hidden="1" customHeight="1" thickBot="1" x14ac:dyDescent="0.35">
      <c r="B59" s="272" t="s">
        <v>49</v>
      </c>
      <c r="C59" s="179"/>
      <c r="D59" s="179"/>
      <c r="E59" s="179"/>
      <c r="F59" s="179"/>
      <c r="G59" s="273"/>
      <c r="H59" s="274"/>
      <c r="I59" s="104"/>
      <c r="J59" s="275" t="s">
        <v>49</v>
      </c>
      <c r="K59" s="179"/>
      <c r="L59" s="179"/>
      <c r="M59" s="179"/>
      <c r="N59" s="276"/>
      <c r="O59" s="177"/>
      <c r="P59" s="5"/>
      <c r="U59" s="5"/>
      <c r="V59" s="5"/>
    </row>
    <row r="60" spans="2:22" x14ac:dyDescent="0.3">
      <c r="B60" s="79"/>
      <c r="G60" s="104"/>
      <c r="H60" s="104"/>
      <c r="I60" s="104"/>
      <c r="J60" s="104"/>
      <c r="K60" s="104"/>
      <c r="L60" s="119"/>
      <c r="M60" s="104"/>
      <c r="N60" s="104"/>
      <c r="O60" s="5"/>
      <c r="P60" s="5"/>
      <c r="U60" s="5"/>
      <c r="V60" s="5"/>
    </row>
    <row r="61" spans="2:22" ht="27" customHeight="1" x14ac:dyDescent="0.3">
      <c r="B61" s="79"/>
      <c r="C61" s="277" t="s">
        <v>61</v>
      </c>
      <c r="D61" s="277" t="s">
        <v>62</v>
      </c>
      <c r="E61" s="278" t="str">
        <f>CONCATENATE(E57," ",B54,H2," ",B53,B57,B56)</f>
        <v>RR (IC 95%)</v>
      </c>
      <c r="F61" s="278" t="str">
        <f>CONCATENATE(F57," ",B54,H2," ",B53,B57,B56)</f>
        <v>RAR (IC 95%)</v>
      </c>
      <c r="G61" s="278" t="str">
        <f>CONCATENATE(G57," ",B54,H2," ",B53,B57,B56)</f>
        <v>NNT (IC 95%)</v>
      </c>
      <c r="H61" s="278" t="s">
        <v>52</v>
      </c>
      <c r="I61" s="279"/>
      <c r="J61" s="278" t="s">
        <v>66</v>
      </c>
      <c r="L61" s="278" t="s">
        <v>110</v>
      </c>
      <c r="M61" s="278" t="s">
        <v>111</v>
      </c>
      <c r="O61" s="5"/>
      <c r="P61" s="5"/>
      <c r="U61" s="5"/>
      <c r="V61" s="5"/>
    </row>
    <row r="62" spans="2:22" ht="21" customHeight="1" x14ac:dyDescent="0.3">
      <c r="B62" s="79"/>
      <c r="C62" s="96" t="str">
        <f t="shared" ref="C62:H62" si="0">C58</f>
        <v>494/4687 (10,54%)</v>
      </c>
      <c r="D62" s="96" t="str">
        <f t="shared" si="0"/>
        <v>249/2333 (10,67%)</v>
      </c>
      <c r="E62" s="96" t="str">
        <f t="shared" si="0"/>
        <v>0,99 (0,86-1,14)</v>
      </c>
      <c r="F62" s="96" t="str">
        <f t="shared" si="0"/>
        <v>0,13% (-1,43% a 1,63%)</v>
      </c>
      <c r="G62" s="96" t="str">
        <f t="shared" si="0"/>
        <v>751 (61 a -70)</v>
      </c>
      <c r="H62" s="96" t="str">
        <f t="shared" si="0"/>
        <v>3,68%</v>
      </c>
      <c r="I62" s="280"/>
      <c r="J62" s="281">
        <f>C49</f>
        <v>0.86435116033095305</v>
      </c>
      <c r="L62" s="282">
        <f>IF((K26*L26&lt;0),J23,J21)</f>
        <v>0.10584045584045584</v>
      </c>
      <c r="M62" s="282">
        <f>IF((K26*L26&lt;0),J23,J22)</f>
        <v>0.10584045584045584</v>
      </c>
      <c r="O62" s="5"/>
      <c r="P62" s="5"/>
      <c r="U62" s="5"/>
      <c r="V62" s="5"/>
    </row>
    <row r="63" spans="2:22" x14ac:dyDescent="0.3">
      <c r="L63" s="4"/>
    </row>
    <row r="64" spans="2:22" x14ac:dyDescent="0.3">
      <c r="L64" s="4"/>
    </row>
    <row r="65" spans="2:5" x14ac:dyDescent="0.3">
      <c r="B65" s="302" t="s">
        <v>129</v>
      </c>
    </row>
    <row r="66" spans="2:5" ht="13.5" thickBot="1" x14ac:dyDescent="0.35">
      <c r="B66" s="301" t="s">
        <v>130</v>
      </c>
    </row>
    <row r="67" spans="2:5" ht="28.5" customHeight="1" thickBot="1" x14ac:dyDescent="0.35">
      <c r="B67" s="303" t="s">
        <v>185</v>
      </c>
      <c r="C67" s="299"/>
      <c r="D67" s="299"/>
      <c r="E67" s="300"/>
    </row>
    <row r="68" spans="2:5" ht="39.5" thickBot="1" x14ac:dyDescent="0.35">
      <c r="B68" s="285" t="s">
        <v>113</v>
      </c>
      <c r="C68" s="286" t="s">
        <v>131</v>
      </c>
      <c r="D68" s="287" t="s">
        <v>132</v>
      </c>
      <c r="E68" s="288" t="s">
        <v>114</v>
      </c>
    </row>
    <row r="69" spans="2:5" ht="5.15" customHeight="1" thickBot="1" x14ac:dyDescent="0.35">
      <c r="B69" s="289"/>
      <c r="C69" s="290"/>
      <c r="D69" s="290"/>
      <c r="E69" s="290"/>
    </row>
    <row r="70" spans="2:5" x14ac:dyDescent="0.3">
      <c r="B70" s="294" t="s">
        <v>115</v>
      </c>
      <c r="C70" s="307" t="s">
        <v>134</v>
      </c>
      <c r="D70" s="307" t="s">
        <v>135</v>
      </c>
      <c r="E70" s="308">
        <v>0.648853695022099</v>
      </c>
    </row>
    <row r="71" spans="2:5" x14ac:dyDescent="0.3">
      <c r="B71" s="296" t="s">
        <v>133</v>
      </c>
      <c r="C71" s="297" t="s">
        <v>187</v>
      </c>
      <c r="D71" s="313" t="s">
        <v>218</v>
      </c>
      <c r="E71" s="310">
        <v>0.44309040483010481</v>
      </c>
    </row>
    <row r="72" spans="2:5" x14ac:dyDescent="0.3">
      <c r="B72" s="314" t="s">
        <v>175</v>
      </c>
      <c r="C72" s="297" t="s">
        <v>176</v>
      </c>
      <c r="D72" s="297" t="s">
        <v>177</v>
      </c>
      <c r="E72" s="305">
        <v>0.40524112855977912</v>
      </c>
    </row>
    <row r="73" spans="2:5" ht="13.5" thickBot="1" x14ac:dyDescent="0.35">
      <c r="B73" s="315" t="s">
        <v>117</v>
      </c>
      <c r="C73" s="292" t="s">
        <v>178</v>
      </c>
      <c r="D73" s="292" t="s">
        <v>179</v>
      </c>
      <c r="E73" s="306">
        <v>0.45368203915537475</v>
      </c>
    </row>
    <row r="74" spans="2:5" ht="5.15" customHeight="1" thickBot="1" x14ac:dyDescent="0.35">
      <c r="B74" s="289"/>
      <c r="C74" s="290"/>
      <c r="D74" s="290"/>
      <c r="E74" s="290"/>
    </row>
    <row r="75" spans="2:5" x14ac:dyDescent="0.3">
      <c r="B75" s="316" t="s">
        <v>138</v>
      </c>
      <c r="C75" s="295" t="s">
        <v>136</v>
      </c>
      <c r="D75" s="295" t="s">
        <v>137</v>
      </c>
      <c r="E75" s="304">
        <v>0.24577035962371599</v>
      </c>
    </row>
    <row r="76" spans="2:5" x14ac:dyDescent="0.3">
      <c r="B76" s="314" t="s">
        <v>116</v>
      </c>
      <c r="C76" s="297" t="s">
        <v>139</v>
      </c>
      <c r="D76" s="297" t="s">
        <v>140</v>
      </c>
      <c r="E76" s="305">
        <v>0.4285128068644255</v>
      </c>
    </row>
    <row r="77" spans="2:5" x14ac:dyDescent="0.3">
      <c r="B77" s="314" t="s">
        <v>141</v>
      </c>
      <c r="C77" s="297" t="s">
        <v>142</v>
      </c>
      <c r="D77" s="297" t="s">
        <v>143</v>
      </c>
      <c r="E77" s="305">
        <v>0.1497736131490571</v>
      </c>
    </row>
    <row r="78" spans="2:5" x14ac:dyDescent="0.3">
      <c r="B78" s="314" t="s">
        <v>144</v>
      </c>
      <c r="C78" s="297" t="s">
        <v>145</v>
      </c>
      <c r="D78" s="297" t="s">
        <v>146</v>
      </c>
      <c r="E78" s="305">
        <v>0.26989407671943666</v>
      </c>
    </row>
    <row r="79" spans="2:5" ht="13.5" thickBot="1" x14ac:dyDescent="0.35">
      <c r="B79" s="315" t="s">
        <v>147</v>
      </c>
      <c r="C79" s="292" t="s">
        <v>148</v>
      </c>
      <c r="D79" s="292" t="s">
        <v>149</v>
      </c>
      <c r="E79" s="306">
        <v>4.3084152988419659E-2</v>
      </c>
    </row>
    <row r="80" spans="2:5" ht="13.5" thickBot="1" x14ac:dyDescent="0.35">
      <c r="B80" s="317" t="s">
        <v>171</v>
      </c>
      <c r="C80" s="318"/>
      <c r="D80" s="318"/>
      <c r="E80" s="318"/>
    </row>
    <row r="81" spans="2:5" x14ac:dyDescent="0.3">
      <c r="B81" s="316" t="s">
        <v>172</v>
      </c>
      <c r="C81" s="295" t="s">
        <v>188</v>
      </c>
      <c r="D81" s="295" t="s">
        <v>219</v>
      </c>
      <c r="E81" s="304">
        <v>0.43703372238387733</v>
      </c>
    </row>
    <row r="82" spans="2:5" x14ac:dyDescent="0.3">
      <c r="B82" s="314" t="s">
        <v>173</v>
      </c>
      <c r="C82" s="297" t="s">
        <v>189</v>
      </c>
      <c r="D82" s="297" t="s">
        <v>220</v>
      </c>
      <c r="E82" s="305">
        <v>0.58732630653976248</v>
      </c>
    </row>
    <row r="83" spans="2:5" ht="13.5" thickBot="1" x14ac:dyDescent="0.35">
      <c r="B83" s="315" t="s">
        <v>174</v>
      </c>
      <c r="C83" s="292" t="s">
        <v>190</v>
      </c>
      <c r="D83" s="292" t="s">
        <v>221</v>
      </c>
      <c r="E83" s="306">
        <v>0.75871133246193745</v>
      </c>
    </row>
    <row r="84" spans="2:5" ht="13.5" thickBot="1" x14ac:dyDescent="0.35">
      <c r="B84" s="293" t="s">
        <v>183</v>
      </c>
      <c r="C84" s="319"/>
      <c r="D84" s="319"/>
      <c r="E84" s="311"/>
    </row>
    <row r="85" spans="2:5" x14ac:dyDescent="0.3">
      <c r="B85" s="316" t="s">
        <v>126</v>
      </c>
      <c r="C85" s="295" t="s">
        <v>150</v>
      </c>
      <c r="D85" s="295" t="s">
        <v>151</v>
      </c>
      <c r="E85" s="304">
        <v>0.46145417033562686</v>
      </c>
    </row>
    <row r="86" spans="2:5" x14ac:dyDescent="0.3">
      <c r="B86" s="320" t="s">
        <v>152</v>
      </c>
      <c r="C86" s="297" t="s">
        <v>191</v>
      </c>
      <c r="D86" s="297" t="s">
        <v>222</v>
      </c>
      <c r="E86" s="305">
        <v>0.15646751642254761</v>
      </c>
    </row>
    <row r="87" spans="2:5" x14ac:dyDescent="0.3">
      <c r="B87" s="320" t="s">
        <v>153</v>
      </c>
      <c r="C87" s="297" t="s">
        <v>192</v>
      </c>
      <c r="D87" s="297" t="s">
        <v>223</v>
      </c>
      <c r="E87" s="305">
        <v>0.27958510508835582</v>
      </c>
    </row>
    <row r="88" spans="2:5" x14ac:dyDescent="0.3">
      <c r="B88" s="320" t="s">
        <v>127</v>
      </c>
      <c r="C88" s="297" t="s">
        <v>193</v>
      </c>
      <c r="D88" s="297" t="s">
        <v>224</v>
      </c>
      <c r="E88" s="310">
        <v>0.88594080129852304</v>
      </c>
    </row>
    <row r="89" spans="2:5" x14ac:dyDescent="0.3">
      <c r="B89" s="314" t="s">
        <v>154</v>
      </c>
      <c r="C89" s="297"/>
      <c r="D89" s="297"/>
      <c r="E89" s="305"/>
    </row>
    <row r="90" spans="2:5" x14ac:dyDescent="0.3">
      <c r="B90" s="320" t="s">
        <v>155</v>
      </c>
      <c r="C90" s="297" t="s">
        <v>194</v>
      </c>
      <c r="D90" s="297" t="s">
        <v>225</v>
      </c>
      <c r="E90" s="305">
        <v>0.82946947553853811</v>
      </c>
    </row>
    <row r="91" spans="2:5" x14ac:dyDescent="0.3">
      <c r="B91" s="320" t="s">
        <v>156</v>
      </c>
      <c r="C91" s="297" t="s">
        <v>195</v>
      </c>
      <c r="D91" s="297" t="s">
        <v>226</v>
      </c>
      <c r="E91" s="305">
        <v>0.7364460272456832</v>
      </c>
    </row>
    <row r="92" spans="2:5" ht="13.5" thickBot="1" x14ac:dyDescent="0.35">
      <c r="B92" s="321" t="s">
        <v>157</v>
      </c>
      <c r="C92" s="292" t="s">
        <v>196</v>
      </c>
      <c r="D92" s="292" t="s">
        <v>227</v>
      </c>
      <c r="E92" s="306">
        <v>0.71909205344656379</v>
      </c>
    </row>
    <row r="93" spans="2:5" ht="15" thickBot="1" x14ac:dyDescent="0.4">
      <c r="B93" s="317" t="s">
        <v>184</v>
      </c>
      <c r="C93" s="318"/>
      <c r="D93" s="318"/>
      <c r="E93" s="318"/>
    </row>
    <row r="94" spans="2:5" x14ac:dyDescent="0.3">
      <c r="B94" s="316" t="s">
        <v>163</v>
      </c>
      <c r="C94" s="295" t="s">
        <v>197</v>
      </c>
      <c r="D94" s="295" t="s">
        <v>228</v>
      </c>
      <c r="E94" s="304">
        <v>0.95104754630024724</v>
      </c>
    </row>
    <row r="95" spans="2:5" x14ac:dyDescent="0.3">
      <c r="B95" s="322" t="s">
        <v>164</v>
      </c>
      <c r="C95" s="312" t="s">
        <v>198</v>
      </c>
      <c r="D95" s="312" t="s">
        <v>229</v>
      </c>
      <c r="E95" s="309">
        <v>0.60198678188492005</v>
      </c>
    </row>
    <row r="96" spans="2:5" x14ac:dyDescent="0.3">
      <c r="B96" s="322" t="s">
        <v>165</v>
      </c>
      <c r="C96" s="297" t="s">
        <v>199</v>
      </c>
      <c r="D96" s="297" t="s">
        <v>230</v>
      </c>
      <c r="E96" s="305">
        <v>0.58518896432052792</v>
      </c>
    </row>
    <row r="97" spans="2:5" x14ac:dyDescent="0.3">
      <c r="B97" s="322" t="s">
        <v>166</v>
      </c>
      <c r="C97" s="297" t="s">
        <v>200</v>
      </c>
      <c r="D97" s="297" t="s">
        <v>231</v>
      </c>
      <c r="E97" s="305">
        <v>0.42985805384610887</v>
      </c>
    </row>
    <row r="98" spans="2:5" x14ac:dyDescent="0.3">
      <c r="B98" s="322" t="s">
        <v>167</v>
      </c>
      <c r="C98" s="297" t="s">
        <v>201</v>
      </c>
      <c r="D98" s="297" t="s">
        <v>232</v>
      </c>
      <c r="E98" s="305">
        <v>0.8098944233636608</v>
      </c>
    </row>
    <row r="99" spans="2:5" x14ac:dyDescent="0.3">
      <c r="B99" s="322" t="s">
        <v>170</v>
      </c>
      <c r="C99" s="297" t="s">
        <v>202</v>
      </c>
      <c r="D99" s="297" t="s">
        <v>233</v>
      </c>
      <c r="E99" s="305">
        <v>0.59112006099041636</v>
      </c>
    </row>
    <row r="100" spans="2:5" x14ac:dyDescent="0.3">
      <c r="B100" s="322" t="s">
        <v>168</v>
      </c>
      <c r="C100" s="297" t="s">
        <v>189</v>
      </c>
      <c r="D100" s="297" t="s">
        <v>234</v>
      </c>
      <c r="E100" s="305">
        <v>0.39138245281162071</v>
      </c>
    </row>
    <row r="101" spans="2:5" ht="13.5" thickBot="1" x14ac:dyDescent="0.35">
      <c r="B101" s="323" t="s">
        <v>169</v>
      </c>
      <c r="C101" s="292" t="s">
        <v>203</v>
      </c>
      <c r="D101" s="292" t="s">
        <v>235</v>
      </c>
      <c r="E101" s="306">
        <v>0.68299429238471432</v>
      </c>
    </row>
    <row r="102" spans="2:5" ht="13.5" thickBot="1" x14ac:dyDescent="0.35">
      <c r="B102" s="324" t="s">
        <v>128</v>
      </c>
      <c r="C102" s="318"/>
      <c r="D102" s="318"/>
      <c r="E102" s="318"/>
    </row>
    <row r="103" spans="2:5" x14ac:dyDescent="0.3">
      <c r="B103" s="316" t="s">
        <v>158</v>
      </c>
      <c r="C103" s="295" t="s">
        <v>204</v>
      </c>
      <c r="D103" s="295" t="s">
        <v>236</v>
      </c>
      <c r="E103" s="304">
        <v>0.53775967789889623</v>
      </c>
    </row>
    <row r="104" spans="2:5" x14ac:dyDescent="0.3">
      <c r="B104" s="325" t="s">
        <v>162</v>
      </c>
      <c r="C104" s="297" t="s">
        <v>205</v>
      </c>
      <c r="D104" s="297" t="s">
        <v>237</v>
      </c>
      <c r="E104" s="305">
        <v>0.10661834220146543</v>
      </c>
    </row>
    <row r="105" spans="2:5" x14ac:dyDescent="0.3">
      <c r="B105" s="314" t="s">
        <v>159</v>
      </c>
      <c r="C105" s="297" t="s">
        <v>206</v>
      </c>
      <c r="D105" s="297" t="s">
        <v>238</v>
      </c>
      <c r="E105" s="305">
        <v>9.3090121067280845E-2</v>
      </c>
    </row>
    <row r="106" spans="2:5" x14ac:dyDescent="0.3">
      <c r="B106" s="314" t="s">
        <v>160</v>
      </c>
      <c r="C106" s="297" t="s">
        <v>207</v>
      </c>
      <c r="D106" s="297" t="s">
        <v>239</v>
      </c>
      <c r="E106" s="305">
        <v>0.92321972859644397</v>
      </c>
    </row>
    <row r="107" spans="2:5" ht="13.5" thickBot="1" x14ac:dyDescent="0.35">
      <c r="B107" s="315" t="s">
        <v>161</v>
      </c>
      <c r="C107" s="292" t="s">
        <v>208</v>
      </c>
      <c r="D107" s="292" t="s">
        <v>240</v>
      </c>
      <c r="E107" s="306">
        <v>0.86435116033095305</v>
      </c>
    </row>
    <row r="108" spans="2:5" ht="13.5" thickBot="1" x14ac:dyDescent="0.35">
      <c r="B108" s="293" t="s">
        <v>118</v>
      </c>
      <c r="C108" s="293"/>
      <c r="D108" s="293"/>
      <c r="E108" s="318"/>
    </row>
    <row r="109" spans="2:5" x14ac:dyDescent="0.3">
      <c r="B109" s="294" t="s">
        <v>119</v>
      </c>
      <c r="C109" s="295" t="s">
        <v>209</v>
      </c>
      <c r="D109" s="295" t="s">
        <v>241</v>
      </c>
      <c r="E109" s="304">
        <v>0.54804775273133632</v>
      </c>
    </row>
    <row r="110" spans="2:5" x14ac:dyDescent="0.3">
      <c r="B110" s="296" t="s">
        <v>120</v>
      </c>
      <c r="C110" s="297" t="s">
        <v>210</v>
      </c>
      <c r="D110" s="297" t="s">
        <v>242</v>
      </c>
      <c r="E110" s="305">
        <v>0.67342663183589624</v>
      </c>
    </row>
    <row r="111" spans="2:5" x14ac:dyDescent="0.3">
      <c r="B111" s="296" t="s">
        <v>181</v>
      </c>
      <c r="C111" s="297" t="s">
        <v>211</v>
      </c>
      <c r="D111" s="297" t="s">
        <v>243</v>
      </c>
      <c r="E111" s="305">
        <v>0.875732134857934</v>
      </c>
    </row>
    <row r="112" spans="2:5" ht="13.5" thickBot="1" x14ac:dyDescent="0.35">
      <c r="B112" s="298" t="s">
        <v>121</v>
      </c>
      <c r="C112" s="292" t="s">
        <v>212</v>
      </c>
      <c r="D112" s="292" t="s">
        <v>244</v>
      </c>
      <c r="E112" s="306">
        <v>0.52581179342576334</v>
      </c>
    </row>
    <row r="113" spans="2:5" ht="13.5" thickBot="1" x14ac:dyDescent="0.35">
      <c r="B113" s="293" t="s">
        <v>122</v>
      </c>
      <c r="C113" s="293"/>
      <c r="D113" s="293"/>
      <c r="E113" s="318"/>
    </row>
    <row r="114" spans="2:5" x14ac:dyDescent="0.3">
      <c r="B114" s="294" t="s">
        <v>125</v>
      </c>
      <c r="C114" s="295" t="s">
        <v>213</v>
      </c>
      <c r="D114" s="295" t="s">
        <v>245</v>
      </c>
      <c r="E114" s="304">
        <v>0.99136670360087265</v>
      </c>
    </row>
    <row r="115" spans="2:5" x14ac:dyDescent="0.3">
      <c r="B115" s="296" t="s">
        <v>180</v>
      </c>
      <c r="C115" s="297" t="s">
        <v>214</v>
      </c>
      <c r="D115" s="297" t="s">
        <v>246</v>
      </c>
      <c r="E115" s="305">
        <v>0.93537481827725455</v>
      </c>
    </row>
    <row r="116" spans="2:5" x14ac:dyDescent="0.3">
      <c r="B116" s="296" t="s">
        <v>123</v>
      </c>
      <c r="C116" s="297" t="s">
        <v>215</v>
      </c>
      <c r="D116" s="297" t="s">
        <v>247</v>
      </c>
      <c r="E116" s="305">
        <v>0.95831411334343708</v>
      </c>
    </row>
    <row r="117" spans="2:5" x14ac:dyDescent="0.3">
      <c r="B117" s="296" t="s">
        <v>124</v>
      </c>
      <c r="C117" s="297" t="s">
        <v>216</v>
      </c>
      <c r="D117" s="297" t="s">
        <v>248</v>
      </c>
      <c r="E117" s="305">
        <v>0.88015767639613585</v>
      </c>
    </row>
    <row r="118" spans="2:5" ht="13.5" thickBot="1" x14ac:dyDescent="0.35">
      <c r="B118" s="291" t="s">
        <v>182</v>
      </c>
      <c r="C118" s="292" t="s">
        <v>217</v>
      </c>
      <c r="D118" s="292" t="s">
        <v>249</v>
      </c>
      <c r="E118" s="306">
        <v>0.80403386834190926</v>
      </c>
    </row>
    <row r="119" spans="2:5" ht="5.15" customHeight="1" x14ac:dyDescent="0.3">
      <c r="B119" s="289"/>
      <c r="C119" s="290"/>
      <c r="D119" s="290"/>
      <c r="E119" s="290"/>
    </row>
    <row r="120" spans="2:5" ht="31" customHeight="1" x14ac:dyDescent="0.3">
      <c r="B120" s="326" t="s">
        <v>186</v>
      </c>
      <c r="C120" s="327"/>
      <c r="D120" s="327"/>
      <c r="E120" s="328"/>
    </row>
  </sheetData>
  <mergeCells count="4">
    <mergeCell ref="B120:E120"/>
    <mergeCell ref="B2:F2"/>
    <mergeCell ref="B3:F3"/>
    <mergeCell ref="C44:D44"/>
  </mergeCells>
  <phoneticPr fontId="2" type="noConversion"/>
  <pageMargins left="0.17" right="0.17" top="0.21" bottom="0.7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 Acumul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2022-02-04T15:56:34Z</dcterms:modified>
</cp:coreProperties>
</file>