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1202-Galo\0-Datos\10-Temas publc\20210524-VÑ EMPA-REG\"/>
    </mc:Choice>
  </mc:AlternateContent>
  <xr:revisionPtr revIDLastSave="0" documentId="13_ncr:1_{633430E4-E412-4447-A858-0F73BAD2F776}" xr6:coauthVersionLast="36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IncAcum" sheetId="6" r:id="rId1"/>
    <sheet name="Gr1a Mort 3x3, nnt" sheetId="18" r:id="rId2"/>
    <sheet name="Gr1b Mort 3x3, %" sheetId="15" r:id="rId3"/>
    <sheet name="Gr2 MortCV 3x3" sheetId="12" r:id="rId4"/>
    <sheet name="Gr3 InsCar 3x3" sheetId="1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5" l="1"/>
  <c r="E5" i="15"/>
  <c r="C24" i="18"/>
  <c r="D13" i="18"/>
  <c r="C13" i="18"/>
  <c r="B5" i="18"/>
  <c r="D10" i="18" s="1"/>
  <c r="A1" i="18"/>
  <c r="D7" i="18" l="1"/>
  <c r="E2" i="18"/>
  <c r="F14" i="18" s="1"/>
  <c r="D8" i="18"/>
  <c r="D11" i="18" s="1"/>
  <c r="C8" i="18"/>
  <c r="C9" i="18"/>
  <c r="C14" i="18" s="1"/>
  <c r="D14" i="18"/>
  <c r="D24" i="18"/>
  <c r="C7" i="18"/>
  <c r="C11" i="18" l="1"/>
  <c r="D25" i="18"/>
  <c r="B25" i="18"/>
  <c r="C25" i="18"/>
  <c r="E6" i="15" l="1"/>
  <c r="C25" i="15"/>
  <c r="B67" i="15"/>
  <c r="D67" i="15" s="1"/>
  <c r="B63" i="15"/>
  <c r="D63" i="15" s="1"/>
  <c r="D59" i="15"/>
  <c r="C55" i="15"/>
  <c r="D55" i="15" s="1"/>
  <c r="A1" i="15"/>
  <c r="D25" i="15" l="1"/>
  <c r="D26" i="15" l="1"/>
  <c r="B26" i="15"/>
  <c r="C26" i="15"/>
  <c r="C24" i="13" l="1"/>
  <c r="D13" i="13"/>
  <c r="C13" i="13"/>
  <c r="D10" i="13"/>
  <c r="B5" i="13"/>
  <c r="E2" i="13"/>
  <c r="A1" i="13"/>
  <c r="D7" i="13" s="1"/>
  <c r="F14" i="13" l="1"/>
  <c r="C8" i="13"/>
  <c r="C9" i="13"/>
  <c r="D24" i="13"/>
  <c r="D25" i="13" s="1"/>
  <c r="C14" i="13"/>
  <c r="D14" i="13"/>
  <c r="D8" i="13"/>
  <c r="D11" i="13" s="1"/>
  <c r="C7" i="13"/>
  <c r="B25" i="13" l="1"/>
  <c r="C11" i="13"/>
  <c r="C25" i="13"/>
  <c r="A1" i="12"/>
  <c r="C24" i="12"/>
  <c r="D24" i="12" s="1"/>
  <c r="D25" i="12" s="1"/>
  <c r="D13" i="12"/>
  <c r="C13" i="12"/>
  <c r="B5" i="12"/>
  <c r="D10" i="12" s="1"/>
  <c r="G8" i="6"/>
  <c r="I8" i="6" s="1"/>
  <c r="O8" i="6" s="1"/>
  <c r="G7" i="6"/>
  <c r="I7" i="6" s="1"/>
  <c r="D14" i="12" l="1"/>
  <c r="C8" i="12"/>
  <c r="C9" i="12"/>
  <c r="C14" i="12" s="1"/>
  <c r="E2" i="12"/>
  <c r="F14" i="12" s="1"/>
  <c r="D7" i="12"/>
  <c r="D8" i="12"/>
  <c r="D11" i="12" s="1"/>
  <c r="B25" i="12"/>
  <c r="C7" i="12"/>
  <c r="C25" i="12"/>
  <c r="O7" i="6"/>
  <c r="C11" i="12" l="1"/>
  <c r="B14" i="6"/>
  <c r="B21" i="6"/>
  <c r="B22" i="6"/>
  <c r="B53" i="6"/>
  <c r="S5" i="6" l="1"/>
  <c r="V62" i="6" l="1"/>
  <c r="P14" i="6"/>
  <c r="T14" i="6"/>
  <c r="O14" i="6"/>
  <c r="S14" i="6" l="1"/>
  <c r="R14" i="6"/>
  <c r="Q14" i="6" l="1"/>
  <c r="S7" i="6"/>
  <c r="V7" i="6" s="1"/>
  <c r="T62" i="6"/>
  <c r="S6" i="6"/>
  <c r="V6" i="6" s="1"/>
  <c r="S62" i="6"/>
  <c r="R62" i="6" l="1"/>
  <c r="U62" i="6" s="1"/>
  <c r="S8" i="6"/>
  <c r="V8" i="6" s="1"/>
  <c r="V9" i="6" s="1"/>
  <c r="D56" i="6"/>
  <c r="E41" i="6"/>
  <c r="E40" i="6"/>
  <c r="I23" i="6"/>
  <c r="I22" i="6"/>
  <c r="C22" i="6"/>
  <c r="I21" i="6"/>
  <c r="C21" i="6"/>
  <c r="G14" i="6"/>
  <c r="E54" i="6" s="1"/>
  <c r="D14" i="6"/>
  <c r="F9" i="6"/>
  <c r="I9" i="6" s="1"/>
  <c r="O9" i="6" s="1"/>
  <c r="D9" i="6"/>
  <c r="E8" i="6"/>
  <c r="G9" i="6" l="1"/>
  <c r="B23" i="6"/>
  <c r="C23" i="6"/>
  <c r="G23" i="6" s="1"/>
  <c r="S9" i="6"/>
  <c r="T8" i="6" s="1"/>
  <c r="E22" i="6"/>
  <c r="E42" i="6"/>
  <c r="N21" i="6"/>
  <c r="C41" i="6"/>
  <c r="C46" i="6" s="1"/>
  <c r="G21" i="6"/>
  <c r="G22" i="6"/>
  <c r="D22" i="6"/>
  <c r="J22" i="6" s="1"/>
  <c r="K56" i="6" s="1"/>
  <c r="E7" i="6"/>
  <c r="C56" i="6"/>
  <c r="K14" i="6"/>
  <c r="C40" i="6"/>
  <c r="T7" i="6" l="1"/>
  <c r="T6" i="6"/>
  <c r="F22" i="6"/>
  <c r="C42" i="6"/>
  <c r="E21" i="6"/>
  <c r="N23" i="6"/>
  <c r="D21" i="6"/>
  <c r="F21" i="6" s="1"/>
  <c r="E9" i="6"/>
  <c r="C14" i="6"/>
  <c r="F14" i="6" s="1"/>
  <c r="C45" i="6"/>
  <c r="L22" i="6" l="1"/>
  <c r="M56" i="6" s="1"/>
  <c r="I14" i="6"/>
  <c r="M14" i="6" s="1"/>
  <c r="K22" i="6"/>
  <c r="L56" i="6" s="1"/>
  <c r="E14" i="6"/>
  <c r="H14" i="6" s="1"/>
  <c r="E55" i="6" s="1"/>
  <c r="W21" i="6"/>
  <c r="J21" i="6"/>
  <c r="K55" i="6" s="1"/>
  <c r="J26" i="6"/>
  <c r="D41" i="6"/>
  <c r="D46" i="6" s="1"/>
  <c r="D40" i="6"/>
  <c r="L21" i="6"/>
  <c r="M55" i="6" s="1"/>
  <c r="K21" i="6"/>
  <c r="L55" i="6" s="1"/>
  <c r="N56" i="6" l="1"/>
  <c r="E56" i="6"/>
  <c r="D23" i="6"/>
  <c r="E23" i="6"/>
  <c r="L14" i="6"/>
  <c r="D42" i="6"/>
  <c r="D45" i="6"/>
  <c r="C48" i="6" s="1"/>
  <c r="K41" i="6"/>
  <c r="I40" i="6" s="1"/>
  <c r="F54" i="6"/>
  <c r="K26" i="6"/>
  <c r="L26" i="6"/>
  <c r="N22" i="6"/>
  <c r="N24" i="6" s="1"/>
  <c r="N25" i="6" s="1"/>
  <c r="N26" i="6" s="1"/>
  <c r="J27" i="6"/>
  <c r="J35" i="6" s="1"/>
  <c r="N55" i="6"/>
  <c r="F23" i="6" l="1"/>
  <c r="L23" i="6" s="1"/>
  <c r="M57" i="6" s="1"/>
  <c r="W22" i="6"/>
  <c r="W23" i="6" s="1"/>
  <c r="W24" i="6" s="1"/>
  <c r="W25" i="6" s="1"/>
  <c r="J23" i="6"/>
  <c r="K57" i="6" s="1"/>
  <c r="Q28" i="6"/>
  <c r="N31" i="6" s="1"/>
  <c r="N32" i="6" s="1"/>
  <c r="H56" i="6" s="1"/>
  <c r="H58" i="6" s="1"/>
  <c r="H62" i="6" s="1"/>
  <c r="J32" i="6"/>
  <c r="T3" i="6" s="1"/>
  <c r="F55" i="6"/>
  <c r="L27" i="6"/>
  <c r="K35" i="6" s="1"/>
  <c r="F56" i="6"/>
  <c r="K27" i="6"/>
  <c r="L35" i="6" s="1"/>
  <c r="G46" i="6"/>
  <c r="C49" i="6"/>
  <c r="J62" i="6" s="1"/>
  <c r="J34" i="6"/>
  <c r="J36" i="6"/>
  <c r="J31" i="6"/>
  <c r="U3" i="6" s="1"/>
  <c r="G54" i="6"/>
  <c r="J29" i="6"/>
  <c r="J37" i="6"/>
  <c r="J30" i="6"/>
  <c r="V3" i="6" s="1"/>
  <c r="L62" i="6" l="1"/>
  <c r="O62" i="6" s="1"/>
  <c r="M62" i="6"/>
  <c r="P62" i="6" s="1"/>
  <c r="N33" i="6"/>
  <c r="E58" i="6"/>
  <c r="E62" i="6" s="1"/>
  <c r="K23" i="6"/>
  <c r="L57" i="6" s="1"/>
  <c r="N57" i="6" s="1"/>
  <c r="S3" i="6"/>
  <c r="K32" i="6"/>
  <c r="G55" i="6"/>
  <c r="K36" i="6"/>
  <c r="L29" i="6"/>
  <c r="K34" i="6"/>
  <c r="L31" i="6"/>
  <c r="L30" i="6"/>
  <c r="K37" i="6"/>
  <c r="L36" i="6"/>
  <c r="K31" i="6"/>
  <c r="L34" i="6"/>
  <c r="K29" i="6"/>
  <c r="G56" i="6"/>
  <c r="K30" i="6"/>
  <c r="L37" i="6"/>
  <c r="L32" i="6"/>
  <c r="F61" i="6" l="1"/>
  <c r="D58" i="6"/>
  <c r="D62" i="6" s="1"/>
  <c r="C58" i="6"/>
  <c r="C62" i="6" s="1"/>
  <c r="E61" i="6"/>
  <c r="F58" i="6"/>
  <c r="F62" i="6" s="1"/>
  <c r="G61" i="6"/>
  <c r="G58" i="6"/>
  <c r="G62" i="6" s="1"/>
  <c r="E2" i="15" l="1"/>
  <c r="L2" i="15" s="1"/>
  <c r="D8" i="15"/>
  <c r="C13" i="15"/>
  <c r="D13" i="15"/>
  <c r="D10" i="15"/>
  <c r="C7" i="15"/>
  <c r="D70" i="15" l="1"/>
  <c r="D14" i="15"/>
  <c r="D11" i="15"/>
  <c r="F14" i="15"/>
  <c r="C8" i="15"/>
  <c r="D69" i="15" s="1"/>
  <c r="C9" i="15"/>
  <c r="C14" i="15" s="1"/>
  <c r="D6" i="15"/>
  <c r="D7" i="15"/>
  <c r="E10" i="15" l="1"/>
  <c r="B6" i="15"/>
  <c r="E8" i="15"/>
  <c r="C11" i="15"/>
</calcChain>
</file>

<file path=xl/sharedStrings.xml><?xml version="1.0" encoding="utf-8"?>
<sst xmlns="http://schemas.openxmlformats.org/spreadsheetml/2006/main" count="550" uniqueCount="362">
  <si>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</si>
  <si>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</si>
  <si>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</si>
  <si>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</si>
  <si>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</si>
  <si>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</si>
  <si>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</si>
  <si>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</si>
  <si>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</si>
  <si>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</si>
  <si>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</si>
  <si>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</si>
  <si>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</si>
  <si>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</si>
  <si>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</si>
  <si>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IC</t>
  </si>
  <si>
    <t>Enferman</t>
  </si>
  <si>
    <t>No enferman</t>
  </si>
  <si>
    <t>Con eventos</t>
  </si>
  <si>
    <t>Sin eventos</t>
  </si>
  <si>
    <t>Total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</si>
  <si>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</si>
  <si>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</si>
  <si>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</si>
  <si>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</si>
  <si>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</si>
  <si>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</si>
  <si>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</si>
  <si>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</si>
  <si>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</si>
  <si>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</si>
  <si>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</si>
  <si>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</si>
  <si>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</si>
  <si>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</si>
  <si>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</si>
  <si>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</si>
  <si>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</si>
  <si>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</si>
  <si>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</si>
  <si>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</si>
  <si>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</si>
  <si>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</si>
  <si>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</si>
  <si>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</si>
  <si>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</si>
  <si>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</si>
  <si>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</si>
  <si>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</si>
  <si>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</si>
  <si>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</si>
  <si>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</si>
  <si>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</si>
  <si>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</si>
  <si>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</si>
  <si>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</si>
  <si>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</si>
  <si>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</si>
  <si>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</si>
  <si>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</si>
  <si>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</si>
  <si>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</si>
  <si>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</si>
  <si>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</si>
  <si>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</si>
  <si>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</si>
  <si>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</si>
  <si>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</si>
  <si>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</si>
  <si>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</si>
  <si>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</si>
  <si>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</si>
  <si>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</si>
  <si>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</si>
  <si>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</si>
  <si>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</si>
  <si>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</si>
  <si>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</si>
  <si>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</si>
  <si>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</si>
  <si>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</si>
  <si>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</si>
  <si>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</si>
  <si>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</si>
  <si>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</si>
  <si>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</si>
  <si>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</si>
  <si>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</si>
  <si>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</si>
  <si>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</si>
  <si>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</si>
  <si>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</si>
  <si>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</si>
  <si>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</si>
  <si>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</si>
  <si>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</si>
  <si>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</si>
  <si>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</si>
  <si>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</si>
  <si>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</si>
  <si>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</si>
  <si>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</si>
  <si>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</si>
  <si>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</si>
  <si>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</si>
  <si>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</si>
  <si>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</si>
  <si>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</si>
  <si>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</si>
  <si>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</si>
  <si>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</si>
  <si>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</si>
  <si>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</si>
  <si>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</si>
  <si>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</si>
  <si>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</si>
  <si>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</si>
  <si>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</si>
  <si>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</si>
  <si>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</si>
  <si>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</si>
  <si>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</si>
  <si>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</si>
  <si>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</si>
  <si>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</si>
  <si>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t>RA interv</t>
  </si>
  <si>
    <t>RA contr</t>
  </si>
  <si>
    <t>destinos NNT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</si>
  <si>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</si>
  <si>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</si>
  <si>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</si>
  <si>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</si>
  <si>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</si>
  <si>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</si>
  <si>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</si>
  <si>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</si>
  <si>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</si>
  <si>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</si>
  <si>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</si>
  <si>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</si>
  <si>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% Interv (Fact Box)</t>
  </si>
  <si>
    <t>Mortalidad CV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</si>
  <si>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</si>
  <si>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</si>
  <si>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</si>
  <si>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</si>
  <si>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Hospitalización por Insuf Cardiaca</t>
  </si>
  <si>
    <t>meses</t>
  </si>
  <si>
    <r>
      <rPr>
        <b/>
        <sz val="10"/>
        <color indexed="12"/>
        <rFont val="Calibri"/>
        <family val="2"/>
      </rPr>
      <t>(*)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</si>
  <si>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Mortalidad cualquier causa</t>
  </si>
  <si>
    <t>Medidas del efecto obtenidas por incidencias acumuladas</t>
  </si>
  <si>
    <t>RAR (IC 95%)</t>
  </si>
  <si>
    <t>nº años</t>
  </si>
  <si>
    <t>nº meses</t>
  </si>
  <si>
    <t>ECA EMPAREG, media de seguimiento 33,4 meses (2,78 años)</t>
  </si>
  <si>
    <t>Tto estándar + Placebo, n= 2333</t>
  </si>
  <si>
    <t>490/4687 (10,45%)</t>
  </si>
  <si>
    <t>282/2333 (12,09%)</t>
  </si>
  <si>
    <t>0,86 (0,75-0,99)</t>
  </si>
  <si>
    <t>1,63% (0,01% a 3,19%)</t>
  </si>
  <si>
    <t>61 (31 a 9261)</t>
  </si>
  <si>
    <t>53,99%</t>
  </si>
  <si>
    <t>599/4687 (12,78%)</t>
  </si>
  <si>
    <t>333/2333 (14,27%)</t>
  </si>
  <si>
    <t>0,9 (0,79-1,01)</t>
  </si>
  <si>
    <t>1,49% (-0,25% a 3,17%)</t>
  </si>
  <si>
    <t>67 (32 a -399)</t>
  </si>
  <si>
    <t>41,18%</t>
  </si>
  <si>
    <t>269/4687 (5,74%)</t>
  </si>
  <si>
    <t>194/2333 (8,32%)</t>
  </si>
  <si>
    <t>0,69 (0,58-0,82)</t>
  </si>
  <si>
    <t>2,58% (1,23% a 3,84%)</t>
  </si>
  <si>
    <t>39 (26 a 81)</t>
  </si>
  <si>
    <t>Mortalidad por cualquier causa</t>
  </si>
  <si>
    <t>20150917-ECA EMPA-REG 2,9y, tto PS+DM2+[empa vs plac], -Mort yCV. Zinman</t>
  </si>
  <si>
    <t xml:space="preserve">Zinman B, Wanner C, Lachin JM, Fitchett D, Bluhmki E, Hantel S, Mattheus M, Devins T, Johansen OE, Woerle HJ, Broedl UC, Inzucchi SE; EMPA-REG OUTCOME Investigators. Empagliflozin, Cardiovascular Outcomes, and Mortality in Type 2 Diabetes.. N Engl J Med. 2015 Nov 26;373(22):2117-28. </t>
  </si>
  <si>
    <t>172/4687 (3,67%)</t>
  </si>
  <si>
    <t>137/2333 (5,87%)</t>
  </si>
  <si>
    <t>0,62 (0,5-0,78)</t>
  </si>
  <si>
    <t>2,2% (1,06% a 3,26%)</t>
  </si>
  <si>
    <t>45 (31 a 94)</t>
  </si>
  <si>
    <t>126/4687 (2,69%)</t>
  </si>
  <si>
    <t>95/2333 (4,07%)</t>
  </si>
  <si>
    <t>0,66 (0,51-0,86)</t>
  </si>
  <si>
    <t>1,38% (0,41% a 2,27%)</t>
  </si>
  <si>
    <t>72 (44 a 246)</t>
  </si>
  <si>
    <t>Hospitalización por Insuficiencia cardíaca</t>
  </si>
  <si>
    <t>213/4687 (4,54%)</t>
  </si>
  <si>
    <t>121/2333 (5,19%)</t>
  </si>
  <si>
    <t>223/4687 (4,76%)</t>
  </si>
  <si>
    <t>126/2333 (5,4%)</t>
  </si>
  <si>
    <t>IAM silente</t>
  </si>
  <si>
    <t>133/4687 (2,84%)</t>
  </si>
  <si>
    <t>66/2333 (2,83%)</t>
  </si>
  <si>
    <t>186/2333 (7,97%)</t>
  </si>
  <si>
    <t>164/4687 (3,5%)</t>
  </si>
  <si>
    <t>69/2333 (2,96%)</t>
  </si>
  <si>
    <t>150/4687 (3,2%)</t>
  </si>
  <si>
    <t>60/2333 (2,57%)</t>
  </si>
  <si>
    <t>39/4687 (0,83%)</t>
  </si>
  <si>
    <t>23/2333 (0,99%)</t>
  </si>
  <si>
    <t>0,88 (0,7-1,09)</t>
  </si>
  <si>
    <t>0,64% (-0,48% a 1,69%)</t>
  </si>
  <si>
    <t>156 (59 a -207)</t>
  </si>
  <si>
    <t>0,88 (0,71-1,09)</t>
  </si>
  <si>
    <t>0,64% (-0,5% a 1,71%)</t>
  </si>
  <si>
    <t>156 (59 a -199)</t>
  </si>
  <si>
    <t>21,4%</t>
  </si>
  <si>
    <t>38/4687 (0,81%)</t>
  </si>
  <si>
    <t>15/2333 (0,64%)</t>
  </si>
  <si>
    <t>1,26 (0,7-2,29)</t>
  </si>
  <si>
    <t>-0,17% (-0,64% a 0,22%)</t>
  </si>
  <si>
    <t>-596 (445 a -157)</t>
  </si>
  <si>
    <t>11,61%</t>
  </si>
  <si>
    <t>Hospitalización por angina inestable</t>
  </si>
  <si>
    <t>1 (0,75-1,34)</t>
  </si>
  <si>
    <t>-0,01% (-0,88% a 0,78%)</t>
  </si>
  <si>
    <t>-11547 (128 a -114)</t>
  </si>
  <si>
    <t>328/4687 (7%)</t>
  </si>
  <si>
    <t>0,88 (0,74-1,04)</t>
  </si>
  <si>
    <t>0,97% (-0,39% a 2,26%)</t>
  </si>
  <si>
    <t>103 (44 a -259)</t>
  </si>
  <si>
    <t>1,18 (0,9-1,56)</t>
  </si>
  <si>
    <t>-0,54% (-1,45% a 0,29%)</t>
  </si>
  <si>
    <t>-185 (341 a -69)</t>
  </si>
  <si>
    <t>1,24 (0,93-1,67)</t>
  </si>
  <si>
    <t>-0,63% (-1,49% a 0,16%)</t>
  </si>
  <si>
    <t>-159 (633 a -67)</t>
  </si>
  <si>
    <t>0,84 (0,51-1,41)</t>
  </si>
  <si>
    <t>0,15% (-0,38% a 0,6%)</t>
  </si>
  <si>
    <t>650 (167 a -261)</t>
  </si>
  <si>
    <t>Hipoglucemias confirmadas totales</t>
  </si>
  <si>
    <t>Hipoglucemia confirmada que requiere asistencia</t>
  </si>
  <si>
    <t>Infección del tracto urinario en varones</t>
  </si>
  <si>
    <t>Infección del tracto urinario en mujeres</t>
  </si>
  <si>
    <t>Infección del tracto urinario complicada: pielonefritis, urosepsis</t>
  </si>
  <si>
    <t>Infección genital en varones</t>
  </si>
  <si>
    <t>Infección genital en mujeres</t>
  </si>
  <si>
    <t>Eventos que cursan con deplección de volumen</t>
  </si>
  <si>
    <t>Insuficiencia renal aguda</t>
  </si>
  <si>
    <t>Lesión renal aguda</t>
  </si>
  <si>
    <t>Cetoacidosis diabética</t>
  </si>
  <si>
    <t>Fractura ósea</t>
  </si>
  <si>
    <t>Eventos adversos serious (graves)</t>
  </si>
  <si>
    <t>1303/4687 (27,8%)</t>
  </si>
  <si>
    <t>650/2333 (27,86%)</t>
  </si>
  <si>
    <t>1 (0,92-1,08)</t>
  </si>
  <si>
    <t>0,06% (-2,18% a 2,27%)</t>
  </si>
  <si>
    <t>1644 (44 a -46)</t>
  </si>
  <si>
    <t>63/4687 (1,34%)</t>
  </si>
  <si>
    <t>36/2333 (1,54%)</t>
  </si>
  <si>
    <t>0,87 (0,58-1,31)</t>
  </si>
  <si>
    <t>0,2% (-0,46% a 0,76%)</t>
  </si>
  <si>
    <t>503 (131 a -220)</t>
  </si>
  <si>
    <t>166/4687 (3,54%)</t>
  </si>
  <si>
    <t>25/2333 (1,07%)</t>
  </si>
  <si>
    <t>3,31 (2,18-5,02)</t>
  </si>
  <si>
    <t>-2,47% (-3,18% a -1,81%)</t>
  </si>
  <si>
    <t>-40 (-55 a -31)</t>
  </si>
  <si>
    <t>135/4687 (2,88%)</t>
  </si>
  <si>
    <t>17/2333 (0,73%)</t>
  </si>
  <si>
    <t>3,95 (2,39-6,53)</t>
  </si>
  <si>
    <t>-2,15% (-2,77% a -1,57%)</t>
  </si>
  <si>
    <t>-46 (-64 a -36)</t>
  </si>
  <si>
    <t>82/4687 (1,75%)</t>
  </si>
  <si>
    <t>41/2333 (1,76%)</t>
  </si>
  <si>
    <t>1 (0,69-1,44)</t>
  </si>
  <si>
    <t>0,01% (-0,7% a 0,63%)</t>
  </si>
  <si>
    <t>12700 (159 a -144)</t>
  </si>
  <si>
    <t>350/4687 (7,47%)</t>
  </si>
  <si>
    <t>158/2333 (6,77%)</t>
  </si>
  <si>
    <t>1,1 (0,92-1,32)</t>
  </si>
  <si>
    <t>-0,7% (-2% a 0,54%)</t>
  </si>
  <si>
    <t>-144 (185 a -50)</t>
  </si>
  <si>
    <t>492/4687 (10,5%)</t>
  </si>
  <si>
    <t>265/2333 (11,36%)</t>
  </si>
  <si>
    <t>0,92 (0,8-1,06)</t>
  </si>
  <si>
    <t>0,86% (-0,73% a 2,39%)</t>
  </si>
  <si>
    <t>116 (42 a -137)</t>
  </si>
  <si>
    <t>239/4687 (5,1%)</t>
  </si>
  <si>
    <t>115/2333 (4,93%)</t>
  </si>
  <si>
    <t>1,03 (0,83-1,28)</t>
  </si>
  <si>
    <t>-0,17% (-1,29% a 0,88%)</t>
  </si>
  <si>
    <t>-588 (114 a -77)</t>
  </si>
  <si>
    <t>246/4687 (5,25%)</t>
  </si>
  <si>
    <t>155/2333 (6,64%)</t>
  </si>
  <si>
    <t>0,79 (0,65-0,96)</t>
  </si>
  <si>
    <t>1,4% (0,16% a 2,55%)</t>
  </si>
  <si>
    <t>72 (39 a 643)</t>
  </si>
  <si>
    <t>45/4687 (0,96%)</t>
  </si>
  <si>
    <t>37/2333 (1,59%)</t>
  </si>
  <si>
    <t>0,61 (0,39-0,93)</t>
  </si>
  <si>
    <t>0,63% (-0,01% a 1,17%)</t>
  </si>
  <si>
    <t>160 (86 a -7177)</t>
  </si>
  <si>
    <t>4/4687 (0,09%)</t>
  </si>
  <si>
    <t>1/2333 (0,04%)</t>
  </si>
  <si>
    <t>1,99 (0,22-17,8)</t>
  </si>
  <si>
    <t>-0,04% (-0,25% a 0,1%)</t>
  </si>
  <si>
    <t>-2354 (1042 a -402)</t>
  </si>
  <si>
    <t>Eventos troemboembólicos</t>
  </si>
  <si>
    <t>30/4687 (0,64%)</t>
  </si>
  <si>
    <t>20/2333 (0,86%)</t>
  </si>
  <si>
    <t>0,75 (0,42-1,31)</t>
  </si>
  <si>
    <t>0,22% (-0,28% a 0,62%)</t>
  </si>
  <si>
    <t>460 (160 a -352)</t>
  </si>
  <si>
    <t>179/4687 (3,82%)</t>
  </si>
  <si>
    <t>91/2333 (3,9%)</t>
  </si>
  <si>
    <t>0,98 (0,76-1,25)</t>
  </si>
  <si>
    <t>0,08% (-0,92% a 1,01%)</t>
  </si>
  <si>
    <t>1227 (99 a -108)</t>
  </si>
  <si>
    <t>1789/4687 (38,17%)</t>
  </si>
  <si>
    <t>988/2333 (42,35%)</t>
  </si>
  <si>
    <t>0,9 (0,85-0,96)</t>
  </si>
  <si>
    <t>4,18% (1,74% a 6,61%)</t>
  </si>
  <si>
    <t>24 (15 a 58)</t>
  </si>
  <si>
    <t>IAM no fatal (excluido silente)</t>
  </si>
  <si>
    <t>IAM fatal y no fatal (excluido silente)</t>
  </si>
  <si>
    <t>Revascularización coronaria</t>
  </si>
  <si>
    <t>Ataque Isquémico Transitorio</t>
  </si>
  <si>
    <r>
      <rPr>
        <b/>
        <sz val="12"/>
        <color indexed="60"/>
        <rFont val="Calibri"/>
        <family val="2"/>
      </rPr>
      <t xml:space="preserve">Tabla nnt-1: </t>
    </r>
    <r>
      <rPr>
        <b/>
        <sz val="12"/>
        <rFont val="Calibri"/>
        <family val="2"/>
      </rPr>
      <t>Pacientes de 63 años (DE 8,7) con diabetes mellitus tipo 2 y enfermedad cardiovascular establecida.</t>
    </r>
  </si>
  <si>
    <t>NNT (IC 95%) en 33 meses</t>
  </si>
  <si>
    <r>
      <t>Nº de pacientes con evento en</t>
    </r>
    <r>
      <rPr>
        <b/>
        <sz val="10"/>
        <rFont val="Calibri"/>
        <family val="2"/>
      </rPr>
      <t xml:space="preserve"> 33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</si>
  <si>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rPr>
        <b/>
        <sz val="11"/>
        <color rgb="FF993300"/>
        <rFont val="Calibri"/>
        <family val="2"/>
        <scheme val="minor"/>
      </rPr>
      <t>Tabla nnt-2:</t>
    </r>
    <r>
      <rPr>
        <b/>
        <sz val="11"/>
        <rFont val="Calibri"/>
        <family val="2"/>
        <scheme val="minor"/>
      </rPr>
      <t xml:space="preserve"> EFECTOS ADVERSOS ACUMULADOS MÁS RELEVANTES REGISTRADOS POR LOS INVESTIGADORES.</t>
    </r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</si>
  <si>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</si>
  <si>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Ictus fatal y no fatal</t>
  </si>
  <si>
    <t>Ictus no fatal</t>
  </si>
  <si>
    <t>[Mort CV, IAM ó Ictus]</t>
  </si>
  <si>
    <t>[Mort CV, IAM, Ictus ó Angina inestable]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</si>
  <si>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CV: </t>
    </r>
    <r>
      <rPr>
        <sz val="10"/>
        <rFont val="Calibri"/>
        <family val="2"/>
      </rPr>
      <t xml:space="preserve">cardiovascular; </t>
    </r>
    <r>
      <rPr>
        <b/>
        <sz val="10"/>
        <rFont val="Calibri"/>
        <family val="2"/>
      </rPr>
      <t>EA:</t>
    </r>
    <r>
      <rPr>
        <sz val="10"/>
        <rFont val="Calibri"/>
        <family val="2"/>
      </rPr>
      <t xml:space="preserve"> efectos adversos; </t>
    </r>
    <r>
      <rPr>
        <b/>
        <sz val="10"/>
        <rFont val="Calibri"/>
        <family val="2"/>
      </rPr>
      <t xml:space="preserve">IAM: </t>
    </r>
    <r>
      <rPr>
        <sz val="10"/>
        <rFont val="Calibri"/>
        <family val="2"/>
      </rPr>
      <t xml:space="preserve">infarto agudo demiocardio; </t>
    </r>
    <r>
      <rPr>
        <b/>
        <sz val="10"/>
        <rFont val="Calibri"/>
        <family val="2"/>
      </rPr>
      <t>IC 95%:</t>
    </r>
    <r>
      <rPr>
        <sz val="10"/>
        <rFont val="Calibri"/>
        <family val="2"/>
      </rPr>
      <t xml:space="preserve"> intervalo de confianza al 95%; </t>
    </r>
    <r>
      <rPr>
        <b/>
        <sz val="10"/>
        <rFont val="Calibri"/>
        <family val="2"/>
      </rPr>
      <t>Hosp:</t>
    </r>
    <r>
      <rPr>
        <sz val="10"/>
        <rFont val="Calibri"/>
        <family val="2"/>
      </rPr>
      <t xml:space="preserve"> hospitalización; </t>
    </r>
    <r>
      <rPr>
        <b/>
        <sz val="10"/>
        <rFont val="Calibri"/>
        <family val="2"/>
      </rPr>
      <t xml:space="preserve">Insuf: </t>
    </r>
    <r>
      <rPr>
        <sz val="10"/>
        <rFont val="Calibri"/>
        <family val="2"/>
      </rPr>
      <t xml:space="preserve">insuficiencia;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con la intervención para evitar 1 evento más que con el control; </t>
    </r>
    <r>
      <rPr>
        <b/>
        <sz val="10"/>
        <rFont val="Calibri"/>
        <family val="2"/>
      </rPr>
      <t>Mort:</t>
    </r>
    <r>
      <rPr>
        <sz val="10"/>
        <rFont val="Calibri"/>
        <family val="2"/>
      </rPr>
      <t xml:space="preserve"> mortalidad por cualquier causa; </t>
    </r>
    <r>
      <rPr>
        <b/>
        <sz val="10"/>
        <rFont val="Calibri"/>
        <family val="2"/>
      </rPr>
      <t>Mort  CV:</t>
    </r>
    <r>
      <rPr>
        <sz val="10"/>
        <rFont val="Calibri"/>
        <family val="2"/>
      </rPr>
      <t xml:space="preserve"> mortalidad por causa cardiovascular;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>RR:</t>
    </r>
    <r>
      <rPr>
        <sz val="10"/>
        <rFont val="Calibri"/>
        <family val="2"/>
      </rPr>
      <t xml:space="preserve"> riesgo relativo.</t>
    </r>
  </si>
  <si>
    <t>Mortalidad cardiovascular</t>
  </si>
  <si>
    <t>Los 3 destinos del NNT (3dNNT)</t>
  </si>
  <si>
    <t>Los 3 tiempos biográficos (3tB)</t>
  </si>
  <si>
    <t>Variables experienciales</t>
  </si>
  <si>
    <t>Variables no experienciales</t>
  </si>
  <si>
    <t>Meses ----&gt;</t>
  </si>
  <si>
    <t>%Ev/ año</t>
  </si>
  <si>
    <t>%Ev</t>
  </si>
  <si>
    <t>personas</t>
  </si>
  <si>
    <t>pers-mes</t>
  </si>
  <si>
    <t>Área cuadrado</t>
  </si>
  <si>
    <t>España, Promedio anual 1999-2019, Portal estadístico MSC</t>
  </si>
  <si>
    <t>Tramo etario</t>
  </si>
  <si>
    <t>%Mort</t>
  </si>
  <si>
    <t>en meses</t>
  </si>
  <si>
    <t>ABC triángulo</t>
  </si>
  <si>
    <t>65 a 75 años</t>
  </si>
  <si>
    <t>%Mort/ año</t>
  </si>
  <si>
    <t>Los 3 destinos de cada 100 (3d%)</t>
  </si>
  <si>
    <t>100 personas -------&gt;</t>
  </si>
  <si>
    <t>p &lt; 0,05</t>
  </si>
  <si>
    <t>Población España (1999-2019), tramo de edad 65 a 75 años</t>
  </si>
  <si>
    <t>En 33 meses por incidencias acumuladas</t>
  </si>
  <si>
    <t>ECA EMPAREG, media edad 63 años (DE 8,6), con EnfCV y DM2</t>
  </si>
  <si>
    <t>Los 3 destinos NNT</t>
  </si>
  <si>
    <t>&lt;------- meses</t>
  </si>
  <si>
    <t>Empagliflozina</t>
  </si>
  <si>
    <t>Tto estándar + Empagliflozina, n= 4687</t>
  </si>
  <si>
    <r>
      <rPr>
        <b/>
        <sz val="20"/>
        <color rgb="FF993300"/>
        <rFont val="Calibri"/>
        <family val="2"/>
        <scheme val="minor"/>
      </rPr>
      <t xml:space="preserve">Gráfico g-1: </t>
    </r>
    <r>
      <rPr>
        <b/>
        <sz val="20"/>
        <color theme="1"/>
        <rFont val="Calibri"/>
        <family val="2"/>
        <scheme val="minor"/>
      </rPr>
      <t>Cruce de "Los 3 tiempos biográficos (3Tb)" con "Los 3 destinos del NNT (3dNNT)" en "Mortalidad por cualquier causa", durante un segumiento de 33 meses.</t>
    </r>
  </si>
  <si>
    <t>Participantes -----&gt;</t>
  </si>
  <si>
    <r>
      <rPr>
        <b/>
        <sz val="16"/>
        <color rgb="FF993300"/>
        <rFont val="Calibri"/>
        <family val="2"/>
        <scheme val="minor"/>
      </rPr>
      <t>Gráfico g-1.b</t>
    </r>
    <r>
      <rPr>
        <b/>
        <sz val="16"/>
        <color theme="1"/>
        <rFont val="Calibri"/>
        <family val="2"/>
        <scheme val="minor"/>
      </rPr>
      <t>: Cruce de "Los 3 tiempos biográficos (3tB)" con "Los 3 destinos de cada 100 personas (3d%)" en "Mortalidad por cualquier causa", durante 33 meses</t>
    </r>
  </si>
  <si>
    <r>
      <rPr>
        <b/>
        <sz val="20"/>
        <color rgb="FF993300"/>
        <rFont val="Calibri"/>
        <family val="2"/>
        <scheme val="minor"/>
      </rPr>
      <t xml:space="preserve">Gráfico g-2: </t>
    </r>
    <r>
      <rPr>
        <b/>
        <sz val="20"/>
        <color theme="1"/>
        <rFont val="Calibri"/>
        <family val="2"/>
        <scheme val="minor"/>
      </rPr>
      <t>Cruce de "Los 3 tiempos biográficos (3tB)" con "Los 3 destinos del NNT (3dNNT)" en "Mortalidad cardiovascular", durante un seguimiento de 33 meses.</t>
    </r>
  </si>
  <si>
    <r>
      <rPr>
        <b/>
        <sz val="20"/>
        <color rgb="FF993300"/>
        <rFont val="Calibri"/>
        <family val="2"/>
        <scheme val="minor"/>
      </rPr>
      <t xml:space="preserve">Gráfico g-3: </t>
    </r>
    <r>
      <rPr>
        <b/>
        <sz val="20"/>
        <color theme="1"/>
        <rFont val="Calibri"/>
        <family val="2"/>
        <scheme val="minor"/>
      </rPr>
      <t>Cruce de "Los 3 tiempos biográficos (3tB)" con "Los 3 destinos del NNT (3dNNT)" en "Hospitalización por Insuficiencia Cardíaca", durante un seguimiento de 33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</si>
</sst>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\ _€_-;\-* #,##0\ _€_-;_-* &quot;-&quot;??\ _€_-;_-@_-"/>
    <numFmt numFmtId="168" formatCode="_-* #,##0.000\ _€_-;\-* #,##0.000\ _€_-;_-* &quot;-&quot;??\ _€_-;_-@_-"/>
    <numFmt numFmtId="169" formatCode="#,##0.00_ ;\-#,##0.00\ 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0.000"/>
    <numFmt numFmtId="176" formatCode="_-* #,##0.000\ _€_-;\-* #,##0.000\ _€_-;_-* &quot;-&quot;???\ _€_-;_-@_-"/>
    <numFmt numFmtId="177" formatCode="0.0000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11"/>
      <color rgb="FF00800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indexed="12"/>
      <name val="Calibri"/>
      <family val="2"/>
    </font>
    <font>
      <b/>
      <u/>
      <sz val="14"/>
      <color rgb="FFC00000"/>
      <name val="Calibri"/>
      <family val="2"/>
      <scheme val="minor"/>
    </font>
    <font>
      <u/>
      <sz val="10"/>
      <name val="Calibri"/>
      <family val="2"/>
    </font>
    <font>
      <b/>
      <sz val="11"/>
      <color rgb="FF993300"/>
      <name val="Calibri"/>
      <family val="2"/>
      <scheme val="minor"/>
    </font>
    <font>
      <sz val="1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993300"/>
      <name val="Calibri"/>
      <family val="2"/>
      <scheme val="minor"/>
    </font>
    <font>
      <i/>
      <sz val="10"/>
      <color rgb="FF009900"/>
      <name val="Calibri"/>
      <family val="2"/>
    </font>
    <font>
      <sz val="6"/>
      <color theme="0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9"/>
      <color theme="2" tint="-9.9978637043366805E-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993300"/>
      <name val="Calibri"/>
      <family val="2"/>
      <scheme val="minor"/>
    </font>
    <font>
      <sz val="10"/>
      <color indexed="63"/>
      <name val="Calibri"/>
      <family val="2"/>
      <scheme val="minor"/>
    </font>
    <font>
      <u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3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6" fillId="0" borderId="0" xfId="0" applyNumberFormat="1" applyFont="1"/>
    <xf numFmtId="166" fontId="7" fillId="0" borderId="0" xfId="2" applyNumberFormat="1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166" fontId="9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/>
    <xf numFmtId="166" fontId="11" fillId="0" borderId="0" xfId="2" applyNumberFormat="1" applyFont="1" applyAlignment="1">
      <alignment horizontal="center"/>
    </xf>
    <xf numFmtId="3" fontId="3" fillId="0" borderId="7" xfId="0" applyNumberFormat="1" applyFont="1" applyBorder="1"/>
    <xf numFmtId="1" fontId="10" fillId="0" borderId="0" xfId="0" applyNumberFormat="1" applyFont="1"/>
    <xf numFmtId="0" fontId="14" fillId="0" borderId="0" xfId="0" applyFont="1" applyAlignment="1">
      <alignment vertical="center"/>
    </xf>
    <xf numFmtId="0" fontId="0" fillId="0" borderId="0" xfId="0" applyBorder="1"/>
    <xf numFmtId="166" fontId="14" fillId="0" borderId="0" xfId="2" applyNumberFormat="1" applyFont="1" applyAlignment="1">
      <alignment horizontal="left" vertical="center"/>
    </xf>
    <xf numFmtId="0" fontId="14" fillId="0" borderId="0" xfId="0" applyFont="1"/>
    <xf numFmtId="49" fontId="14" fillId="0" borderId="0" xfId="0" applyNumberFormat="1" applyFont="1"/>
    <xf numFmtId="1" fontId="14" fillId="3" borderId="0" xfId="0" applyNumberFormat="1" applyFont="1" applyFill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wrapText="1"/>
    </xf>
    <xf numFmtId="2" fontId="6" fillId="2" borderId="7" xfId="0" applyNumberFormat="1" applyFont="1" applyFill="1" applyBorder="1" applyAlignment="1">
      <alignment vertical="center"/>
    </xf>
    <xf numFmtId="166" fontId="7" fillId="0" borderId="0" xfId="2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 wrapText="1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right" wrapText="1"/>
    </xf>
    <xf numFmtId="2" fontId="10" fillId="2" borderId="7" xfId="0" applyNumberFormat="1" applyFont="1" applyFill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166" fontId="11" fillId="0" borderId="0" xfId="2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vertical="center"/>
    </xf>
    <xf numFmtId="1" fontId="17" fillId="0" borderId="7" xfId="0" applyNumberFormat="1" applyFont="1" applyBorder="1" applyAlignment="1">
      <alignment horizontal="right" vertical="center"/>
    </xf>
    <xf numFmtId="9" fontId="14" fillId="0" borderId="0" xfId="0" applyNumberFormat="1" applyFont="1"/>
    <xf numFmtId="0" fontId="14" fillId="0" borderId="0" xfId="0" applyFont="1" applyAlignment="1">
      <alignment horizontal="left" vertical="top"/>
    </xf>
    <xf numFmtId="164" fontId="10" fillId="3" borderId="7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Fill="1" applyBorder="1"/>
    <xf numFmtId="0" fontId="0" fillId="5" borderId="7" xfId="0" applyFill="1" applyBorder="1"/>
    <xf numFmtId="0" fontId="19" fillId="0" borderId="0" xfId="0" applyFont="1" applyAlignment="1">
      <alignment horizontal="center" vertical="center"/>
    </xf>
    <xf numFmtId="0" fontId="0" fillId="0" borderId="0" xfId="0" applyFill="1"/>
    <xf numFmtId="0" fontId="12" fillId="0" borderId="0" xfId="0" applyFont="1" applyBorder="1" applyAlignment="1">
      <alignment horizontal="center" vertical="center"/>
    </xf>
    <xf numFmtId="167" fontId="3" fillId="0" borderId="0" xfId="1" applyNumberFormat="1" applyFont="1" applyFill="1" applyBorder="1" applyAlignment="1"/>
    <xf numFmtId="167" fontId="20" fillId="0" borderId="0" xfId="1" applyNumberFormat="1" applyFont="1" applyFill="1" applyBorder="1" applyAlignment="1"/>
    <xf numFmtId="167" fontId="21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2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24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7" fillId="0" borderId="0" xfId="0" applyFont="1"/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43" fontId="2" fillId="0" borderId="0" xfId="0" applyNumberFormat="1" applyFont="1"/>
    <xf numFmtId="43" fontId="28" fillId="0" borderId="0" xfId="1" applyFont="1" applyFill="1" applyBorder="1" applyAlignment="1">
      <alignment horizontal="center"/>
    </xf>
    <xf numFmtId="43" fontId="2" fillId="0" borderId="0" xfId="1" applyFont="1" applyFill="1"/>
    <xf numFmtId="0" fontId="29" fillId="0" borderId="0" xfId="0" applyFont="1" applyFill="1"/>
    <xf numFmtId="16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center" vertical="center" wrapText="1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/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center" vertical="center" wrapText="1"/>
    </xf>
    <xf numFmtId="43" fontId="3" fillId="0" borderId="15" xfId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69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6" fontId="3" fillId="0" borderId="7" xfId="2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31" fillId="0" borderId="0" xfId="1" applyFont="1" applyFill="1" applyBorder="1"/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43" fontId="31" fillId="0" borderId="0" xfId="1" applyFont="1" applyFill="1" applyAlignment="1">
      <alignment horizontal="right"/>
    </xf>
    <xf numFmtId="0" fontId="31" fillId="0" borderId="0" xfId="0" applyFont="1" applyFill="1" applyBorder="1"/>
    <xf numFmtId="43" fontId="2" fillId="0" borderId="0" xfId="0" applyNumberFormat="1" applyFont="1" applyFill="1"/>
    <xf numFmtId="170" fontId="2" fillId="0" borderId="0" xfId="0" applyNumberFormat="1" applyFont="1" applyFill="1" applyBorder="1" applyAlignment="1">
      <alignment horizontal="center" vertical="center" wrapText="1"/>
    </xf>
    <xf numFmtId="171" fontId="2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3" fontId="2" fillId="0" borderId="0" xfId="1" applyFont="1" applyBorder="1" applyAlignment="1">
      <alignment horizontal="center"/>
    </xf>
    <xf numFmtId="173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3" fillId="0" borderId="0" xfId="2" applyNumberFormat="1" applyFont="1" applyFill="1" applyBorder="1" applyAlignment="1"/>
    <xf numFmtId="173" fontId="2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32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3" fontId="35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3" fontId="2" fillId="0" borderId="2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67" fontId="3" fillId="0" borderId="7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0" fontId="3" fillId="0" borderId="7" xfId="2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3" fillId="8" borderId="7" xfId="2" applyNumberFormat="1" applyFont="1" applyFill="1" applyBorder="1" applyAlignment="1"/>
    <xf numFmtId="1" fontId="2" fillId="0" borderId="23" xfId="0" applyNumberFormat="1" applyFont="1" applyFill="1" applyBorder="1" applyAlignment="1">
      <alignment horizontal="center" vertical="center" wrapText="1"/>
    </xf>
    <xf numFmtId="43" fontId="3" fillId="0" borderId="22" xfId="1" applyFont="1" applyFill="1" applyBorder="1" applyAlignment="1"/>
    <xf numFmtId="10" fontId="2" fillId="0" borderId="23" xfId="2" applyNumberFormat="1" applyFont="1" applyFill="1" applyBorder="1"/>
    <xf numFmtId="0" fontId="2" fillId="0" borderId="22" xfId="0" applyFont="1" applyBorder="1"/>
    <xf numFmtId="2" fontId="2" fillId="0" borderId="23" xfId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174" fontId="2" fillId="0" borderId="23" xfId="0" applyNumberFormat="1" applyFont="1" applyBorder="1"/>
    <xf numFmtId="166" fontId="2" fillId="0" borderId="23" xfId="2" applyNumberFormat="1" applyFont="1" applyFill="1" applyBorder="1" applyAlignment="1">
      <alignment horizontal="center" vertical="center" wrapText="1"/>
    </xf>
    <xf numFmtId="168" fontId="3" fillId="0" borderId="23" xfId="1" applyNumberFormat="1" applyFont="1" applyFill="1" applyBorder="1"/>
    <xf numFmtId="0" fontId="3" fillId="0" borderId="0" xfId="0" applyFont="1" applyAlignment="1">
      <alignment horizontal="left"/>
    </xf>
    <xf numFmtId="165" fontId="2" fillId="0" borderId="0" xfId="0" applyNumberFormat="1" applyFont="1" applyFill="1" applyBorder="1"/>
    <xf numFmtId="175" fontId="2" fillId="0" borderId="23" xfId="0" applyNumberFormat="1" applyFont="1" applyFill="1" applyBorder="1" applyAlignment="1">
      <alignment horizontal="center" vertical="center" wrapText="1"/>
    </xf>
    <xf numFmtId="170" fontId="2" fillId="9" borderId="23" xfId="1" applyNumberFormat="1" applyFont="1" applyFill="1" applyBorder="1"/>
    <xf numFmtId="0" fontId="3" fillId="0" borderId="0" xfId="0" applyFont="1" applyBorder="1"/>
    <xf numFmtId="166" fontId="2" fillId="0" borderId="0" xfId="2" applyNumberFormat="1" applyFont="1" applyAlignment="1">
      <alignment horizontal="center" vertical="center" wrapText="1"/>
    </xf>
    <xf numFmtId="10" fontId="2" fillId="3" borderId="23" xfId="2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/>
    <xf numFmtId="10" fontId="39" fillId="0" borderId="23" xfId="0" applyNumberFormat="1" applyFont="1" applyBorder="1"/>
    <xf numFmtId="0" fontId="40" fillId="0" borderId="0" xfId="0" applyFont="1" applyBorder="1"/>
    <xf numFmtId="49" fontId="4" fillId="0" borderId="0" xfId="0" applyNumberFormat="1" applyFont="1"/>
    <xf numFmtId="10" fontId="2" fillId="9" borderId="7" xfId="2" applyNumberFormat="1" applyFont="1" applyFill="1" applyBorder="1" applyAlignment="1">
      <alignment horizontal="center"/>
    </xf>
    <xf numFmtId="10" fontId="2" fillId="10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0" borderId="4" xfId="2" applyNumberFormat="1" applyFont="1" applyBorder="1" applyAlignment="1">
      <alignment horizontal="center" vertical="center" wrapText="1"/>
    </xf>
    <xf numFmtId="0" fontId="40" fillId="0" borderId="5" xfId="0" applyFont="1" applyBorder="1"/>
    <xf numFmtId="0" fontId="2" fillId="0" borderId="5" xfId="0" applyFont="1" applyBorder="1"/>
    <xf numFmtId="176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9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7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23" fillId="0" borderId="0" xfId="2" applyNumberFormat="1" applyFont="1" applyFill="1" applyBorder="1" applyAlignment="1">
      <alignment horizontal="right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/>
    </xf>
    <xf numFmtId="49" fontId="42" fillId="0" borderId="0" xfId="1" applyNumberFormat="1" applyFont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43" fontId="3" fillId="0" borderId="23" xfId="1" applyFont="1" applyFill="1" applyBorder="1" applyAlignment="1">
      <alignment horizontal="center" vertical="center" wrapText="1"/>
    </xf>
    <xf numFmtId="0" fontId="28" fillId="0" borderId="0" xfId="0" applyFont="1" applyFill="1" applyBorder="1"/>
    <xf numFmtId="43" fontId="2" fillId="0" borderId="0" xfId="1" applyFont="1" applyFill="1" applyBorder="1" applyAlignment="1"/>
    <xf numFmtId="10" fontId="23" fillId="0" borderId="0" xfId="2" applyNumberFormat="1" applyFont="1" applyFill="1" applyBorder="1" applyAlignment="1">
      <alignment horizontal="center"/>
    </xf>
    <xf numFmtId="0" fontId="41" fillId="12" borderId="0" xfId="0" applyFont="1" applyFill="1" applyBorder="1" applyAlignment="1">
      <alignment horizontal="center" vertical="center" wrapText="1"/>
    </xf>
    <xf numFmtId="0" fontId="41" fillId="12" borderId="0" xfId="0" applyFont="1" applyFill="1" applyBorder="1"/>
    <xf numFmtId="0" fontId="41" fillId="12" borderId="0" xfId="0" applyFont="1" applyFill="1" applyBorder="1" applyAlignment="1">
      <alignment horizontal="right"/>
    </xf>
    <xf numFmtId="1" fontId="41" fillId="12" borderId="0" xfId="0" applyNumberFormat="1" applyFont="1" applyFill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7" fontId="23" fillId="0" borderId="0" xfId="1" applyNumberFormat="1" applyFont="1" applyFill="1" applyBorder="1" applyAlignment="1">
      <alignment horizontal="center"/>
    </xf>
    <xf numFmtId="0" fontId="41" fillId="13" borderId="0" xfId="0" applyFont="1" applyFill="1" applyBorder="1" applyAlignment="1">
      <alignment horizontal="center" vertical="center" wrapText="1"/>
    </xf>
    <xf numFmtId="0" fontId="41" fillId="13" borderId="0" xfId="0" applyFont="1" applyFill="1" applyBorder="1"/>
    <xf numFmtId="0" fontId="41" fillId="13" borderId="0" xfId="0" applyFont="1" applyFill="1" applyBorder="1" applyAlignment="1">
      <alignment horizontal="right"/>
    </xf>
    <xf numFmtId="1" fontId="41" fillId="13" borderId="0" xfId="0" applyNumberFormat="1" applyFont="1" applyFill="1" applyBorder="1" applyAlignment="1">
      <alignment horizontal="center" vertical="distributed"/>
    </xf>
    <xf numFmtId="43" fontId="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43" fontId="2" fillId="0" borderId="0" xfId="0" applyNumberFormat="1" applyFont="1" applyFill="1" applyBorder="1"/>
    <xf numFmtId="167" fontId="41" fillId="14" borderId="0" xfId="0" applyNumberFormat="1" applyFont="1" applyFill="1" applyBorder="1" applyAlignment="1">
      <alignment horizontal="center" vertical="center" wrapText="1"/>
    </xf>
    <xf numFmtId="43" fontId="43" fillId="14" borderId="0" xfId="1" applyFont="1" applyFill="1" applyBorder="1"/>
    <xf numFmtId="43" fontId="41" fillId="14" borderId="0" xfId="1" applyFont="1" applyFill="1" applyBorder="1" applyAlignment="1">
      <alignment horizontal="right"/>
    </xf>
    <xf numFmtId="1" fontId="41" fillId="14" borderId="0" xfId="0" applyNumberFormat="1" applyFont="1" applyFill="1" applyBorder="1" applyAlignment="1">
      <alignment horizontal="center" vertical="distributed"/>
    </xf>
    <xf numFmtId="49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/>
    <xf numFmtId="1" fontId="41" fillId="0" borderId="0" xfId="0" applyNumberFormat="1" applyFont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3" fillId="0" borderId="5" xfId="1" applyFont="1" applyFill="1" applyBorder="1" applyAlignment="1"/>
    <xf numFmtId="0" fontId="41" fillId="0" borderId="0" xfId="0" applyFont="1" applyFill="1" applyBorder="1" applyAlignment="1">
      <alignment horizontal="right" vertical="center"/>
    </xf>
    <xf numFmtId="49" fontId="41" fillId="0" borderId="0" xfId="1" applyNumberFormat="1" applyFont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49" fontId="22" fillId="0" borderId="0" xfId="0" applyNumberFormat="1" applyFont="1"/>
    <xf numFmtId="0" fontId="41" fillId="11" borderId="0" xfId="0" applyFont="1" applyFill="1" applyBorder="1" applyAlignment="1">
      <alignment horizontal="center" vertical="center" wrapText="1"/>
    </xf>
    <xf numFmtId="0" fontId="41" fillId="11" borderId="0" xfId="0" applyFont="1" applyFill="1" applyBorder="1"/>
    <xf numFmtId="0" fontId="41" fillId="11" borderId="0" xfId="0" applyFont="1" applyFill="1" applyBorder="1" applyAlignment="1">
      <alignment horizontal="right"/>
    </xf>
    <xf numFmtId="1" fontId="41" fillId="11" borderId="0" xfId="0" applyNumberFormat="1" applyFont="1" applyFill="1" applyBorder="1" applyAlignment="1">
      <alignment horizontal="center" vertical="distributed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3" fontId="28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7" xfId="0" applyFont="1" applyBorder="1" applyAlignment="1">
      <alignment horizontal="left" vertical="center"/>
    </xf>
    <xf numFmtId="167" fontId="22" fillId="0" borderId="7" xfId="1" applyNumberFormat="1" applyFont="1" applyFill="1" applyBorder="1"/>
    <xf numFmtId="0" fontId="21" fillId="0" borderId="7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/>
    <xf numFmtId="0" fontId="31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7" fontId="24" fillId="0" borderId="7" xfId="1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center"/>
    </xf>
    <xf numFmtId="167" fontId="22" fillId="0" borderId="0" xfId="1" applyNumberFormat="1" applyFont="1" applyFill="1" applyBorder="1"/>
    <xf numFmtId="167" fontId="24" fillId="0" borderId="0" xfId="1" applyNumberFormat="1" applyFont="1" applyFill="1" applyBorder="1"/>
    <xf numFmtId="167" fontId="32" fillId="0" borderId="0" xfId="0" applyNumberFormat="1" applyFont="1" applyFill="1" applyBorder="1"/>
    <xf numFmtId="0" fontId="46" fillId="0" borderId="20" xfId="0" applyFont="1" applyBorder="1" applyAlignment="1">
      <alignment horizontal="left" vertical="center"/>
    </xf>
    <xf numFmtId="167" fontId="2" fillId="0" borderId="0" xfId="1" applyNumberFormat="1" applyFont="1" applyAlignment="1">
      <alignment horizontal="center" vertical="center" wrapText="1"/>
    </xf>
    <xf numFmtId="43" fontId="46" fillId="0" borderId="7" xfId="1" applyFont="1" applyBorder="1"/>
    <xf numFmtId="0" fontId="24" fillId="0" borderId="0" xfId="0" applyFont="1" applyAlignment="1">
      <alignment horizontal="right"/>
    </xf>
    <xf numFmtId="43" fontId="3" fillId="0" borderId="0" xfId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wrapText="1"/>
    </xf>
    <xf numFmtId="43" fontId="2" fillId="0" borderId="0" xfId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3" fillId="0" borderId="7" xfId="0" applyNumberFormat="1" applyFont="1" applyBorder="1"/>
    <xf numFmtId="4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8" fontId="3" fillId="3" borderId="7" xfId="1" applyNumberFormat="1" applyFont="1" applyFill="1" applyBorder="1"/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/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2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3" fillId="15" borderId="7" xfId="0" applyNumberFormat="1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2" fillId="0" borderId="0" xfId="0" applyNumberFormat="1" applyFont="1" applyAlignment="1">
      <alignment vertical="center"/>
    </xf>
    <xf numFmtId="175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/>
    <xf numFmtId="175" fontId="2" fillId="0" borderId="0" xfId="0" applyNumberFormat="1" applyFont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14" fillId="0" borderId="17" xfId="0" applyFont="1" applyBorder="1"/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0" fontId="14" fillId="0" borderId="2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164" fontId="15" fillId="2" borderId="25" xfId="0" applyNumberFormat="1" applyFont="1" applyFill="1" applyBorder="1" applyAlignment="1">
      <alignment horizontal="center" vertical="center"/>
    </xf>
    <xf numFmtId="2" fontId="41" fillId="14" borderId="0" xfId="0" applyNumberFormat="1" applyFont="1" applyFill="1" applyBorder="1" applyAlignment="1">
      <alignment horizontal="center" vertical="distributed"/>
    </xf>
    <xf numFmtId="164" fontId="41" fillId="12" borderId="0" xfId="0" applyNumberFormat="1" applyFont="1" applyFill="1" applyBorder="1" applyAlignment="1">
      <alignment horizontal="center" vertical="distributed"/>
    </xf>
    <xf numFmtId="0" fontId="26" fillId="1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48" fillId="0" borderId="7" xfId="0" applyNumberFormat="1" applyFont="1" applyFill="1" applyBorder="1" applyAlignment="1">
      <alignment horizontal="center" vertical="center" wrapText="1"/>
    </xf>
    <xf numFmtId="1" fontId="49" fillId="0" borderId="7" xfId="0" applyNumberFormat="1" applyFont="1" applyFill="1" applyBorder="1" applyAlignment="1">
      <alignment horizontal="center" vertical="center" wrapText="1"/>
    </xf>
    <xf numFmtId="1" fontId="50" fillId="0" borderId="7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right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45" fillId="4" borderId="7" xfId="0" applyFont="1" applyFill="1" applyBorder="1" applyAlignment="1">
      <alignment horizontal="left" vertical="center"/>
    </xf>
    <xf numFmtId="0" fontId="44" fillId="4" borderId="7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/>
    <xf numFmtId="0" fontId="18" fillId="0" borderId="0" xfId="0" applyFont="1" applyBorder="1" applyAlignment="1">
      <alignment horizontal="center" vertical="center"/>
    </xf>
    <xf numFmtId="0" fontId="0" fillId="6" borderId="7" xfId="0" applyFill="1" applyBorder="1"/>
    <xf numFmtId="0" fontId="47" fillId="2" borderId="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 wrapText="1"/>
    </xf>
    <xf numFmtId="175" fontId="2" fillId="4" borderId="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" fontId="62" fillId="4" borderId="7" xfId="0" applyNumberFormat="1" applyFont="1" applyFill="1" applyBorder="1" applyAlignment="1">
      <alignment horizontal="center" vertical="center"/>
    </xf>
    <xf numFmtId="1" fontId="63" fillId="4" borderId="7" xfId="0" applyNumberFormat="1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 wrapText="1"/>
    </xf>
    <xf numFmtId="0" fontId="0" fillId="18" borderId="7" xfId="0" applyFill="1" applyBorder="1"/>
    <xf numFmtId="164" fontId="10" fillId="2" borderId="26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6" fillId="0" borderId="32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26" fillId="0" borderId="29" xfId="0" applyFont="1" applyFill="1" applyBorder="1" applyAlignment="1">
      <alignment horizontal="center" vertical="center" wrapText="1"/>
    </xf>
    <xf numFmtId="1" fontId="52" fillId="4" borderId="7" xfId="0" applyNumberFormat="1" applyFont="1" applyFill="1" applyBorder="1" applyAlignment="1">
      <alignment horizontal="center" vertical="center"/>
    </xf>
    <xf numFmtId="1" fontId="51" fillId="4" borderId="7" xfId="0" applyNumberFormat="1" applyFont="1" applyFill="1" applyBorder="1" applyAlignment="1">
      <alignment horizontal="center" vertical="center"/>
    </xf>
    <xf numFmtId="1" fontId="61" fillId="4" borderId="7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68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2" fillId="0" borderId="0" xfId="0" applyNumberFormat="1" applyFont="1" applyFill="1" applyAlignment="1">
      <alignment horizontal="center"/>
    </xf>
    <xf numFmtId="0" fontId="0" fillId="5" borderId="7" xfId="0" applyFill="1" applyBorder="1" applyAlignment="1">
      <alignment horizontal="center"/>
    </xf>
    <xf numFmtId="176" fontId="2" fillId="0" borderId="0" xfId="0" applyNumberFormat="1" applyFont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10" fontId="44" fillId="4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9" fontId="2" fillId="4" borderId="0" xfId="0" applyNumberFormat="1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/>
    </xf>
    <xf numFmtId="1" fontId="62" fillId="4" borderId="0" xfId="0" applyNumberFormat="1" applyFont="1" applyFill="1" applyBorder="1" applyAlignment="1">
      <alignment horizontal="center" vertical="center"/>
    </xf>
    <xf numFmtId="1" fontId="63" fillId="4" borderId="0" xfId="0" applyNumberFormat="1" applyFont="1" applyFill="1" applyBorder="1" applyAlignment="1">
      <alignment horizontal="center" vertical="center"/>
    </xf>
    <xf numFmtId="0" fontId="73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2" fontId="69" fillId="4" borderId="0" xfId="0" applyNumberFormat="1" applyFont="1" applyFill="1" applyBorder="1" applyAlignment="1">
      <alignment horizontal="center" vertical="center"/>
    </xf>
    <xf numFmtId="2" fontId="70" fillId="4" borderId="0" xfId="0" applyNumberFormat="1" applyFont="1" applyFill="1" applyBorder="1" applyAlignment="1">
      <alignment horizontal="center" vertical="center"/>
    </xf>
    <xf numFmtId="2" fontId="63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47" fillId="0" borderId="7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9" fontId="2" fillId="4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6" fillId="0" borderId="7" xfId="0" applyNumberFormat="1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164" fontId="61" fillId="4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 wrapText="1"/>
    </xf>
    <xf numFmtId="3" fontId="6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2" fontId="59" fillId="4" borderId="7" xfId="0" applyNumberFormat="1" applyFont="1" applyFill="1" applyBorder="1" applyAlignment="1">
      <alignment horizontal="center" vertical="center"/>
    </xf>
    <xf numFmtId="2" fontId="60" fillId="4" borderId="7" xfId="0" applyNumberFormat="1" applyFont="1" applyFill="1" applyBorder="1" applyAlignment="1">
      <alignment horizontal="center" vertical="center"/>
    </xf>
    <xf numFmtId="2" fontId="51" fillId="4" borderId="7" xfId="0" applyNumberFormat="1" applyFont="1" applyFill="1" applyBorder="1" applyAlignment="1">
      <alignment horizontal="center" vertical="center"/>
    </xf>
    <xf numFmtId="1" fontId="2" fillId="4" borderId="0" xfId="0" applyNumberFormat="1" applyFont="1" applyFill="1"/>
    <xf numFmtId="2" fontId="69" fillId="4" borderId="7" xfId="0" applyNumberFormat="1" applyFont="1" applyFill="1" applyBorder="1" applyAlignment="1">
      <alignment horizontal="center" vertical="center"/>
    </xf>
    <xf numFmtId="2" fontId="70" fillId="4" borderId="7" xfId="0" applyNumberFormat="1" applyFont="1" applyFill="1" applyBorder="1" applyAlignment="1">
      <alignment horizontal="center" vertical="center"/>
    </xf>
    <xf numFmtId="2" fontId="63" fillId="4" borderId="7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76" fillId="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64" fontId="6" fillId="2" borderId="10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0" fontId="0" fillId="19" borderId="7" xfId="0" applyFill="1" applyBorder="1"/>
    <xf numFmtId="0" fontId="3" fillId="3" borderId="7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167" fontId="2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10" fontId="0" fillId="2" borderId="7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0" borderId="0" xfId="0" applyNumberFormat="1"/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 vertical="center" wrapText="1"/>
    </xf>
    <xf numFmtId="164" fontId="14" fillId="3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  <xf numFmtId="9" fontId="17" fillId="0" borderId="0" xfId="0" applyNumberFormat="1" applyFont="1"/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8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textRotation="90"/>
    </xf>
    <xf numFmtId="0" fontId="81" fillId="6" borderId="0" xfId="0" applyFont="1" applyFill="1" applyAlignment="1">
      <alignment horizontal="center" vertical="center" textRotation="90"/>
    </xf>
    <xf numFmtId="0" fontId="50" fillId="0" borderId="0" xfId="0" applyFont="1" applyAlignment="1">
      <alignment horizontal="center" vertical="center" textRotation="90"/>
    </xf>
    <xf numFmtId="0" fontId="0" fillId="5" borderId="9" xfId="0" applyFill="1" applyBorder="1"/>
    <xf numFmtId="0" fontId="14" fillId="0" borderId="0" xfId="0" applyFont="1" applyAlignment="1">
      <alignment horizontal="center"/>
    </xf>
    <xf numFmtId="166" fontId="14" fillId="0" borderId="0" xfId="2" applyNumberFormat="1" applyFont="1" applyBorder="1" applyAlignment="1">
      <alignment horizont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0" xfId="0" applyNumberFormat="1" applyFont="1"/>
    <xf numFmtId="0" fontId="0" fillId="16" borderId="7" xfId="0" applyFill="1" applyBorder="1"/>
    <xf numFmtId="167" fontId="82" fillId="0" borderId="0" xfId="1" applyNumberFormat="1" applyFont="1" applyFill="1" applyBorder="1" applyAlignment="1">
      <alignment horizontal="center" vertical="center"/>
    </xf>
    <xf numFmtId="164" fontId="83" fillId="0" borderId="0" xfId="1" applyNumberFormat="1" applyFont="1" applyFill="1" applyBorder="1" applyAlignment="1">
      <alignment horizontal="left" vertical="center"/>
    </xf>
    <xf numFmtId="1" fontId="83" fillId="0" borderId="0" xfId="1" applyNumberFormat="1" applyFont="1" applyFill="1" applyBorder="1" applyAlignment="1">
      <alignment horizontal="left" vertical="center"/>
    </xf>
    <xf numFmtId="164" fontId="83" fillId="0" borderId="0" xfId="1" applyNumberFormat="1" applyFont="1" applyFill="1" applyBorder="1" applyAlignment="1">
      <alignment horizontal="right" vertical="center"/>
    </xf>
    <xf numFmtId="1" fontId="83" fillId="0" borderId="0" xfId="1" applyNumberFormat="1" applyFont="1" applyFill="1" applyBorder="1" applyAlignment="1">
      <alignment horizontal="right" vertical="center"/>
    </xf>
    <xf numFmtId="167" fontId="83" fillId="0" borderId="0" xfId="1" applyNumberFormat="1" applyFont="1" applyFill="1" applyBorder="1" applyAlignment="1">
      <alignment horizontal="center" vertical="center"/>
    </xf>
    <xf numFmtId="167" fontId="84" fillId="0" borderId="0" xfId="1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0" fontId="14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0" fontId="78" fillId="0" borderId="0" xfId="0" applyFont="1" applyBorder="1" applyAlignment="1">
      <alignment horizontal="left" vertical="center" wrapText="1"/>
    </xf>
    <xf numFmtId="1" fontId="12" fillId="3" borderId="7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/>
    <xf numFmtId="165" fontId="2" fillId="0" borderId="1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87" fillId="0" borderId="7" xfId="0" applyFont="1" applyBorder="1" applyAlignment="1">
      <alignment horizontal="right"/>
    </xf>
    <xf numFmtId="3" fontId="2" fillId="7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7" borderId="7" xfId="1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88" fillId="0" borderId="0" xfId="0" applyFont="1" applyAlignment="1">
      <alignment horizontal="right"/>
    </xf>
    <xf numFmtId="0" fontId="88" fillId="0" borderId="0" xfId="0" applyFont="1" applyAlignment="1">
      <alignment horizontal="center"/>
    </xf>
    <xf numFmtId="0" fontId="88" fillId="0" borderId="0" xfId="0" applyFont="1"/>
    <xf numFmtId="0" fontId="88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10" fontId="89" fillId="0" borderId="0" xfId="2" applyNumberFormat="1" applyFont="1"/>
    <xf numFmtId="10" fontId="89" fillId="0" borderId="0" xfId="2" applyNumberFormat="1" applyFont="1" applyAlignment="1">
      <alignment horizontal="center"/>
    </xf>
    <xf numFmtId="2" fontId="89" fillId="0" borderId="0" xfId="0" applyNumberFormat="1" applyFont="1" applyAlignment="1">
      <alignment horizontal="center"/>
    </xf>
    <xf numFmtId="0" fontId="89" fillId="0" borderId="0" xfId="0" applyFont="1"/>
    <xf numFmtId="0" fontId="89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164" fontId="89" fillId="0" borderId="0" xfId="0" applyNumberFormat="1" applyFont="1" applyAlignment="1">
      <alignment horizontal="center"/>
    </xf>
    <xf numFmtId="43" fontId="89" fillId="0" borderId="0" xfId="1" applyFont="1" applyFill="1" applyBorder="1" applyAlignment="1">
      <alignment horizontal="center" vertical="center" wrapText="1"/>
    </xf>
    <xf numFmtId="168" fontId="90" fillId="0" borderId="0" xfId="1" applyNumberFormat="1" applyFont="1"/>
    <xf numFmtId="2" fontId="89" fillId="0" borderId="0" xfId="0" applyNumberFormat="1" applyFont="1" applyFill="1" applyAlignment="1">
      <alignment horizontal="center"/>
    </xf>
    <xf numFmtId="164" fontId="89" fillId="0" borderId="0" xfId="0" applyNumberFormat="1" applyFont="1" applyFill="1" applyAlignment="1">
      <alignment horizontal="center"/>
    </xf>
    <xf numFmtId="0" fontId="25" fillId="4" borderId="11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horizontal="left" vertical="center" wrapText="1"/>
    </xf>
    <xf numFmtId="0" fontId="25" fillId="4" borderId="9" xfId="0" applyFont="1" applyFill="1" applyBorder="1" applyAlignment="1">
      <alignment horizontal="left" vertical="center" wrapText="1"/>
    </xf>
    <xf numFmtId="0" fontId="5" fillId="16" borderId="16" xfId="0" applyFont="1" applyFill="1" applyBorder="1" applyAlignment="1">
      <alignment horizontal="left" vertical="center" wrapText="1"/>
    </xf>
    <xf numFmtId="0" fontId="5" fillId="16" borderId="13" xfId="0" applyFont="1" applyFill="1" applyBorder="1" applyAlignment="1">
      <alignment horizontal="left" vertical="center" wrapText="1"/>
    </xf>
    <xf numFmtId="0" fontId="5" fillId="16" borderId="18" xfId="0" applyFont="1" applyFill="1" applyBorder="1" applyAlignment="1">
      <alignment horizontal="left" vertical="center" wrapText="1"/>
    </xf>
    <xf numFmtId="0" fontId="5" fillId="16" borderId="19" xfId="0" applyFont="1" applyFill="1" applyBorder="1" applyAlignment="1">
      <alignment horizontal="left" vertical="center" wrapText="1"/>
    </xf>
    <xf numFmtId="0" fontId="56" fillId="4" borderId="28" xfId="0" applyFont="1" applyFill="1" applyBorder="1" applyAlignment="1">
      <alignment horizontal="center" vertical="top" wrapText="1"/>
    </xf>
    <xf numFmtId="0" fontId="56" fillId="4" borderId="31" xfId="0" applyFont="1" applyFill="1" applyBorder="1" applyAlignment="1">
      <alignment horizontal="center" vertical="top" wrapText="1"/>
    </xf>
    <xf numFmtId="0" fontId="56" fillId="4" borderId="30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65" fillId="0" borderId="4" xfId="0" applyFont="1" applyBorder="1" applyAlignment="1">
      <alignment horizontal="left" vertical="center" wrapText="1"/>
    </xf>
    <xf numFmtId="0" fontId="65" fillId="0" borderId="5" xfId="0" applyFont="1" applyBorder="1" applyAlignment="1">
      <alignment horizontal="left" vertical="center" wrapText="1"/>
    </xf>
    <xf numFmtId="0" fontId="65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57" fillId="4" borderId="28" xfId="0" applyFont="1" applyFill="1" applyBorder="1" applyAlignment="1">
      <alignment horizontal="center" vertical="top" wrapText="1"/>
    </xf>
    <xf numFmtId="0" fontId="57" fillId="4" borderId="31" xfId="0" applyFont="1" applyFill="1" applyBorder="1" applyAlignment="1">
      <alignment horizontal="center" vertical="top" wrapText="1"/>
    </xf>
    <xf numFmtId="0" fontId="57" fillId="4" borderId="30" xfId="0" applyFont="1" applyFill="1" applyBorder="1" applyAlignment="1">
      <alignment horizontal="center" vertical="top" wrapText="1"/>
    </xf>
    <xf numFmtId="0" fontId="58" fillId="4" borderId="28" xfId="0" applyFont="1" applyFill="1" applyBorder="1" applyAlignment="1">
      <alignment horizontal="center" vertical="top" wrapText="1"/>
    </xf>
    <xf numFmtId="0" fontId="58" fillId="4" borderId="31" xfId="0" applyFont="1" applyFill="1" applyBorder="1" applyAlignment="1">
      <alignment horizontal="center" vertical="top" wrapText="1"/>
    </xf>
    <xf numFmtId="0" fontId="58" fillId="4" borderId="30" xfId="0" applyFont="1" applyFill="1" applyBorder="1" applyAlignment="1">
      <alignment horizontal="center" vertical="top" wrapText="1"/>
    </xf>
    <xf numFmtId="0" fontId="3" fillId="17" borderId="16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4" fillId="17" borderId="16" xfId="0" applyFont="1" applyFill="1" applyBorder="1" applyAlignment="1">
      <alignment horizontal="left" vertical="center" wrapText="1"/>
    </xf>
    <xf numFmtId="0" fontId="54" fillId="17" borderId="13" xfId="0" applyFont="1" applyFill="1" applyBorder="1" applyAlignment="1">
      <alignment horizontal="left" vertical="center" wrapText="1"/>
    </xf>
    <xf numFmtId="0" fontId="54" fillId="17" borderId="14" xfId="0" applyFont="1" applyFill="1" applyBorder="1" applyAlignment="1">
      <alignment horizontal="left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0" borderId="14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right" vertical="top" textRotation="90"/>
    </xf>
    <xf numFmtId="0" fontId="78" fillId="0" borderId="16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55" fillId="4" borderId="0" xfId="0" applyFont="1" applyFill="1" applyAlignment="1">
      <alignment horizontal="left" vertical="center"/>
    </xf>
    <xf numFmtId="0" fontId="14" fillId="4" borderId="0" xfId="0" applyFont="1" applyFill="1"/>
    <xf numFmtId="0" fontId="0" fillId="4" borderId="0" xfId="0" applyFill="1"/>
    <xf numFmtId="49" fontId="14" fillId="4" borderId="0" xfId="0" applyNumberFormat="1" applyFont="1" applyFill="1"/>
    <xf numFmtId="0" fontId="13" fillId="0" borderId="0" xfId="0" applyFont="1" applyBorder="1" applyAlignment="1">
      <alignment horizontal="right" vertical="top" textRotation="180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00"/>
      <color rgb="FFFFCCFF"/>
      <color rgb="FF0000FF"/>
      <color rgb="FFCCFFFF"/>
      <color rgb="FFFF6600"/>
      <color rgb="FFFF9933"/>
      <color rgb="FF009900"/>
      <color rgb="FFFFFF99"/>
      <color rgb="FF008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 (3tB)":</a:t>
            </a:r>
            <a:r>
              <a:rPr lang="es-ES" sz="1100" b="1">
                <a:solidFill>
                  <a:srgbClr val="006600"/>
                </a:solidFill>
              </a:rPr>
              <a:t> </a:t>
            </a:r>
            <a:r>
              <a:rPr lang="es-ES" sz="1100" b="1">
                <a:solidFill>
                  <a:sysClr val="windowText" lastClr="000000"/>
                </a:solidFill>
              </a:rPr>
              <a:t>Prolongación del tiempo medio de Supervivencia Libre de Evento (PtSLEv).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606714785651792"/>
          <c:y val="0.23534156683635096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IncAcum!$R$6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IncAcum!$S$6</c:f>
              <c:numCache>
                <c:formatCode>0.00</c:formatCode>
                <c:ptCount val="1"/>
                <c:pt idx="0">
                  <c:v>1.3720531504500644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IncAcum!$R$7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58516032717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IncAcum!$S$7</c:f>
              <c:numCache>
                <c:formatCode>0.00</c:formatCode>
                <c:ptCount val="1"/>
                <c:pt idx="0">
                  <c:v>0.42507213914219155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IncAcum!$R$8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IncAcum!$S$5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IncAcum!$S$8</c:f>
              <c:numCache>
                <c:formatCode>0.00</c:formatCode>
                <c:ptCount val="1"/>
                <c:pt idx="0">
                  <c:v>31.202874710407741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  <c:max val="3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112263388902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446690</xdr:colOff>
      <xdr:row>0</xdr:row>
      <xdr:rowOff>105103</xdr:rowOff>
    </xdr:from>
    <xdr:to>
      <xdr:col>28</xdr:col>
      <xdr:colOff>446690</xdr:colOff>
      <xdr:row>61</xdr:row>
      <xdr:rowOff>269327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20</xdr:row>
      <xdr:rowOff>93895</xdr:rowOff>
    </xdr:from>
    <xdr:to>
      <xdr:col>39</xdr:col>
      <xdr:colOff>9525</xdr:colOff>
      <xdr:row>20</xdr:row>
      <xdr:rowOff>95250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10E4EDC5-6A58-45F3-944E-8E2184F08626}"/>
            </a:ext>
          </a:extLst>
        </xdr:cNvPr>
        <xdr:cNvCxnSpPr/>
      </xdr:nvCxnSpPr>
      <xdr:spPr>
        <a:xfrm>
          <a:off x="3943350" y="4773845"/>
          <a:ext cx="7591425" cy="1355"/>
        </a:xfrm>
        <a:prstGeom prst="straightConnector1">
          <a:avLst/>
        </a:prstGeom>
        <a:noFill/>
        <a:ln w="2540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18</xdr:row>
      <xdr:rowOff>127915</xdr:rowOff>
    </xdr:from>
    <xdr:to>
      <xdr:col>11</xdr:col>
      <xdr:colOff>190500</xdr:colOff>
      <xdr:row>18</xdr:row>
      <xdr:rowOff>133350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B87F4250-AA36-423F-B805-7D987A831DF8}"/>
            </a:ext>
          </a:extLst>
        </xdr:cNvPr>
        <xdr:cNvCxnSpPr/>
      </xdr:nvCxnSpPr>
      <xdr:spPr>
        <a:xfrm>
          <a:off x="3981450" y="4439565"/>
          <a:ext cx="1333500" cy="5435"/>
        </a:xfrm>
        <a:prstGeom prst="straightConnector1">
          <a:avLst/>
        </a:prstGeom>
        <a:noFill/>
        <a:ln w="28575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25853</xdr:colOff>
      <xdr:row>18</xdr:row>
      <xdr:rowOff>106137</xdr:rowOff>
    </xdr:from>
    <xdr:to>
      <xdr:col>45</xdr:col>
      <xdr:colOff>212911</xdr:colOff>
      <xdr:row>18</xdr:row>
      <xdr:rowOff>112058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A49E0696-DCD1-4B2B-8081-366291F2C4BB}"/>
            </a:ext>
          </a:extLst>
        </xdr:cNvPr>
        <xdr:cNvCxnSpPr/>
      </xdr:nvCxnSpPr>
      <xdr:spPr>
        <a:xfrm>
          <a:off x="11779703" y="4417787"/>
          <a:ext cx="1330058" cy="5921"/>
        </a:xfrm>
        <a:prstGeom prst="straightConnector1">
          <a:avLst/>
        </a:prstGeom>
        <a:noFill/>
        <a:ln w="28575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29215</xdr:colOff>
      <xdr:row>20</xdr:row>
      <xdr:rowOff>99335</xdr:rowOff>
    </xdr:from>
    <xdr:to>
      <xdr:col>56</xdr:col>
      <xdr:colOff>201706</xdr:colOff>
      <xdr:row>20</xdr:row>
      <xdr:rowOff>112058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53D63BDC-B69A-4398-819B-8B7EE21563E1}"/>
            </a:ext>
          </a:extLst>
        </xdr:cNvPr>
        <xdr:cNvCxnSpPr/>
      </xdr:nvCxnSpPr>
      <xdr:spPr>
        <a:xfrm>
          <a:off x="11783065" y="4779285"/>
          <a:ext cx="3830091" cy="12723"/>
        </a:xfrm>
        <a:prstGeom prst="straightConnector1">
          <a:avLst/>
        </a:prstGeom>
        <a:noFill/>
        <a:ln w="2540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21</xdr:row>
      <xdr:rowOff>95250</xdr:rowOff>
    </xdr:from>
    <xdr:to>
      <xdr:col>39</xdr:col>
      <xdr:colOff>9525</xdr:colOff>
      <xdr:row>21</xdr:row>
      <xdr:rowOff>114300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79D82C1-6550-414F-A7D4-25D31528637B}"/>
            </a:ext>
          </a:extLst>
        </xdr:cNvPr>
        <xdr:cNvCxnSpPr/>
      </xdr:nvCxnSpPr>
      <xdr:spPr>
        <a:xfrm flipV="1">
          <a:off x="3990975" y="4978400"/>
          <a:ext cx="7543800" cy="19050"/>
        </a:xfrm>
        <a:prstGeom prst="straightConnector1">
          <a:avLst/>
        </a:prstGeom>
        <a:noFill/>
        <a:ln w="28575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9525</xdr:colOff>
      <xdr:row>21</xdr:row>
      <xdr:rowOff>95250</xdr:rowOff>
    </xdr:from>
    <xdr:to>
      <xdr:col>72</xdr:col>
      <xdr:colOff>205468</xdr:colOff>
      <xdr:row>21</xdr:row>
      <xdr:rowOff>97972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3207AA4D-B559-42D4-966F-27C47B5C764C}"/>
            </a:ext>
          </a:extLst>
        </xdr:cNvPr>
        <xdr:cNvCxnSpPr/>
      </xdr:nvCxnSpPr>
      <xdr:spPr>
        <a:xfrm>
          <a:off x="11763375" y="4978400"/>
          <a:ext cx="7511143" cy="2722"/>
        </a:xfrm>
        <a:prstGeom prst="straightConnector1">
          <a:avLst/>
        </a:prstGeom>
        <a:noFill/>
        <a:ln w="317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42315</xdr:colOff>
      <xdr:row>17</xdr:row>
      <xdr:rowOff>22679</xdr:rowOff>
    </xdr:from>
    <xdr:to>
      <xdr:col>93</xdr:col>
      <xdr:colOff>45357</xdr:colOff>
      <xdr:row>49</xdr:row>
      <xdr:rowOff>136072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A720D9C2-6169-463D-AF8D-2DF49C3D9586}"/>
            </a:ext>
          </a:extLst>
        </xdr:cNvPr>
        <xdr:cNvCxnSpPr/>
      </xdr:nvCxnSpPr>
      <xdr:spPr>
        <a:xfrm>
          <a:off x="12479244" y="3859893"/>
          <a:ext cx="3042" cy="5973536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42531</xdr:colOff>
      <xdr:row>17</xdr:row>
      <xdr:rowOff>17236</xdr:rowOff>
    </xdr:from>
    <xdr:to>
      <xdr:col>101</xdr:col>
      <xdr:colOff>44824</xdr:colOff>
      <xdr:row>27</xdr:row>
      <xdr:rowOff>0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18B6B1E1-0F2A-4E38-AFF1-64BFB7C2A6EC}"/>
            </a:ext>
          </a:extLst>
        </xdr:cNvPr>
        <xdr:cNvCxnSpPr/>
      </xdr:nvCxnSpPr>
      <xdr:spPr>
        <a:xfrm>
          <a:off x="13138472" y="4178354"/>
          <a:ext cx="2293" cy="1872822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45357</xdr:colOff>
      <xdr:row>17</xdr:row>
      <xdr:rowOff>6350</xdr:rowOff>
    </xdr:from>
    <xdr:to>
      <xdr:col>9</xdr:col>
      <xdr:colOff>50267</xdr:colOff>
      <xdr:row>49</xdr:row>
      <xdr:rowOff>127000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66DE4CC9-254F-4053-90F0-2C4D42CA941D}"/>
            </a:ext>
          </a:extLst>
        </xdr:cNvPr>
        <xdr:cNvCxnSpPr/>
      </xdr:nvCxnSpPr>
      <xdr:spPr>
        <a:xfrm flipH="1">
          <a:off x="4989286" y="3843564"/>
          <a:ext cx="4910" cy="5980793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42315</xdr:colOff>
      <xdr:row>54</xdr:row>
      <xdr:rowOff>22679</xdr:rowOff>
    </xdr:from>
    <xdr:to>
      <xdr:col>93</xdr:col>
      <xdr:colOff>45357</xdr:colOff>
      <xdr:row>86</xdr:row>
      <xdr:rowOff>136072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D1D2A6AD-C3CC-4E34-B35E-581AE1A35D15}"/>
            </a:ext>
          </a:extLst>
        </xdr:cNvPr>
        <xdr:cNvCxnSpPr/>
      </xdr:nvCxnSpPr>
      <xdr:spPr>
        <a:xfrm>
          <a:off x="12479244" y="3859893"/>
          <a:ext cx="3042" cy="5973536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45358</xdr:colOff>
      <xdr:row>54</xdr:row>
      <xdr:rowOff>0</xdr:rowOff>
    </xdr:from>
    <xdr:to>
      <xdr:col>103</xdr:col>
      <xdr:colOff>69273</xdr:colOff>
      <xdr:row>71</xdr:row>
      <xdr:rowOff>0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456611E2-CF4B-41D4-B77C-075F0C5968E8}"/>
            </a:ext>
          </a:extLst>
        </xdr:cNvPr>
        <xdr:cNvCxnSpPr/>
      </xdr:nvCxnSpPr>
      <xdr:spPr>
        <a:xfrm>
          <a:off x="13553540" y="10760364"/>
          <a:ext cx="23915" cy="3140363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50267</xdr:colOff>
      <xdr:row>54</xdr:row>
      <xdr:rowOff>6350</xdr:rowOff>
    </xdr:from>
    <xdr:to>
      <xdr:col>9</xdr:col>
      <xdr:colOff>63500</xdr:colOff>
      <xdr:row>87</xdr:row>
      <xdr:rowOff>0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0255315A-7E19-4AE0-A098-516F0C32BAC0}"/>
            </a:ext>
          </a:extLst>
        </xdr:cNvPr>
        <xdr:cNvCxnSpPr/>
      </xdr:nvCxnSpPr>
      <xdr:spPr>
        <a:xfrm>
          <a:off x="4994196" y="10429421"/>
          <a:ext cx="13233" cy="5980793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197</xdr:col>
      <xdr:colOff>42315</xdr:colOff>
      <xdr:row>17</xdr:row>
      <xdr:rowOff>22679</xdr:rowOff>
    </xdr:from>
    <xdr:to>
      <xdr:col>197</xdr:col>
      <xdr:colOff>45357</xdr:colOff>
      <xdr:row>49</xdr:row>
      <xdr:rowOff>136072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69BEC3BD-15D1-485A-8679-19B0A7F4665F}"/>
            </a:ext>
          </a:extLst>
        </xdr:cNvPr>
        <xdr:cNvCxnSpPr/>
      </xdr:nvCxnSpPr>
      <xdr:spPr>
        <a:xfrm>
          <a:off x="12443865" y="10690679"/>
          <a:ext cx="3042" cy="6006193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45358</xdr:colOff>
      <xdr:row>17</xdr:row>
      <xdr:rowOff>0</xdr:rowOff>
    </xdr:from>
    <xdr:to>
      <xdr:col>111</xdr:col>
      <xdr:colOff>69273</xdr:colOff>
      <xdr:row>34</xdr:row>
      <xdr:rowOff>0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6649CA97-9769-40FD-A82C-E4EEC69684C2}"/>
            </a:ext>
          </a:extLst>
        </xdr:cNvPr>
        <xdr:cNvCxnSpPr/>
      </xdr:nvCxnSpPr>
      <xdr:spPr>
        <a:xfrm>
          <a:off x="14205858" y="3994150"/>
          <a:ext cx="23915" cy="3175000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18517</xdr:colOff>
      <xdr:row>17</xdr:row>
      <xdr:rowOff>28387</xdr:rowOff>
    </xdr:from>
    <xdr:to>
      <xdr:col>116</xdr:col>
      <xdr:colOff>25400</xdr:colOff>
      <xdr:row>50</xdr:row>
      <xdr:rowOff>28387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6CA33500-A45A-4049-9C95-3E3E376B8173}"/>
            </a:ext>
          </a:extLst>
        </xdr:cNvPr>
        <xdr:cNvCxnSpPr/>
      </xdr:nvCxnSpPr>
      <xdr:spPr>
        <a:xfrm>
          <a:off x="14705693" y="4032622"/>
          <a:ext cx="6883" cy="6200589"/>
        </a:xfrm>
        <a:prstGeom prst="straightConnector1">
          <a:avLst/>
        </a:prstGeom>
        <a:ln w="19050">
          <a:solidFill>
            <a:srgbClr val="7030A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20</xdr:row>
      <xdr:rowOff>93895</xdr:rowOff>
    </xdr:from>
    <xdr:to>
      <xdr:col>39</xdr:col>
      <xdr:colOff>9525</xdr:colOff>
      <xdr:row>20</xdr:row>
      <xdr:rowOff>95250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752850" y="4694470"/>
          <a:ext cx="72580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18</xdr:row>
      <xdr:rowOff>104775</xdr:rowOff>
    </xdr:from>
    <xdr:to>
      <xdr:col>17</xdr:col>
      <xdr:colOff>19050</xdr:colOff>
      <xdr:row>18</xdr:row>
      <xdr:rowOff>108865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3781425" y="4324350"/>
          <a:ext cx="2419350" cy="409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25853</xdr:colOff>
      <xdr:row>18</xdr:row>
      <xdr:rowOff>104775</xdr:rowOff>
    </xdr:from>
    <xdr:to>
      <xdr:col>50</xdr:col>
      <xdr:colOff>200025</xdr:colOff>
      <xdr:row>18</xdr:row>
      <xdr:rowOff>115662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1246303" y="4324350"/>
          <a:ext cx="2364922" cy="1088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10165</xdr:colOff>
      <xdr:row>20</xdr:row>
      <xdr:rowOff>114300</xdr:rowOff>
    </xdr:from>
    <xdr:to>
      <xdr:col>59</xdr:col>
      <xdr:colOff>9525</xdr:colOff>
      <xdr:row>20</xdr:row>
      <xdr:rowOff>118385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1230615" y="4714875"/>
          <a:ext cx="4161785" cy="408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21</xdr:row>
      <xdr:rowOff>95250</xdr:rowOff>
    </xdr:from>
    <xdr:to>
      <xdr:col>39</xdr:col>
      <xdr:colOff>9525</xdr:colOff>
      <xdr:row>21</xdr:row>
      <xdr:rowOff>114300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V="1">
          <a:off x="3781425" y="4905375"/>
          <a:ext cx="722947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8165</xdr:colOff>
      <xdr:row>21</xdr:row>
      <xdr:rowOff>88447</xdr:rowOff>
    </xdr:from>
    <xdr:to>
      <xdr:col>73</xdr:col>
      <xdr:colOff>14968</xdr:colOff>
      <xdr:row>21</xdr:row>
      <xdr:rowOff>107497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1228615" y="4898572"/>
          <a:ext cx="7236278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20</xdr:row>
      <xdr:rowOff>93895</xdr:rowOff>
    </xdr:from>
    <xdr:to>
      <xdr:col>39</xdr:col>
      <xdr:colOff>9525</xdr:colOff>
      <xdr:row>20</xdr:row>
      <xdr:rowOff>95250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752850" y="4694470"/>
          <a:ext cx="7258050" cy="135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18</xdr:row>
      <xdr:rowOff>104775</xdr:rowOff>
    </xdr:from>
    <xdr:to>
      <xdr:col>13</xdr:col>
      <xdr:colOff>209550</xdr:colOff>
      <xdr:row>18</xdr:row>
      <xdr:rowOff>108865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3781425" y="4324350"/>
          <a:ext cx="1733550" cy="409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25853</xdr:colOff>
      <xdr:row>18</xdr:row>
      <xdr:rowOff>123825</xdr:rowOff>
    </xdr:from>
    <xdr:to>
      <xdr:col>47</xdr:col>
      <xdr:colOff>209550</xdr:colOff>
      <xdr:row>18</xdr:row>
      <xdr:rowOff>125188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11246303" y="4343400"/>
          <a:ext cx="1717222" cy="1363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10165</xdr:colOff>
      <xdr:row>20</xdr:row>
      <xdr:rowOff>118386</xdr:rowOff>
    </xdr:from>
    <xdr:to>
      <xdr:col>58</xdr:col>
      <xdr:colOff>9525</xdr:colOff>
      <xdr:row>20</xdr:row>
      <xdr:rowOff>123825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1230615" y="4718961"/>
          <a:ext cx="3942710" cy="5439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21</xdr:row>
      <xdr:rowOff>95250</xdr:rowOff>
    </xdr:from>
    <xdr:to>
      <xdr:col>39</xdr:col>
      <xdr:colOff>9525</xdr:colOff>
      <xdr:row>21</xdr:row>
      <xdr:rowOff>114300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3781425" y="4905375"/>
          <a:ext cx="7229475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40</xdr:col>
      <xdr:colOff>8165</xdr:colOff>
      <xdr:row>21</xdr:row>
      <xdr:rowOff>88447</xdr:rowOff>
    </xdr:from>
    <xdr:to>
      <xdr:col>73</xdr:col>
      <xdr:colOff>14968</xdr:colOff>
      <xdr:row>21</xdr:row>
      <xdr:rowOff>107497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V="1">
          <a:off x="11228615" y="4898572"/>
          <a:ext cx="7236278" cy="19050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0"/>
  <sheetViews>
    <sheetView tabSelected="1" zoomScale="70" zoomScaleNormal="70" workbookViewId="0">
      <selection activeCell="B2" sqref="B2"/>
    </sheetView>
  </sheetViews>
  <sheetFormatPr baseColWidth="10" defaultRowHeight="13" x14ac:dyDescent="0.3"/>
  <cols>
    <col min="1" max="1" width="0.7265625" style="1" customWidth="1"/>
    <col min="2" max="2" width="35.1796875" style="1" customWidth="1"/>
    <col min="3" max="3" width="23.54296875" style="1" customWidth="1"/>
    <col min="4" max="4" width="22" style="1" customWidth="1"/>
    <col min="5" max="5" width="17.1796875" style="1" customWidth="1"/>
    <col min="6" max="6" width="21.453125" style="1" customWidth="1"/>
    <col min="7" max="7" width="19.54296875" style="1" customWidth="1"/>
    <col min="8" max="8" width="14.1796875" style="1" bestFit="1" customWidth="1"/>
    <col min="9" max="9" width="6.453125" style="1" customWidth="1"/>
    <col min="10" max="10" width="10.453125" style="1" hidden="1" customWidth="1"/>
    <col min="11" max="11" width="7" style="1" hidden="1" customWidth="1"/>
    <col min="12" max="12" width="14.453125" style="1" hidden="1" customWidth="1"/>
    <col min="13" max="13" width="13.453125" style="1" hidden="1" customWidth="1"/>
    <col min="14" max="14" width="8.453125" style="1" hidden="1" customWidth="1"/>
    <col min="15" max="15" width="14.26953125" style="6" bestFit="1" customWidth="1"/>
    <col min="16" max="16" width="14.26953125" style="6" customWidth="1"/>
    <col min="17" max="17" width="3.26953125" style="1" customWidth="1"/>
    <col min="18" max="18" width="15.81640625" style="1" customWidth="1"/>
    <col min="19" max="19" width="16" style="1" customWidth="1"/>
    <col min="20" max="20" width="14.81640625" style="1" customWidth="1"/>
    <col min="21" max="21" width="13.54296875" style="6" customWidth="1"/>
    <col min="22" max="22" width="6.54296875" style="6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7" customFormat="1" ht="8.25" customHeight="1" thickBot="1" x14ac:dyDescent="0.35">
      <c r="B1" s="58"/>
      <c r="C1" s="59"/>
      <c r="D1" s="58"/>
      <c r="E1" s="60"/>
      <c r="F1" s="1"/>
      <c r="G1" s="1"/>
      <c r="H1" s="61"/>
      <c r="I1" s="61"/>
      <c r="J1" s="61"/>
      <c r="K1" s="61"/>
      <c r="L1" s="62"/>
      <c r="M1" s="63"/>
      <c r="N1" s="63"/>
      <c r="O1" s="4"/>
      <c r="P1" s="4"/>
      <c r="Q1" s="64"/>
      <c r="X1" s="65"/>
      <c r="Y1" s="65"/>
      <c r="Z1" s="65"/>
      <c r="AA1" s="65"/>
      <c r="AB1" s="65"/>
      <c r="AC1" s="65"/>
    </row>
    <row r="2" spans="2:30" ht="31.5" customHeight="1" thickBot="1" x14ac:dyDescent="0.35">
      <c r="B2" s="442" t="s">
        <v>129</v>
      </c>
      <c r="C2" s="443"/>
      <c r="D2" s="443"/>
      <c r="E2" s="443"/>
      <c r="F2" s="444"/>
      <c r="G2" s="66"/>
      <c r="H2" s="318" t="s">
        <v>15</v>
      </c>
      <c r="I2" s="68">
        <v>0.95</v>
      </c>
      <c r="J2" s="66"/>
      <c r="K2" s="69"/>
      <c r="L2" s="62"/>
      <c r="M2" s="70"/>
      <c r="N2" s="70"/>
      <c r="O2" s="71"/>
      <c r="P2" s="71"/>
      <c r="Q2" s="72"/>
      <c r="R2" s="394" t="s">
        <v>330</v>
      </c>
      <c r="S2" s="4"/>
      <c r="T2" s="349" t="s">
        <v>133</v>
      </c>
      <c r="U2" s="348" t="s">
        <v>131</v>
      </c>
      <c r="V2" s="347" t="s">
        <v>132</v>
      </c>
      <c r="W2" s="65"/>
      <c r="X2" s="6"/>
      <c r="Y2" s="6"/>
      <c r="Z2" s="6"/>
      <c r="AA2" s="6"/>
      <c r="AB2" s="6"/>
      <c r="AC2" s="6"/>
      <c r="AD2" s="6"/>
    </row>
    <row r="3" spans="2:30" ht="27.75" customHeight="1" thickBot="1" x14ac:dyDescent="0.35">
      <c r="B3" s="539" t="s">
        <v>142</v>
      </c>
      <c r="C3" s="540"/>
      <c r="D3" s="540"/>
      <c r="E3" s="540"/>
      <c r="F3" s="541"/>
      <c r="G3" s="73"/>
      <c r="K3" s="69"/>
      <c r="L3" s="62"/>
      <c r="M3" s="70"/>
      <c r="N3" s="70"/>
      <c r="O3" s="71"/>
      <c r="P3" s="71"/>
      <c r="Q3" s="72"/>
      <c r="R3" s="350" t="s">
        <v>11</v>
      </c>
      <c r="S3" s="351">
        <f>V3+U3+T3</f>
        <v>38.816940656937675</v>
      </c>
      <c r="T3" s="391">
        <f>J32</f>
        <v>2.2278124678293652</v>
      </c>
      <c r="U3" s="392">
        <f>J31</f>
        <v>1</v>
      </c>
      <c r="V3" s="393">
        <f>J30</f>
        <v>35.589128189108308</v>
      </c>
      <c r="W3" s="71"/>
      <c r="X3" s="6"/>
      <c r="Y3" s="6"/>
      <c r="Z3" s="6"/>
      <c r="AA3" s="6"/>
      <c r="AB3" s="6"/>
      <c r="AC3" s="6"/>
      <c r="AD3" s="6"/>
    </row>
    <row r="4" spans="2:30" ht="14.25" customHeight="1" x14ac:dyDescent="0.7">
      <c r="B4" s="74"/>
      <c r="C4" s="75"/>
      <c r="D4" s="63"/>
      <c r="E4" s="63"/>
      <c r="F4" s="5"/>
      <c r="G4" s="368" t="s">
        <v>124</v>
      </c>
      <c r="H4" s="320">
        <v>33</v>
      </c>
      <c r="I4" s="367" t="s">
        <v>147</v>
      </c>
      <c r="K4" s="76"/>
      <c r="L4" s="77"/>
      <c r="O4" s="71"/>
      <c r="P4" s="71"/>
      <c r="Q4" s="78"/>
      <c r="R4" s="71"/>
      <c r="S4" s="71"/>
      <c r="T4" s="71"/>
      <c r="U4" s="71"/>
      <c r="V4" s="71"/>
      <c r="W4" s="71"/>
      <c r="X4" s="6"/>
      <c r="Y4" s="79"/>
      <c r="Z4" s="80"/>
      <c r="AA4" s="6"/>
      <c r="AB4" s="6"/>
      <c r="AC4" s="6"/>
      <c r="AD4" s="6"/>
    </row>
    <row r="5" spans="2:30" x14ac:dyDescent="0.3">
      <c r="B5" s="81"/>
      <c r="C5" s="498"/>
      <c r="D5" s="233" t="s">
        <v>16</v>
      </c>
      <c r="E5" s="233" t="s">
        <v>17</v>
      </c>
      <c r="F5" s="140"/>
      <c r="K5" s="82"/>
      <c r="L5" s="83"/>
      <c r="M5" s="83"/>
      <c r="N5" s="83"/>
      <c r="O5" s="71"/>
      <c r="P5" s="71"/>
      <c r="Q5" s="71"/>
      <c r="R5" s="395" t="s">
        <v>331</v>
      </c>
      <c r="S5" s="346" t="str">
        <f>I4</f>
        <v>meses</v>
      </c>
      <c r="V5" s="2" t="s">
        <v>0</v>
      </c>
      <c r="W5" s="79"/>
      <c r="X5" s="6"/>
      <c r="Y5" s="79"/>
      <c r="Z5" s="80"/>
      <c r="AA5" s="6"/>
      <c r="AB5" s="6"/>
      <c r="AC5" s="6"/>
      <c r="AD5" s="6"/>
    </row>
    <row r="6" spans="2:30" x14ac:dyDescent="0.3">
      <c r="B6" s="81"/>
      <c r="C6" s="499"/>
      <c r="D6" s="500" t="s">
        <v>18</v>
      </c>
      <c r="E6" s="500" t="s">
        <v>19</v>
      </c>
      <c r="F6" s="501" t="s">
        <v>20</v>
      </c>
      <c r="G6" s="510" t="s">
        <v>336</v>
      </c>
      <c r="H6" s="511" t="s">
        <v>335</v>
      </c>
      <c r="I6" s="511" t="s">
        <v>152</v>
      </c>
      <c r="J6" s="512"/>
      <c r="K6" s="513"/>
      <c r="L6" s="514"/>
      <c r="M6" s="514"/>
      <c r="N6" s="514"/>
      <c r="O6" s="511" t="s">
        <v>153</v>
      </c>
      <c r="P6" s="71"/>
      <c r="Q6" s="71"/>
      <c r="R6" s="11" t="s">
        <v>1</v>
      </c>
      <c r="S6" s="12">
        <f>S14</f>
        <v>1.3720531504500644</v>
      </c>
      <c r="T6" s="13">
        <f>S6/S9</f>
        <v>4.1577368195456495E-2</v>
      </c>
      <c r="V6" s="432">
        <f>S6*365.25/12</f>
        <v>41.761867766823833</v>
      </c>
      <c r="W6" s="79"/>
      <c r="X6" s="6"/>
      <c r="Y6" s="79"/>
      <c r="Z6" s="6"/>
      <c r="AA6" s="6"/>
      <c r="AB6" s="6"/>
      <c r="AC6" s="6"/>
      <c r="AD6" s="6"/>
    </row>
    <row r="7" spans="2:30" ht="12.75" customHeight="1" x14ac:dyDescent="0.3">
      <c r="B7" s="81"/>
      <c r="C7" s="502" t="s">
        <v>355</v>
      </c>
      <c r="D7" s="504">
        <v>269</v>
      </c>
      <c r="E7" s="505">
        <f>F7-D7</f>
        <v>4418</v>
      </c>
      <c r="F7" s="506">
        <v>4687</v>
      </c>
      <c r="G7" s="515">
        <f>D7/F7</f>
        <v>5.7392788564113506E-2</v>
      </c>
      <c r="H7" s="516">
        <v>3.7400000000000003E-2</v>
      </c>
      <c r="I7" s="517">
        <f>(G7/H7)</f>
        <v>1.5345665391474199</v>
      </c>
      <c r="J7" s="518"/>
      <c r="K7" s="519"/>
      <c r="L7" s="520"/>
      <c r="M7" s="520"/>
      <c r="N7" s="520"/>
      <c r="O7" s="521">
        <f>I7*12</f>
        <v>18.414798469769039</v>
      </c>
      <c r="P7" s="405"/>
      <c r="Q7" s="71"/>
      <c r="R7" s="14" t="s">
        <v>3</v>
      </c>
      <c r="S7" s="15">
        <f>R14</f>
        <v>0.42507213914219155</v>
      </c>
      <c r="T7" s="16">
        <f>S7/S9</f>
        <v>1.2880973913399743E-2</v>
      </c>
      <c r="V7" s="433">
        <f>S7*365.25/12</f>
        <v>12.938133235140455</v>
      </c>
      <c r="W7" s="79"/>
      <c r="X7" s="6"/>
      <c r="Y7" s="79"/>
      <c r="Z7" s="6"/>
      <c r="AA7" s="6"/>
      <c r="AB7" s="6"/>
      <c r="AC7" s="6"/>
      <c r="AD7" s="6"/>
    </row>
    <row r="8" spans="2:30" ht="12.75" customHeight="1" x14ac:dyDescent="0.3">
      <c r="B8" s="81"/>
      <c r="C8" s="502" t="s">
        <v>14</v>
      </c>
      <c r="D8" s="504">
        <v>194</v>
      </c>
      <c r="E8" s="505">
        <f>F8-D8</f>
        <v>2139</v>
      </c>
      <c r="F8" s="506">
        <v>2333</v>
      </c>
      <c r="G8" s="515">
        <f>D8/F8</f>
        <v>8.3154736390912989E-2</v>
      </c>
      <c r="H8" s="516">
        <v>4.3900000000000002E-2</v>
      </c>
      <c r="I8" s="517">
        <f>(G8/H8)</f>
        <v>1.8941853392007515</v>
      </c>
      <c r="J8" s="518"/>
      <c r="K8" s="519"/>
      <c r="L8" s="520"/>
      <c r="M8" s="522"/>
      <c r="N8" s="520"/>
      <c r="O8" s="521">
        <f t="shared" ref="O8:O9" si="0">I8*12</f>
        <v>22.730224070409019</v>
      </c>
      <c r="P8" s="405"/>
      <c r="Q8" s="71"/>
      <c r="R8" s="17" t="s">
        <v>2</v>
      </c>
      <c r="S8" s="18">
        <f>Q14</f>
        <v>31.202874710407741</v>
      </c>
      <c r="T8" s="19">
        <f>S8/S9</f>
        <v>0.94554165789114364</v>
      </c>
      <c r="V8" s="434">
        <f>S8*365.26/12</f>
        <v>949.76350139362751</v>
      </c>
      <c r="W8" s="79"/>
      <c r="X8" s="6"/>
      <c r="Y8" s="79"/>
      <c r="Z8" s="6"/>
      <c r="AA8" s="6"/>
      <c r="AB8" s="6"/>
      <c r="AC8" s="6"/>
      <c r="AD8" s="6"/>
    </row>
    <row r="9" spans="2:30" x14ac:dyDescent="0.3">
      <c r="B9" s="407"/>
      <c r="C9" s="503" t="s">
        <v>20</v>
      </c>
      <c r="D9" s="507">
        <f>SUM(D7:D8)</f>
        <v>463</v>
      </c>
      <c r="E9" s="508">
        <f>SUM(E7:E8)</f>
        <v>6557</v>
      </c>
      <c r="F9" s="509">
        <f>SUM(F7:F8)</f>
        <v>7020</v>
      </c>
      <c r="G9" s="515">
        <f>D9/F9</f>
        <v>6.5954415954415951E-2</v>
      </c>
      <c r="H9" s="523"/>
      <c r="I9" s="524">
        <f>((I7*F7)+(I8*F8))/F9</f>
        <v>1.6540808782534631</v>
      </c>
      <c r="J9" s="518"/>
      <c r="K9" s="519"/>
      <c r="L9" s="520"/>
      <c r="M9" s="522"/>
      <c r="N9" s="520"/>
      <c r="O9" s="525">
        <f t="shared" si="0"/>
        <v>19.848970539041556</v>
      </c>
      <c r="P9" s="405"/>
      <c r="Q9" s="87"/>
      <c r="S9" s="9">
        <f>SUM(S6:S8)</f>
        <v>33</v>
      </c>
      <c r="V9" s="20">
        <f>SUM(V6:V8)</f>
        <v>1004.4635023955918</v>
      </c>
      <c r="W9" s="79"/>
      <c r="X9" s="6"/>
      <c r="Y9" s="79"/>
      <c r="Z9" s="6"/>
      <c r="AA9" s="6"/>
      <c r="AB9" s="6"/>
      <c r="AC9" s="6"/>
      <c r="AD9" s="6"/>
    </row>
    <row r="10" spans="2:30" ht="12.75" customHeight="1" x14ac:dyDescent="0.3">
      <c r="B10" s="407"/>
      <c r="C10" s="407"/>
      <c r="D10" s="407"/>
      <c r="E10" s="407"/>
      <c r="F10" s="407"/>
      <c r="G10" s="407"/>
      <c r="H10" s="83"/>
      <c r="I10" s="82"/>
      <c r="J10" s="82"/>
      <c r="K10" s="82"/>
      <c r="L10" s="83"/>
      <c r="M10" s="85"/>
      <c r="N10" s="83"/>
      <c r="P10" s="86"/>
      <c r="Q10" s="87"/>
      <c r="R10" s="87"/>
      <c r="S10" s="87"/>
      <c r="T10" s="79"/>
      <c r="V10" s="79"/>
      <c r="W10" s="79"/>
      <c r="X10" s="6"/>
      <c r="Y10" s="79"/>
      <c r="Z10" s="6"/>
      <c r="AA10" s="6"/>
      <c r="AB10" s="6"/>
      <c r="AC10" s="6"/>
      <c r="AD10" s="6"/>
    </row>
    <row r="11" spans="2:30" s="7" customFormat="1" ht="14.25" hidden="1" customHeight="1" x14ac:dyDescent="0.3">
      <c r="B11" s="88" t="s">
        <v>21</v>
      </c>
      <c r="C11" s="89"/>
      <c r="D11" s="90"/>
      <c r="E11" s="4"/>
      <c r="F11" s="91"/>
      <c r="G11" s="92"/>
      <c r="H11" s="85"/>
      <c r="I11" s="92"/>
      <c r="J11" s="85"/>
      <c r="K11" s="93"/>
      <c r="L11" s="93"/>
      <c r="M11" s="92"/>
      <c r="N11" s="93"/>
      <c r="P11" s="4"/>
      <c r="Q11" s="94"/>
      <c r="R11" s="94"/>
      <c r="S11" s="94"/>
      <c r="T11" s="4"/>
      <c r="U11" s="4"/>
      <c r="V11" s="4"/>
      <c r="W11" s="4"/>
    </row>
    <row r="12" spans="2:30" s="7" customFormat="1" ht="12.75" hidden="1" customHeight="1" x14ac:dyDescent="0.3">
      <c r="B12" s="84" t="s">
        <v>22</v>
      </c>
      <c r="C12" s="89"/>
      <c r="D12" s="90"/>
      <c r="E12" s="4"/>
      <c r="F12" s="91"/>
      <c r="G12" s="92"/>
      <c r="H12" s="85"/>
      <c r="I12" s="92"/>
      <c r="J12" s="85"/>
      <c r="K12" s="95"/>
      <c r="L12" s="93"/>
      <c r="M12" s="93"/>
      <c r="N12" s="93"/>
      <c r="O12" s="7" t="s">
        <v>121</v>
      </c>
      <c r="P12" s="4"/>
      <c r="Q12" s="94"/>
      <c r="R12" s="64"/>
      <c r="S12" s="64"/>
      <c r="T12" s="4"/>
      <c r="U12" s="4"/>
      <c r="V12" s="4"/>
      <c r="W12" s="4"/>
    </row>
    <row r="13" spans="2:30" s="7" customFormat="1" ht="45" hidden="1" customHeight="1" x14ac:dyDescent="0.3">
      <c r="B13" s="96" t="s">
        <v>23</v>
      </c>
      <c r="C13" s="96" t="s">
        <v>24</v>
      </c>
      <c r="D13" s="96" t="s">
        <v>25</v>
      </c>
      <c r="E13" s="96" t="s">
        <v>26</v>
      </c>
      <c r="F13" s="96" t="s">
        <v>27</v>
      </c>
      <c r="G13" s="96" t="s">
        <v>28</v>
      </c>
      <c r="H13" s="96" t="s">
        <v>29</v>
      </c>
      <c r="I13" s="96" t="s">
        <v>30</v>
      </c>
      <c r="J13" s="85"/>
      <c r="K13" s="97" t="s">
        <v>31</v>
      </c>
      <c r="L13" s="98" t="s">
        <v>32</v>
      </c>
      <c r="M13" s="98" t="s">
        <v>33</v>
      </c>
      <c r="N13" s="93"/>
      <c r="O13" s="319" t="s">
        <v>122</v>
      </c>
      <c r="P13" s="319" t="s">
        <v>123</v>
      </c>
      <c r="Q13" s="323" t="s">
        <v>2</v>
      </c>
      <c r="R13" s="324" t="s">
        <v>3</v>
      </c>
      <c r="S13" s="325" t="s">
        <v>1</v>
      </c>
      <c r="T13" s="4"/>
      <c r="W13" s="4"/>
    </row>
    <row r="14" spans="2:30" s="7" customFormat="1" ht="12.75" hidden="1" customHeight="1" x14ac:dyDescent="0.3">
      <c r="B14" s="99">
        <f>LN((D7/F7)/(D8/F8))</f>
        <v>-0.37078450536276519</v>
      </c>
      <c r="C14" s="99">
        <f>SQRT((E7/(D7*F7)+(E8/(D8*F8))))</f>
        <v>9.0720022823473773E-2</v>
      </c>
      <c r="D14" s="100">
        <f>-NORMSINV((1-I2)/2)</f>
        <v>1.9599639845400536</v>
      </c>
      <c r="E14" s="101">
        <f>B14-(D14*C14)</f>
        <v>-0.54859248277342543</v>
      </c>
      <c r="F14" s="102">
        <f>B14+(D14*C14)</f>
        <v>-0.19297652795210493</v>
      </c>
      <c r="G14" s="103">
        <f>(D7/F7)/(D8/F8)</f>
        <v>0.69019265835091137</v>
      </c>
      <c r="H14" s="103">
        <f>EXP(E14)</f>
        <v>0.57776244894469508</v>
      </c>
      <c r="I14" s="103">
        <f>EXP(F14)</f>
        <v>0.82450132664661435</v>
      </c>
      <c r="J14" s="85"/>
      <c r="K14" s="104">
        <f>1-G14</f>
        <v>0.30980734164908863</v>
      </c>
      <c r="L14" s="103">
        <f>1-H14</f>
        <v>0.42223755105530492</v>
      </c>
      <c r="M14" s="103">
        <f>1-I14</f>
        <v>0.17549867335338565</v>
      </c>
      <c r="N14" s="105"/>
      <c r="O14" s="321">
        <f>(D7/F7)*H4/2</f>
        <v>0.94698101130787282</v>
      </c>
      <c r="P14" s="322">
        <f>(D8/F8)*H4/2</f>
        <v>1.3720531504500644</v>
      </c>
      <c r="Q14" s="326">
        <f>H4-R14-S14</f>
        <v>31.202874710407741</v>
      </c>
      <c r="R14" s="326">
        <f>P14-O14</f>
        <v>0.42507213914219155</v>
      </c>
      <c r="S14" s="326">
        <f>P14</f>
        <v>1.3720531504500644</v>
      </c>
      <c r="T14" s="4" t="str">
        <f>I4</f>
        <v>meses</v>
      </c>
      <c r="W14" s="4"/>
    </row>
    <row r="15" spans="2:30" s="7" customFormat="1" ht="12.75" hidden="1" customHeight="1" x14ac:dyDescent="0.3">
      <c r="B15" s="106"/>
      <c r="C15" s="89"/>
      <c r="D15" s="89"/>
      <c r="E15" s="89"/>
      <c r="F15" s="107"/>
      <c r="G15" s="108"/>
      <c r="H15" s="85"/>
      <c r="I15" s="92"/>
      <c r="J15" s="85"/>
      <c r="K15" s="92"/>
      <c r="L15" s="92"/>
      <c r="M15" s="92"/>
      <c r="N15" s="93"/>
      <c r="P15" s="4"/>
      <c r="Q15" s="4"/>
      <c r="R15" s="4"/>
      <c r="S15" s="4"/>
      <c r="T15" s="4"/>
      <c r="U15" s="4"/>
      <c r="V15" s="4"/>
      <c r="W15" s="4"/>
    </row>
    <row r="16" spans="2:30" s="6" customFormat="1" ht="12.75" hidden="1" customHeight="1" x14ac:dyDescent="0.3">
      <c r="B16" s="109"/>
      <c r="C16" s="110"/>
      <c r="D16" s="111"/>
      <c r="E16" s="112"/>
      <c r="F16" s="113"/>
      <c r="G16" s="114"/>
      <c r="H16" s="115"/>
      <c r="I16" s="116"/>
      <c r="J16" s="116"/>
      <c r="K16" s="117"/>
      <c r="L16" s="117"/>
      <c r="M16" s="118"/>
      <c r="N16" s="118"/>
    </row>
    <row r="17" spans="2:30" ht="15.75" hidden="1" customHeight="1" x14ac:dyDescent="0.3">
      <c r="B17" s="119" t="s">
        <v>34</v>
      </c>
      <c r="C17" s="4"/>
      <c r="D17" s="120"/>
      <c r="E17" s="120"/>
      <c r="F17" s="63"/>
      <c r="G17" s="63"/>
      <c r="H17" s="121"/>
      <c r="I17" s="122"/>
      <c r="J17" s="123"/>
      <c r="K17" s="123"/>
      <c r="L17" s="7"/>
      <c r="M17" s="93"/>
      <c r="N17" s="85"/>
      <c r="O17" s="122"/>
      <c r="P17" s="4"/>
      <c r="Q17" s="4"/>
      <c r="R17" s="124"/>
      <c r="S17" s="122"/>
      <c r="T17" s="125"/>
      <c r="U17" s="125"/>
      <c r="V17" s="125"/>
      <c r="W17" s="6"/>
      <c r="X17" s="6"/>
      <c r="Y17" s="6"/>
      <c r="Z17" s="6"/>
      <c r="AA17" s="6"/>
      <c r="AB17" s="6"/>
      <c r="AC17" s="6"/>
    </row>
    <row r="18" spans="2:30" ht="12.75" hidden="1" customHeight="1" x14ac:dyDescent="0.3">
      <c r="B18" s="126" t="s">
        <v>35</v>
      </c>
      <c r="C18" s="4"/>
      <c r="D18" s="122"/>
      <c r="E18" s="122"/>
      <c r="F18" s="4"/>
      <c r="G18" s="4"/>
      <c r="H18" s="124"/>
      <c r="I18" s="122"/>
      <c r="J18" s="125"/>
      <c r="K18" s="125"/>
      <c r="L18" s="125"/>
      <c r="M18" s="93"/>
      <c r="N18" s="85"/>
      <c r="O18" s="4"/>
      <c r="P18" s="4"/>
      <c r="Q18" s="124"/>
      <c r="R18" s="122"/>
      <c r="S18" s="125"/>
      <c r="T18" s="125"/>
      <c r="U18" s="125"/>
      <c r="W18" s="6" t="s">
        <v>36</v>
      </c>
      <c r="X18" s="6"/>
      <c r="Y18" s="6"/>
      <c r="Z18" s="6"/>
      <c r="AA18" s="6"/>
      <c r="AB18" s="6"/>
    </row>
    <row r="19" spans="2:30" ht="25.5" hidden="1" customHeight="1" x14ac:dyDescent="0.3">
      <c r="B19" s="127" t="s">
        <v>37</v>
      </c>
      <c r="C19" s="1" t="s">
        <v>38</v>
      </c>
      <c r="D19" s="7"/>
      <c r="E19" s="1" t="s">
        <v>39</v>
      </c>
      <c r="G19" s="1" t="s">
        <v>40</v>
      </c>
      <c r="I19" s="1" t="s">
        <v>41</v>
      </c>
      <c r="J19" s="125"/>
      <c r="K19" s="125"/>
      <c r="L19" s="125"/>
      <c r="M19" s="93"/>
      <c r="N19" s="117"/>
      <c r="P19" s="1"/>
      <c r="T19" s="6"/>
      <c r="V19" s="1"/>
      <c r="W19" s="1" t="s">
        <v>42</v>
      </c>
      <c r="Y19" s="6"/>
      <c r="Z19" s="6"/>
      <c r="AA19" s="6"/>
      <c r="AB19" s="6"/>
      <c r="AC19" s="6"/>
      <c r="AD19" s="6"/>
    </row>
    <row r="20" spans="2:30" ht="38.25" hidden="1" customHeight="1" x14ac:dyDescent="0.4">
      <c r="B20" s="96" t="s">
        <v>43</v>
      </c>
      <c r="C20" s="96" t="s">
        <v>44</v>
      </c>
      <c r="D20" s="128" t="s">
        <v>45</v>
      </c>
      <c r="E20" s="128" t="s">
        <v>38</v>
      </c>
      <c r="F20" s="128" t="s">
        <v>46</v>
      </c>
      <c r="G20" s="128" t="s">
        <v>40</v>
      </c>
      <c r="H20" s="128" t="s">
        <v>41</v>
      </c>
      <c r="I20" s="129" t="s">
        <v>47</v>
      </c>
      <c r="J20" s="128" t="s">
        <v>48</v>
      </c>
      <c r="K20" s="128" t="s">
        <v>32</v>
      </c>
      <c r="L20" s="128" t="s">
        <v>33</v>
      </c>
      <c r="M20" s="130"/>
      <c r="N20" s="131"/>
      <c r="O20" s="132" t="s">
        <v>49</v>
      </c>
      <c r="P20" s="133" t="s">
        <v>50</v>
      </c>
      <c r="Q20" s="134"/>
      <c r="R20" s="135"/>
      <c r="S20" s="136"/>
      <c r="T20" s="136"/>
      <c r="U20" s="137"/>
      <c r="W20" s="138"/>
      <c r="X20" s="132" t="s">
        <v>51</v>
      </c>
      <c r="Y20" s="133" t="s">
        <v>52</v>
      </c>
      <c r="Z20" s="139"/>
      <c r="AA20" s="139"/>
      <c r="AB20" s="139" t="s">
        <v>53</v>
      </c>
      <c r="AC20" s="139"/>
      <c r="AD20" s="140"/>
    </row>
    <row r="21" spans="2:30" ht="12.75" hidden="1" customHeight="1" x14ac:dyDescent="0.3">
      <c r="B21" s="141">
        <f>D7</f>
        <v>269</v>
      </c>
      <c r="C21" s="142">
        <f>F7</f>
        <v>4687</v>
      </c>
      <c r="D21" s="143">
        <f>B21/C21</f>
        <v>5.7392788564113506E-2</v>
      </c>
      <c r="E21" s="144">
        <f>2*B21+I21^2</f>
        <v>541.84145882069413</v>
      </c>
      <c r="F21" s="144">
        <f>I21*SQRT((I21^2)+(4*B21*(1-D21)))</f>
        <v>62.537497459441937</v>
      </c>
      <c r="G21" s="145">
        <f>2*(C21+I21^2)</f>
        <v>9381.6829176413885</v>
      </c>
      <c r="H21" s="146" t="s">
        <v>54</v>
      </c>
      <c r="I21" s="100">
        <f>-NORMSINV((1-I2)/2)</f>
        <v>1.9599639845400536</v>
      </c>
      <c r="J21" s="147">
        <f>D21</f>
        <v>5.7392788564113506E-2</v>
      </c>
      <c r="K21" s="147">
        <f>(E21-F21)/G21</f>
        <v>5.108933712308325E-2</v>
      </c>
      <c r="L21" s="147">
        <f>(E21+F21)/G21</f>
        <v>6.4421166392615692E-2</v>
      </c>
      <c r="M21" s="130"/>
      <c r="N21" s="148">
        <f>F9/2</f>
        <v>3510</v>
      </c>
      <c r="O21" s="8" t="s">
        <v>55</v>
      </c>
      <c r="P21" s="4"/>
      <c r="Q21" s="124"/>
      <c r="R21" s="122"/>
      <c r="S21" s="125"/>
      <c r="T21" s="125"/>
      <c r="U21" s="149"/>
      <c r="W21" s="150">
        <f>ABS(D21-D22)</f>
        <v>2.5761947826799483E-2</v>
      </c>
      <c r="X21" s="8" t="s">
        <v>56</v>
      </c>
      <c r="Y21" s="4"/>
      <c r="Z21" s="8"/>
      <c r="AA21" s="8"/>
      <c r="AB21" s="8" t="s">
        <v>57</v>
      </c>
      <c r="AC21" s="8"/>
      <c r="AD21" s="151"/>
    </row>
    <row r="22" spans="2:30" ht="14.25" hidden="1" customHeight="1" x14ac:dyDescent="0.4">
      <c r="B22" s="141">
        <f>D8</f>
        <v>194</v>
      </c>
      <c r="C22" s="142">
        <f>F8</f>
        <v>2333</v>
      </c>
      <c r="D22" s="143">
        <f>B22/C22</f>
        <v>8.3154736390912989E-2</v>
      </c>
      <c r="E22" s="144">
        <f>2*B22+I22^2</f>
        <v>391.84145882069413</v>
      </c>
      <c r="F22" s="144">
        <f>I22*SQRT((I22^2)+(4*B22*(1-D22)))</f>
        <v>52.419909444321128</v>
      </c>
      <c r="G22" s="145">
        <f>2*(C22+I22^2)</f>
        <v>4673.6829176413885</v>
      </c>
      <c r="H22" s="146" t="s">
        <v>54</v>
      </c>
      <c r="I22" s="100">
        <f>-NORMSINV((1-I2)/2)</f>
        <v>1.9599639845400536</v>
      </c>
      <c r="J22" s="147">
        <f>D22</f>
        <v>8.3154736390912989E-2</v>
      </c>
      <c r="K22" s="147">
        <f>(E22-F22)/G22</f>
        <v>7.2624000249393209E-2</v>
      </c>
      <c r="L22" s="147">
        <f>(E22+F22)/G22</f>
        <v>9.5055949685438942E-2</v>
      </c>
      <c r="M22" s="130"/>
      <c r="N22" s="152">
        <f>J26</f>
        <v>2.5761947826799483E-2</v>
      </c>
      <c r="O22" s="8" t="s">
        <v>58</v>
      </c>
      <c r="P22" s="8"/>
      <c r="Q22" s="8"/>
      <c r="R22" s="8"/>
      <c r="S22" s="8"/>
      <c r="T22" s="8"/>
      <c r="U22" s="153"/>
      <c r="W22" s="154">
        <f>SQRT((D23*(1-D23)/C21)+(D23*(1-D23)/C22))</f>
        <v>6.2888275398327543E-3</v>
      </c>
      <c r="X22" s="126" t="s">
        <v>59</v>
      </c>
      <c r="Y22" s="8"/>
      <c r="Z22" s="8"/>
      <c r="AA22" s="8"/>
      <c r="AB22" s="8"/>
      <c r="AC22" s="8"/>
      <c r="AD22" s="151"/>
    </row>
    <row r="23" spans="2:30" ht="12.75" hidden="1" customHeight="1" x14ac:dyDescent="0.3">
      <c r="B23" s="141">
        <f>D9</f>
        <v>463</v>
      </c>
      <c r="C23" s="142">
        <f>F9</f>
        <v>7020</v>
      </c>
      <c r="D23" s="143">
        <f>B23/C23</f>
        <v>6.5954415954415951E-2</v>
      </c>
      <c r="E23" s="144">
        <f>2*B23+I23^2</f>
        <v>929.84145882069413</v>
      </c>
      <c r="F23" s="144">
        <f>I23*SQRT((I23^2)+(4*B23*(1-D23)))</f>
        <v>81.608293999610552</v>
      </c>
      <c r="G23" s="145">
        <f>2*(C23+I23^2)</f>
        <v>14047.682917641388</v>
      </c>
      <c r="H23" s="146" t="s">
        <v>54</v>
      </c>
      <c r="I23" s="100">
        <f>-NORMSINV((1-I2)/2)</f>
        <v>1.9599639845400536</v>
      </c>
      <c r="J23" s="147">
        <f>D23</f>
        <v>6.5954415954415951E-2</v>
      </c>
      <c r="K23" s="147">
        <f>(E23-F23)/G23</f>
        <v>6.0382425329080697E-2</v>
      </c>
      <c r="L23" s="147">
        <f>(E23+F23)/G23</f>
        <v>7.2001180461590847E-2</v>
      </c>
      <c r="M23" s="130"/>
      <c r="N23" s="155">
        <f>(B21+B22)/(C21+C22)</f>
        <v>6.5954415954415951E-2</v>
      </c>
      <c r="O23" s="8" t="s">
        <v>60</v>
      </c>
      <c r="P23" s="4"/>
      <c r="Q23" s="124"/>
      <c r="R23" s="122"/>
      <c r="S23" s="125"/>
      <c r="T23" s="125"/>
      <c r="U23" s="151"/>
      <c r="W23" s="156">
        <f>W21/W22</f>
        <v>4.0964627609242088</v>
      </c>
      <c r="X23" s="8" t="s">
        <v>61</v>
      </c>
      <c r="Y23" s="4"/>
      <c r="Z23" s="8"/>
      <c r="AA23" s="8"/>
      <c r="AB23" s="8"/>
      <c r="AC23" s="8"/>
      <c r="AD23" s="151"/>
    </row>
    <row r="24" spans="2:30" ht="15" hidden="1" customHeight="1" x14ac:dyDescent="0.3">
      <c r="B24" s="84"/>
      <c r="C24" s="157" t="s">
        <v>62</v>
      </c>
      <c r="F24" s="158"/>
      <c r="G24" s="116"/>
      <c r="H24" s="116"/>
      <c r="I24" s="116"/>
      <c r="J24" s="116"/>
      <c r="K24" s="117"/>
      <c r="L24" s="83"/>
      <c r="M24" s="130"/>
      <c r="N24" s="159">
        <f>SQRT(N21*N22^2/(2*N23*(1-N23)))-I21</f>
        <v>2.3882537353830533</v>
      </c>
      <c r="O24" s="8" t="s">
        <v>63</v>
      </c>
      <c r="P24" s="8"/>
      <c r="Q24" s="8"/>
      <c r="R24" s="8"/>
      <c r="S24" s="8"/>
      <c r="T24" s="7"/>
      <c r="U24" s="149"/>
      <c r="W24" s="160">
        <f>NORMSDIST(-W23)</f>
        <v>2.0975546713873939E-5</v>
      </c>
      <c r="X24" s="119" t="s">
        <v>64</v>
      </c>
      <c r="Y24" s="8"/>
      <c r="Z24" s="7"/>
      <c r="AA24" s="7"/>
      <c r="AB24" s="7"/>
      <c r="AC24" s="7"/>
      <c r="AD24" s="153"/>
    </row>
    <row r="25" spans="2:30" ht="13.5" hidden="1" customHeight="1" x14ac:dyDescent="0.3">
      <c r="B25" s="84"/>
      <c r="C25" s="157" t="s">
        <v>65</v>
      </c>
      <c r="D25" s="2"/>
      <c r="E25" s="161"/>
      <c r="F25" s="158"/>
      <c r="G25" s="116"/>
      <c r="H25" s="83"/>
      <c r="I25" s="83"/>
      <c r="J25" s="162"/>
      <c r="K25" s="162"/>
      <c r="L25" s="162"/>
      <c r="M25" s="130"/>
      <c r="N25" s="163">
        <f>NORMSDIST(N24)</f>
        <v>0.99153567522999753</v>
      </c>
      <c r="O25" s="119" t="s">
        <v>66</v>
      </c>
      <c r="P25" s="164"/>
      <c r="Q25" s="8"/>
      <c r="R25" s="8"/>
      <c r="S25" s="8"/>
      <c r="T25" s="8"/>
      <c r="U25" s="151"/>
      <c r="W25" s="165">
        <f>1-W24</f>
        <v>0.99997902445328612</v>
      </c>
      <c r="X25" s="166" t="s">
        <v>67</v>
      </c>
      <c r="Y25" s="164"/>
      <c r="Z25" s="7"/>
      <c r="AA25" s="7"/>
      <c r="AB25" s="7"/>
      <c r="AC25" s="7"/>
      <c r="AD25" s="153"/>
    </row>
    <row r="26" spans="2:30" ht="15" hidden="1" customHeight="1" x14ac:dyDescent="0.35">
      <c r="F26" s="167"/>
      <c r="G26" s="83"/>
      <c r="H26" s="83"/>
      <c r="I26" s="67" t="s">
        <v>68</v>
      </c>
      <c r="J26" s="168">
        <f>D22-D21</f>
        <v>2.5761947826799483E-2</v>
      </c>
      <c r="K26" s="169">
        <f>J26+SQRT((D22-K22)^2+(L21-D21)^2)</f>
        <v>3.8422694194312421E-2</v>
      </c>
      <c r="L26" s="170">
        <f>J26-SQRT((D21-K21)^2+(L22-D22)^2)</f>
        <v>1.229449157288027E-2</v>
      </c>
      <c r="M26" s="82"/>
      <c r="N26" s="171">
        <f>1-N25</f>
        <v>8.4643247700024737E-3</v>
      </c>
      <c r="O26" s="172" t="s">
        <v>69</v>
      </c>
      <c r="P26" s="173"/>
      <c r="Q26" s="174"/>
      <c r="R26" s="173"/>
      <c r="S26" s="173"/>
      <c r="T26" s="173"/>
      <c r="U26" s="175"/>
      <c r="W26" s="176"/>
      <c r="X26" s="177"/>
      <c r="Y26" s="173"/>
      <c r="Z26" s="177"/>
      <c r="AA26" s="177"/>
      <c r="AB26" s="177"/>
      <c r="AC26" s="177"/>
      <c r="AD26" s="178"/>
    </row>
    <row r="27" spans="2:30" ht="13.5" hidden="1" customHeight="1" x14ac:dyDescent="0.3">
      <c r="F27" s="179"/>
      <c r="G27" s="83"/>
      <c r="H27" s="83"/>
      <c r="I27" s="67" t="s">
        <v>70</v>
      </c>
      <c r="J27" s="180">
        <f>1/J26</f>
        <v>38.816940656937675</v>
      </c>
      <c r="K27" s="181">
        <f>1/K26</f>
        <v>26.026285271479651</v>
      </c>
      <c r="L27" s="182">
        <f>1/L26</f>
        <v>81.337239044991819</v>
      </c>
      <c r="M27" s="82"/>
      <c r="N27" s="83"/>
      <c r="O27" s="1"/>
      <c r="P27" s="1"/>
      <c r="U27" s="1"/>
      <c r="V27" s="1"/>
      <c r="W27" s="6"/>
      <c r="X27" s="6"/>
      <c r="Y27" s="6"/>
      <c r="Z27" s="6"/>
      <c r="AA27" s="6"/>
      <c r="AB27" s="6"/>
      <c r="AC27" s="6"/>
    </row>
    <row r="28" spans="2:30" ht="14.25" hidden="1" customHeight="1" x14ac:dyDescent="0.4">
      <c r="G28" s="83"/>
      <c r="H28" s="83"/>
      <c r="K28" s="183"/>
      <c r="L28" s="183"/>
      <c r="M28" s="184"/>
      <c r="N28" s="131"/>
      <c r="O28" s="185"/>
      <c r="P28" s="185" t="s">
        <v>59</v>
      </c>
      <c r="Q28" s="186">
        <f>SQRT((D23*(1-D23)/C21)+(D23*(1-D23)/C22))</f>
        <v>6.2888275398327543E-3</v>
      </c>
      <c r="R28" s="187"/>
      <c r="S28" s="187"/>
      <c r="T28" s="187"/>
      <c r="U28" s="140"/>
      <c r="V28" s="1"/>
    </row>
    <row r="29" spans="2:30" ht="31.5" hidden="1" customHeight="1" x14ac:dyDescent="0.35">
      <c r="F29" s="188"/>
      <c r="G29" s="189"/>
      <c r="H29" s="190" t="s">
        <v>71</v>
      </c>
      <c r="I29" s="191" t="s">
        <v>11</v>
      </c>
      <c r="J29" s="192">
        <f>J27</f>
        <v>38.816940656937675</v>
      </c>
      <c r="K29" s="192">
        <f>K27</f>
        <v>26.026285271479651</v>
      </c>
      <c r="L29" s="192">
        <f>L27</f>
        <v>81.337239044991819</v>
      </c>
      <c r="M29" s="83"/>
      <c r="N29" s="193" t="s">
        <v>72</v>
      </c>
      <c r="O29" s="194"/>
      <c r="P29" s="8" t="s">
        <v>73</v>
      </c>
      <c r="Q29" s="8"/>
      <c r="R29" s="124"/>
      <c r="S29" s="195" t="s">
        <v>74</v>
      </c>
      <c r="T29" s="8"/>
      <c r="U29" s="151"/>
      <c r="V29" s="1"/>
    </row>
    <row r="30" spans="2:30" s="7" customFormat="1" ht="14.25" hidden="1" customHeight="1" x14ac:dyDescent="0.4">
      <c r="F30" s="196"/>
      <c r="G30" s="197"/>
      <c r="H30" s="198"/>
      <c r="I30" s="199" t="s">
        <v>75</v>
      </c>
      <c r="J30" s="344">
        <f>(1-D22)*J27</f>
        <v>35.589128189108308</v>
      </c>
      <c r="K30" s="200">
        <f>(1-D22)*K27</f>
        <v>23.862076380495061</v>
      </c>
      <c r="L30" s="200">
        <f>(1-D22)*L27</f>
        <v>74.573662373440854</v>
      </c>
      <c r="M30" s="83"/>
      <c r="N30" s="201"/>
      <c r="O30" s="202" t="s">
        <v>76</v>
      </c>
      <c r="Q30" s="203" t="s">
        <v>77</v>
      </c>
      <c r="R30" s="202" t="s">
        <v>78</v>
      </c>
      <c r="S30" s="8"/>
      <c r="T30" s="8"/>
      <c r="U30" s="153"/>
    </row>
    <row r="31" spans="2:30" s="7" customFormat="1" ht="14.25" hidden="1" customHeight="1" x14ac:dyDescent="0.4">
      <c r="F31" s="204"/>
      <c r="G31" s="205"/>
      <c r="H31" s="206"/>
      <c r="I31" s="207" t="s">
        <v>79</v>
      </c>
      <c r="J31" s="208">
        <f>J27*J26</f>
        <v>1</v>
      </c>
      <c r="K31" s="208">
        <f>K27*K26</f>
        <v>1</v>
      </c>
      <c r="L31" s="208">
        <f>L27*L26</f>
        <v>1</v>
      </c>
      <c r="M31" s="93"/>
      <c r="N31" s="159">
        <f>ABS((J26/Q28))-I21</f>
        <v>2.1364987763841552</v>
      </c>
      <c r="O31" s="202" t="s">
        <v>80</v>
      </c>
      <c r="P31" s="8"/>
      <c r="Q31" s="8"/>
      <c r="R31" s="122"/>
      <c r="S31" s="125"/>
      <c r="T31" s="125"/>
      <c r="U31" s="149"/>
    </row>
    <row r="32" spans="2:30" s="7" customFormat="1" ht="12.75" hidden="1" customHeight="1" x14ac:dyDescent="0.3">
      <c r="B32" s="209"/>
      <c r="C32" s="210"/>
      <c r="E32" s="211"/>
      <c r="G32" s="212"/>
      <c r="H32" s="213"/>
      <c r="I32" s="214" t="s">
        <v>81</v>
      </c>
      <c r="J32" s="343">
        <f>(D22-J26)*J27</f>
        <v>2.2278124678293652</v>
      </c>
      <c r="K32" s="215">
        <f>(D22-K26)*K27</f>
        <v>1.1642088909845916</v>
      </c>
      <c r="L32" s="215">
        <f>(D22-L26)*L27</f>
        <v>5.76357667155097</v>
      </c>
      <c r="M32" s="93"/>
      <c r="N32" s="163">
        <f>NORMSDIST(N31)</f>
        <v>0.98368060969783944</v>
      </c>
      <c r="O32" s="126" t="s">
        <v>82</v>
      </c>
      <c r="P32" s="164"/>
      <c r="Q32" s="8"/>
      <c r="R32" s="8"/>
      <c r="S32" s="8"/>
      <c r="T32" s="8"/>
      <c r="U32" s="153"/>
    </row>
    <row r="33" spans="2:22" s="7" customFormat="1" ht="12.75" hidden="1" customHeight="1" x14ac:dyDescent="0.3">
      <c r="B33" s="209"/>
      <c r="G33" s="216"/>
      <c r="H33" s="217"/>
      <c r="I33" s="217"/>
      <c r="J33" s="218"/>
      <c r="K33" s="218"/>
      <c r="L33" s="218"/>
      <c r="M33" s="93"/>
      <c r="N33" s="171">
        <f>1-N32</f>
        <v>1.6319390302160564E-2</v>
      </c>
      <c r="O33" s="173" t="s">
        <v>83</v>
      </c>
      <c r="P33" s="173"/>
      <c r="Q33" s="174"/>
      <c r="R33" s="219"/>
      <c r="S33" s="220"/>
      <c r="T33" s="220"/>
      <c r="U33" s="175"/>
    </row>
    <row r="34" spans="2:22" s="7" customFormat="1" ht="31.5" hidden="1" customHeight="1" x14ac:dyDescent="0.3">
      <c r="B34" s="106"/>
      <c r="F34" s="90"/>
      <c r="G34" s="221"/>
      <c r="H34" s="190" t="s">
        <v>84</v>
      </c>
      <c r="I34" s="222" t="s">
        <v>85</v>
      </c>
      <c r="J34" s="223">
        <f>ABS(J27)</f>
        <v>38.816940656937675</v>
      </c>
      <c r="K34" s="223">
        <f>ABS(L27)</f>
        <v>81.337239044991819</v>
      </c>
      <c r="L34" s="223">
        <f>ABS(K27)</f>
        <v>26.026285271479651</v>
      </c>
      <c r="M34" s="93"/>
      <c r="N34" s="82"/>
      <c r="O34" s="8"/>
      <c r="P34" s="8"/>
      <c r="Q34" s="8"/>
      <c r="R34" s="8"/>
      <c r="S34" s="8"/>
      <c r="T34" s="8"/>
      <c r="U34" s="8"/>
      <c r="V34" s="8"/>
    </row>
    <row r="35" spans="2:22" s="7" customFormat="1" ht="13.5" hidden="1" customHeight="1" x14ac:dyDescent="0.3">
      <c r="B35" s="106"/>
      <c r="G35" s="197"/>
      <c r="H35" s="198"/>
      <c r="I35" s="199" t="s">
        <v>75</v>
      </c>
      <c r="J35" s="200">
        <f>ABS((1-(D22-J26))*J27)</f>
        <v>36.589128189108308</v>
      </c>
      <c r="K35" s="200">
        <f>ABS((1-(D22-L26))*L27)</f>
        <v>75.573662373440854</v>
      </c>
      <c r="L35" s="200">
        <f>ABS((1-(D22-K26))*K27)</f>
        <v>24.862076380495061</v>
      </c>
      <c r="M35" s="93"/>
      <c r="N35" s="82"/>
      <c r="O35" s="8"/>
      <c r="P35" s="8"/>
      <c r="Q35" s="8"/>
      <c r="R35" s="8"/>
      <c r="S35" s="8"/>
      <c r="T35" s="8"/>
      <c r="U35" s="8"/>
      <c r="V35" s="8"/>
    </row>
    <row r="36" spans="2:22" s="7" customFormat="1" ht="12.75" hidden="1" customHeight="1" x14ac:dyDescent="0.3">
      <c r="B36" s="106"/>
      <c r="F36" s="224"/>
      <c r="G36" s="225"/>
      <c r="H36" s="226"/>
      <c r="I36" s="227" t="s">
        <v>86</v>
      </c>
      <c r="J36" s="228">
        <f>J27*J26</f>
        <v>1</v>
      </c>
      <c r="K36" s="228">
        <f>L27*L26</f>
        <v>1</v>
      </c>
      <c r="L36" s="228">
        <f>K27*K26</f>
        <v>1</v>
      </c>
      <c r="M36" s="93"/>
      <c r="N36" s="82"/>
      <c r="O36" s="8"/>
      <c r="P36" s="8"/>
      <c r="Q36" s="8"/>
      <c r="R36" s="8"/>
      <c r="S36" s="8"/>
      <c r="T36" s="8"/>
      <c r="U36" s="8"/>
      <c r="V36" s="8"/>
    </row>
    <row r="37" spans="2:22" ht="15.75" hidden="1" customHeight="1" x14ac:dyDescent="0.35">
      <c r="B37" s="229" t="s">
        <v>87</v>
      </c>
      <c r="C37" s="230"/>
      <c r="D37" s="230"/>
      <c r="E37" s="230"/>
      <c r="F37" s="231"/>
      <c r="G37" s="212"/>
      <c r="H37" s="213"/>
      <c r="I37" s="214" t="s">
        <v>88</v>
      </c>
      <c r="J37" s="215">
        <f>ABS(D22*J27)</f>
        <v>3.2278124678293652</v>
      </c>
      <c r="K37" s="215">
        <f>ABS(D22*L27)</f>
        <v>6.76357667155097</v>
      </c>
      <c r="L37" s="215">
        <f>ABS(D22*K27)</f>
        <v>2.1642088909845918</v>
      </c>
      <c r="M37" s="83"/>
      <c r="N37" s="82"/>
      <c r="O37" s="8"/>
      <c r="P37" s="8"/>
      <c r="Q37" s="8"/>
      <c r="R37" s="8"/>
      <c r="S37" s="8"/>
      <c r="T37" s="8"/>
      <c r="U37" s="8"/>
      <c r="V37" s="8"/>
    </row>
    <row r="38" spans="2:22" s="6" customFormat="1" ht="12.75" hidden="1" customHeight="1" x14ac:dyDescent="0.3">
      <c r="B38" s="84"/>
      <c r="C38" s="232" t="s">
        <v>16</v>
      </c>
      <c r="D38" s="233" t="s">
        <v>17</v>
      </c>
      <c r="E38" s="8"/>
      <c r="F38" s="231"/>
      <c r="G38" s="234"/>
      <c r="H38" s="235"/>
      <c r="I38" s="236"/>
      <c r="J38" s="237"/>
      <c r="K38" s="237"/>
      <c r="L38" s="237"/>
      <c r="M38" s="117"/>
      <c r="N38" s="93"/>
      <c r="O38" s="7"/>
      <c r="P38" s="7"/>
      <c r="Q38" s="7"/>
      <c r="R38" s="7"/>
    </row>
    <row r="39" spans="2:22" ht="12.75" hidden="1" customHeight="1" x14ac:dyDescent="0.3">
      <c r="B39" s="238" t="s">
        <v>89</v>
      </c>
      <c r="C39" s="239" t="s">
        <v>18</v>
      </c>
      <c r="D39" s="240" t="s">
        <v>19</v>
      </c>
      <c r="E39" s="3" t="s">
        <v>20</v>
      </c>
      <c r="G39" s="83"/>
      <c r="H39" s="83"/>
      <c r="I39" s="83"/>
      <c r="J39" s="83"/>
      <c r="K39" s="83"/>
      <c r="L39" s="83"/>
      <c r="M39" s="83"/>
      <c r="N39" s="93"/>
      <c r="O39" s="7"/>
      <c r="P39" s="7"/>
      <c r="Q39" s="7"/>
      <c r="R39" s="7"/>
      <c r="U39" s="1"/>
      <c r="V39" s="1"/>
    </row>
    <row r="40" spans="2:22" ht="12.75" hidden="1" customHeight="1" x14ac:dyDescent="0.3">
      <c r="B40" s="241" t="s">
        <v>90</v>
      </c>
      <c r="C40" s="242">
        <f>F7*D9/F9</f>
        <v>309.12834757834759</v>
      </c>
      <c r="D40" s="242">
        <f>F7*E9/F9</f>
        <v>4377.8716524216525</v>
      </c>
      <c r="E40" s="242">
        <f>F7</f>
        <v>4687</v>
      </c>
      <c r="G40" s="10"/>
      <c r="H40" s="243" t="s">
        <v>91</v>
      </c>
      <c r="I40" s="244">
        <f>CHIINV(0.05,K41)</f>
        <v>3.8414588206941236</v>
      </c>
      <c r="J40" s="83"/>
      <c r="K40" s="83"/>
      <c r="L40" s="83"/>
      <c r="M40" s="83"/>
      <c r="N40" s="93"/>
      <c r="O40" s="245"/>
      <c r="P40" s="245"/>
      <c r="Q40" s="245"/>
      <c r="R40" s="7"/>
      <c r="U40" s="1"/>
      <c r="V40" s="1"/>
    </row>
    <row r="41" spans="2:22" ht="12.75" hidden="1" customHeight="1" x14ac:dyDescent="0.3">
      <c r="B41" s="246" t="s">
        <v>92</v>
      </c>
      <c r="C41" s="242">
        <f>F8*D9/F9</f>
        <v>153.87165242165241</v>
      </c>
      <c r="D41" s="242">
        <f>F8*E9/F9</f>
        <v>2179.1283475783475</v>
      </c>
      <c r="E41" s="242">
        <f>F8</f>
        <v>2333</v>
      </c>
      <c r="F41" s="6"/>
      <c r="G41" s="247"/>
      <c r="H41" s="247"/>
      <c r="I41" s="248"/>
      <c r="J41" s="249" t="s">
        <v>93</v>
      </c>
      <c r="K41" s="250">
        <f>(COUNT(C40:D40)-1)*(COUNT(C40:C41)-1)</f>
        <v>1</v>
      </c>
      <c r="L41" s="83"/>
      <c r="M41" s="83"/>
      <c r="N41" s="83"/>
      <c r="O41" s="245"/>
      <c r="P41" s="245"/>
      <c r="Q41" s="245"/>
      <c r="R41" s="7"/>
      <c r="U41" s="1"/>
      <c r="V41" s="1"/>
    </row>
    <row r="42" spans="2:22" ht="12.75" hidden="1" customHeight="1" x14ac:dyDescent="0.3">
      <c r="B42" s="251" t="s">
        <v>94</v>
      </c>
      <c r="C42" s="242">
        <f>SUM(C40:C41)</f>
        <v>463</v>
      </c>
      <c r="D42" s="242">
        <f>SUM(D40:D41)</f>
        <v>6557</v>
      </c>
      <c r="E42" s="252">
        <f>SUM(E40:E41)</f>
        <v>7020</v>
      </c>
      <c r="F42" s="6"/>
      <c r="G42" s="117"/>
      <c r="H42" s="253" t="s">
        <v>95</v>
      </c>
      <c r="I42" s="254" t="s">
        <v>96</v>
      </c>
      <c r="J42" s="83"/>
      <c r="K42" s="83"/>
      <c r="L42" s="83"/>
      <c r="M42" s="83"/>
      <c r="N42" s="83"/>
      <c r="O42" s="245"/>
      <c r="P42" s="255"/>
      <c r="Q42" s="245"/>
      <c r="R42" s="7"/>
      <c r="U42" s="1"/>
      <c r="V42" s="1"/>
    </row>
    <row r="43" spans="2:22" ht="12.75" hidden="1" customHeight="1" x14ac:dyDescent="0.3">
      <c r="B43" s="251"/>
      <c r="C43" s="256"/>
      <c r="D43" s="256"/>
      <c r="E43" s="257"/>
      <c r="F43" s="6"/>
      <c r="G43" s="117"/>
      <c r="H43" s="253" t="s">
        <v>97</v>
      </c>
      <c r="I43" s="254" t="s">
        <v>98</v>
      </c>
      <c r="J43" s="83"/>
      <c r="K43" s="83"/>
      <c r="L43" s="83"/>
      <c r="M43" s="83"/>
      <c r="N43" s="83"/>
      <c r="O43" s="258"/>
      <c r="P43" s="258"/>
      <c r="Q43" s="258"/>
      <c r="R43" s="7"/>
      <c r="U43" s="1"/>
      <c r="V43" s="1"/>
    </row>
    <row r="44" spans="2:22" ht="26.25" hidden="1" customHeight="1" x14ac:dyDescent="0.3">
      <c r="B44" s="259"/>
      <c r="C44" s="542" t="s">
        <v>99</v>
      </c>
      <c r="D44" s="543"/>
      <c r="G44" s="83"/>
      <c r="H44" s="260"/>
      <c r="I44" s="83"/>
      <c r="J44" s="83"/>
      <c r="K44" s="83"/>
      <c r="L44" s="83"/>
      <c r="M44" s="83"/>
      <c r="N44" s="83"/>
      <c r="O44" s="1"/>
      <c r="P44" s="1"/>
      <c r="U44" s="1"/>
      <c r="V44" s="1"/>
    </row>
    <row r="45" spans="2:22" ht="12.75" hidden="1" customHeight="1" x14ac:dyDescent="0.3">
      <c r="B45" s="259"/>
      <c r="C45" s="261">
        <f>(D7-C40)^2/C40</f>
        <v>5.2091123055628312</v>
      </c>
      <c r="D45" s="261">
        <f>(E7-D40)^2/D40</f>
        <v>0.36782354696897729</v>
      </c>
      <c r="F45" s="262"/>
      <c r="G45" s="263"/>
      <c r="H45" s="83"/>
      <c r="I45" s="83"/>
      <c r="J45" s="93"/>
      <c r="K45" s="93"/>
      <c r="L45" s="264"/>
      <c r="M45" s="83"/>
      <c r="N45" s="83"/>
      <c r="O45" s="1"/>
      <c r="P45" s="1"/>
      <c r="U45" s="1"/>
      <c r="V45" s="1"/>
    </row>
    <row r="46" spans="2:22" ht="12.75" hidden="1" customHeight="1" x14ac:dyDescent="0.3">
      <c r="B46" s="259"/>
      <c r="C46" s="261">
        <f>(D8-C41)^2/C41</f>
        <v>10.465113320262748</v>
      </c>
      <c r="D46" s="261">
        <f>(E8-D41)^2/D41</f>
        <v>0.73895797884423353</v>
      </c>
      <c r="E46" s="77"/>
      <c r="F46" s="265" t="s">
        <v>100</v>
      </c>
      <c r="G46" s="266">
        <f>C48-I40</f>
        <v>12.939548330944666</v>
      </c>
      <c r="H46" s="83"/>
      <c r="I46" s="83"/>
      <c r="J46" s="93"/>
      <c r="K46" s="93"/>
      <c r="L46" s="83"/>
      <c r="M46" s="83"/>
      <c r="N46" s="83"/>
      <c r="O46" s="1"/>
      <c r="P46" s="1"/>
      <c r="U46" s="1"/>
      <c r="V46" s="1"/>
    </row>
    <row r="47" spans="2:22" ht="12.75" hidden="1" customHeight="1" x14ac:dyDescent="0.3">
      <c r="B47" s="254" t="s">
        <v>101</v>
      </c>
      <c r="D47" s="267"/>
      <c r="G47" s="268" t="s">
        <v>102</v>
      </c>
      <c r="H47" s="83"/>
      <c r="I47" s="83"/>
      <c r="J47" s="93"/>
      <c r="K47" s="93"/>
      <c r="L47" s="83"/>
      <c r="M47" s="83"/>
      <c r="N47" s="83"/>
      <c r="O47" s="1"/>
      <c r="P47" s="1"/>
      <c r="U47" s="1"/>
      <c r="V47" s="1"/>
    </row>
    <row r="48" spans="2:22" ht="13.5" hidden="1" customHeight="1" x14ac:dyDescent="0.3">
      <c r="B48" s="269" t="s">
        <v>103</v>
      </c>
      <c r="C48" s="270">
        <f>SUM(C45:D46)</f>
        <v>16.781007151638789</v>
      </c>
      <c r="D48" s="8"/>
      <c r="G48" s="268" t="s">
        <v>104</v>
      </c>
      <c r="H48" s="83"/>
      <c r="I48" s="271"/>
      <c r="J48" s="93"/>
      <c r="K48" s="93"/>
      <c r="L48" s="272"/>
      <c r="M48" s="83"/>
      <c r="N48" s="83"/>
      <c r="O48" s="1"/>
      <c r="P48" s="1"/>
      <c r="U48" s="1"/>
      <c r="V48" s="1"/>
    </row>
    <row r="49" spans="2:22" ht="12.75" hidden="1" customHeight="1" x14ac:dyDescent="0.3">
      <c r="B49" s="273" t="s">
        <v>105</v>
      </c>
      <c r="C49" s="274">
        <f>CHIDIST(C48,1)</f>
        <v>4.1951093427747877E-5</v>
      </c>
      <c r="E49" s="8"/>
      <c r="F49" s="8"/>
      <c r="G49" s="82"/>
      <c r="H49" s="275"/>
      <c r="I49" s="82"/>
      <c r="J49" s="93"/>
      <c r="K49" s="93"/>
      <c r="L49" s="82"/>
      <c r="M49" s="83"/>
      <c r="N49" s="83"/>
      <c r="O49" s="1"/>
      <c r="P49" s="1"/>
      <c r="U49" s="1"/>
      <c r="V49" s="1"/>
    </row>
    <row r="50" spans="2:22" s="7" customFormat="1" ht="12.75" hidden="1" customHeight="1" x14ac:dyDescent="0.3">
      <c r="B50" s="106"/>
      <c r="E50" s="276"/>
      <c r="F50" s="276"/>
      <c r="G50" s="93"/>
      <c r="H50" s="93"/>
      <c r="I50" s="277"/>
      <c r="J50" s="93"/>
      <c r="K50" s="93"/>
      <c r="L50" s="93"/>
      <c r="M50" s="93"/>
      <c r="N50" s="93"/>
    </row>
    <row r="51" spans="2:22" ht="13.5" hidden="1" customHeight="1" x14ac:dyDescent="0.3">
      <c r="B51" s="84"/>
      <c r="G51" s="83"/>
      <c r="H51" s="83"/>
      <c r="I51" s="83"/>
      <c r="J51" s="93"/>
      <c r="K51" s="93"/>
      <c r="L51" s="83"/>
      <c r="M51" s="83"/>
      <c r="N51" s="83"/>
      <c r="O51" s="1"/>
      <c r="P51" s="1"/>
      <c r="U51" s="1"/>
      <c r="V51" s="1"/>
    </row>
    <row r="52" spans="2:22" ht="12.75" hidden="1" customHeight="1" x14ac:dyDescent="0.3">
      <c r="B52" s="278" t="s">
        <v>106</v>
      </c>
      <c r="C52" s="279"/>
      <c r="D52" s="279"/>
      <c r="E52" s="279"/>
      <c r="F52" s="279"/>
      <c r="G52" s="279"/>
      <c r="H52" s="280"/>
      <c r="I52" s="83"/>
      <c r="J52" s="281" t="s">
        <v>107</v>
      </c>
      <c r="K52" s="282"/>
      <c r="L52" s="283"/>
      <c r="M52" s="283"/>
      <c r="N52" s="283"/>
      <c r="O52" s="140"/>
      <c r="P52" s="1"/>
      <c r="U52" s="1"/>
      <c r="V52" s="1"/>
    </row>
    <row r="53" spans="2:22" ht="12.75" hidden="1" customHeight="1" x14ac:dyDescent="0.3">
      <c r="B53" s="284">
        <f>I2*100</f>
        <v>95</v>
      </c>
      <c r="C53" s="231"/>
      <c r="D53" s="231"/>
      <c r="E53" s="7"/>
      <c r="F53" s="7"/>
      <c r="G53" s="7"/>
      <c r="H53" s="153"/>
      <c r="I53" s="83"/>
      <c r="J53" s="285"/>
      <c r="K53" s="93"/>
      <c r="L53" s="82"/>
      <c r="M53" s="82"/>
      <c r="N53" s="82"/>
      <c r="O53" s="151"/>
      <c r="P53" s="1"/>
      <c r="U53" s="1"/>
      <c r="V53" s="1"/>
    </row>
    <row r="54" spans="2:22" ht="12.75" hidden="1" customHeight="1" x14ac:dyDescent="0.3">
      <c r="B54" s="286" t="s">
        <v>108</v>
      </c>
      <c r="C54" s="287"/>
      <c r="D54" s="287"/>
      <c r="E54" s="288">
        <f>ROUND(G14,2)</f>
        <v>0.69</v>
      </c>
      <c r="F54" s="289">
        <f>ROUND(J26,4)</f>
        <v>2.58E-2</v>
      </c>
      <c r="G54" s="290">
        <f>ROUND(J27,0)</f>
        <v>39</v>
      </c>
      <c r="H54" s="291"/>
      <c r="I54" s="83"/>
      <c r="J54" s="292" t="s">
        <v>108</v>
      </c>
      <c r="K54" s="7"/>
      <c r="L54" s="7"/>
      <c r="M54" s="7"/>
      <c r="N54" s="82"/>
      <c r="O54" s="151"/>
      <c r="P54" s="1"/>
      <c r="U54" s="1"/>
      <c r="V54" s="1"/>
    </row>
    <row r="55" spans="2:22" ht="12.75" hidden="1" customHeight="1" x14ac:dyDescent="0.3">
      <c r="B55" s="286" t="s">
        <v>109</v>
      </c>
      <c r="C55" s="8"/>
      <c r="D55" s="8"/>
      <c r="E55" s="288">
        <f>ROUND(H14,2)</f>
        <v>0.57999999999999996</v>
      </c>
      <c r="F55" s="289">
        <f>ROUND(L26,4)</f>
        <v>1.23E-2</v>
      </c>
      <c r="G55" s="290">
        <f>ROUND(L27,0)</f>
        <v>81</v>
      </c>
      <c r="H55" s="291"/>
      <c r="I55" s="83"/>
      <c r="J55" s="292" t="s">
        <v>109</v>
      </c>
      <c r="K55" s="293" t="str">
        <f>ROUND(J21,4)*100&amp;J57</f>
        <v>5,74%</v>
      </c>
      <c r="L55" s="293" t="str">
        <f>ROUND(K21,4)*100&amp;J57</f>
        <v>5,11%</v>
      </c>
      <c r="M55" s="293" t="str">
        <f>ROUND(L21,4)*100&amp;J57</f>
        <v>6,44%</v>
      </c>
      <c r="N55" s="294" t="str">
        <f>CONCATENATE(K55," ",J54,L55," ",J58," ",M55,J56)</f>
        <v>5,74% (5,11% a 6,44%)</v>
      </c>
      <c r="O55" s="151"/>
      <c r="P55" s="1"/>
      <c r="U55" s="1"/>
      <c r="V55" s="1"/>
    </row>
    <row r="56" spans="2:22" s="6" customFormat="1" ht="12.75" hidden="1" customHeight="1" x14ac:dyDescent="0.3">
      <c r="B56" s="286" t="s">
        <v>110</v>
      </c>
      <c r="C56" s="287">
        <f>ROUND(D7,0)</f>
        <v>269</v>
      </c>
      <c r="D56" s="287">
        <f>ROUND(D8,0)</f>
        <v>194</v>
      </c>
      <c r="E56" s="288">
        <f>ROUND(I14,2)</f>
        <v>0.82</v>
      </c>
      <c r="F56" s="289">
        <f>ROUND(K26,4)</f>
        <v>3.8399999999999997E-2</v>
      </c>
      <c r="G56" s="290">
        <f>ROUND(K27,0)</f>
        <v>26</v>
      </c>
      <c r="H56" s="295">
        <f>ROUND(N32,4)</f>
        <v>0.98370000000000002</v>
      </c>
      <c r="I56" s="117"/>
      <c r="J56" s="292" t="s">
        <v>110</v>
      </c>
      <c r="K56" s="296" t="str">
        <f>ROUND(J22,4)*100&amp;J57</f>
        <v>8,32%</v>
      </c>
      <c r="L56" s="296" t="str">
        <f>ROUND(K22,4)*100&amp;J57</f>
        <v>7,26%</v>
      </c>
      <c r="M56" s="296" t="str">
        <f>ROUND(L22,4)*100&amp;J57</f>
        <v>9,51%</v>
      </c>
      <c r="N56" s="294" t="str">
        <f>CONCATENATE(K56," ",J54,L56," ",J58," ",M56,J56)</f>
        <v>8,32% (7,26% a 9,51%)</v>
      </c>
      <c r="O56" s="153"/>
    </row>
    <row r="57" spans="2:22" ht="12.75" hidden="1" customHeight="1" x14ac:dyDescent="0.3">
      <c r="B57" s="286" t="s">
        <v>111</v>
      </c>
      <c r="C57" s="297" t="s">
        <v>112</v>
      </c>
      <c r="D57" s="297" t="s">
        <v>113</v>
      </c>
      <c r="E57" s="297" t="s">
        <v>28</v>
      </c>
      <c r="F57" s="297" t="s">
        <v>114</v>
      </c>
      <c r="G57" s="298" t="s">
        <v>11</v>
      </c>
      <c r="H57" s="10" t="s">
        <v>115</v>
      </c>
      <c r="I57" s="83"/>
      <c r="J57" s="292" t="s">
        <v>111</v>
      </c>
      <c r="K57" s="296" t="str">
        <f>ROUND(J23,4)*100&amp;J57</f>
        <v>6,6%</v>
      </c>
      <c r="L57" s="296" t="str">
        <f>ROUND(K23,4)*100&amp;J57</f>
        <v>6,04%</v>
      </c>
      <c r="M57" s="296" t="str">
        <f>ROUND(L23,4)*100&amp;J57</f>
        <v>7,2%</v>
      </c>
      <c r="N57" s="294" t="str">
        <f>CONCATENATE(K57," ",J54,L57," ",J58," ",M57,J56)</f>
        <v>6,6% (6,04% a 7,2%)</v>
      </c>
      <c r="O57" s="153"/>
    </row>
    <row r="58" spans="2:22" ht="12.75" hidden="1" customHeight="1" x14ac:dyDescent="0.3">
      <c r="B58" s="299" t="s">
        <v>116</v>
      </c>
      <c r="C58" s="300" t="str">
        <f>CONCATENATE(C56,B59,C21," ",B54,K55,B56)</f>
        <v>269/4687 (5,74%)</v>
      </c>
      <c r="D58" s="67" t="str">
        <f>CONCATENATE(D56,B59,C22," ",B54,K56,B56)</f>
        <v>194/2333 (8,32%)</v>
      </c>
      <c r="E58" s="300" t="str">
        <f>CONCATENATE(E54," ",B54,E55,B55,E56,B56)</f>
        <v>0,69 (0,58-0,82)</v>
      </c>
      <c r="F58" s="300" t="str">
        <f>CONCATENATE(F54*100,B57," ",B54,F55*100,B57," ",B58," ",F56*100,B57,B56)</f>
        <v>2,58% (1,23% a 3,84%)</v>
      </c>
      <c r="G58" s="10" t="str">
        <f>CONCATENATE(G54," ",B54,G56," ",B58," ",G55,B56)</f>
        <v>39 (26 a 81)</v>
      </c>
      <c r="H58" s="10" t="str">
        <f>CONCATENATE(H56*100,B57)</f>
        <v>98,37%</v>
      </c>
      <c r="I58" s="83"/>
      <c r="J58" s="301" t="s">
        <v>116</v>
      </c>
      <c r="K58" s="8"/>
      <c r="L58" s="8"/>
      <c r="M58" s="8"/>
      <c r="N58" s="82"/>
      <c r="O58" s="151"/>
      <c r="P58" s="1"/>
      <c r="U58" s="1"/>
      <c r="V58" s="1"/>
    </row>
    <row r="59" spans="2:22" ht="13.5" hidden="1" customHeight="1" x14ac:dyDescent="0.3">
      <c r="B59" s="302" t="s">
        <v>117</v>
      </c>
      <c r="C59" s="177"/>
      <c r="D59" s="177"/>
      <c r="E59" s="177"/>
      <c r="F59" s="177"/>
      <c r="G59" s="303"/>
      <c r="H59" s="304"/>
      <c r="I59" s="83"/>
      <c r="J59" s="305" t="s">
        <v>117</v>
      </c>
      <c r="K59" s="177"/>
      <c r="L59" s="177"/>
      <c r="M59" s="177"/>
      <c r="N59" s="306"/>
      <c r="O59" s="175"/>
      <c r="P59" s="1"/>
      <c r="U59" s="1"/>
      <c r="V59" s="1"/>
    </row>
    <row r="60" spans="2:22" x14ac:dyDescent="0.3">
      <c r="B60" s="84"/>
      <c r="G60" s="83"/>
      <c r="H60" s="83"/>
      <c r="I60" s="83"/>
      <c r="J60" s="83"/>
      <c r="K60" s="83"/>
      <c r="L60" s="93"/>
      <c r="M60" s="83"/>
      <c r="N60" s="83"/>
      <c r="O60" s="1"/>
      <c r="P60" s="1"/>
      <c r="U60" s="1"/>
      <c r="V60" s="1"/>
    </row>
    <row r="61" spans="2:22" ht="27" customHeight="1" x14ac:dyDescent="0.3">
      <c r="B61" s="84"/>
      <c r="C61" s="307" t="s">
        <v>112</v>
      </c>
      <c r="D61" s="307" t="s">
        <v>113</v>
      </c>
      <c r="E61" s="308" t="str">
        <f>CONCATENATE(E57," ",B54,H2," ",B53,B57,B56)</f>
        <v>RR (IC 95%)</v>
      </c>
      <c r="F61" s="308" t="str">
        <f>CONCATENATE(F57," ",B54,H2," ",B53,B57,B56)</f>
        <v>RAR (IC 95%)</v>
      </c>
      <c r="G61" s="308" t="str">
        <f>CONCATENATE(G57," ",B54,H2," ",B53,B57,B56)</f>
        <v>NNT (IC 95%)</v>
      </c>
      <c r="H61" s="308" t="s">
        <v>72</v>
      </c>
      <c r="I61" s="309"/>
      <c r="J61" s="345" t="s">
        <v>128</v>
      </c>
      <c r="L61" s="452" t="s">
        <v>119</v>
      </c>
      <c r="M61" s="452" t="s">
        <v>120</v>
      </c>
      <c r="O61" s="308" t="s">
        <v>140</v>
      </c>
      <c r="P61" s="308" t="s">
        <v>120</v>
      </c>
      <c r="R61" s="327" t="s">
        <v>2</v>
      </c>
      <c r="S61" s="328" t="s">
        <v>3</v>
      </c>
      <c r="T61" s="370" t="s">
        <v>1</v>
      </c>
      <c r="U61" s="318" t="s">
        <v>138</v>
      </c>
      <c r="V61" s="1"/>
    </row>
    <row r="62" spans="2:22" ht="21" customHeight="1" x14ac:dyDescent="0.3">
      <c r="B62" s="84"/>
      <c r="C62" s="67" t="str">
        <f t="shared" ref="C62:H62" si="1">C58</f>
        <v>269/4687 (5,74%)</v>
      </c>
      <c r="D62" s="67" t="str">
        <f t="shared" si="1"/>
        <v>194/2333 (8,32%)</v>
      </c>
      <c r="E62" s="67" t="str">
        <f t="shared" si="1"/>
        <v>0,69 (0,58-0,82)</v>
      </c>
      <c r="F62" s="67" t="str">
        <f t="shared" si="1"/>
        <v>2,58% (1,23% a 3,84%)</v>
      </c>
      <c r="G62" s="67" t="str">
        <f t="shared" si="1"/>
        <v>39 (26 a 81)</v>
      </c>
      <c r="H62" s="67" t="str">
        <f t="shared" si="1"/>
        <v>98,37%</v>
      </c>
      <c r="I62" s="310"/>
      <c r="J62" s="311">
        <f>C49</f>
        <v>4.1951093427747877E-5</v>
      </c>
      <c r="L62" s="312">
        <f>IF((K26*L26&lt;0),J23,J21)</f>
        <v>5.7392788564113506E-2</v>
      </c>
      <c r="M62" s="312">
        <f>IF((K26*L26&lt;0),J23,J22)</f>
        <v>8.3154736390912989E-2</v>
      </c>
      <c r="O62" s="373">
        <f>L62*100</f>
        <v>5.7392788564113504</v>
      </c>
      <c r="P62" s="374">
        <f>M62*100</f>
        <v>8.3154736390912998</v>
      </c>
      <c r="R62" s="329">
        <f>Q14</f>
        <v>31.202874710407741</v>
      </c>
      <c r="S62" s="330">
        <f>R14</f>
        <v>0.42507213914219155</v>
      </c>
      <c r="T62" s="371">
        <f>S14</f>
        <v>1.3720531504500644</v>
      </c>
      <c r="U62" s="372">
        <f>R62+S62+T62</f>
        <v>33</v>
      </c>
      <c r="V62" s="268" t="str">
        <f>I4</f>
        <v>meses</v>
      </c>
    </row>
    <row r="63" spans="2:22" x14ac:dyDescent="0.3">
      <c r="B63" s="84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313"/>
    </row>
    <row r="64" spans="2:22" x14ac:dyDescent="0.3">
      <c r="B64" s="390" t="s">
        <v>174</v>
      </c>
      <c r="C64" s="314"/>
      <c r="D64" s="454"/>
      <c r="E64" s="454"/>
      <c r="F64" s="314"/>
      <c r="G64" s="314"/>
      <c r="H64" s="314"/>
      <c r="I64" s="315"/>
      <c r="J64" s="316"/>
      <c r="K64" s="268"/>
      <c r="L64" s="268"/>
      <c r="M64" s="268"/>
      <c r="N64" s="268"/>
      <c r="O64" s="313"/>
    </row>
    <row r="65" spans="1:23" x14ac:dyDescent="0.3">
      <c r="A65" s="379"/>
      <c r="B65" s="389" t="s">
        <v>175</v>
      </c>
      <c r="C65" s="314"/>
      <c r="D65" s="314"/>
      <c r="E65" s="314"/>
      <c r="F65" s="314"/>
      <c r="G65" s="314"/>
      <c r="H65" s="314"/>
      <c r="I65" s="315"/>
      <c r="J65" s="316"/>
      <c r="K65" s="268"/>
      <c r="L65" s="268"/>
      <c r="M65" s="268"/>
      <c r="N65" s="268"/>
      <c r="O65" s="313"/>
    </row>
    <row r="66" spans="1:23" ht="5.5" customHeight="1" thickBot="1" x14ac:dyDescent="0.35">
      <c r="A66" s="379"/>
      <c r="B66" s="580"/>
      <c r="C66" s="357"/>
      <c r="D66" s="357"/>
      <c r="E66" s="357"/>
      <c r="F66" s="357"/>
      <c r="G66" s="357"/>
      <c r="H66" s="357"/>
      <c r="I66" s="352"/>
      <c r="J66" s="412"/>
      <c r="K66" s="353"/>
      <c r="L66" s="353"/>
      <c r="M66" s="353"/>
      <c r="N66" s="353"/>
      <c r="O66" s="353"/>
      <c r="P66" s="379"/>
      <c r="Q66" s="379"/>
      <c r="R66" s="379"/>
      <c r="S66" s="379"/>
      <c r="T66" s="379"/>
      <c r="U66" s="379"/>
      <c r="V66" s="379"/>
    </row>
    <row r="67" spans="1:23" ht="39.75" customHeight="1" thickBot="1" x14ac:dyDescent="0.35">
      <c r="A67" s="379"/>
      <c r="B67" s="559" t="s">
        <v>319</v>
      </c>
      <c r="C67" s="560"/>
      <c r="D67" s="560"/>
      <c r="E67" s="560"/>
      <c r="F67" s="560"/>
      <c r="G67" s="560"/>
      <c r="H67" s="561"/>
      <c r="I67" s="379"/>
      <c r="J67" s="379"/>
      <c r="K67" s="379"/>
      <c r="L67" s="379"/>
      <c r="M67" s="379"/>
      <c r="N67" s="379"/>
      <c r="O67" s="550" t="s">
        <v>143</v>
      </c>
      <c r="P67" s="551"/>
      <c r="Q67" s="379"/>
      <c r="R67" s="544" t="s">
        <v>135</v>
      </c>
      <c r="S67" s="547" t="s">
        <v>136</v>
      </c>
      <c r="T67" s="533" t="s">
        <v>137</v>
      </c>
      <c r="U67" s="536" t="s">
        <v>139</v>
      </c>
      <c r="V67" s="379"/>
    </row>
    <row r="68" spans="1:23" ht="38.25" customHeight="1" thickBot="1" x14ac:dyDescent="0.35">
      <c r="A68" s="379"/>
      <c r="B68" s="557" t="s">
        <v>154</v>
      </c>
      <c r="C68" s="398" t="s">
        <v>356</v>
      </c>
      <c r="D68" s="380" t="s">
        <v>155</v>
      </c>
      <c r="E68" s="552" t="s">
        <v>150</v>
      </c>
      <c r="F68" s="553"/>
      <c r="G68" s="553"/>
      <c r="H68" s="554"/>
      <c r="I68" s="379"/>
      <c r="J68" s="379"/>
      <c r="K68" s="379"/>
      <c r="L68" s="379"/>
      <c r="M68" s="379"/>
      <c r="N68" s="379"/>
      <c r="O68" s="555" t="s">
        <v>321</v>
      </c>
      <c r="P68" s="556"/>
      <c r="Q68" s="379"/>
      <c r="R68" s="545"/>
      <c r="S68" s="548"/>
      <c r="T68" s="534"/>
      <c r="U68" s="537"/>
      <c r="V68" s="379"/>
    </row>
    <row r="69" spans="1:23" ht="26.25" customHeight="1" thickBot="1" x14ac:dyDescent="0.35">
      <c r="A69" s="379"/>
      <c r="B69" s="558"/>
      <c r="C69" s="381" t="s">
        <v>144</v>
      </c>
      <c r="D69" s="382" t="s">
        <v>144</v>
      </c>
      <c r="E69" s="383" t="s">
        <v>134</v>
      </c>
      <c r="F69" s="384" t="s">
        <v>151</v>
      </c>
      <c r="G69" s="384" t="s">
        <v>320</v>
      </c>
      <c r="H69" s="385" t="s">
        <v>118</v>
      </c>
      <c r="I69" s="379"/>
      <c r="J69" s="386" t="s">
        <v>145</v>
      </c>
      <c r="L69" s="375" t="s">
        <v>119</v>
      </c>
      <c r="M69" s="375" t="s">
        <v>120</v>
      </c>
      <c r="N69" s="379"/>
      <c r="O69" s="387" t="s">
        <v>355</v>
      </c>
      <c r="P69" s="388" t="s">
        <v>14</v>
      </c>
      <c r="Q69" s="379"/>
      <c r="R69" s="546"/>
      <c r="S69" s="549"/>
      <c r="T69" s="535"/>
      <c r="U69" s="538"/>
      <c r="V69" s="379"/>
    </row>
    <row r="70" spans="1:23" ht="16.5" customHeight="1" x14ac:dyDescent="0.35">
      <c r="A70" s="379"/>
      <c r="B70" s="453" t="s">
        <v>332</v>
      </c>
      <c r="C70" s="354"/>
      <c r="D70" s="354"/>
      <c r="E70" s="355"/>
      <c r="F70" s="355"/>
      <c r="G70" s="355"/>
      <c r="H70" s="355"/>
      <c r="I70" s="352"/>
      <c r="J70" s="356"/>
      <c r="K70" s="357"/>
      <c r="L70" s="357"/>
      <c r="M70" s="357"/>
      <c r="N70" s="357"/>
      <c r="O70" s="357"/>
      <c r="P70" s="357"/>
      <c r="Q70" s="379"/>
      <c r="R70" s="379"/>
      <c r="S70" s="379"/>
      <c r="T70" s="379"/>
      <c r="U70" s="379"/>
      <c r="V70" s="379"/>
    </row>
    <row r="71" spans="1:23" ht="21" x14ac:dyDescent="0.3">
      <c r="A71" s="379"/>
      <c r="B71" s="359" t="s">
        <v>149</v>
      </c>
      <c r="C71" s="360" t="s">
        <v>168</v>
      </c>
      <c r="D71" s="360" t="s">
        <v>169</v>
      </c>
      <c r="E71" s="360" t="s">
        <v>170</v>
      </c>
      <c r="F71" s="360" t="s">
        <v>171</v>
      </c>
      <c r="G71" s="403" t="s">
        <v>172</v>
      </c>
      <c r="H71" s="409">
        <v>0.98370000000000002</v>
      </c>
      <c r="I71" s="352"/>
      <c r="J71" s="369">
        <v>4.1951093427747877E-5</v>
      </c>
      <c r="K71" s="353"/>
      <c r="L71" s="358">
        <v>5.7392788564113506E-2</v>
      </c>
      <c r="M71" s="358">
        <v>8.3154736390912989E-2</v>
      </c>
      <c r="N71" s="353"/>
      <c r="O71" s="399">
        <v>5.7392788564113504</v>
      </c>
      <c r="P71" s="400">
        <v>8.3154736390912998</v>
      </c>
      <c r="Q71" s="379"/>
      <c r="R71" s="435">
        <v>31.202874710407741</v>
      </c>
      <c r="S71" s="436">
        <v>0.42507213914219155</v>
      </c>
      <c r="T71" s="437">
        <v>1.3720531504500644</v>
      </c>
      <c r="U71" s="401">
        <v>33</v>
      </c>
      <c r="V71" s="445" t="s">
        <v>147</v>
      </c>
    </row>
    <row r="72" spans="1:23" ht="21" x14ac:dyDescent="0.3">
      <c r="A72" s="379"/>
      <c r="B72" s="359" t="s">
        <v>141</v>
      </c>
      <c r="C72" s="360" t="s">
        <v>176</v>
      </c>
      <c r="D72" s="360" t="s">
        <v>177</v>
      </c>
      <c r="E72" s="360" t="s">
        <v>178</v>
      </c>
      <c r="F72" s="360" t="s">
        <v>179</v>
      </c>
      <c r="G72" s="403" t="s">
        <v>180</v>
      </c>
      <c r="H72" s="409">
        <v>0.98860000000000003</v>
      </c>
      <c r="I72" s="352"/>
      <c r="J72" s="369">
        <v>2.2587352604890001E-5</v>
      </c>
      <c r="K72" s="353"/>
      <c r="L72" s="358">
        <v>3.669724770642202E-2</v>
      </c>
      <c r="M72" s="358">
        <v>5.8722674667809685E-2</v>
      </c>
      <c r="N72" s="353"/>
      <c r="O72" s="399">
        <v>3.669724770642202</v>
      </c>
      <c r="P72" s="400">
        <v>5.8722674667809684</v>
      </c>
      <c r="Q72" s="379"/>
      <c r="R72" s="435">
        <v>31.667656323118248</v>
      </c>
      <c r="S72" s="436">
        <v>0.36341954486289652</v>
      </c>
      <c r="T72" s="437">
        <v>0.96892413201885985</v>
      </c>
      <c r="U72" s="401">
        <v>33.000000000000007</v>
      </c>
      <c r="V72" s="445" t="s">
        <v>147</v>
      </c>
    </row>
    <row r="73" spans="1:23" ht="21" x14ac:dyDescent="0.3">
      <c r="A73" s="379"/>
      <c r="B73" s="359" t="s">
        <v>146</v>
      </c>
      <c r="C73" s="360" t="s">
        <v>181</v>
      </c>
      <c r="D73" s="360" t="s">
        <v>182</v>
      </c>
      <c r="E73" s="360" t="s">
        <v>183</v>
      </c>
      <c r="F73" s="360" t="s">
        <v>184</v>
      </c>
      <c r="G73" s="403" t="s">
        <v>185</v>
      </c>
      <c r="H73" s="409">
        <v>0.87849999999999995</v>
      </c>
      <c r="I73" s="352"/>
      <c r="J73" s="369">
        <v>1.7627064891131145E-3</v>
      </c>
      <c r="K73" s="353"/>
      <c r="L73" s="358">
        <v>2.6882867505867294E-2</v>
      </c>
      <c r="M73" s="358">
        <v>4.0720102871838831E-2</v>
      </c>
      <c r="N73" s="353"/>
      <c r="O73" s="399">
        <v>2.6882867505867294</v>
      </c>
      <c r="P73" s="400">
        <v>4.0720102871838835</v>
      </c>
      <c r="Q73" s="379"/>
      <c r="R73" s="435">
        <v>32.09980391907613</v>
      </c>
      <c r="S73" s="436">
        <v>0.2283143835385304</v>
      </c>
      <c r="T73" s="437">
        <v>0.67188169738534076</v>
      </c>
      <c r="U73" s="401">
        <v>33</v>
      </c>
      <c r="V73" s="445" t="s">
        <v>147</v>
      </c>
    </row>
    <row r="74" spans="1:23" ht="21" x14ac:dyDescent="0.3">
      <c r="A74" s="379"/>
      <c r="B74" s="359" t="s">
        <v>315</v>
      </c>
      <c r="C74" s="360" t="s">
        <v>187</v>
      </c>
      <c r="D74" s="360" t="s">
        <v>188</v>
      </c>
      <c r="E74" s="360" t="s">
        <v>201</v>
      </c>
      <c r="F74" s="360" t="s">
        <v>202</v>
      </c>
      <c r="G74" s="361" t="s">
        <v>203</v>
      </c>
      <c r="H74" s="409">
        <v>0.22070000000000001</v>
      </c>
      <c r="I74" s="352"/>
      <c r="J74" s="369">
        <v>0.23395478088878302</v>
      </c>
      <c r="K74" s="353"/>
      <c r="L74" s="358">
        <v>4.7578347578347578E-2</v>
      </c>
      <c r="M74" s="358">
        <v>4.7578347578347578E-2</v>
      </c>
      <c r="N74" s="353"/>
      <c r="O74" s="401">
        <v>4.7578347578347575</v>
      </c>
      <c r="P74" s="401">
        <v>4.7578347578347575</v>
      </c>
      <c r="Q74" s="379"/>
      <c r="R74" s="379"/>
      <c r="S74" s="379"/>
      <c r="T74" s="379"/>
      <c r="U74" s="379"/>
      <c r="V74" s="379"/>
      <c r="W74" s="379"/>
    </row>
    <row r="75" spans="1:23" ht="21" x14ac:dyDescent="0.3">
      <c r="A75" s="379"/>
      <c r="B75" s="359" t="s">
        <v>316</v>
      </c>
      <c r="C75" s="360" t="s">
        <v>189</v>
      </c>
      <c r="D75" s="360" t="s">
        <v>190</v>
      </c>
      <c r="E75" s="360" t="s">
        <v>204</v>
      </c>
      <c r="F75" s="360" t="s">
        <v>205</v>
      </c>
      <c r="G75" s="361" t="s">
        <v>206</v>
      </c>
      <c r="H75" s="409" t="s">
        <v>207</v>
      </c>
      <c r="I75" s="352"/>
      <c r="J75" s="369">
        <v>0.24303835186039516</v>
      </c>
      <c r="K75" s="353"/>
      <c r="L75" s="358">
        <v>4.9715099715099714E-2</v>
      </c>
      <c r="M75" s="358">
        <v>4.9715099715099714E-2</v>
      </c>
      <c r="N75" s="353"/>
      <c r="O75" s="401">
        <v>4.9715099715099713</v>
      </c>
      <c r="P75" s="401">
        <v>4.9715099715099713</v>
      </c>
      <c r="Q75" s="379"/>
      <c r="R75" s="379"/>
      <c r="S75" s="379"/>
      <c r="T75" s="379"/>
      <c r="U75" s="379"/>
      <c r="V75" s="379"/>
      <c r="W75" s="379"/>
    </row>
    <row r="76" spans="1:23" ht="21" x14ac:dyDescent="0.3">
      <c r="A76" s="379"/>
      <c r="B76" s="359" t="s">
        <v>191</v>
      </c>
      <c r="C76" s="360" t="s">
        <v>208</v>
      </c>
      <c r="D76" s="360" t="s">
        <v>209</v>
      </c>
      <c r="E76" s="360" t="s">
        <v>210</v>
      </c>
      <c r="F76" s="360" t="s">
        <v>211</v>
      </c>
      <c r="G76" s="361" t="s">
        <v>212</v>
      </c>
      <c r="H76" s="409" t="s">
        <v>213</v>
      </c>
      <c r="I76" s="352"/>
      <c r="J76" s="369">
        <v>0.44421507486478812</v>
      </c>
      <c r="K76" s="353"/>
      <c r="L76" s="358">
        <v>7.5498575498575502E-3</v>
      </c>
      <c r="M76" s="358">
        <v>7.5498575498575502E-3</v>
      </c>
      <c r="N76" s="353"/>
      <c r="O76" s="401">
        <v>0.75498575498575504</v>
      </c>
      <c r="P76" s="401">
        <v>0.75498575498575504</v>
      </c>
      <c r="Q76" s="379"/>
      <c r="R76" s="379"/>
      <c r="S76" s="379"/>
      <c r="T76" s="379"/>
      <c r="U76" s="379"/>
      <c r="V76" s="379"/>
      <c r="W76" s="379"/>
    </row>
    <row r="77" spans="1:23" ht="21" x14ac:dyDescent="0.3">
      <c r="A77" s="379"/>
      <c r="B77" s="359" t="s">
        <v>214</v>
      </c>
      <c r="C77" s="360" t="s">
        <v>192</v>
      </c>
      <c r="D77" s="360" t="s">
        <v>193</v>
      </c>
      <c r="E77" s="360" t="s">
        <v>215</v>
      </c>
      <c r="F77" s="360" t="s">
        <v>216</v>
      </c>
      <c r="G77" s="361" t="s">
        <v>217</v>
      </c>
      <c r="H77" s="409">
        <v>2.6200000000000001E-2</v>
      </c>
      <c r="I77" s="352"/>
      <c r="J77" s="369">
        <v>0.9835686787440171</v>
      </c>
      <c r="K77" s="353"/>
      <c r="L77" s="358">
        <v>2.8347578347578346E-2</v>
      </c>
      <c r="M77" s="358">
        <v>2.8347578347578346E-2</v>
      </c>
      <c r="N77" s="353"/>
      <c r="O77" s="401">
        <v>2.8347578347578346</v>
      </c>
      <c r="P77" s="401">
        <v>2.8347578347578346</v>
      </c>
      <c r="Q77" s="379"/>
      <c r="R77" s="379"/>
      <c r="S77" s="379"/>
      <c r="T77" s="379"/>
      <c r="U77" s="379"/>
      <c r="V77" s="379"/>
      <c r="W77" s="379"/>
    </row>
    <row r="78" spans="1:23" ht="21" x14ac:dyDescent="0.3">
      <c r="A78" s="379"/>
      <c r="B78" s="359" t="s">
        <v>317</v>
      </c>
      <c r="C78" s="360" t="s">
        <v>218</v>
      </c>
      <c r="D78" s="360" t="s">
        <v>194</v>
      </c>
      <c r="E78" s="360" t="s">
        <v>219</v>
      </c>
      <c r="F78" s="360" t="s">
        <v>220</v>
      </c>
      <c r="G78" s="361" t="s">
        <v>221</v>
      </c>
      <c r="H78" s="409">
        <v>0.31440000000000001</v>
      </c>
      <c r="I78" s="352"/>
      <c r="J78" s="369">
        <v>0.13983002599945157</v>
      </c>
      <c r="K78" s="353"/>
      <c r="L78" s="358">
        <v>7.3219373219373218E-2</v>
      </c>
      <c r="M78" s="358">
        <v>7.3219373219373218E-2</v>
      </c>
      <c r="N78" s="353"/>
      <c r="O78" s="401">
        <v>7.3219373219373214</v>
      </c>
      <c r="P78" s="401">
        <v>7.3219373219373214</v>
      </c>
      <c r="Q78" s="379"/>
      <c r="R78" s="379"/>
      <c r="S78" s="379"/>
      <c r="T78" s="379"/>
      <c r="U78" s="379"/>
      <c r="V78" s="379"/>
      <c r="W78" s="379"/>
    </row>
    <row r="79" spans="1:23" ht="21" x14ac:dyDescent="0.3">
      <c r="A79" s="379"/>
      <c r="B79" s="359" t="s">
        <v>324</v>
      </c>
      <c r="C79" s="360" t="s">
        <v>195</v>
      </c>
      <c r="D79" s="360" t="s">
        <v>196</v>
      </c>
      <c r="E79" s="360" t="s">
        <v>222</v>
      </c>
      <c r="F79" s="360" t="s">
        <v>223</v>
      </c>
      <c r="G79" s="361" t="s">
        <v>224</v>
      </c>
      <c r="H79" s="409">
        <v>0.2215</v>
      </c>
      <c r="I79" s="352"/>
      <c r="J79" s="369">
        <v>0.232875712545946</v>
      </c>
      <c r="K79" s="353"/>
      <c r="L79" s="358">
        <v>3.3190883190883189E-2</v>
      </c>
      <c r="M79" s="358">
        <v>3.3190883190883189E-2</v>
      </c>
      <c r="N79" s="353"/>
      <c r="O79" s="401">
        <v>3.3190883190883187</v>
      </c>
      <c r="P79" s="401">
        <v>3.3190883190883187</v>
      </c>
      <c r="Q79" s="379"/>
      <c r="R79" s="379"/>
      <c r="S79" s="379"/>
      <c r="T79" s="379"/>
      <c r="U79" s="379"/>
      <c r="V79" s="379"/>
      <c r="W79" s="379"/>
    </row>
    <row r="80" spans="1:23" ht="21" x14ac:dyDescent="0.3">
      <c r="A80" s="379"/>
      <c r="B80" s="359" t="s">
        <v>325</v>
      </c>
      <c r="C80" s="360" t="s">
        <v>197</v>
      </c>
      <c r="D80" s="360" t="s">
        <v>198</v>
      </c>
      <c r="E80" s="360" t="s">
        <v>225</v>
      </c>
      <c r="F80" s="360" t="s">
        <v>226</v>
      </c>
      <c r="G80" s="361" t="s">
        <v>227</v>
      </c>
      <c r="H80" s="409">
        <v>0.30719999999999997</v>
      </c>
      <c r="I80" s="352"/>
      <c r="J80" s="369">
        <v>0.14533194302431679</v>
      </c>
      <c r="K80" s="353"/>
      <c r="L80" s="358">
        <v>2.9914529914529916E-2</v>
      </c>
      <c r="M80" s="358">
        <v>2.9914529914529916E-2</v>
      </c>
      <c r="N80" s="353"/>
      <c r="O80" s="401">
        <v>2.9914529914529915</v>
      </c>
      <c r="P80" s="401">
        <v>2.9914529914529915</v>
      </c>
      <c r="Q80" s="379"/>
      <c r="R80" s="379"/>
      <c r="S80" s="379"/>
      <c r="T80" s="379"/>
      <c r="U80" s="379"/>
      <c r="V80" s="379"/>
      <c r="W80" s="379"/>
    </row>
    <row r="81" spans="1:23" ht="21" x14ac:dyDescent="0.3">
      <c r="A81" s="379"/>
      <c r="B81" s="359" t="s">
        <v>318</v>
      </c>
      <c r="C81" s="360" t="s">
        <v>199</v>
      </c>
      <c r="D81" s="360" t="s">
        <v>200</v>
      </c>
      <c r="E81" s="360" t="s">
        <v>228</v>
      </c>
      <c r="F81" s="360" t="s">
        <v>229</v>
      </c>
      <c r="G81" s="361" t="s">
        <v>230</v>
      </c>
      <c r="H81" s="409">
        <v>9.4899999999999998E-2</v>
      </c>
      <c r="I81" s="352"/>
      <c r="J81" s="369">
        <v>0.51657788366105883</v>
      </c>
      <c r="K81" s="353"/>
      <c r="L81" s="358">
        <v>8.8319088319088312E-3</v>
      </c>
      <c r="M81" s="358">
        <v>8.8319088319088312E-3</v>
      </c>
      <c r="N81" s="353"/>
      <c r="O81" s="401">
        <v>0.88319088319088312</v>
      </c>
      <c r="P81" s="401">
        <v>0.88319088319088312</v>
      </c>
      <c r="Q81" s="379"/>
      <c r="R81" s="379"/>
      <c r="S81" s="379"/>
      <c r="T81" s="379"/>
      <c r="U81" s="379"/>
      <c r="V81" s="379"/>
      <c r="W81" s="379"/>
    </row>
    <row r="82" spans="1:23" ht="21" customHeight="1" x14ac:dyDescent="0.35">
      <c r="A82" s="379"/>
      <c r="B82" s="453" t="s">
        <v>333</v>
      </c>
      <c r="C82" s="314"/>
      <c r="D82" s="314"/>
      <c r="E82" s="314"/>
      <c r="F82" s="314"/>
      <c r="G82" s="314"/>
      <c r="H82" s="314"/>
      <c r="I82" s="314"/>
      <c r="J82" s="316"/>
      <c r="K82" s="268"/>
      <c r="Q82" s="379"/>
      <c r="R82" s="379"/>
      <c r="S82" s="379"/>
      <c r="T82" s="379"/>
      <c r="U82" s="438"/>
      <c r="V82" s="379"/>
    </row>
    <row r="83" spans="1:23" ht="20.25" customHeight="1" x14ac:dyDescent="0.3">
      <c r="A83" s="379"/>
      <c r="B83" s="421" t="s">
        <v>326</v>
      </c>
      <c r="C83" s="422" t="s">
        <v>156</v>
      </c>
      <c r="D83" s="422" t="s">
        <v>157</v>
      </c>
      <c r="E83" s="422" t="s">
        <v>158</v>
      </c>
      <c r="F83" s="422" t="s">
        <v>159</v>
      </c>
      <c r="G83" s="423" t="s">
        <v>160</v>
      </c>
      <c r="H83" s="424" t="s">
        <v>161</v>
      </c>
      <c r="I83" s="352"/>
      <c r="J83" s="369">
        <v>3.9393446476988919E-2</v>
      </c>
      <c r="K83" s="353"/>
      <c r="L83" s="358">
        <v>0.10454448474503947</v>
      </c>
      <c r="M83" s="358">
        <v>0.12087441063009001</v>
      </c>
      <c r="N83" s="353"/>
      <c r="O83" s="373">
        <v>10.454448474503947</v>
      </c>
      <c r="P83" s="374">
        <v>12.087441063009001</v>
      </c>
      <c r="Q83" s="379"/>
      <c r="R83" s="439">
        <v>30.736128447500182</v>
      </c>
      <c r="S83" s="440">
        <v>0.269443777103334</v>
      </c>
      <c r="T83" s="441">
        <v>1.9944277753964852</v>
      </c>
      <c r="U83" s="426">
        <v>33</v>
      </c>
      <c r="V83" s="353" t="s">
        <v>147</v>
      </c>
    </row>
    <row r="84" spans="1:23" ht="20.25" customHeight="1" x14ac:dyDescent="0.3">
      <c r="A84" s="379"/>
      <c r="B84" s="421" t="s">
        <v>327</v>
      </c>
      <c r="C84" s="422" t="s">
        <v>162</v>
      </c>
      <c r="D84" s="422" t="s">
        <v>163</v>
      </c>
      <c r="E84" s="422" t="s">
        <v>164</v>
      </c>
      <c r="F84" s="422" t="s">
        <v>165</v>
      </c>
      <c r="G84" s="425" t="s">
        <v>166</v>
      </c>
      <c r="H84" s="424" t="s">
        <v>167</v>
      </c>
      <c r="I84" s="352"/>
      <c r="J84" s="369">
        <v>8.2376273948710471E-2</v>
      </c>
      <c r="K84" s="353"/>
      <c r="L84" s="358">
        <v>0.13276353276353275</v>
      </c>
      <c r="M84" s="358">
        <v>0.13276353276353275</v>
      </c>
      <c r="N84" s="353"/>
      <c r="O84" s="426">
        <v>13.276353276353275</v>
      </c>
      <c r="P84" s="426">
        <v>13.276353276353275</v>
      </c>
      <c r="Q84" s="379"/>
      <c r="R84" s="379"/>
      <c r="S84" s="379"/>
      <c r="T84" s="379"/>
      <c r="U84" s="379"/>
      <c r="V84" s="379"/>
    </row>
    <row r="85" spans="1:23" ht="4.5" customHeight="1" x14ac:dyDescent="0.3">
      <c r="A85" s="379"/>
      <c r="B85" s="362"/>
      <c r="C85" s="357"/>
      <c r="D85" s="357"/>
      <c r="E85" s="357"/>
      <c r="F85" s="357"/>
      <c r="G85" s="416"/>
      <c r="H85" s="411"/>
      <c r="I85" s="352"/>
      <c r="J85" s="412"/>
      <c r="K85" s="353"/>
      <c r="L85" s="358"/>
      <c r="M85" s="358"/>
      <c r="N85" s="353"/>
      <c r="O85" s="413"/>
      <c r="P85" s="414"/>
      <c r="Q85" s="379"/>
      <c r="R85" s="417"/>
      <c r="S85" s="418"/>
      <c r="T85" s="419"/>
      <c r="U85" s="420"/>
      <c r="V85" s="353"/>
    </row>
    <row r="86" spans="1:23" ht="43.5" customHeight="1" x14ac:dyDescent="0.3">
      <c r="A86" s="379"/>
      <c r="B86" s="526" t="s">
        <v>328</v>
      </c>
      <c r="C86" s="527"/>
      <c r="D86" s="527"/>
      <c r="E86" s="527"/>
      <c r="F86" s="527"/>
      <c r="G86" s="527"/>
      <c r="H86" s="528"/>
      <c r="I86" s="352"/>
      <c r="J86" s="412"/>
      <c r="K86" s="353"/>
      <c r="L86" s="358"/>
      <c r="M86" s="358"/>
      <c r="N86" s="353"/>
      <c r="O86" s="413"/>
      <c r="P86" s="414"/>
      <c r="Q86" s="379"/>
      <c r="R86" s="417"/>
      <c r="S86" s="418"/>
      <c r="T86" s="419"/>
      <c r="U86" s="420"/>
      <c r="V86" s="353"/>
    </row>
    <row r="87" spans="1:23" ht="5" customHeight="1" x14ac:dyDescent="0.3">
      <c r="A87" s="379"/>
      <c r="B87" s="431"/>
      <c r="C87" s="431"/>
      <c r="D87" s="431"/>
      <c r="E87" s="431"/>
      <c r="F87" s="431"/>
      <c r="G87" s="431"/>
      <c r="H87" s="431"/>
      <c r="I87" s="352"/>
      <c r="J87" s="412"/>
      <c r="K87" s="353"/>
      <c r="L87" s="358"/>
      <c r="M87" s="358"/>
      <c r="N87" s="353"/>
      <c r="O87" s="413"/>
      <c r="P87" s="414"/>
      <c r="Q87" s="379"/>
      <c r="R87" s="417"/>
      <c r="S87" s="418"/>
      <c r="T87" s="419"/>
      <c r="U87" s="420"/>
      <c r="V87" s="353"/>
    </row>
    <row r="88" spans="1:23" ht="24.75" customHeight="1" thickBot="1" x14ac:dyDescent="0.35">
      <c r="A88" s="379"/>
      <c r="B88" s="431"/>
      <c r="C88" s="431"/>
      <c r="D88" s="431"/>
      <c r="E88" s="431"/>
      <c r="F88" s="431"/>
      <c r="G88" s="431"/>
      <c r="H88" s="431"/>
      <c r="I88" s="352"/>
      <c r="J88" s="412"/>
      <c r="K88" s="353"/>
      <c r="L88" s="358"/>
      <c r="M88" s="358"/>
      <c r="N88" s="353"/>
      <c r="O88" s="413"/>
      <c r="P88" s="414"/>
      <c r="Q88" s="379"/>
      <c r="R88" s="417"/>
      <c r="S88" s="418"/>
      <c r="T88" s="419"/>
      <c r="U88" s="420"/>
      <c r="V88" s="353"/>
    </row>
    <row r="89" spans="1:23" ht="33" customHeight="1" thickBot="1" x14ac:dyDescent="0.35">
      <c r="A89" s="379"/>
      <c r="B89" s="529" t="s">
        <v>322</v>
      </c>
      <c r="C89" s="530"/>
      <c r="D89" s="530"/>
      <c r="E89" s="531"/>
      <c r="F89" s="531"/>
      <c r="G89" s="531"/>
      <c r="H89" s="532"/>
      <c r="I89" s="379"/>
      <c r="O89" s="562" t="s">
        <v>143</v>
      </c>
      <c r="P89" s="563"/>
      <c r="Q89" s="379"/>
      <c r="R89" s="417"/>
      <c r="S89" s="418"/>
      <c r="T89" s="419"/>
      <c r="U89" s="420"/>
      <c r="V89" s="353"/>
    </row>
    <row r="90" spans="1:23" ht="30" customHeight="1" thickBot="1" x14ac:dyDescent="0.35">
      <c r="A90" s="379"/>
      <c r="B90" s="557" t="s">
        <v>154</v>
      </c>
      <c r="C90" s="398" t="s">
        <v>356</v>
      </c>
      <c r="D90" s="380" t="s">
        <v>155</v>
      </c>
      <c r="E90" s="552" t="s">
        <v>150</v>
      </c>
      <c r="F90" s="553"/>
      <c r="G90" s="553"/>
      <c r="H90" s="554"/>
      <c r="I90" s="379"/>
      <c r="O90" s="555" t="s">
        <v>321</v>
      </c>
      <c r="P90" s="556"/>
      <c r="Q90" s="379"/>
      <c r="R90" s="417"/>
      <c r="S90" s="418"/>
      <c r="T90" s="419"/>
      <c r="U90" s="420"/>
      <c r="V90" s="353"/>
    </row>
    <row r="91" spans="1:23" ht="30" customHeight="1" thickBot="1" x14ac:dyDescent="0.35">
      <c r="A91" s="379"/>
      <c r="B91" s="558"/>
      <c r="C91" s="381" t="s">
        <v>144</v>
      </c>
      <c r="D91" s="382" t="s">
        <v>144</v>
      </c>
      <c r="E91" s="383" t="s">
        <v>134</v>
      </c>
      <c r="F91" s="384" t="s">
        <v>151</v>
      </c>
      <c r="G91" s="384" t="s">
        <v>320</v>
      </c>
      <c r="H91" s="385" t="s">
        <v>118</v>
      </c>
      <c r="I91" s="379"/>
      <c r="J91" s="386" t="s">
        <v>145</v>
      </c>
      <c r="K91" s="7"/>
      <c r="L91" s="317" t="s">
        <v>119</v>
      </c>
      <c r="M91" s="317" t="s">
        <v>120</v>
      </c>
      <c r="O91" s="387" t="s">
        <v>355</v>
      </c>
      <c r="P91" s="388" t="s">
        <v>14</v>
      </c>
      <c r="Q91" s="379"/>
      <c r="R91" s="417"/>
      <c r="S91" s="418"/>
      <c r="T91" s="419"/>
      <c r="U91" s="420"/>
      <c r="V91" s="353"/>
    </row>
    <row r="92" spans="1:23" ht="6.75" customHeight="1" x14ac:dyDescent="0.3">
      <c r="A92" s="379"/>
      <c r="B92" s="415"/>
      <c r="C92" s="357"/>
      <c r="D92" s="357"/>
      <c r="E92" s="357"/>
      <c r="F92" s="357"/>
      <c r="G92" s="416"/>
      <c r="H92" s="411"/>
      <c r="I92" s="352"/>
      <c r="J92" s="412"/>
      <c r="K92" s="353"/>
      <c r="L92" s="358"/>
      <c r="M92" s="358"/>
      <c r="N92" s="353"/>
      <c r="O92" s="413"/>
      <c r="P92" s="414"/>
      <c r="Q92" s="379"/>
      <c r="R92" s="417"/>
      <c r="S92" s="418"/>
      <c r="T92" s="419"/>
      <c r="U92" s="420"/>
      <c r="V92" s="353"/>
    </row>
    <row r="93" spans="1:23" ht="21" x14ac:dyDescent="0.3">
      <c r="A93" s="379"/>
      <c r="B93" s="410" t="s">
        <v>243</v>
      </c>
      <c r="C93" s="360" t="s">
        <v>310</v>
      </c>
      <c r="D93" s="360" t="s">
        <v>311</v>
      </c>
      <c r="E93" s="360" t="s">
        <v>312</v>
      </c>
      <c r="F93" s="360" t="s">
        <v>313</v>
      </c>
      <c r="G93" s="423" t="s">
        <v>314</v>
      </c>
      <c r="H93" s="409">
        <v>0.92120000000000002</v>
      </c>
      <c r="I93" s="352"/>
      <c r="J93" s="369">
        <v>7.4234134839960267E-4</v>
      </c>
      <c r="K93" s="353"/>
      <c r="L93" s="358">
        <v>0.38169404736505225</v>
      </c>
      <c r="M93" s="358">
        <v>0.42348906986712387</v>
      </c>
      <c r="N93" s="353"/>
      <c r="O93" s="399">
        <v>38.169404736505221</v>
      </c>
      <c r="P93" s="400">
        <v>42.348906986712386</v>
      </c>
      <c r="Q93" s="379"/>
      <c r="R93" s="379"/>
      <c r="S93" s="379"/>
      <c r="T93" s="379"/>
      <c r="U93" s="379"/>
      <c r="V93" s="379"/>
    </row>
    <row r="94" spans="1:23" ht="21" x14ac:dyDescent="0.3">
      <c r="A94" s="379"/>
      <c r="B94" s="410" t="s">
        <v>231</v>
      </c>
      <c r="C94" s="360" t="s">
        <v>244</v>
      </c>
      <c r="D94" s="360" t="s">
        <v>245</v>
      </c>
      <c r="E94" s="360" t="s">
        <v>246</v>
      </c>
      <c r="F94" s="360" t="s">
        <v>247</v>
      </c>
      <c r="G94" s="361" t="s">
        <v>248</v>
      </c>
      <c r="H94" s="409">
        <v>2.8299999999999999E-2</v>
      </c>
      <c r="I94" s="352"/>
      <c r="J94" s="369">
        <v>0.95727751915004444</v>
      </c>
      <c r="K94" s="353"/>
      <c r="L94" s="358">
        <v>0.27820512820512822</v>
      </c>
      <c r="M94" s="358">
        <v>0.27820512820512822</v>
      </c>
      <c r="N94" s="353"/>
      <c r="O94" s="401">
        <v>27.820512820512821</v>
      </c>
      <c r="P94" s="401">
        <v>27.820512820512821</v>
      </c>
      <c r="Q94" s="379"/>
      <c r="R94" s="379"/>
      <c r="S94" s="379"/>
      <c r="T94" s="379"/>
      <c r="U94" s="379"/>
      <c r="V94" s="379"/>
    </row>
    <row r="95" spans="1:23" ht="26" x14ac:dyDescent="0.3">
      <c r="A95" s="379"/>
      <c r="B95" s="410" t="s">
        <v>232</v>
      </c>
      <c r="C95" s="360" t="s">
        <v>249</v>
      </c>
      <c r="D95" s="360" t="s">
        <v>250</v>
      </c>
      <c r="E95" s="360" t="s">
        <v>251</v>
      </c>
      <c r="F95" s="360" t="s">
        <v>252</v>
      </c>
      <c r="G95" s="361" t="s">
        <v>253</v>
      </c>
      <c r="H95" s="409">
        <v>9.7799999999999998E-2</v>
      </c>
      <c r="I95" s="352"/>
      <c r="J95" s="369">
        <v>0.50550262695544856</v>
      </c>
      <c r="K95" s="353"/>
      <c r="L95" s="358">
        <v>1.4102564102564103E-2</v>
      </c>
      <c r="M95" s="358">
        <v>1.4102564102564103E-2</v>
      </c>
      <c r="N95" s="353"/>
      <c r="O95" s="401">
        <v>1.4102564102564104</v>
      </c>
      <c r="P95" s="401">
        <v>1.4102564102564104</v>
      </c>
      <c r="Q95" s="379"/>
      <c r="R95" s="379"/>
      <c r="S95" s="379"/>
      <c r="T95" s="379"/>
      <c r="U95" s="379"/>
      <c r="V95" s="379"/>
    </row>
    <row r="96" spans="1:23" ht="21" x14ac:dyDescent="0.3">
      <c r="A96" s="379"/>
      <c r="B96" s="410" t="s">
        <v>233</v>
      </c>
      <c r="C96" s="360" t="s">
        <v>269</v>
      </c>
      <c r="D96" s="360" t="s">
        <v>270</v>
      </c>
      <c r="E96" s="360" t="s">
        <v>271</v>
      </c>
      <c r="F96" s="360" t="s">
        <v>272</v>
      </c>
      <c r="G96" s="361" t="s">
        <v>273</v>
      </c>
      <c r="H96" s="409">
        <v>0.1837</v>
      </c>
      <c r="I96" s="352"/>
      <c r="J96" s="369">
        <v>0.28969401153288799</v>
      </c>
      <c r="K96" s="353"/>
      <c r="L96" s="358">
        <v>7.2364672364672367E-2</v>
      </c>
      <c r="M96" s="358">
        <v>7.2364672364672367E-2</v>
      </c>
      <c r="N96" s="353"/>
      <c r="O96" s="401">
        <v>7.2364672364672362</v>
      </c>
      <c r="P96" s="401">
        <v>7.2364672364672362</v>
      </c>
      <c r="Q96" s="379"/>
      <c r="R96" s="379"/>
      <c r="S96" s="379"/>
      <c r="T96" s="379"/>
      <c r="U96" s="379"/>
      <c r="V96" s="379"/>
    </row>
    <row r="97" spans="1:22" ht="21" x14ac:dyDescent="0.3">
      <c r="A97" s="379"/>
      <c r="B97" s="410" t="s">
        <v>234</v>
      </c>
      <c r="C97" s="360" t="s">
        <v>274</v>
      </c>
      <c r="D97" s="360" t="s">
        <v>275</v>
      </c>
      <c r="E97" s="360" t="s">
        <v>276</v>
      </c>
      <c r="F97" s="360" t="s">
        <v>277</v>
      </c>
      <c r="G97" s="361" t="s">
        <v>278</v>
      </c>
      <c r="H97" s="409">
        <v>0.19389999999999999</v>
      </c>
      <c r="I97" s="352"/>
      <c r="J97" s="369">
        <v>0.27291035901525329</v>
      </c>
      <c r="K97" s="353"/>
      <c r="L97" s="358">
        <v>0.10783475783475784</v>
      </c>
      <c r="M97" s="358">
        <v>0.10783475783475784</v>
      </c>
      <c r="N97" s="353"/>
      <c r="O97" s="401">
        <v>10.783475783475783</v>
      </c>
      <c r="P97" s="401">
        <v>10.783475783475783</v>
      </c>
      <c r="Q97" s="379"/>
      <c r="R97" s="379"/>
      <c r="S97" s="379"/>
      <c r="T97" s="379"/>
      <c r="U97" s="379"/>
      <c r="V97" s="379"/>
    </row>
    <row r="98" spans="1:22" ht="26" x14ac:dyDescent="0.3">
      <c r="A98" s="379"/>
      <c r="B98" s="410" t="s">
        <v>235</v>
      </c>
      <c r="C98" s="360" t="s">
        <v>264</v>
      </c>
      <c r="D98" s="360" t="s">
        <v>265</v>
      </c>
      <c r="E98" s="360" t="s">
        <v>266</v>
      </c>
      <c r="F98" s="360" t="s">
        <v>267</v>
      </c>
      <c r="G98" s="361" t="s">
        <v>268</v>
      </c>
      <c r="H98" s="409">
        <v>2.64E-2</v>
      </c>
      <c r="I98" s="352"/>
      <c r="J98" s="369">
        <v>0.98110340093526838</v>
      </c>
      <c r="K98" s="353"/>
      <c r="L98" s="358">
        <v>1.7521367521367522E-2</v>
      </c>
      <c r="M98" s="358">
        <v>1.7521367521367522E-2</v>
      </c>
      <c r="N98" s="353"/>
      <c r="O98" s="401">
        <v>1.7521367521367521</v>
      </c>
      <c r="P98" s="401">
        <v>1.7521367521367521</v>
      </c>
      <c r="Q98" s="379"/>
      <c r="R98" s="379"/>
      <c r="S98" s="379"/>
      <c r="T98" s="379"/>
      <c r="U98" s="379"/>
      <c r="V98" s="379"/>
    </row>
    <row r="99" spans="1:22" ht="21" x14ac:dyDescent="0.3">
      <c r="A99" s="379"/>
      <c r="B99" s="410" t="s">
        <v>236</v>
      </c>
      <c r="C99" s="360" t="s">
        <v>254</v>
      </c>
      <c r="D99" s="360" t="s">
        <v>255</v>
      </c>
      <c r="E99" s="360" t="s">
        <v>256</v>
      </c>
      <c r="F99" s="360" t="s">
        <v>257</v>
      </c>
      <c r="G99" s="430" t="s">
        <v>258</v>
      </c>
      <c r="H99" s="409">
        <v>1</v>
      </c>
      <c r="I99" s="352"/>
      <c r="J99" s="369">
        <v>2.0681778765676801E-9</v>
      </c>
      <c r="K99" s="353"/>
      <c r="L99" s="358">
        <v>3.5417111158523577E-2</v>
      </c>
      <c r="M99" s="358">
        <v>1.0715816545220747E-2</v>
      </c>
      <c r="N99" s="353"/>
      <c r="O99" s="400">
        <v>3.5417111158523578</v>
      </c>
      <c r="P99" s="399">
        <v>1.0715816545220747</v>
      </c>
      <c r="Q99" s="379"/>
      <c r="R99" s="379"/>
      <c r="S99" s="379"/>
      <c r="T99" s="379"/>
      <c r="U99" s="379"/>
      <c r="V99" s="379"/>
    </row>
    <row r="100" spans="1:22" ht="21" x14ac:dyDescent="0.3">
      <c r="A100" s="379"/>
      <c r="B100" s="410" t="s">
        <v>237</v>
      </c>
      <c r="C100" s="360" t="s">
        <v>259</v>
      </c>
      <c r="D100" s="360" t="s">
        <v>260</v>
      </c>
      <c r="E100" s="360" t="s">
        <v>261</v>
      </c>
      <c r="F100" s="360" t="s">
        <v>262</v>
      </c>
      <c r="G100" s="430" t="s">
        <v>263</v>
      </c>
      <c r="H100" s="409">
        <v>0.99990000000000001</v>
      </c>
      <c r="I100" s="352"/>
      <c r="J100" s="369">
        <v>5.3948819873348417E-9</v>
      </c>
      <c r="K100" s="353"/>
      <c r="L100" s="358">
        <v>2.8803072327714955E-2</v>
      </c>
      <c r="M100" s="358">
        <v>7.2867552507501071E-3</v>
      </c>
      <c r="N100" s="353"/>
      <c r="O100" s="400">
        <v>2.8803072327714956</v>
      </c>
      <c r="P100" s="399">
        <v>0.72867552507501077</v>
      </c>
      <c r="Q100" s="379"/>
      <c r="R100" s="379"/>
      <c r="S100" s="379"/>
      <c r="T100" s="379"/>
      <c r="U100" s="379"/>
      <c r="V100" s="379"/>
    </row>
    <row r="101" spans="1:22" ht="26" x14ac:dyDescent="0.3">
      <c r="A101" s="379"/>
      <c r="B101" s="410" t="s">
        <v>238</v>
      </c>
      <c r="C101" s="360" t="s">
        <v>279</v>
      </c>
      <c r="D101" s="360" t="s">
        <v>280</v>
      </c>
      <c r="E101" s="360" t="s">
        <v>281</v>
      </c>
      <c r="F101" s="360" t="s">
        <v>282</v>
      </c>
      <c r="G101" s="361" t="s">
        <v>283</v>
      </c>
      <c r="H101" s="409">
        <v>4.9099999999999998E-2</v>
      </c>
      <c r="I101" s="352"/>
      <c r="J101" s="369">
        <v>0.75922859965192024</v>
      </c>
      <c r="K101" s="353"/>
      <c r="L101" s="358">
        <v>5.0427350427350429E-2</v>
      </c>
      <c r="M101" s="358">
        <v>5.0427350427350429E-2</v>
      </c>
      <c r="N101" s="353"/>
      <c r="O101" s="401">
        <v>5.0427350427350426</v>
      </c>
      <c r="P101" s="401">
        <v>5.0427350427350426</v>
      </c>
      <c r="Q101" s="379"/>
      <c r="R101" s="379"/>
      <c r="S101" s="379"/>
      <c r="T101" s="379"/>
      <c r="U101" s="379"/>
      <c r="V101" s="379"/>
    </row>
    <row r="102" spans="1:22" ht="21" x14ac:dyDescent="0.3">
      <c r="A102" s="379"/>
      <c r="B102" s="410" t="s">
        <v>239</v>
      </c>
      <c r="C102" s="360" t="s">
        <v>284</v>
      </c>
      <c r="D102" s="360" t="s">
        <v>285</v>
      </c>
      <c r="E102" s="360" t="s">
        <v>286</v>
      </c>
      <c r="F102" s="360" t="s">
        <v>287</v>
      </c>
      <c r="G102" s="423" t="s">
        <v>288</v>
      </c>
      <c r="H102" s="409">
        <v>0.66010000000000002</v>
      </c>
      <c r="I102" s="352"/>
      <c r="J102" s="369">
        <v>1.765517651181835E-2</v>
      </c>
      <c r="K102" s="353"/>
      <c r="L102" s="358">
        <v>5.2485598463836144E-2</v>
      </c>
      <c r="M102" s="358">
        <v>6.643806258036862E-2</v>
      </c>
      <c r="N102" s="353"/>
      <c r="O102" s="399">
        <v>5.2485598463836141</v>
      </c>
      <c r="P102" s="400">
        <v>6.6438062580368618</v>
      </c>
      <c r="Q102" s="379"/>
      <c r="R102" s="379"/>
      <c r="S102" s="379"/>
      <c r="T102" s="379"/>
      <c r="U102" s="379"/>
      <c r="V102" s="379"/>
    </row>
    <row r="103" spans="1:22" ht="21" x14ac:dyDescent="0.3">
      <c r="A103" s="379"/>
      <c r="B103" s="410" t="s">
        <v>240</v>
      </c>
      <c r="C103" s="360" t="s">
        <v>289</v>
      </c>
      <c r="D103" s="360" t="s">
        <v>290</v>
      </c>
      <c r="E103" s="360" t="s">
        <v>291</v>
      </c>
      <c r="F103" s="360" t="s">
        <v>292</v>
      </c>
      <c r="G103" s="361" t="s">
        <v>293</v>
      </c>
      <c r="H103" s="409">
        <v>0.63270000000000004</v>
      </c>
      <c r="I103" s="352"/>
      <c r="J103" s="369">
        <v>2.1513179740774369E-2</v>
      </c>
      <c r="K103" s="353"/>
      <c r="L103" s="358">
        <v>1.1680911680911682E-2</v>
      </c>
      <c r="M103" s="358">
        <v>1.1680911680911682E-2</v>
      </c>
      <c r="N103" s="353"/>
      <c r="O103" s="401">
        <v>1.1680911680911681</v>
      </c>
      <c r="P103" s="401">
        <v>1.1680911680911681</v>
      </c>
      <c r="Q103" s="379"/>
      <c r="R103" s="379"/>
      <c r="S103" s="379"/>
      <c r="T103" s="379"/>
      <c r="U103" s="379"/>
      <c r="V103" s="379"/>
    </row>
    <row r="104" spans="1:22" ht="21" x14ac:dyDescent="0.3">
      <c r="A104" s="379"/>
      <c r="B104" s="410" t="s">
        <v>241</v>
      </c>
      <c r="C104" s="360" t="s">
        <v>294</v>
      </c>
      <c r="D104" s="360" t="s">
        <v>295</v>
      </c>
      <c r="E104" s="360" t="s">
        <v>296</v>
      </c>
      <c r="F104" s="360" t="s">
        <v>297</v>
      </c>
      <c r="G104" s="361" t="s">
        <v>298</v>
      </c>
      <c r="H104" s="409">
        <v>9.1499999999999998E-2</v>
      </c>
      <c r="I104" s="352"/>
      <c r="J104" s="369">
        <v>0.52972827954448842</v>
      </c>
      <c r="K104" s="353"/>
      <c r="L104" s="358">
        <v>7.1225071225071229E-4</v>
      </c>
      <c r="M104" s="358">
        <v>7.1225071225071229E-4</v>
      </c>
      <c r="N104" s="353"/>
      <c r="O104" s="429">
        <v>7.1225071225071226E-2</v>
      </c>
      <c r="P104" s="429">
        <v>7.1225071225071226E-2</v>
      </c>
      <c r="Q104" s="379"/>
      <c r="R104" s="379"/>
      <c r="S104" s="379"/>
      <c r="T104" s="379"/>
      <c r="U104" s="379"/>
      <c r="V104" s="379"/>
    </row>
    <row r="105" spans="1:22" ht="21" x14ac:dyDescent="0.3">
      <c r="A105" s="379"/>
      <c r="B105" s="410" t="s">
        <v>299</v>
      </c>
      <c r="C105" s="360" t="s">
        <v>300</v>
      </c>
      <c r="D105" s="360" t="s">
        <v>301</v>
      </c>
      <c r="E105" s="360" t="s">
        <v>302</v>
      </c>
      <c r="F105" s="360" t="s">
        <v>303</v>
      </c>
      <c r="G105" s="361" t="s">
        <v>304</v>
      </c>
      <c r="H105" s="409">
        <v>0.17349999999999999</v>
      </c>
      <c r="I105" s="352"/>
      <c r="J105" s="369">
        <v>0.30803393231973353</v>
      </c>
      <c r="K105" s="353"/>
      <c r="L105" s="358">
        <v>7.1225071225071226E-3</v>
      </c>
      <c r="M105" s="358">
        <v>7.1225071225071226E-3</v>
      </c>
      <c r="N105" s="353"/>
      <c r="O105" s="401">
        <v>0.71225071225071224</v>
      </c>
      <c r="P105" s="401">
        <v>0.71225071225071224</v>
      </c>
      <c r="Q105" s="379"/>
      <c r="R105" s="379"/>
      <c r="S105" s="379"/>
      <c r="T105" s="379"/>
      <c r="U105" s="379"/>
      <c r="V105" s="379"/>
    </row>
    <row r="106" spans="1:22" ht="21" x14ac:dyDescent="0.3">
      <c r="A106" s="379"/>
      <c r="B106" s="410" t="s">
        <v>242</v>
      </c>
      <c r="C106" s="360" t="s">
        <v>305</v>
      </c>
      <c r="D106" s="360" t="s">
        <v>306</v>
      </c>
      <c r="E106" s="360" t="s">
        <v>307</v>
      </c>
      <c r="F106" s="360" t="s">
        <v>308</v>
      </c>
      <c r="G106" s="361" t="s">
        <v>309</v>
      </c>
      <c r="H106" s="409">
        <v>3.6499999999999998E-2</v>
      </c>
      <c r="I106" s="352"/>
      <c r="J106" s="369">
        <v>0.86719106290227099</v>
      </c>
      <c r="K106" s="353"/>
      <c r="L106" s="358">
        <v>3.8461538461538464E-2</v>
      </c>
      <c r="M106" s="358">
        <v>3.8461538461538464E-2</v>
      </c>
      <c r="N106" s="353"/>
      <c r="O106" s="401">
        <v>3.8461538461538463</v>
      </c>
      <c r="P106" s="401">
        <v>3.8461538461538463</v>
      </c>
      <c r="Q106" s="379"/>
      <c r="R106" s="379"/>
      <c r="S106" s="379"/>
      <c r="T106" s="379"/>
      <c r="U106" s="379"/>
      <c r="V106" s="379"/>
    </row>
    <row r="107" spans="1:22" ht="6" customHeight="1" x14ac:dyDescent="0.3">
      <c r="A107" s="379"/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</row>
    <row r="108" spans="1:22" ht="44.25" customHeight="1" x14ac:dyDescent="0.3">
      <c r="A108" s="379"/>
      <c r="B108" s="564" t="s">
        <v>148</v>
      </c>
      <c r="C108" s="565"/>
      <c r="D108" s="565"/>
      <c r="E108" s="565"/>
      <c r="F108" s="565"/>
      <c r="G108" s="565"/>
      <c r="H108" s="566"/>
      <c r="I108" s="379"/>
      <c r="J108" s="379"/>
      <c r="K108" s="379"/>
      <c r="L108" s="379"/>
      <c r="M108" s="379"/>
      <c r="N108" s="379"/>
      <c r="O108" s="379"/>
      <c r="P108" s="379"/>
      <c r="Q108" s="379"/>
      <c r="R108" s="379"/>
      <c r="S108" s="379"/>
      <c r="T108" s="379"/>
      <c r="U108" s="379"/>
      <c r="V108" s="379"/>
    </row>
    <row r="109" spans="1:22" ht="27" customHeight="1" x14ac:dyDescent="0.3">
      <c r="A109" s="379"/>
      <c r="B109" s="526" t="s">
        <v>323</v>
      </c>
      <c r="C109" s="527"/>
      <c r="D109" s="527"/>
      <c r="E109" s="527"/>
      <c r="F109" s="527"/>
      <c r="G109" s="527"/>
      <c r="H109" s="528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</row>
    <row r="110" spans="1:22" x14ac:dyDescent="0.3">
      <c r="A110" s="379"/>
    </row>
  </sheetData>
  <mergeCells count="19">
    <mergeCell ref="B90:B91"/>
    <mergeCell ref="E90:H90"/>
    <mergeCell ref="O90:P90"/>
    <mergeCell ref="B109:H109"/>
    <mergeCell ref="B108:H108"/>
    <mergeCell ref="B86:H86"/>
    <mergeCell ref="B89:H89"/>
    <mergeCell ref="T67:T69"/>
    <mergeCell ref="U67:U69"/>
    <mergeCell ref="B3:F3"/>
    <mergeCell ref="C44:D44"/>
    <mergeCell ref="R67:R69"/>
    <mergeCell ref="S67:S69"/>
    <mergeCell ref="O67:P67"/>
    <mergeCell ref="E68:H68"/>
    <mergeCell ref="O68:P68"/>
    <mergeCell ref="B68:B69"/>
    <mergeCell ref="B67:H67"/>
    <mergeCell ref="O89:P89"/>
  </mergeCells>
  <pageMargins left="0.7" right="0.7" top="0.75" bottom="0.75" header="0.3" footer="0.3"/>
  <pageSetup paperSize="9" orientation="portrait" horizontalDpi="300" verticalDpi="300" r:id="rId1"/>
  <ignoredErrors>
    <ignoredError sqref="H83:H84 H75:H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267D-D02D-4BDA-B537-4C449C3E73E2}">
  <dimension ref="A1:BZ60"/>
  <sheetViews>
    <sheetView topLeftCell="A3" zoomScale="70" zoomScaleNormal="70" workbookViewId="0">
      <selection activeCell="A4" sqref="A4:BW60"/>
    </sheetView>
  </sheetViews>
  <sheetFormatPr baseColWidth="10" defaultRowHeight="14.5" x14ac:dyDescent="0.35"/>
  <cols>
    <col min="1" max="1" width="16.81640625" customWidth="1"/>
    <col min="3" max="4" width="10.54296875" customWidth="1"/>
    <col min="5" max="5" width="5.81640625" customWidth="1"/>
    <col min="6" max="6" width="5.1796875" customWidth="1"/>
    <col min="7" max="39" width="2.6328125" customWidth="1"/>
    <col min="40" max="40" width="3.26953125" customWidth="1"/>
    <col min="41" max="73" width="2.6328125" customWidth="1"/>
    <col min="74" max="74" width="5.453125" customWidth="1"/>
    <col min="75" max="82" width="3.7265625" customWidth="1"/>
  </cols>
  <sheetData>
    <row r="1" spans="1:78" hidden="1" x14ac:dyDescent="0.3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22"/>
    </row>
    <row r="2" spans="1:78" hidden="1" x14ac:dyDescent="0.3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39 pacientes, a los 33 meses</v>
      </c>
      <c r="F2" s="2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78" ht="8.25" customHeight="1" thickBot="1" x14ac:dyDescent="0.4">
      <c r="A3" s="581"/>
      <c r="B3" s="582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3"/>
      <c r="AO3" s="582"/>
      <c r="AP3" s="582"/>
      <c r="AQ3" s="582"/>
      <c r="AR3" s="582"/>
      <c r="AS3" s="582"/>
      <c r="AT3" s="582"/>
      <c r="AU3" s="582"/>
      <c r="AV3" s="582"/>
      <c r="AW3" s="582"/>
      <c r="AX3" s="582"/>
      <c r="AY3" s="582"/>
      <c r="AZ3" s="582"/>
      <c r="BA3" s="582"/>
      <c r="BB3" s="582"/>
      <c r="BC3" s="582"/>
      <c r="BD3" s="582"/>
      <c r="BE3" s="582"/>
      <c r="BF3" s="582"/>
      <c r="BG3" s="582"/>
      <c r="BH3" s="582"/>
      <c r="BI3" s="582"/>
      <c r="BJ3" s="582"/>
      <c r="BK3" s="582"/>
      <c r="BL3" s="582"/>
      <c r="BM3" s="582"/>
      <c r="BN3" s="582"/>
      <c r="BO3" s="582"/>
      <c r="BP3" s="582"/>
      <c r="BQ3" s="582"/>
      <c r="BR3" s="582"/>
      <c r="BS3" s="582"/>
      <c r="BT3" s="582"/>
      <c r="BU3" s="582"/>
      <c r="BV3" s="582"/>
      <c r="BW3" s="582"/>
      <c r="BX3" s="582"/>
      <c r="BY3" s="582"/>
    </row>
    <row r="4" spans="1:78" ht="55.5" customHeight="1" thickBot="1" x14ac:dyDescent="0.4">
      <c r="A4" s="567" t="s">
        <v>357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  <c r="BO4" s="568"/>
      <c r="BP4" s="568"/>
      <c r="BQ4" s="568"/>
      <c r="BR4" s="568"/>
      <c r="BS4" s="568"/>
      <c r="BT4" s="568"/>
      <c r="BU4" s="568"/>
      <c r="BV4" s="568"/>
      <c r="BW4" s="569"/>
    </row>
    <row r="5" spans="1:78" ht="32.25" customHeight="1" x14ac:dyDescent="0.35">
      <c r="A5" s="463" t="s">
        <v>330</v>
      </c>
      <c r="B5" s="27">
        <f>C5+D5+E5</f>
        <v>39</v>
      </c>
      <c r="C5" s="447">
        <v>2</v>
      </c>
      <c r="D5" s="448">
        <v>1</v>
      </c>
      <c r="E5" s="449">
        <v>36</v>
      </c>
      <c r="G5" s="25"/>
      <c r="H5" s="25"/>
      <c r="I5" s="25"/>
      <c r="J5" s="390" t="s">
        <v>174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78" ht="15" customHeight="1" x14ac:dyDescent="0.35">
      <c r="A6" s="25"/>
      <c r="C6" s="28"/>
      <c r="D6" s="29"/>
      <c r="E6" s="30"/>
      <c r="F6" s="25"/>
      <c r="G6" s="25"/>
      <c r="H6" s="25"/>
      <c r="I6" s="25"/>
      <c r="J6" s="389" t="s">
        <v>175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BX6" s="582"/>
    </row>
    <row r="7" spans="1:78" ht="29.25" customHeight="1" x14ac:dyDescent="0.35">
      <c r="A7" s="397" t="s">
        <v>331</v>
      </c>
      <c r="B7" s="31" t="s">
        <v>147</v>
      </c>
      <c r="C7" s="32" t="str">
        <f>CONCATENATE(A1," ",B1," ",B5," ",C1)</f>
        <v>meses de los 39 del grupo Interv</v>
      </c>
      <c r="D7" s="32" t="str">
        <f>CONCATENATE(A1," ",B1," ",B5," ",D1)</f>
        <v>meses de los 39 del grupo Contr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78" x14ac:dyDescent="0.35">
      <c r="A8" s="33" t="s">
        <v>1</v>
      </c>
      <c r="B8" s="34">
        <v>1.3720531504500644</v>
      </c>
      <c r="C8" s="427">
        <f>B8*B5</f>
        <v>53.510072867552509</v>
      </c>
      <c r="D8" s="570">
        <f>(B8+B9)*B5</f>
        <v>70.08788629409797</v>
      </c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25"/>
    </row>
    <row r="9" spans="1:78" ht="26.5" x14ac:dyDescent="0.35">
      <c r="A9" s="37" t="s">
        <v>3</v>
      </c>
      <c r="B9" s="38">
        <v>0.42507213914219155</v>
      </c>
      <c r="C9" s="571">
        <f>(B10+B9)*B5</f>
        <v>1233.4899271324473</v>
      </c>
      <c r="D9" s="570"/>
      <c r="E9" s="29"/>
      <c r="F9" s="3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25"/>
    </row>
    <row r="10" spans="1:78" ht="26.5" x14ac:dyDescent="0.35">
      <c r="A10" s="40" t="s">
        <v>2</v>
      </c>
      <c r="B10" s="41">
        <v>31.202874710407741</v>
      </c>
      <c r="C10" s="571"/>
      <c r="D10" s="42">
        <f>B10*B5</f>
        <v>1216.9121137059019</v>
      </c>
      <c r="E10" s="28"/>
      <c r="F10" s="39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25"/>
    </row>
    <row r="11" spans="1:78" x14ac:dyDescent="0.35">
      <c r="A11" s="2"/>
      <c r="B11" s="44">
        <v>33</v>
      </c>
      <c r="C11" s="45">
        <f>C8+C9</f>
        <v>1286.9999999999998</v>
      </c>
      <c r="D11" s="45">
        <f>D8+D10</f>
        <v>1286.9999999999998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9" customHeigh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x14ac:dyDescent="0.35">
      <c r="A13" s="25"/>
      <c r="B13" s="25"/>
      <c r="C13" s="21">
        <f>(E5+D5)*B11</f>
        <v>1221</v>
      </c>
      <c r="D13" s="21">
        <f>E5*B11</f>
        <v>1188</v>
      </c>
      <c r="E13" s="25"/>
      <c r="F13" s="47" t="s">
        <v>12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36" customHeight="1" x14ac:dyDescent="0.35">
      <c r="A14" s="572" t="s">
        <v>13</v>
      </c>
      <c r="B14" s="572"/>
      <c r="C14" s="48">
        <f>C9-C13</f>
        <v>12.489927132447292</v>
      </c>
      <c r="D14" s="48">
        <f>D10-D13</f>
        <v>28.912113705901902</v>
      </c>
      <c r="F14" s="573" t="str">
        <f>IF((AND(((B9+B10)/B11)&gt;((D5+E5)/B5),(B10/B11)&gt;(E5/B5))),E2,#REF!)</f>
        <v>puede representarse llegando los 39 pacientes, a los 33 meses</v>
      </c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78" ht="18.75" customHeight="1" thickBot="1" x14ac:dyDescent="0.4">
      <c r="A15" s="468"/>
      <c r="B15" s="468"/>
      <c r="C15" s="468"/>
      <c r="D15" s="468"/>
      <c r="F15" s="469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ht="17.25" customHeight="1" thickBot="1" x14ac:dyDescent="0.4">
      <c r="A16" s="408" t="s">
        <v>173</v>
      </c>
      <c r="B16" s="363"/>
      <c r="C16" s="364"/>
      <c r="G16" s="51" t="s">
        <v>355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69"/>
      <c r="AO16" s="51" t="s">
        <v>14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469"/>
      <c r="BW16" s="469"/>
      <c r="BX16" s="469"/>
      <c r="BY16" s="469"/>
      <c r="BZ16" s="469"/>
    </row>
    <row r="17" spans="1:75" x14ac:dyDescent="0.35">
      <c r="A17" s="488" t="s">
        <v>356</v>
      </c>
      <c r="G17" s="51" t="s">
        <v>334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O17" s="51" t="s">
        <v>334</v>
      </c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</row>
    <row r="18" spans="1:75" x14ac:dyDescent="0.35">
      <c r="A18" s="488" t="s">
        <v>155</v>
      </c>
      <c r="G18" s="446">
        <v>1</v>
      </c>
      <c r="H18" s="446">
        <v>2</v>
      </c>
      <c r="I18" s="446">
        <v>3</v>
      </c>
      <c r="J18" s="446">
        <v>4</v>
      </c>
      <c r="K18" s="446">
        <v>5</v>
      </c>
      <c r="L18" s="446">
        <v>6</v>
      </c>
      <c r="M18" s="446">
        <v>7</v>
      </c>
      <c r="N18" s="446">
        <v>8</v>
      </c>
      <c r="O18" s="446">
        <v>9</v>
      </c>
      <c r="P18" s="446">
        <v>10</v>
      </c>
      <c r="Q18" s="446">
        <v>11</v>
      </c>
      <c r="R18" s="446">
        <v>12</v>
      </c>
      <c r="S18" s="446">
        <v>13</v>
      </c>
      <c r="T18" s="446">
        <v>14</v>
      </c>
      <c r="U18" s="446">
        <v>15</v>
      </c>
      <c r="V18" s="446">
        <v>16</v>
      </c>
      <c r="W18" s="446">
        <v>17</v>
      </c>
      <c r="X18" s="446">
        <v>18</v>
      </c>
      <c r="Y18" s="446">
        <v>19</v>
      </c>
      <c r="Z18" s="446">
        <v>20</v>
      </c>
      <c r="AA18" s="446">
        <v>21</v>
      </c>
      <c r="AB18" s="446">
        <v>22</v>
      </c>
      <c r="AC18" s="446">
        <v>23</v>
      </c>
      <c r="AD18" s="446">
        <v>24</v>
      </c>
      <c r="AE18" s="446">
        <v>25</v>
      </c>
      <c r="AF18" s="446">
        <v>26</v>
      </c>
      <c r="AG18" s="446">
        <v>27</v>
      </c>
      <c r="AH18" s="446">
        <v>28</v>
      </c>
      <c r="AI18" s="446">
        <v>29</v>
      </c>
      <c r="AJ18" s="446">
        <v>30</v>
      </c>
      <c r="AK18" s="446">
        <v>31</v>
      </c>
      <c r="AL18" s="446">
        <v>32</v>
      </c>
      <c r="AM18" s="446">
        <v>33</v>
      </c>
      <c r="AO18" s="446">
        <v>1</v>
      </c>
      <c r="AP18" s="446">
        <v>2</v>
      </c>
      <c r="AQ18" s="446">
        <v>3</v>
      </c>
      <c r="AR18" s="446">
        <v>4</v>
      </c>
      <c r="AS18" s="446">
        <v>5</v>
      </c>
      <c r="AT18" s="446">
        <v>6</v>
      </c>
      <c r="AU18" s="446">
        <v>7</v>
      </c>
      <c r="AV18" s="446">
        <v>8</v>
      </c>
      <c r="AW18" s="446">
        <v>9</v>
      </c>
      <c r="AX18" s="446">
        <v>10</v>
      </c>
      <c r="AY18" s="446">
        <v>11</v>
      </c>
      <c r="AZ18" s="446">
        <v>12</v>
      </c>
      <c r="BA18" s="446">
        <v>13</v>
      </c>
      <c r="BB18" s="446">
        <v>14</v>
      </c>
      <c r="BC18" s="446">
        <v>15</v>
      </c>
      <c r="BD18" s="446">
        <v>16</v>
      </c>
      <c r="BE18" s="446">
        <v>17</v>
      </c>
      <c r="BF18" s="446">
        <v>18</v>
      </c>
      <c r="BG18" s="446">
        <v>19</v>
      </c>
      <c r="BH18" s="446">
        <v>20</v>
      </c>
      <c r="BI18" s="446">
        <v>21</v>
      </c>
      <c r="BJ18" s="446">
        <v>22</v>
      </c>
      <c r="BK18" s="446">
        <v>23</v>
      </c>
      <c r="BL18" s="446">
        <v>24</v>
      </c>
      <c r="BM18" s="446">
        <v>25</v>
      </c>
      <c r="BN18" s="446">
        <v>26</v>
      </c>
      <c r="BO18" s="446">
        <v>27</v>
      </c>
      <c r="BP18" s="446">
        <v>28</v>
      </c>
      <c r="BQ18" s="446">
        <v>29</v>
      </c>
      <c r="BR18" s="446">
        <v>30</v>
      </c>
      <c r="BS18" s="446">
        <v>31</v>
      </c>
      <c r="BT18" s="446">
        <v>32</v>
      </c>
      <c r="BU18" s="446">
        <v>33</v>
      </c>
    </row>
    <row r="19" spans="1:75" x14ac:dyDescent="0.35">
      <c r="E19" s="584" t="s">
        <v>358</v>
      </c>
      <c r="F19" s="489">
        <v>39</v>
      </c>
      <c r="G19" s="54"/>
      <c r="H19" s="54"/>
      <c r="I19" s="54"/>
      <c r="J19" s="54"/>
      <c r="K19" s="54"/>
      <c r="L19" s="54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O19" s="54"/>
      <c r="AP19" s="54"/>
      <c r="AQ19" s="54"/>
      <c r="AR19" s="54"/>
      <c r="AS19" s="54"/>
      <c r="AT19" s="54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489">
        <v>39</v>
      </c>
      <c r="BW19" s="584" t="s">
        <v>358</v>
      </c>
    </row>
    <row r="20" spans="1:75" x14ac:dyDescent="0.35">
      <c r="E20" s="584"/>
      <c r="F20" s="489">
        <v>38</v>
      </c>
      <c r="G20" s="54"/>
      <c r="H20" s="54"/>
      <c r="I20" s="54"/>
      <c r="J20" s="54"/>
      <c r="K20" s="54"/>
      <c r="L20" s="54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O20" s="54"/>
      <c r="AP20" s="54"/>
      <c r="AQ20" s="54"/>
      <c r="AR20" s="54"/>
      <c r="AS20" s="54"/>
      <c r="AT20" s="54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489">
        <v>38</v>
      </c>
      <c r="BW20" s="584"/>
    </row>
    <row r="21" spans="1:75" ht="16" thickBot="1" x14ac:dyDescent="0.4">
      <c r="E21" s="584"/>
      <c r="F21" s="490">
        <v>37</v>
      </c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491">
        <v>37</v>
      </c>
      <c r="BW21" s="584"/>
    </row>
    <row r="22" spans="1:75" x14ac:dyDescent="0.35">
      <c r="A22" s="331" t="s">
        <v>130</v>
      </c>
      <c r="B22" s="332"/>
      <c r="C22" s="332"/>
      <c r="D22" s="333"/>
      <c r="E22" s="584"/>
      <c r="F22" s="55">
        <v>36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5">
        <v>36</v>
      </c>
      <c r="BW22" s="584"/>
    </row>
    <row r="23" spans="1:75" x14ac:dyDescent="0.35">
      <c r="A23" s="334" t="s">
        <v>125</v>
      </c>
      <c r="B23" s="475" t="s">
        <v>126</v>
      </c>
      <c r="C23" s="475" t="s">
        <v>114</v>
      </c>
      <c r="D23" s="336" t="s">
        <v>11</v>
      </c>
      <c r="E23" s="584"/>
      <c r="F23" s="55">
        <v>35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>
        <v>35</v>
      </c>
      <c r="BW23" s="584"/>
    </row>
    <row r="24" spans="1:75" x14ac:dyDescent="0.35">
      <c r="A24" s="337">
        <v>5.7392788564113506E-2</v>
      </c>
      <c r="B24" s="492">
        <v>8.3154736390912989E-2</v>
      </c>
      <c r="C24" s="493">
        <f>B24-A24</f>
        <v>2.5761947826799483E-2</v>
      </c>
      <c r="D24" s="340">
        <f>1/C24</f>
        <v>38.816940656937675</v>
      </c>
      <c r="E24" s="584"/>
      <c r="F24" s="55">
        <v>34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5">
        <v>34</v>
      </c>
      <c r="BW24" s="584"/>
    </row>
    <row r="25" spans="1:75" ht="15" thickBot="1" x14ac:dyDescent="0.4">
      <c r="A25" s="487" t="s">
        <v>353</v>
      </c>
      <c r="B25" s="378">
        <f>A24*D24</f>
        <v>2.2278124678293652</v>
      </c>
      <c r="C25" s="342">
        <f>C24*D24</f>
        <v>1</v>
      </c>
      <c r="D25" s="377">
        <f>(1-B24)*D24</f>
        <v>35.589128189108308</v>
      </c>
      <c r="E25" s="584"/>
      <c r="F25" s="55">
        <v>33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5">
        <v>33</v>
      </c>
      <c r="BW25" s="584"/>
    </row>
    <row r="26" spans="1:75" x14ac:dyDescent="0.35">
      <c r="F26" s="55">
        <v>32</v>
      </c>
      <c r="G26" s="406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O26" s="406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5">
        <v>32</v>
      </c>
    </row>
    <row r="27" spans="1:75" x14ac:dyDescent="0.35">
      <c r="F27" s="55">
        <v>31</v>
      </c>
      <c r="G27" s="406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O27" s="406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5">
        <v>31</v>
      </c>
    </row>
    <row r="28" spans="1:75" x14ac:dyDescent="0.35">
      <c r="F28" s="55">
        <v>30</v>
      </c>
      <c r="G28" s="406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O28" s="406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5">
        <v>30</v>
      </c>
    </row>
    <row r="29" spans="1:75" x14ac:dyDescent="0.35">
      <c r="F29" s="55">
        <v>29</v>
      </c>
      <c r="G29" s="406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O29" s="406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5">
        <v>29</v>
      </c>
    </row>
    <row r="30" spans="1:75" x14ac:dyDescent="0.35">
      <c r="F30" s="55">
        <v>28</v>
      </c>
      <c r="G30" s="406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O30" s="406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5">
        <v>28</v>
      </c>
    </row>
    <row r="31" spans="1:75" x14ac:dyDescent="0.35">
      <c r="F31" s="55">
        <v>27</v>
      </c>
      <c r="G31" s="40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O31" s="406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5">
        <v>27</v>
      </c>
    </row>
    <row r="32" spans="1:75" x14ac:dyDescent="0.35">
      <c r="F32" s="55">
        <v>26</v>
      </c>
      <c r="G32" s="40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O32" s="406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5">
        <v>26</v>
      </c>
    </row>
    <row r="33" spans="6:74" x14ac:dyDescent="0.35">
      <c r="F33" s="55">
        <v>25</v>
      </c>
      <c r="G33" s="406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O33" s="406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>
        <v>25</v>
      </c>
    </row>
    <row r="34" spans="6:74" x14ac:dyDescent="0.35">
      <c r="F34" s="55">
        <v>24</v>
      </c>
      <c r="G34" s="406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O34" s="406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5">
        <v>24</v>
      </c>
    </row>
    <row r="35" spans="6:74" x14ac:dyDescent="0.35">
      <c r="F35" s="55">
        <v>23</v>
      </c>
      <c r="G35" s="406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O35" s="406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5">
        <v>23</v>
      </c>
    </row>
    <row r="36" spans="6:74" x14ac:dyDescent="0.35">
      <c r="F36" s="55">
        <v>22</v>
      </c>
      <c r="G36" s="406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O36" s="406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5">
        <v>22</v>
      </c>
    </row>
    <row r="37" spans="6:74" x14ac:dyDescent="0.35">
      <c r="F37" s="55">
        <v>21</v>
      </c>
      <c r="G37" s="406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O37" s="406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5">
        <v>21</v>
      </c>
    </row>
    <row r="38" spans="6:74" x14ac:dyDescent="0.35">
      <c r="F38" s="55">
        <v>20</v>
      </c>
      <c r="G38" s="406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55">
        <v>20</v>
      </c>
    </row>
    <row r="39" spans="6:74" x14ac:dyDescent="0.35">
      <c r="F39" s="55">
        <v>19</v>
      </c>
      <c r="G39" s="406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55">
        <v>19</v>
      </c>
    </row>
    <row r="40" spans="6:74" x14ac:dyDescent="0.35">
      <c r="F40" s="55">
        <v>18</v>
      </c>
      <c r="G40" s="406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55">
        <v>18</v>
      </c>
    </row>
    <row r="41" spans="6:74" x14ac:dyDescent="0.35">
      <c r="F41" s="55">
        <v>17</v>
      </c>
      <c r="G41" s="406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69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  <c r="BT41" s="406"/>
      <c r="BU41" s="406"/>
      <c r="BV41" s="55">
        <v>17</v>
      </c>
    </row>
    <row r="42" spans="6:74" x14ac:dyDescent="0.35">
      <c r="F42" s="55">
        <v>16</v>
      </c>
      <c r="G42" s="40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6"/>
      <c r="BM42" s="406"/>
      <c r="BN42" s="406"/>
      <c r="BO42" s="406"/>
      <c r="BP42" s="406"/>
      <c r="BQ42" s="406"/>
      <c r="BR42" s="406"/>
      <c r="BS42" s="406"/>
      <c r="BT42" s="406"/>
      <c r="BU42" s="406"/>
      <c r="BV42" s="55">
        <v>16</v>
      </c>
    </row>
    <row r="43" spans="6:74" x14ac:dyDescent="0.35">
      <c r="F43" s="55">
        <v>15</v>
      </c>
      <c r="G43" s="406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06"/>
      <c r="BJ43" s="406"/>
      <c r="BK43" s="406"/>
      <c r="BL43" s="406"/>
      <c r="BM43" s="406"/>
      <c r="BN43" s="406"/>
      <c r="BO43" s="406"/>
      <c r="BP43" s="406"/>
      <c r="BQ43" s="406"/>
      <c r="BR43" s="406"/>
      <c r="BS43" s="406"/>
      <c r="BT43" s="406"/>
      <c r="BU43" s="406"/>
      <c r="BV43" s="55">
        <v>15</v>
      </c>
    </row>
    <row r="44" spans="6:74" x14ac:dyDescent="0.35">
      <c r="F44" s="55">
        <v>14</v>
      </c>
      <c r="G44" s="406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06"/>
      <c r="BU44" s="406"/>
      <c r="BV44" s="55">
        <v>14</v>
      </c>
    </row>
    <row r="45" spans="6:74" x14ac:dyDescent="0.35">
      <c r="F45" s="55">
        <v>13</v>
      </c>
      <c r="G45" s="406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6"/>
      <c r="BU45" s="406"/>
      <c r="BV45" s="55">
        <v>13</v>
      </c>
    </row>
    <row r="46" spans="6:74" x14ac:dyDescent="0.35">
      <c r="F46" s="55">
        <v>12</v>
      </c>
      <c r="G46" s="406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O46" s="406"/>
      <c r="AP46" s="406"/>
      <c r="AQ46" s="406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406"/>
      <c r="BC46" s="406"/>
      <c r="BD46" s="406"/>
      <c r="BE46" s="406"/>
      <c r="BF46" s="406"/>
      <c r="BG46" s="406"/>
      <c r="BH46" s="406"/>
      <c r="BI46" s="406"/>
      <c r="BJ46" s="406"/>
      <c r="BK46" s="406"/>
      <c r="BL46" s="406"/>
      <c r="BM46" s="406"/>
      <c r="BN46" s="406"/>
      <c r="BO46" s="406"/>
      <c r="BP46" s="406"/>
      <c r="BQ46" s="406"/>
      <c r="BR46" s="406"/>
      <c r="BS46" s="406"/>
      <c r="BT46" s="406"/>
      <c r="BU46" s="406"/>
      <c r="BV46" s="55">
        <v>12</v>
      </c>
    </row>
    <row r="47" spans="6:74" x14ac:dyDescent="0.35">
      <c r="F47" s="55">
        <v>11</v>
      </c>
      <c r="G47" s="406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O47" s="406"/>
      <c r="AP47" s="406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  <c r="BD47" s="406"/>
      <c r="BE47" s="406"/>
      <c r="BF47" s="406"/>
      <c r="BG47" s="406"/>
      <c r="BH47" s="406"/>
      <c r="BI47" s="406"/>
      <c r="BJ47" s="406"/>
      <c r="BK47" s="406"/>
      <c r="BL47" s="406"/>
      <c r="BM47" s="406"/>
      <c r="BN47" s="406"/>
      <c r="BO47" s="406"/>
      <c r="BP47" s="406"/>
      <c r="BQ47" s="406"/>
      <c r="BR47" s="406"/>
      <c r="BS47" s="406"/>
      <c r="BT47" s="406"/>
      <c r="BU47" s="406"/>
      <c r="BV47" s="55">
        <v>11</v>
      </c>
    </row>
    <row r="48" spans="6:74" x14ac:dyDescent="0.35">
      <c r="F48" s="55">
        <v>10</v>
      </c>
      <c r="G48" s="406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406"/>
      <c r="BQ48" s="406"/>
      <c r="BR48" s="406"/>
      <c r="BS48" s="406"/>
      <c r="BT48" s="406"/>
      <c r="BU48" s="406"/>
      <c r="BV48" s="55">
        <v>10</v>
      </c>
    </row>
    <row r="49" spans="6:74" x14ac:dyDescent="0.35">
      <c r="F49" s="55">
        <v>9</v>
      </c>
      <c r="G49" s="406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O49" s="406"/>
      <c r="AP49" s="406"/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406"/>
      <c r="BE49" s="406"/>
      <c r="BF49" s="406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  <c r="BS49" s="406"/>
      <c r="BT49" s="406"/>
      <c r="BU49" s="406"/>
      <c r="BV49" s="55">
        <v>9</v>
      </c>
    </row>
    <row r="50" spans="6:74" x14ac:dyDescent="0.35">
      <c r="F50" s="55">
        <v>8</v>
      </c>
      <c r="G50" s="406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6"/>
      <c r="BM50" s="406"/>
      <c r="BN50" s="406"/>
      <c r="BO50" s="406"/>
      <c r="BP50" s="406"/>
      <c r="BQ50" s="406"/>
      <c r="BR50" s="406"/>
      <c r="BS50" s="406"/>
      <c r="BT50" s="406"/>
      <c r="BU50" s="406"/>
      <c r="BV50" s="55">
        <v>8</v>
      </c>
    </row>
    <row r="51" spans="6:74" x14ac:dyDescent="0.35">
      <c r="F51" s="55">
        <v>7</v>
      </c>
      <c r="G51" s="406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406"/>
      <c r="BU51" s="406"/>
      <c r="BV51" s="55">
        <v>7</v>
      </c>
    </row>
    <row r="52" spans="6:74" x14ac:dyDescent="0.35">
      <c r="F52" s="55">
        <v>6</v>
      </c>
      <c r="G52" s="406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  <c r="BF52" s="406"/>
      <c r="BG52" s="406"/>
      <c r="BH52" s="406"/>
      <c r="BI52" s="406"/>
      <c r="BJ52" s="406"/>
      <c r="BK52" s="406"/>
      <c r="BL52" s="406"/>
      <c r="BM52" s="406"/>
      <c r="BN52" s="406"/>
      <c r="BO52" s="406"/>
      <c r="BP52" s="406"/>
      <c r="BQ52" s="406"/>
      <c r="BR52" s="406"/>
      <c r="BS52" s="406"/>
      <c r="BT52" s="406"/>
      <c r="BU52" s="406"/>
      <c r="BV52" s="55">
        <v>6</v>
      </c>
    </row>
    <row r="53" spans="6:74" x14ac:dyDescent="0.35">
      <c r="F53" s="55">
        <v>5</v>
      </c>
      <c r="G53" s="406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6"/>
      <c r="BU53" s="406"/>
      <c r="BV53" s="55">
        <v>5</v>
      </c>
    </row>
    <row r="54" spans="6:74" x14ac:dyDescent="0.35">
      <c r="F54" s="55">
        <v>4</v>
      </c>
      <c r="G54" s="406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6"/>
      <c r="BU54" s="406"/>
      <c r="BV54" s="55">
        <v>4</v>
      </c>
    </row>
    <row r="55" spans="6:74" x14ac:dyDescent="0.35">
      <c r="F55" s="55">
        <v>3</v>
      </c>
      <c r="G55" s="406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6"/>
      <c r="BU55" s="406"/>
      <c r="BV55" s="55">
        <v>3</v>
      </c>
    </row>
    <row r="56" spans="6:74" x14ac:dyDescent="0.35">
      <c r="F56" s="55">
        <v>2</v>
      </c>
      <c r="G56" s="406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O56" s="406"/>
      <c r="AP56" s="406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6"/>
      <c r="BE56" s="406"/>
      <c r="BF56" s="406"/>
      <c r="BG56" s="406"/>
      <c r="BH56" s="406"/>
      <c r="BI56" s="406"/>
      <c r="BJ56" s="406"/>
      <c r="BK56" s="406"/>
      <c r="BL56" s="406"/>
      <c r="BM56" s="406"/>
      <c r="BN56" s="406"/>
      <c r="BO56" s="406"/>
      <c r="BP56" s="406"/>
      <c r="BQ56" s="406"/>
      <c r="BR56" s="406"/>
      <c r="BS56" s="406"/>
      <c r="BT56" s="406"/>
      <c r="BU56" s="406"/>
      <c r="BV56" s="55">
        <v>2</v>
      </c>
    </row>
    <row r="57" spans="6:74" x14ac:dyDescent="0.35">
      <c r="F57" s="55">
        <v>1</v>
      </c>
      <c r="G57" s="406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6"/>
      <c r="BV57" s="55">
        <v>1</v>
      </c>
    </row>
    <row r="58" spans="6:74" x14ac:dyDescent="0.35">
      <c r="G58" s="446">
        <v>1</v>
      </c>
      <c r="H58" s="446">
        <v>2</v>
      </c>
      <c r="I58" s="446">
        <v>3</v>
      </c>
      <c r="J58" s="446">
        <v>4</v>
      </c>
      <c r="K58" s="446">
        <v>5</v>
      </c>
      <c r="L58" s="446">
        <v>6</v>
      </c>
      <c r="M58" s="446">
        <v>7</v>
      </c>
      <c r="N58" s="446">
        <v>8</v>
      </c>
      <c r="O58" s="446">
        <v>9</v>
      </c>
      <c r="P58" s="446">
        <v>10</v>
      </c>
      <c r="Q58" s="446">
        <v>11</v>
      </c>
      <c r="R58" s="446">
        <v>12</v>
      </c>
      <c r="S58" s="446">
        <v>13</v>
      </c>
      <c r="T58" s="446">
        <v>14</v>
      </c>
      <c r="U58" s="446">
        <v>15</v>
      </c>
      <c r="V58" s="446">
        <v>16</v>
      </c>
      <c r="W58" s="446">
        <v>17</v>
      </c>
      <c r="X58" s="446">
        <v>18</v>
      </c>
      <c r="Y58" s="446">
        <v>19</v>
      </c>
      <c r="Z58" s="446">
        <v>20</v>
      </c>
      <c r="AA58" s="446">
        <v>21</v>
      </c>
      <c r="AB58" s="446">
        <v>22</v>
      </c>
      <c r="AC58" s="446">
        <v>23</v>
      </c>
      <c r="AD58" s="446">
        <v>24</v>
      </c>
      <c r="AE58" s="446">
        <v>25</v>
      </c>
      <c r="AF58" s="446">
        <v>26</v>
      </c>
      <c r="AG58" s="446">
        <v>27</v>
      </c>
      <c r="AH58" s="446">
        <v>28</v>
      </c>
      <c r="AI58" s="446">
        <v>29</v>
      </c>
      <c r="AJ58" s="446">
        <v>30</v>
      </c>
      <c r="AK58" s="446">
        <v>31</v>
      </c>
      <c r="AL58" s="446">
        <v>32</v>
      </c>
      <c r="AM58" s="446">
        <v>33</v>
      </c>
      <c r="AN58" s="446"/>
      <c r="AO58" s="446">
        <v>1</v>
      </c>
      <c r="AP58" s="446">
        <v>2</v>
      </c>
      <c r="AQ58" s="446">
        <v>3</v>
      </c>
      <c r="AR58" s="446">
        <v>4</v>
      </c>
      <c r="AS58" s="446">
        <v>5</v>
      </c>
      <c r="AT58" s="446">
        <v>6</v>
      </c>
      <c r="AU58" s="446">
        <v>7</v>
      </c>
      <c r="AV58" s="446">
        <v>8</v>
      </c>
      <c r="AW58" s="446">
        <v>9</v>
      </c>
      <c r="AX58" s="446">
        <v>10</v>
      </c>
      <c r="AY58" s="446">
        <v>11</v>
      </c>
      <c r="AZ58" s="446">
        <v>12</v>
      </c>
      <c r="BA58" s="446">
        <v>13</v>
      </c>
      <c r="BB58" s="446">
        <v>14</v>
      </c>
      <c r="BC58" s="446">
        <v>15</v>
      </c>
      <c r="BD58" s="446">
        <v>16</v>
      </c>
      <c r="BE58" s="446">
        <v>17</v>
      </c>
      <c r="BF58" s="446">
        <v>18</v>
      </c>
      <c r="BG58" s="446">
        <v>19</v>
      </c>
      <c r="BH58" s="446">
        <v>20</v>
      </c>
      <c r="BI58" s="446">
        <v>21</v>
      </c>
      <c r="BJ58" s="446">
        <v>22</v>
      </c>
      <c r="BK58" s="446">
        <v>23</v>
      </c>
      <c r="BL58" s="446">
        <v>24</v>
      </c>
      <c r="BM58" s="446">
        <v>25</v>
      </c>
      <c r="BN58" s="446">
        <v>26</v>
      </c>
      <c r="BO58" s="446">
        <v>27</v>
      </c>
      <c r="BP58" s="446">
        <v>28</v>
      </c>
      <c r="BQ58" s="446">
        <v>29</v>
      </c>
      <c r="BR58" s="446">
        <v>30</v>
      </c>
      <c r="BS58" s="446">
        <v>31</v>
      </c>
      <c r="BT58" s="446">
        <v>32</v>
      </c>
      <c r="BU58" s="446">
        <v>33</v>
      </c>
    </row>
    <row r="59" spans="6:74" x14ac:dyDescent="0.35">
      <c r="G59" s="51" t="s">
        <v>334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AO59" s="51" t="s">
        <v>334</v>
      </c>
      <c r="AP59" s="51"/>
      <c r="AQ59" s="51"/>
    </row>
    <row r="60" spans="6:74" x14ac:dyDescent="0.35">
      <c r="G60" s="51" t="s">
        <v>355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AO60" s="51" t="s">
        <v>14</v>
      </c>
    </row>
  </sheetData>
  <mergeCells count="7">
    <mergeCell ref="E19:E25"/>
    <mergeCell ref="BW19:BW25"/>
    <mergeCell ref="A4:BW4"/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CE2C-258D-4ABD-8F51-533E0D0DBB8F}">
  <dimension ref="A1:LL87"/>
  <sheetViews>
    <sheetView topLeftCell="A3" zoomScale="55" zoomScaleNormal="55" workbookViewId="0">
      <selection activeCell="A4" sqref="A4:DD4"/>
    </sheetView>
  </sheetViews>
  <sheetFormatPr baseColWidth="10" defaultRowHeight="14.5" x14ac:dyDescent="0.35"/>
  <cols>
    <col min="1" max="1" width="15.453125" customWidth="1"/>
    <col min="2" max="2" width="11.453125" customWidth="1"/>
    <col min="3" max="3" width="11.54296875" customWidth="1"/>
    <col min="4" max="4" width="15" customWidth="1"/>
    <col min="5" max="5" width="7.81640625" customWidth="1"/>
    <col min="6" max="6" width="4.26953125" style="51" customWidth="1"/>
    <col min="7" max="107" width="1.26953125" customWidth="1"/>
    <col min="108" max="109" width="3.26953125" customWidth="1"/>
    <col min="110" max="110" width="3.81640625" customWidth="1"/>
    <col min="111" max="326" width="1.26953125" customWidth="1"/>
  </cols>
  <sheetData>
    <row r="1" spans="1:111" hidden="1" x14ac:dyDescent="0.3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461"/>
      <c r="G1" s="22"/>
      <c r="H1" s="22"/>
      <c r="I1" s="22"/>
      <c r="J1" s="22"/>
      <c r="K1" s="22"/>
    </row>
    <row r="2" spans="1:111" hidden="1" x14ac:dyDescent="0.3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100 pacientes, a los 33 meses</v>
      </c>
      <c r="F2" s="461"/>
      <c r="G2" s="22"/>
      <c r="H2" s="22"/>
      <c r="I2" s="22"/>
      <c r="J2" s="22"/>
      <c r="K2" s="22"/>
      <c r="L2" s="24" t="str">
        <f>CONCATENATE(A2," ",E2,D2)</f>
        <v>NO puede representarse llegando los 100 pacientes, a los 33 meses, pues habría que recortar o ampliar los tiempos respectivos de uno o más pacientes "libres de evento" o "con evento"</v>
      </c>
      <c r="M2" s="24"/>
      <c r="N2" s="24"/>
      <c r="O2" s="24"/>
      <c r="P2" s="24"/>
    </row>
    <row r="3" spans="1:111" ht="6.75" customHeight="1" thickBot="1" x14ac:dyDescent="0.4">
      <c r="A3" s="25"/>
      <c r="C3" s="25"/>
      <c r="D3" s="25"/>
      <c r="E3" s="25"/>
      <c r="F3" s="462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26"/>
      <c r="Z3" s="26"/>
      <c r="AA3" s="26"/>
      <c r="AB3" s="26"/>
    </row>
    <row r="4" spans="1:111" ht="40.5" customHeight="1" thickBot="1" x14ac:dyDescent="0.4">
      <c r="A4" s="577" t="s">
        <v>359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8"/>
      <c r="AP4" s="578"/>
      <c r="AQ4" s="578"/>
      <c r="AR4" s="578"/>
      <c r="AS4" s="578"/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8"/>
      <c r="BH4" s="578"/>
      <c r="BI4" s="578"/>
      <c r="BJ4" s="578"/>
      <c r="BK4" s="578"/>
      <c r="BL4" s="578"/>
      <c r="BM4" s="578"/>
      <c r="BN4" s="578"/>
      <c r="BO4" s="578"/>
      <c r="BP4" s="578"/>
      <c r="BQ4" s="578"/>
      <c r="BR4" s="578"/>
      <c r="BS4" s="578"/>
      <c r="BT4" s="578"/>
      <c r="BU4" s="578"/>
      <c r="BV4" s="578"/>
      <c r="BW4" s="578"/>
      <c r="BX4" s="578"/>
      <c r="BY4" s="578"/>
      <c r="BZ4" s="578"/>
      <c r="CA4" s="578"/>
      <c r="CB4" s="578"/>
      <c r="CC4" s="578"/>
      <c r="CD4" s="578"/>
      <c r="CE4" s="578"/>
      <c r="CF4" s="578"/>
      <c r="CG4" s="578"/>
      <c r="CH4" s="578"/>
      <c r="CI4" s="578"/>
      <c r="CJ4" s="578"/>
      <c r="CK4" s="578"/>
      <c r="CL4" s="578"/>
      <c r="CM4" s="578"/>
      <c r="CN4" s="578"/>
      <c r="CO4" s="578"/>
      <c r="CP4" s="578"/>
      <c r="CQ4" s="578"/>
      <c r="CR4" s="578"/>
      <c r="CS4" s="578"/>
      <c r="CT4" s="578"/>
      <c r="CU4" s="578"/>
      <c r="CV4" s="578"/>
      <c r="CW4" s="578"/>
      <c r="CX4" s="578"/>
      <c r="CY4" s="578"/>
      <c r="CZ4" s="578"/>
      <c r="DA4" s="578"/>
      <c r="DB4" s="578"/>
      <c r="DC4" s="578"/>
      <c r="DD4" s="579"/>
      <c r="DE4" s="494"/>
    </row>
    <row r="5" spans="1:111" ht="26" x14ac:dyDescent="0.35">
      <c r="A5" s="463" t="s">
        <v>347</v>
      </c>
      <c r="B5" s="464">
        <v>100</v>
      </c>
      <c r="C5" s="450">
        <v>6</v>
      </c>
      <c r="D5" s="448">
        <v>2.5761947826799481</v>
      </c>
      <c r="E5" s="449">
        <f>B5-C5-D5</f>
        <v>91.423805217320051</v>
      </c>
      <c r="H5" s="390" t="s">
        <v>174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111" ht="15" customHeight="1" x14ac:dyDescent="0.35">
      <c r="A6" s="25"/>
      <c r="B6" s="481">
        <f>C8/C5</f>
        <v>22.867552507501074</v>
      </c>
      <c r="C6" s="482">
        <f>22*C5</f>
        <v>132</v>
      </c>
      <c r="D6" s="483">
        <f>D8/(C5+D5)</f>
        <v>20.954809622813599</v>
      </c>
      <c r="E6" s="484">
        <f>21*(C5+D5)</f>
        <v>180.10009043627892</v>
      </c>
      <c r="F6" s="462"/>
      <c r="G6" s="25"/>
      <c r="H6" s="389" t="s">
        <v>175</v>
      </c>
      <c r="I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111" ht="39" x14ac:dyDescent="0.35">
      <c r="A7" s="397" t="s">
        <v>331</v>
      </c>
      <c r="B7" s="31" t="s">
        <v>147</v>
      </c>
      <c r="C7" s="32" t="str">
        <f>CONCATENATE(A1," ",B1," ",B5," ",C1)</f>
        <v>meses de los 100 del grupo Interv</v>
      </c>
      <c r="D7" s="32" t="str">
        <f>CONCATENATE(A1," ",B1," ",B5," ",D1)</f>
        <v>meses de los 100 del grupo Contr</v>
      </c>
      <c r="E7" s="480"/>
      <c r="F7" s="46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111" ht="25.5" customHeight="1" x14ac:dyDescent="0.35">
      <c r="A8" s="33" t="s">
        <v>1</v>
      </c>
      <c r="B8" s="34">
        <v>1.3720531504500644</v>
      </c>
      <c r="C8" s="427">
        <f>B8*B5</f>
        <v>137.20531504500644</v>
      </c>
      <c r="D8" s="570">
        <f>(B8+B9)*B5</f>
        <v>179.71252895922558</v>
      </c>
      <c r="E8" s="485">
        <f>C8-C6</f>
        <v>5.2053150450064436</v>
      </c>
      <c r="F8" s="465"/>
      <c r="G8" s="35"/>
      <c r="H8" s="35"/>
      <c r="I8" s="35"/>
      <c r="J8" s="35"/>
      <c r="K8" s="35"/>
      <c r="L8" s="36"/>
      <c r="M8" s="36"/>
      <c r="N8" s="36"/>
      <c r="O8" s="36"/>
      <c r="P8" s="36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111" ht="26.5" x14ac:dyDescent="0.35">
      <c r="A9" s="37" t="s">
        <v>3</v>
      </c>
      <c r="B9" s="38">
        <v>0.42507213914219155</v>
      </c>
      <c r="C9" s="571">
        <f>(B10+B9)*B5</f>
        <v>3162.794684954993</v>
      </c>
      <c r="D9" s="570"/>
      <c r="E9" s="486"/>
      <c r="F9" s="496"/>
      <c r="G9" s="39"/>
      <c r="H9" s="39"/>
      <c r="I9" s="39"/>
      <c r="J9" s="39"/>
      <c r="K9" s="39"/>
      <c r="L9" s="36"/>
      <c r="M9" s="36"/>
      <c r="N9" s="36"/>
      <c r="O9" s="36"/>
      <c r="P9" s="36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111" ht="26.5" x14ac:dyDescent="0.35">
      <c r="A10" s="40" t="s">
        <v>2</v>
      </c>
      <c r="B10" s="41">
        <v>31.202874710407741</v>
      </c>
      <c r="C10" s="571"/>
      <c r="D10" s="42">
        <f>B10*B5</f>
        <v>3120.2874710407741</v>
      </c>
      <c r="E10" s="485">
        <f>D8-C8</f>
        <v>42.507213914219136</v>
      </c>
      <c r="F10" s="465"/>
      <c r="G10" s="39"/>
      <c r="H10" s="39"/>
      <c r="I10" s="39"/>
      <c r="J10" s="39"/>
      <c r="K10" s="39"/>
      <c r="L10" s="43"/>
      <c r="M10" s="43"/>
      <c r="N10" s="43"/>
      <c r="O10" s="43"/>
      <c r="P10" s="4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111" x14ac:dyDescent="0.35">
      <c r="A11" s="2"/>
      <c r="B11" s="44">
        <v>33</v>
      </c>
      <c r="C11" s="45">
        <f>C8+C9</f>
        <v>3299.9999999999995</v>
      </c>
      <c r="D11" s="45">
        <f>D8+D10</f>
        <v>3299.9999999999995</v>
      </c>
      <c r="E11" s="477"/>
      <c r="F11" s="46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111" ht="9" customHeight="1" x14ac:dyDescent="0.35">
      <c r="A12" s="25"/>
      <c r="B12" s="25"/>
      <c r="C12" s="25"/>
      <c r="D12" s="25"/>
      <c r="E12" s="25"/>
      <c r="F12" s="46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111" x14ac:dyDescent="0.35">
      <c r="A13" s="25"/>
      <c r="B13" s="25"/>
      <c r="C13" s="21">
        <f>(E5+D5)*B11</f>
        <v>3102</v>
      </c>
      <c r="D13" s="21">
        <f>E5*B11</f>
        <v>3016.9855721715617</v>
      </c>
      <c r="E13" s="478"/>
      <c r="F13" s="467" t="s">
        <v>12</v>
      </c>
      <c r="G13" s="47"/>
      <c r="H13" s="47"/>
      <c r="I13" s="47"/>
      <c r="J13" s="47"/>
      <c r="K13" s="47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111" ht="36" customHeight="1" x14ac:dyDescent="0.35">
      <c r="A14" s="572" t="s">
        <v>13</v>
      </c>
      <c r="B14" s="572"/>
      <c r="C14" s="48">
        <f>C9-C13</f>
        <v>60.794684954993045</v>
      </c>
      <c r="D14" s="48">
        <f>D10-D13</f>
        <v>103.30189886921244</v>
      </c>
      <c r="F14" s="573" t="str">
        <f>IF((AND(((B9+B10)/B11)&gt;((D5+E5)/B5),(B10/B11)&gt;(E5/B5))),E2,L2)</f>
        <v>puede representarse llegando los 100 pacientes, a los 33 meses</v>
      </c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</row>
    <row r="15" spans="1:111" ht="17.5" customHeight="1" x14ac:dyDescent="0.35">
      <c r="A15" s="468"/>
      <c r="B15" s="468"/>
      <c r="C15" s="468"/>
      <c r="D15" s="468"/>
      <c r="F15" s="469"/>
      <c r="G15" s="51" t="s">
        <v>352</v>
      </c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DG15" s="51" t="s">
        <v>350</v>
      </c>
    </row>
    <row r="16" spans="1:111" ht="15" thickBot="1" x14ac:dyDescent="0.4">
      <c r="G16" s="51" t="s">
        <v>348</v>
      </c>
      <c r="H16" s="51"/>
      <c r="I16" s="51"/>
      <c r="J16" s="51"/>
      <c r="K16" s="51"/>
      <c r="L16" s="51"/>
      <c r="M16" s="51"/>
      <c r="N16" s="51"/>
      <c r="O16" s="51"/>
      <c r="AV16" s="470" t="s">
        <v>349</v>
      </c>
      <c r="DG16" s="51" t="s">
        <v>348</v>
      </c>
    </row>
    <row r="17" spans="1:324" ht="15" thickBot="1" x14ac:dyDescent="0.4">
      <c r="A17" s="408" t="s">
        <v>173</v>
      </c>
      <c r="B17" s="363"/>
      <c r="C17" s="364"/>
      <c r="G17" s="471">
        <v>1</v>
      </c>
      <c r="H17" s="471">
        <v>2</v>
      </c>
      <c r="I17" s="471">
        <v>3</v>
      </c>
      <c r="J17" s="471">
        <v>4</v>
      </c>
      <c r="K17" s="471">
        <v>5</v>
      </c>
      <c r="L17" s="471">
        <v>6</v>
      </c>
      <c r="M17" s="471">
        <v>7</v>
      </c>
      <c r="N17" s="471">
        <v>8</v>
      </c>
      <c r="O17" s="471">
        <v>9</v>
      </c>
      <c r="P17" s="471">
        <v>10</v>
      </c>
      <c r="Q17" s="471">
        <v>11</v>
      </c>
      <c r="R17" s="471">
        <v>12</v>
      </c>
      <c r="S17" s="471">
        <v>13</v>
      </c>
      <c r="T17" s="471">
        <v>14</v>
      </c>
      <c r="U17" s="471">
        <v>15</v>
      </c>
      <c r="V17" s="471">
        <v>16</v>
      </c>
      <c r="W17" s="471">
        <v>17</v>
      </c>
      <c r="X17" s="471">
        <v>18</v>
      </c>
      <c r="Y17" s="471">
        <v>19</v>
      </c>
      <c r="Z17" s="471">
        <v>20</v>
      </c>
      <c r="AA17" s="471">
        <v>21</v>
      </c>
      <c r="AB17" s="471">
        <v>22</v>
      </c>
      <c r="AC17" s="471">
        <v>23</v>
      </c>
      <c r="AD17" s="471">
        <v>24</v>
      </c>
      <c r="AE17" s="471">
        <v>25</v>
      </c>
      <c r="AF17" s="471">
        <v>26</v>
      </c>
      <c r="AG17" s="471">
        <v>27</v>
      </c>
      <c r="AH17" s="471">
        <v>28</v>
      </c>
      <c r="AI17" s="471">
        <v>29</v>
      </c>
      <c r="AJ17" s="471">
        <v>30</v>
      </c>
      <c r="AK17" s="471">
        <v>31</v>
      </c>
      <c r="AL17" s="471">
        <v>32</v>
      </c>
      <c r="AM17" s="471">
        <v>33</v>
      </c>
      <c r="AN17" s="471">
        <v>34</v>
      </c>
      <c r="AO17" s="471">
        <v>35</v>
      </c>
      <c r="AP17" s="471">
        <v>36</v>
      </c>
      <c r="AQ17" s="471">
        <v>37</v>
      </c>
      <c r="AR17" s="471">
        <v>38</v>
      </c>
      <c r="AS17" s="471">
        <v>39</v>
      </c>
      <c r="AT17" s="471">
        <v>40</v>
      </c>
      <c r="AU17" s="471">
        <v>41</v>
      </c>
      <c r="AV17" s="471">
        <v>42</v>
      </c>
      <c r="AW17" s="471">
        <v>43</v>
      </c>
      <c r="AX17" s="471">
        <v>44</v>
      </c>
      <c r="AY17" s="471">
        <v>45</v>
      </c>
      <c r="AZ17" s="471">
        <v>46</v>
      </c>
      <c r="BA17" s="471">
        <v>47</v>
      </c>
      <c r="BB17" s="471">
        <v>48</v>
      </c>
      <c r="BC17" s="471">
        <v>49</v>
      </c>
      <c r="BD17" s="471">
        <v>50</v>
      </c>
      <c r="BE17" s="471">
        <v>51</v>
      </c>
      <c r="BF17" s="471">
        <v>52</v>
      </c>
      <c r="BG17" s="471">
        <v>53</v>
      </c>
      <c r="BH17" s="471">
        <v>54</v>
      </c>
      <c r="BI17" s="471">
        <v>55</v>
      </c>
      <c r="BJ17" s="471">
        <v>56</v>
      </c>
      <c r="BK17" s="471">
        <v>57</v>
      </c>
      <c r="BL17" s="471">
        <v>58</v>
      </c>
      <c r="BM17" s="471">
        <v>59</v>
      </c>
      <c r="BN17" s="471">
        <v>60</v>
      </c>
      <c r="BO17" s="471">
        <v>61</v>
      </c>
      <c r="BP17" s="471">
        <v>62</v>
      </c>
      <c r="BQ17" s="471">
        <v>63</v>
      </c>
      <c r="BR17" s="471">
        <v>64</v>
      </c>
      <c r="BS17" s="471">
        <v>65</v>
      </c>
      <c r="BT17" s="471">
        <v>66</v>
      </c>
      <c r="BU17" s="471">
        <v>67</v>
      </c>
      <c r="BV17" s="471">
        <v>68</v>
      </c>
      <c r="BW17" s="471">
        <v>69</v>
      </c>
      <c r="BX17" s="471">
        <v>70</v>
      </c>
      <c r="BY17" s="471">
        <v>71</v>
      </c>
      <c r="BZ17" s="471">
        <v>72</v>
      </c>
      <c r="CA17" s="471">
        <v>73</v>
      </c>
      <c r="CB17" s="471">
        <v>74</v>
      </c>
      <c r="CC17" s="471">
        <v>75</v>
      </c>
      <c r="CD17" s="471">
        <v>76</v>
      </c>
      <c r="CE17" s="471">
        <v>77</v>
      </c>
      <c r="CF17" s="471">
        <v>78</v>
      </c>
      <c r="CG17" s="471">
        <v>79</v>
      </c>
      <c r="CH17" s="471">
        <v>80</v>
      </c>
      <c r="CI17" s="471">
        <v>81</v>
      </c>
      <c r="CJ17" s="471">
        <v>82</v>
      </c>
      <c r="CK17" s="471">
        <v>83</v>
      </c>
      <c r="CL17" s="471">
        <v>84</v>
      </c>
      <c r="CM17" s="471">
        <v>85</v>
      </c>
      <c r="CN17" s="471">
        <v>86</v>
      </c>
      <c r="CO17" s="471">
        <v>87</v>
      </c>
      <c r="CP17" s="471">
        <v>88</v>
      </c>
      <c r="CQ17" s="471">
        <v>89</v>
      </c>
      <c r="CR17" s="471">
        <v>90</v>
      </c>
      <c r="CS17" s="471">
        <v>91</v>
      </c>
      <c r="CT17" s="472">
        <v>92</v>
      </c>
      <c r="CU17" s="472">
        <v>93</v>
      </c>
      <c r="CV17" s="472">
        <v>94</v>
      </c>
      <c r="CW17" s="473">
        <v>95</v>
      </c>
      <c r="CX17" s="473">
        <v>96</v>
      </c>
      <c r="CY17" s="473">
        <v>97</v>
      </c>
      <c r="CZ17" s="473">
        <v>98</v>
      </c>
      <c r="DA17" s="473">
        <v>99</v>
      </c>
      <c r="DB17" s="473">
        <v>100</v>
      </c>
      <c r="DD17" s="471"/>
      <c r="DE17" s="471"/>
      <c r="DF17" s="51"/>
      <c r="DG17" s="473">
        <v>100</v>
      </c>
      <c r="DH17" s="473">
        <v>99</v>
      </c>
      <c r="DI17" s="473">
        <v>98</v>
      </c>
      <c r="DJ17" s="471">
        <v>97</v>
      </c>
      <c r="DK17" s="471">
        <v>96</v>
      </c>
      <c r="DL17" s="471">
        <v>95</v>
      </c>
      <c r="DM17" s="471">
        <v>94</v>
      </c>
      <c r="DN17" s="471">
        <v>93</v>
      </c>
      <c r="DO17" s="471">
        <v>92</v>
      </c>
      <c r="DP17" s="471">
        <v>91</v>
      </c>
      <c r="DQ17" s="471">
        <v>90</v>
      </c>
      <c r="DR17" s="471">
        <v>89</v>
      </c>
      <c r="DS17" s="471">
        <v>88</v>
      </c>
      <c r="DT17" s="471">
        <v>87</v>
      </c>
      <c r="DU17" s="471">
        <v>86</v>
      </c>
      <c r="DV17" s="471">
        <v>85</v>
      </c>
      <c r="DW17" s="471">
        <v>84</v>
      </c>
      <c r="DX17" s="471">
        <v>83</v>
      </c>
      <c r="DY17" s="471">
        <v>82</v>
      </c>
      <c r="DZ17" s="471">
        <v>81</v>
      </c>
      <c r="EA17" s="471">
        <v>80</v>
      </c>
      <c r="EB17" s="471">
        <v>79</v>
      </c>
      <c r="EC17" s="471">
        <v>78</v>
      </c>
      <c r="ED17" s="471">
        <v>77</v>
      </c>
      <c r="EE17" s="471">
        <v>76</v>
      </c>
      <c r="EF17" s="471">
        <v>75</v>
      </c>
      <c r="EG17" s="471">
        <v>74</v>
      </c>
      <c r="EH17" s="471">
        <v>73</v>
      </c>
      <c r="EI17" s="471">
        <v>72</v>
      </c>
      <c r="EJ17" s="471">
        <v>71</v>
      </c>
      <c r="EK17" s="471">
        <v>70</v>
      </c>
      <c r="EL17" s="471">
        <v>69</v>
      </c>
      <c r="EM17" s="471">
        <v>68</v>
      </c>
      <c r="EN17" s="471">
        <v>67</v>
      </c>
      <c r="EO17" s="471">
        <v>66</v>
      </c>
      <c r="EP17" s="471">
        <v>65</v>
      </c>
      <c r="EQ17" s="471">
        <v>64</v>
      </c>
      <c r="ER17" s="471">
        <v>63</v>
      </c>
      <c r="ES17" s="471">
        <v>62</v>
      </c>
      <c r="ET17" s="471">
        <v>61</v>
      </c>
      <c r="EU17" s="471">
        <v>60</v>
      </c>
      <c r="EV17" s="471">
        <v>59</v>
      </c>
      <c r="EW17" s="471">
        <v>58</v>
      </c>
      <c r="EX17" s="471">
        <v>57</v>
      </c>
      <c r="EY17" s="471">
        <v>56</v>
      </c>
      <c r="EZ17" s="471">
        <v>55</v>
      </c>
      <c r="FA17" s="471">
        <v>54</v>
      </c>
      <c r="FB17" s="471">
        <v>53</v>
      </c>
      <c r="FC17" s="471">
        <v>52</v>
      </c>
      <c r="FD17" s="471">
        <v>51</v>
      </c>
      <c r="FE17" s="471">
        <v>50</v>
      </c>
      <c r="FF17" s="471">
        <v>49</v>
      </c>
      <c r="FG17" s="471">
        <v>48</v>
      </c>
      <c r="FH17" s="471">
        <v>47</v>
      </c>
      <c r="FI17" s="471">
        <v>46</v>
      </c>
      <c r="FJ17" s="471">
        <v>45</v>
      </c>
      <c r="FK17" s="471">
        <v>44</v>
      </c>
      <c r="FL17" s="471">
        <v>43</v>
      </c>
      <c r="FM17" s="471">
        <v>42</v>
      </c>
      <c r="FN17" s="471">
        <v>41</v>
      </c>
      <c r="FO17" s="471">
        <v>40</v>
      </c>
      <c r="FP17" s="471">
        <v>39</v>
      </c>
      <c r="FQ17" s="471">
        <v>38</v>
      </c>
      <c r="FR17" s="471">
        <v>37</v>
      </c>
      <c r="FS17" s="471">
        <v>36</v>
      </c>
      <c r="FT17" s="471">
        <v>35</v>
      </c>
      <c r="FU17" s="471">
        <v>34</v>
      </c>
      <c r="FV17" s="471">
        <v>33</v>
      </c>
      <c r="FW17" s="471">
        <v>32</v>
      </c>
      <c r="FX17" s="471">
        <v>31</v>
      </c>
      <c r="FY17" s="471">
        <v>30</v>
      </c>
      <c r="FZ17" s="471">
        <v>29</v>
      </c>
      <c r="GA17" s="471">
        <v>28</v>
      </c>
      <c r="GB17" s="471">
        <v>27</v>
      </c>
      <c r="GC17" s="471">
        <v>26</v>
      </c>
      <c r="GD17" s="471">
        <v>25</v>
      </c>
      <c r="GE17" s="471">
        <v>24</v>
      </c>
      <c r="GF17" s="471">
        <v>23</v>
      </c>
      <c r="GG17" s="471">
        <v>22</v>
      </c>
      <c r="GH17" s="471">
        <v>21</v>
      </c>
      <c r="GI17" s="471">
        <v>20</v>
      </c>
      <c r="GJ17" s="471">
        <v>19</v>
      </c>
      <c r="GK17" s="471">
        <v>18</v>
      </c>
      <c r="GL17" s="471">
        <v>17</v>
      </c>
      <c r="GM17" s="471">
        <v>16</v>
      </c>
      <c r="GN17" s="471">
        <v>15</v>
      </c>
      <c r="GO17" s="471">
        <v>14</v>
      </c>
      <c r="GP17" s="471">
        <v>13</v>
      </c>
      <c r="GQ17" s="471">
        <v>12</v>
      </c>
      <c r="GR17" s="471">
        <v>11</v>
      </c>
      <c r="GS17" s="471">
        <v>10</v>
      </c>
      <c r="GT17" s="471">
        <v>9</v>
      </c>
      <c r="GU17" s="471">
        <v>8</v>
      </c>
      <c r="GV17" s="471">
        <v>7</v>
      </c>
      <c r="GW17" s="471">
        <v>6</v>
      </c>
      <c r="GX17" s="471">
        <v>5</v>
      </c>
      <c r="GY17" s="471">
        <v>4</v>
      </c>
      <c r="GZ17" s="471">
        <v>3</v>
      </c>
      <c r="HA17" s="471">
        <v>2</v>
      </c>
      <c r="HB17" s="471">
        <v>1</v>
      </c>
      <c r="HD17" s="471"/>
      <c r="LJ17" s="471"/>
      <c r="LK17" s="471"/>
      <c r="LL17" s="471"/>
    </row>
    <row r="18" spans="1:324" ht="15.75" customHeight="1" x14ac:dyDescent="0.35">
      <c r="A18" s="362" t="s">
        <v>356</v>
      </c>
      <c r="E18" s="576" t="s">
        <v>354</v>
      </c>
      <c r="F18" s="51">
        <v>1</v>
      </c>
      <c r="G18" s="5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366"/>
      <c r="CU18" s="366"/>
      <c r="CV18" s="366"/>
      <c r="CW18" s="54"/>
      <c r="CX18" s="54"/>
      <c r="CY18" s="54"/>
      <c r="CZ18" s="54"/>
      <c r="DA18" s="54"/>
      <c r="DB18" s="54"/>
      <c r="DD18">
        <v>33</v>
      </c>
      <c r="DE18" s="576" t="s">
        <v>354</v>
      </c>
      <c r="DF18" s="51">
        <v>1</v>
      </c>
      <c r="DG18" s="5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/>
      <c r="DZ18" s="474"/>
      <c r="EA18" s="474"/>
      <c r="EB18" s="474"/>
      <c r="EC18" s="474"/>
      <c r="ED18" s="474"/>
      <c r="EE18" s="474"/>
      <c r="EF18" s="474"/>
      <c r="EG18" s="474"/>
      <c r="EH18" s="474"/>
      <c r="EI18" s="474"/>
      <c r="EJ18" s="474"/>
      <c r="EK18" s="474"/>
      <c r="EL18" s="474"/>
      <c r="EM18" s="474"/>
      <c r="EN18" s="474"/>
      <c r="EO18" s="474"/>
      <c r="EP18" s="474"/>
      <c r="EQ18" s="474"/>
      <c r="ER18" s="474"/>
      <c r="ES18" s="474"/>
      <c r="ET18" s="474"/>
      <c r="EU18" s="474"/>
      <c r="EV18" s="474"/>
      <c r="EW18" s="474"/>
      <c r="EX18" s="474"/>
      <c r="EY18" s="474"/>
      <c r="EZ18" s="474"/>
      <c r="FA18" s="474"/>
      <c r="FB18" s="474"/>
      <c r="FC18" s="474"/>
      <c r="FD18" s="474"/>
      <c r="FE18" s="474"/>
      <c r="FF18" s="474"/>
      <c r="FG18" s="474"/>
      <c r="FH18" s="474"/>
      <c r="FI18" s="474"/>
      <c r="FJ18" s="474"/>
      <c r="FK18" s="474"/>
      <c r="FL18" s="474"/>
      <c r="FM18" s="474"/>
      <c r="FN18" s="474"/>
      <c r="FO18" s="474"/>
      <c r="FP18" s="474"/>
      <c r="FQ18" s="474"/>
      <c r="FR18" s="474"/>
      <c r="FS18" s="474"/>
      <c r="FT18" s="474"/>
      <c r="FU18" s="474"/>
      <c r="FV18" s="474"/>
      <c r="FW18" s="474"/>
      <c r="FX18" s="474"/>
      <c r="FY18" s="474"/>
      <c r="FZ18" s="474"/>
      <c r="GA18" s="474"/>
      <c r="GB18" s="474"/>
      <c r="GC18" s="474"/>
      <c r="GD18" s="474"/>
      <c r="GE18" s="474"/>
      <c r="GF18" s="474"/>
      <c r="GG18" s="474"/>
      <c r="GH18" s="474"/>
      <c r="GI18" s="474"/>
      <c r="GJ18" s="474"/>
      <c r="GK18" s="474"/>
      <c r="GL18" s="474"/>
      <c r="GM18" s="474"/>
      <c r="GN18" s="474"/>
      <c r="GO18" s="474"/>
      <c r="GP18" s="474"/>
      <c r="GQ18" s="474"/>
      <c r="GR18" s="474"/>
      <c r="GS18" s="474"/>
      <c r="GT18" s="474"/>
      <c r="GU18" s="474"/>
      <c r="GV18" s="474"/>
      <c r="GW18" s="474"/>
      <c r="GX18" s="474"/>
      <c r="GY18" s="474"/>
      <c r="GZ18" s="54"/>
      <c r="HA18" s="54"/>
      <c r="HB18" s="54"/>
      <c r="HE18">
        <v>33</v>
      </c>
    </row>
    <row r="19" spans="1:324" x14ac:dyDescent="0.35">
      <c r="A19" s="362" t="s">
        <v>155</v>
      </c>
      <c r="E19" s="576"/>
      <c r="F19" s="51">
        <v>2</v>
      </c>
      <c r="G19" s="5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366"/>
      <c r="CU19" s="366"/>
      <c r="CV19" s="366"/>
      <c r="CW19" s="54"/>
      <c r="CX19" s="54"/>
      <c r="CY19" s="54"/>
      <c r="CZ19" s="54"/>
      <c r="DA19" s="54"/>
      <c r="DB19" s="54"/>
      <c r="DD19">
        <v>32</v>
      </c>
      <c r="DE19" s="576"/>
      <c r="DF19" s="51">
        <v>2</v>
      </c>
      <c r="DG19" s="54"/>
      <c r="DH19" s="474"/>
      <c r="DI19" s="474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4"/>
      <c r="DX19" s="474"/>
      <c r="DY19" s="474"/>
      <c r="DZ19" s="474"/>
      <c r="EA19" s="474"/>
      <c r="EB19" s="474"/>
      <c r="EC19" s="474"/>
      <c r="ED19" s="474"/>
      <c r="EE19" s="474"/>
      <c r="EF19" s="474"/>
      <c r="EG19" s="474"/>
      <c r="EH19" s="474"/>
      <c r="EI19" s="474"/>
      <c r="EJ19" s="474"/>
      <c r="EK19" s="474"/>
      <c r="EL19" s="474"/>
      <c r="EM19" s="474"/>
      <c r="EN19" s="474"/>
      <c r="EO19" s="474"/>
      <c r="EP19" s="474"/>
      <c r="EQ19" s="474"/>
      <c r="ER19" s="474"/>
      <c r="ES19" s="47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474"/>
      <c r="GT19" s="474"/>
      <c r="GU19" s="474"/>
      <c r="GV19" s="474"/>
      <c r="GW19" s="474"/>
      <c r="GX19" s="474"/>
      <c r="GY19" s="474"/>
      <c r="GZ19" s="54"/>
      <c r="HA19" s="54"/>
      <c r="HB19" s="54"/>
      <c r="HE19">
        <v>32</v>
      </c>
    </row>
    <row r="20" spans="1:324" x14ac:dyDescent="0.35">
      <c r="E20" s="576"/>
      <c r="F20" s="51">
        <v>3</v>
      </c>
      <c r="G20" s="5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366"/>
      <c r="CU20" s="366"/>
      <c r="CV20" s="366"/>
      <c r="CW20" s="54"/>
      <c r="CX20" s="54"/>
      <c r="CY20" s="54"/>
      <c r="CZ20" s="54"/>
      <c r="DA20" s="54"/>
      <c r="DB20" s="54"/>
      <c r="DD20">
        <v>31</v>
      </c>
      <c r="DE20" s="576"/>
      <c r="DF20" s="51">
        <v>3</v>
      </c>
      <c r="DG20" s="5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474"/>
      <c r="GT20" s="474"/>
      <c r="GU20" s="474"/>
      <c r="GV20" s="474"/>
      <c r="GW20" s="474"/>
      <c r="GX20" s="474"/>
      <c r="GY20" s="474"/>
      <c r="GZ20" s="54"/>
      <c r="HA20" s="54"/>
      <c r="HB20" s="54"/>
      <c r="HE20">
        <v>31</v>
      </c>
    </row>
    <row r="21" spans="1:324" x14ac:dyDescent="0.35">
      <c r="E21" s="576"/>
      <c r="F21" s="51">
        <v>4</v>
      </c>
      <c r="G21" s="5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366"/>
      <c r="CU21" s="366"/>
      <c r="CV21" s="366"/>
      <c r="CW21" s="54"/>
      <c r="CX21" s="54"/>
      <c r="CY21" s="54"/>
      <c r="CZ21" s="54"/>
      <c r="DA21" s="54"/>
      <c r="DB21" s="54"/>
      <c r="DD21">
        <v>30</v>
      </c>
      <c r="DE21" s="576"/>
      <c r="DF21" s="51">
        <v>4</v>
      </c>
      <c r="DG21" s="5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/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474"/>
      <c r="GT21" s="474"/>
      <c r="GU21" s="474"/>
      <c r="GV21" s="474"/>
      <c r="GW21" s="474"/>
      <c r="GX21" s="474"/>
      <c r="GY21" s="474"/>
      <c r="GZ21" s="54"/>
      <c r="HA21" s="54"/>
      <c r="HB21" s="54"/>
      <c r="HE21">
        <v>30</v>
      </c>
    </row>
    <row r="22" spans="1:324" ht="15" thickBot="1" x14ac:dyDescent="0.4">
      <c r="E22" s="576"/>
      <c r="F22" s="51">
        <v>5</v>
      </c>
      <c r="G22" s="5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366"/>
      <c r="CU22" s="366"/>
      <c r="CV22" s="366"/>
      <c r="CW22" s="54"/>
      <c r="CX22" s="54"/>
      <c r="CY22" s="54"/>
      <c r="CZ22" s="54"/>
      <c r="DA22" s="54"/>
      <c r="DB22" s="54"/>
      <c r="DD22">
        <v>29</v>
      </c>
      <c r="DE22" s="576"/>
      <c r="DF22" s="51">
        <v>5</v>
      </c>
      <c r="DG22" s="54"/>
      <c r="DH22" s="474"/>
      <c r="DI22" s="474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/>
      <c r="DZ22" s="474"/>
      <c r="EA22" s="474"/>
      <c r="EB22" s="474"/>
      <c r="EC22" s="474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4"/>
      <c r="ES22" s="47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474"/>
      <c r="GT22" s="474"/>
      <c r="GU22" s="474"/>
      <c r="GV22" s="474"/>
      <c r="GW22" s="474"/>
      <c r="GX22" s="474"/>
      <c r="GY22" s="474"/>
      <c r="GZ22" s="54"/>
      <c r="HA22" s="54"/>
      <c r="HB22" s="54"/>
      <c r="HE22">
        <v>29</v>
      </c>
    </row>
    <row r="23" spans="1:324" x14ac:dyDescent="0.35">
      <c r="A23" s="331" t="s">
        <v>351</v>
      </c>
      <c r="B23" s="332"/>
      <c r="C23" s="332"/>
      <c r="D23" s="333"/>
      <c r="F23" s="51">
        <v>6</v>
      </c>
      <c r="G23" s="5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366"/>
      <c r="CU23" s="366"/>
      <c r="CV23" s="366"/>
      <c r="CW23" s="54"/>
      <c r="CX23" s="54"/>
      <c r="CY23" s="54"/>
      <c r="CZ23" s="54"/>
      <c r="DA23" s="54"/>
      <c r="DB23" s="54"/>
      <c r="DD23">
        <v>28</v>
      </c>
      <c r="DF23" s="51">
        <v>6</v>
      </c>
      <c r="DG23" s="5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474"/>
      <c r="GT23" s="474"/>
      <c r="GU23" s="474"/>
      <c r="GV23" s="474"/>
      <c r="GW23" s="474"/>
      <c r="GX23" s="474"/>
      <c r="GY23" s="474"/>
      <c r="GZ23" s="54"/>
      <c r="HA23" s="54"/>
      <c r="HB23" s="54"/>
      <c r="HE23">
        <v>28</v>
      </c>
    </row>
    <row r="24" spans="1:324" x14ac:dyDescent="0.35">
      <c r="A24" s="334" t="s">
        <v>125</v>
      </c>
      <c r="B24" s="335" t="s">
        <v>126</v>
      </c>
      <c r="C24" s="335" t="s">
        <v>114</v>
      </c>
      <c r="D24" s="336" t="s">
        <v>11</v>
      </c>
      <c r="F24" s="51">
        <v>7</v>
      </c>
      <c r="G24" s="5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366"/>
      <c r="CU24" s="366"/>
      <c r="CV24" s="366"/>
      <c r="CW24" s="54"/>
      <c r="CX24" s="54"/>
      <c r="CY24" s="54"/>
      <c r="CZ24" s="54"/>
      <c r="DA24" s="54"/>
      <c r="DB24" s="54"/>
      <c r="DD24">
        <v>27</v>
      </c>
      <c r="DF24" s="51">
        <v>7</v>
      </c>
      <c r="DG24" s="5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4"/>
      <c r="EC24" s="474"/>
      <c r="ED24" s="474"/>
      <c r="EE24" s="474"/>
      <c r="EF24" s="474"/>
      <c r="EG24" s="474"/>
      <c r="EH24" s="474"/>
      <c r="EI24" s="474"/>
      <c r="EJ24" s="474"/>
      <c r="EK24" s="474"/>
      <c r="EL24" s="474"/>
      <c r="EM24" s="474"/>
      <c r="EN24" s="474"/>
      <c r="EO24" s="474"/>
      <c r="EP24" s="474"/>
      <c r="EQ24" s="474"/>
      <c r="ER24" s="474"/>
      <c r="ES24" s="47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474"/>
      <c r="GT24" s="474"/>
      <c r="GU24" s="474"/>
      <c r="GV24" s="474"/>
      <c r="GW24" s="474"/>
      <c r="GX24" s="474"/>
      <c r="GY24" s="474"/>
      <c r="GZ24" s="54"/>
      <c r="HA24" s="54"/>
      <c r="HB24" s="54"/>
      <c r="HE24">
        <v>27</v>
      </c>
    </row>
    <row r="25" spans="1:324" x14ac:dyDescent="0.35">
      <c r="A25" s="337">
        <v>5.7392788564113506E-2</v>
      </c>
      <c r="B25" s="338">
        <v>8.3154736390912989E-2</v>
      </c>
      <c r="C25" s="339">
        <f>B25-A25</f>
        <v>2.5761947826799483E-2</v>
      </c>
      <c r="D25" s="340">
        <f>1/C25</f>
        <v>38.816940656937675</v>
      </c>
      <c r="F25" s="51">
        <v>8</v>
      </c>
      <c r="G25" s="5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366"/>
      <c r="CU25" s="366"/>
      <c r="CV25" s="366"/>
      <c r="CW25" s="54"/>
      <c r="CX25" s="54"/>
      <c r="CY25" s="54"/>
      <c r="CZ25" s="54"/>
      <c r="DA25" s="54"/>
      <c r="DB25" s="54"/>
      <c r="DD25">
        <v>26</v>
      </c>
      <c r="DF25" s="51">
        <v>8</v>
      </c>
      <c r="DG25" s="54"/>
      <c r="DH25" s="474"/>
      <c r="DI25" s="474"/>
      <c r="DJ25" s="474"/>
      <c r="DK25" s="474"/>
      <c r="DL25" s="474"/>
      <c r="DM25" s="474"/>
      <c r="DN25" s="474"/>
      <c r="DO25" s="474"/>
      <c r="DP25" s="474"/>
      <c r="DQ25" s="474"/>
      <c r="DR25" s="474"/>
      <c r="DS25" s="474"/>
      <c r="DT25" s="474"/>
      <c r="DU25" s="474"/>
      <c r="DV25" s="474"/>
      <c r="DW25" s="474"/>
      <c r="DX25" s="474"/>
      <c r="DY25" s="474"/>
      <c r="DZ25" s="474"/>
      <c r="EA25" s="474"/>
      <c r="EB25" s="474"/>
      <c r="EC25" s="474"/>
      <c r="ED25" s="474"/>
      <c r="EE25" s="474"/>
      <c r="EF25" s="474"/>
      <c r="EG25" s="474"/>
      <c r="EH25" s="474"/>
      <c r="EI25" s="474"/>
      <c r="EJ25" s="474"/>
      <c r="EK25" s="474"/>
      <c r="EL25" s="474"/>
      <c r="EM25" s="474"/>
      <c r="EN25" s="474"/>
      <c r="EO25" s="474"/>
      <c r="EP25" s="474"/>
      <c r="EQ25" s="474"/>
      <c r="ER25" s="474"/>
      <c r="ES25" s="47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474"/>
      <c r="GT25" s="474"/>
      <c r="GU25" s="474"/>
      <c r="GV25" s="474"/>
      <c r="GW25" s="474"/>
      <c r="GX25" s="474"/>
      <c r="GY25" s="474"/>
      <c r="GZ25" s="54"/>
      <c r="HA25" s="54"/>
      <c r="HB25" s="54"/>
      <c r="HE25">
        <v>26</v>
      </c>
    </row>
    <row r="26" spans="1:324" ht="15" thickBot="1" x14ac:dyDescent="0.4">
      <c r="A26" s="341" t="s">
        <v>127</v>
      </c>
      <c r="B26" s="378">
        <f>A25*D25</f>
        <v>2.2278124678293652</v>
      </c>
      <c r="C26" s="342">
        <f>C25*D25</f>
        <v>1</v>
      </c>
      <c r="D26" s="377">
        <f>(1-B25)*D25</f>
        <v>35.589128189108308</v>
      </c>
      <c r="F26" s="51">
        <v>9</v>
      </c>
      <c r="G26" s="5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366"/>
      <c r="CU26" s="366"/>
      <c r="CV26" s="366"/>
      <c r="CW26" s="54"/>
      <c r="CX26" s="54"/>
      <c r="CY26" s="54"/>
      <c r="CZ26" s="54"/>
      <c r="DA26" s="54"/>
      <c r="DB26" s="54"/>
      <c r="DD26">
        <v>25</v>
      </c>
      <c r="DF26" s="51">
        <v>9</v>
      </c>
      <c r="DG26" s="54"/>
      <c r="DH26" s="474"/>
      <c r="DI26" s="474"/>
      <c r="DJ26" s="474"/>
      <c r="DK26" s="474"/>
      <c r="DL26" s="474"/>
      <c r="DM26" s="474"/>
      <c r="DN26" s="474"/>
      <c r="DO26" s="474"/>
      <c r="DP26" s="474"/>
      <c r="DQ26" s="474"/>
      <c r="DR26" s="474"/>
      <c r="DS26" s="474"/>
      <c r="DT26" s="474"/>
      <c r="DU26" s="474"/>
      <c r="DV26" s="474"/>
      <c r="DW26" s="474"/>
      <c r="DX26" s="474"/>
      <c r="DY26" s="474"/>
      <c r="DZ26" s="474"/>
      <c r="EA26" s="474"/>
      <c r="EB26" s="474"/>
      <c r="EC26" s="474"/>
      <c r="ED26" s="474"/>
      <c r="EE26" s="474"/>
      <c r="EF26" s="474"/>
      <c r="EG26" s="474"/>
      <c r="EH26" s="474"/>
      <c r="EI26" s="474"/>
      <c r="EJ26" s="474"/>
      <c r="EK26" s="474"/>
      <c r="EL26" s="474"/>
      <c r="EM26" s="474"/>
      <c r="EN26" s="474"/>
      <c r="EO26" s="474"/>
      <c r="EP26" s="474"/>
      <c r="EQ26" s="474"/>
      <c r="ER26" s="474"/>
      <c r="ES26" s="47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474"/>
      <c r="GT26" s="474"/>
      <c r="GU26" s="474"/>
      <c r="GV26" s="474"/>
      <c r="GW26" s="474"/>
      <c r="GX26" s="474"/>
      <c r="GY26" s="474"/>
      <c r="GZ26" s="54"/>
      <c r="HA26" s="54"/>
      <c r="HB26" s="54"/>
      <c r="HE26">
        <v>25</v>
      </c>
    </row>
    <row r="27" spans="1:324" x14ac:dyDescent="0.35">
      <c r="A27" s="476"/>
      <c r="B27" s="476"/>
      <c r="C27" s="475"/>
      <c r="D27" s="475"/>
      <c r="F27" s="51">
        <v>10</v>
      </c>
      <c r="G27" s="5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366"/>
      <c r="CU27" s="366"/>
      <c r="CV27" s="366"/>
      <c r="CW27" s="54"/>
      <c r="CX27" s="54"/>
      <c r="CY27" s="54"/>
      <c r="CZ27" s="54"/>
      <c r="DA27" s="54"/>
      <c r="DB27" s="54"/>
      <c r="DD27">
        <v>24</v>
      </c>
      <c r="DF27" s="51">
        <v>10</v>
      </c>
      <c r="DG27" s="54"/>
      <c r="DH27" s="474"/>
      <c r="DI27" s="474"/>
      <c r="DJ27" s="474"/>
      <c r="DK27" s="474"/>
      <c r="DL27" s="474"/>
      <c r="DM27" s="474"/>
      <c r="DN27" s="474"/>
      <c r="DO27" s="474"/>
      <c r="DP27" s="474"/>
      <c r="DQ27" s="474"/>
      <c r="DR27" s="474"/>
      <c r="DS27" s="474"/>
      <c r="DT27" s="474"/>
      <c r="DU27" s="474"/>
      <c r="DV27" s="474"/>
      <c r="DW27" s="474"/>
      <c r="DX27" s="474"/>
      <c r="DY27" s="474"/>
      <c r="DZ27" s="474"/>
      <c r="EA27" s="474"/>
      <c r="EB27" s="474"/>
      <c r="EC27" s="474"/>
      <c r="ED27" s="474"/>
      <c r="EE27" s="474"/>
      <c r="EF27" s="474"/>
      <c r="EG27" s="474"/>
      <c r="EH27" s="474"/>
      <c r="EI27" s="474"/>
      <c r="EJ27" s="474"/>
      <c r="EK27" s="474"/>
      <c r="EL27" s="474"/>
      <c r="EM27" s="474"/>
      <c r="EN27" s="474"/>
      <c r="EO27" s="474"/>
      <c r="EP27" s="474"/>
      <c r="EQ27" s="474"/>
      <c r="ER27" s="474"/>
      <c r="ES27" s="47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474"/>
      <c r="GT27" s="474"/>
      <c r="GU27" s="474"/>
      <c r="GV27" s="474"/>
      <c r="GW27" s="474"/>
      <c r="GX27" s="474"/>
      <c r="GY27" s="474"/>
      <c r="GZ27" s="54"/>
      <c r="HA27" s="54"/>
      <c r="HB27" s="54"/>
      <c r="HE27">
        <v>24</v>
      </c>
    </row>
    <row r="28" spans="1:324" x14ac:dyDescent="0.35">
      <c r="A28" s="475"/>
      <c r="B28" s="475"/>
      <c r="C28" s="475"/>
      <c r="D28" s="475"/>
      <c r="F28" s="51">
        <v>11</v>
      </c>
      <c r="G28" s="5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366"/>
      <c r="CU28" s="366"/>
      <c r="CV28" s="366"/>
      <c r="CW28" s="54"/>
      <c r="CX28" s="376"/>
      <c r="CY28" s="376"/>
      <c r="CZ28" s="376"/>
      <c r="DA28" s="376"/>
      <c r="DB28" s="376"/>
      <c r="DD28">
        <v>23</v>
      </c>
      <c r="DF28" s="51">
        <v>11</v>
      </c>
      <c r="DG28" s="54"/>
      <c r="DH28" s="474"/>
      <c r="DI28" s="474"/>
      <c r="DJ28" s="474"/>
      <c r="DK28" s="474"/>
      <c r="DL28" s="474"/>
      <c r="DM28" s="474"/>
      <c r="DN28" s="474"/>
      <c r="DO28" s="474"/>
      <c r="DP28" s="474"/>
      <c r="DQ28" s="474"/>
      <c r="DR28" s="474"/>
      <c r="DS28" s="474"/>
      <c r="DT28" s="474"/>
      <c r="DU28" s="474"/>
      <c r="DV28" s="474"/>
      <c r="DW28" s="474"/>
      <c r="DX28" s="474"/>
      <c r="DY28" s="474"/>
      <c r="DZ28" s="474"/>
      <c r="EA28" s="474"/>
      <c r="EB28" s="474"/>
      <c r="EC28" s="474"/>
      <c r="ED28" s="474"/>
      <c r="EE28" s="474"/>
      <c r="EF28" s="474"/>
      <c r="EG28" s="474"/>
      <c r="EH28" s="474"/>
      <c r="EI28" s="474"/>
      <c r="EJ28" s="474"/>
      <c r="EK28" s="474"/>
      <c r="EL28" s="474"/>
      <c r="EM28" s="474"/>
      <c r="EN28" s="474"/>
      <c r="EO28" s="474"/>
      <c r="EP28" s="474"/>
      <c r="EQ28" s="474"/>
      <c r="ER28" s="474"/>
      <c r="ES28" s="47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474"/>
      <c r="GT28" s="474"/>
      <c r="GU28" s="474"/>
      <c r="GV28" s="474"/>
      <c r="GW28" s="474"/>
      <c r="GX28" s="474"/>
      <c r="GY28" s="474"/>
      <c r="GZ28" s="54"/>
      <c r="HA28" s="54"/>
      <c r="HB28" s="54"/>
      <c r="HE28">
        <v>23</v>
      </c>
    </row>
    <row r="29" spans="1:324" x14ac:dyDescent="0.35">
      <c r="A29" s="475"/>
      <c r="B29" s="475"/>
      <c r="C29" s="475"/>
      <c r="D29" s="475"/>
      <c r="F29" s="51">
        <v>12</v>
      </c>
      <c r="G29" s="5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4"/>
      <c r="AI29" s="474"/>
      <c r="AJ29" s="474"/>
      <c r="AK29" s="474"/>
      <c r="AL29" s="474"/>
      <c r="AM29" s="474"/>
      <c r="AN29" s="474"/>
      <c r="AO29" s="474"/>
      <c r="AP29" s="474"/>
      <c r="AQ29" s="474"/>
      <c r="AR29" s="474"/>
      <c r="AS29" s="47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366"/>
      <c r="CU29" s="366"/>
      <c r="CV29" s="366"/>
      <c r="CW29" s="376"/>
      <c r="CX29" s="376"/>
      <c r="CY29" s="376"/>
      <c r="CZ29" s="376"/>
      <c r="DA29" s="376"/>
      <c r="DB29" s="376"/>
      <c r="DD29">
        <v>22</v>
      </c>
      <c r="DF29" s="51">
        <v>12</v>
      </c>
      <c r="DG29" s="54"/>
      <c r="DH29" s="474"/>
      <c r="DI29" s="474"/>
      <c r="DJ29" s="474"/>
      <c r="DK29" s="474"/>
      <c r="DL29" s="474"/>
      <c r="DM29" s="474"/>
      <c r="DN29" s="474"/>
      <c r="DO29" s="474"/>
      <c r="DP29" s="474"/>
      <c r="DQ29" s="474"/>
      <c r="DR29" s="474"/>
      <c r="DS29" s="474"/>
      <c r="DT29" s="474"/>
      <c r="DU29" s="474"/>
      <c r="DV29" s="474"/>
      <c r="DW29" s="474"/>
      <c r="DX29" s="474"/>
      <c r="DY29" s="474"/>
      <c r="DZ29" s="474"/>
      <c r="EA29" s="474"/>
      <c r="EB29" s="474"/>
      <c r="EC29" s="474"/>
      <c r="ED29" s="474"/>
      <c r="EE29" s="474"/>
      <c r="EF29" s="474"/>
      <c r="EG29" s="474"/>
      <c r="EH29" s="474"/>
      <c r="EI29" s="474"/>
      <c r="EJ29" s="474"/>
      <c r="EK29" s="474"/>
      <c r="EL29" s="474"/>
      <c r="EM29" s="474"/>
      <c r="EN29" s="474"/>
      <c r="EO29" s="474"/>
      <c r="EP29" s="474"/>
      <c r="EQ29" s="474"/>
      <c r="ER29" s="474"/>
      <c r="ES29" s="47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474"/>
      <c r="GT29" s="474"/>
      <c r="GU29" s="474"/>
      <c r="GV29" s="474"/>
      <c r="GW29" s="474"/>
      <c r="GX29" s="474"/>
      <c r="GY29" s="474"/>
      <c r="GZ29" s="54"/>
      <c r="HA29" s="54"/>
      <c r="HB29" s="54"/>
      <c r="HE29">
        <v>22</v>
      </c>
    </row>
    <row r="30" spans="1:324" ht="16" customHeight="1" x14ac:dyDescent="0.35">
      <c r="A30" s="475"/>
      <c r="B30" s="475"/>
      <c r="C30" s="475"/>
      <c r="D30" s="475"/>
      <c r="F30" s="51">
        <v>13</v>
      </c>
      <c r="G30" s="5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366"/>
      <c r="CU30" s="366"/>
      <c r="CV30" s="366"/>
      <c r="CW30" s="376"/>
      <c r="CX30" s="376"/>
      <c r="CY30" s="376"/>
      <c r="CZ30" s="376"/>
      <c r="DA30" s="376"/>
      <c r="DB30" s="376"/>
      <c r="DD30">
        <v>21</v>
      </c>
      <c r="DF30" s="51">
        <v>13</v>
      </c>
      <c r="DG30" s="54"/>
      <c r="DH30" s="474"/>
      <c r="DI30" s="474"/>
      <c r="DJ30" s="474"/>
      <c r="DK30" s="474"/>
      <c r="DL30" s="474"/>
      <c r="DM30" s="474"/>
      <c r="DN30" s="474"/>
      <c r="DO30" s="474"/>
      <c r="DP30" s="474"/>
      <c r="DQ30" s="474"/>
      <c r="DR30" s="474"/>
      <c r="DS30" s="474"/>
      <c r="DT30" s="474"/>
      <c r="DU30" s="474"/>
      <c r="DV30" s="474"/>
      <c r="DW30" s="474"/>
      <c r="DX30" s="474"/>
      <c r="DY30" s="474"/>
      <c r="DZ30" s="474"/>
      <c r="EA30" s="474"/>
      <c r="EB30" s="474"/>
      <c r="EC30" s="474"/>
      <c r="ED30" s="474"/>
      <c r="EE30" s="474"/>
      <c r="EF30" s="474"/>
      <c r="EG30" s="474"/>
      <c r="EH30" s="474"/>
      <c r="EI30" s="474"/>
      <c r="EJ30" s="474"/>
      <c r="EK30" s="474"/>
      <c r="EL30" s="474"/>
      <c r="EM30" s="474"/>
      <c r="EN30" s="474"/>
      <c r="EO30" s="474"/>
      <c r="EP30" s="474"/>
      <c r="EQ30" s="474"/>
      <c r="ER30" s="474"/>
      <c r="ES30" s="47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474"/>
      <c r="GT30" s="474"/>
      <c r="GU30" s="474"/>
      <c r="GV30" s="474"/>
      <c r="GW30" s="474"/>
      <c r="GX30" s="474"/>
      <c r="GY30" s="474"/>
      <c r="GZ30" s="54"/>
      <c r="HA30" s="54"/>
      <c r="HB30" s="54"/>
      <c r="HE30">
        <v>21</v>
      </c>
    </row>
    <row r="31" spans="1:324" x14ac:dyDescent="0.35">
      <c r="A31" s="475"/>
      <c r="B31" s="475"/>
      <c r="C31" s="475"/>
      <c r="D31" s="475"/>
      <c r="F31" s="51">
        <v>14</v>
      </c>
      <c r="G31" s="5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366"/>
      <c r="CU31" s="366"/>
      <c r="CV31" s="366"/>
      <c r="CW31" s="376"/>
      <c r="CX31" s="376"/>
      <c r="CY31" s="376"/>
      <c r="CZ31" s="376"/>
      <c r="DA31" s="376"/>
      <c r="DB31" s="376"/>
      <c r="DD31">
        <v>20</v>
      </c>
      <c r="DF31" s="51">
        <v>14</v>
      </c>
      <c r="DG31" s="54"/>
      <c r="DH31" s="474"/>
      <c r="DI31" s="474"/>
      <c r="DJ31" s="474"/>
      <c r="DK31" s="474"/>
      <c r="DL31" s="474"/>
      <c r="DM31" s="474"/>
      <c r="DN31" s="474"/>
      <c r="DO31" s="474"/>
      <c r="DP31" s="474"/>
      <c r="DQ31" s="474"/>
      <c r="DR31" s="474"/>
      <c r="DS31" s="474"/>
      <c r="DT31" s="474"/>
      <c r="DU31" s="474"/>
      <c r="DV31" s="474"/>
      <c r="DW31" s="474"/>
      <c r="DX31" s="474"/>
      <c r="DY31" s="474"/>
      <c r="DZ31" s="474"/>
      <c r="EA31" s="474"/>
      <c r="EB31" s="474"/>
      <c r="EC31" s="474"/>
      <c r="ED31" s="474"/>
      <c r="EE31" s="474"/>
      <c r="EF31" s="474"/>
      <c r="EG31" s="474"/>
      <c r="EH31" s="474"/>
      <c r="EI31" s="474"/>
      <c r="EJ31" s="474"/>
      <c r="EK31" s="474"/>
      <c r="EL31" s="474"/>
      <c r="EM31" s="474"/>
      <c r="EN31" s="474"/>
      <c r="EO31" s="474"/>
      <c r="EP31" s="474"/>
      <c r="EQ31" s="474"/>
      <c r="ER31" s="474"/>
      <c r="ES31" s="47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474"/>
      <c r="GT31" s="474"/>
      <c r="GU31" s="474"/>
      <c r="GV31" s="474"/>
      <c r="GW31" s="474"/>
      <c r="GX31" s="474"/>
      <c r="GY31" s="474"/>
      <c r="GZ31" s="54"/>
      <c r="HA31" s="54"/>
      <c r="HB31" s="54"/>
      <c r="HE31">
        <v>20</v>
      </c>
    </row>
    <row r="32" spans="1:324" x14ac:dyDescent="0.35">
      <c r="A32" s="475"/>
      <c r="B32" s="475"/>
      <c r="C32" s="475"/>
      <c r="D32" s="475"/>
      <c r="F32" s="51">
        <v>15</v>
      </c>
      <c r="G32" s="5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366"/>
      <c r="CU32" s="366"/>
      <c r="CV32" s="366"/>
      <c r="CW32" s="376"/>
      <c r="CX32" s="376"/>
      <c r="CY32" s="376"/>
      <c r="CZ32" s="376"/>
      <c r="DA32" s="376"/>
      <c r="DB32" s="376"/>
      <c r="DD32">
        <v>19</v>
      </c>
      <c r="DF32" s="51">
        <v>15</v>
      </c>
      <c r="DG32" s="5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474"/>
      <c r="GT32" s="474"/>
      <c r="GU32" s="474"/>
      <c r="GV32" s="474"/>
      <c r="GW32" s="474"/>
      <c r="GX32" s="474"/>
      <c r="GY32" s="474"/>
      <c r="GZ32" s="54"/>
      <c r="HA32" s="54"/>
      <c r="HB32" s="54"/>
      <c r="HE32">
        <v>19</v>
      </c>
    </row>
    <row r="33" spans="1:213" x14ac:dyDescent="0.35">
      <c r="A33" s="475"/>
      <c r="B33" s="475"/>
      <c r="C33" s="475"/>
      <c r="D33" s="475"/>
      <c r="F33" s="51">
        <v>16</v>
      </c>
      <c r="G33" s="5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366"/>
      <c r="CU33" s="366"/>
      <c r="CV33" s="366"/>
      <c r="CW33" s="376"/>
      <c r="CX33" s="376"/>
      <c r="CY33" s="376"/>
      <c r="CZ33" s="376"/>
      <c r="DA33" s="376"/>
      <c r="DB33" s="376"/>
      <c r="DD33">
        <v>18</v>
      </c>
      <c r="DF33" s="51">
        <v>16</v>
      </c>
      <c r="DG33" s="54"/>
      <c r="DH33" s="474"/>
      <c r="DI33" s="474"/>
      <c r="DJ33" s="474"/>
      <c r="DK33" s="474"/>
      <c r="DL33" s="474"/>
      <c r="DM33" s="474"/>
      <c r="DN33" s="474"/>
      <c r="DO33" s="474"/>
      <c r="DP33" s="474"/>
      <c r="DQ33" s="474"/>
      <c r="DR33" s="474"/>
      <c r="DS33" s="474"/>
      <c r="DT33" s="474"/>
      <c r="DU33" s="474"/>
      <c r="DV33" s="474"/>
      <c r="DW33" s="474"/>
      <c r="DX33" s="474"/>
      <c r="DY33" s="474"/>
      <c r="DZ33" s="474"/>
      <c r="EA33" s="474"/>
      <c r="EB33" s="474"/>
      <c r="EC33" s="474"/>
      <c r="ED33" s="474"/>
      <c r="EE33" s="474"/>
      <c r="EF33" s="474"/>
      <c r="EG33" s="474"/>
      <c r="EH33" s="474"/>
      <c r="EI33" s="474"/>
      <c r="EJ33" s="474"/>
      <c r="EK33" s="474"/>
      <c r="EL33" s="474"/>
      <c r="EM33" s="474"/>
      <c r="EN33" s="474"/>
      <c r="EO33" s="474"/>
      <c r="EP33" s="474"/>
      <c r="EQ33" s="474"/>
      <c r="ER33" s="474"/>
      <c r="ES33" s="47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474"/>
      <c r="GT33" s="474"/>
      <c r="GU33" s="474"/>
      <c r="GV33" s="474"/>
      <c r="GW33" s="474"/>
      <c r="GX33" s="474"/>
      <c r="GY33" s="474"/>
      <c r="GZ33" s="54"/>
      <c r="HA33" s="54"/>
      <c r="HB33" s="54"/>
      <c r="HE33">
        <v>18</v>
      </c>
    </row>
    <row r="34" spans="1:213" x14ac:dyDescent="0.35">
      <c r="A34" s="475"/>
      <c r="B34" s="475"/>
      <c r="C34" s="475"/>
      <c r="D34" s="475"/>
      <c r="E34" s="52"/>
      <c r="F34" s="51">
        <v>17</v>
      </c>
      <c r="G34" s="5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366"/>
      <c r="CU34" s="366"/>
      <c r="CV34" s="366"/>
      <c r="CW34" s="376"/>
      <c r="CX34" s="376"/>
      <c r="CY34" s="376"/>
      <c r="CZ34" s="376"/>
      <c r="DA34" s="376"/>
      <c r="DB34" s="376"/>
      <c r="DD34">
        <v>17</v>
      </c>
      <c r="DF34" s="51">
        <v>17</v>
      </c>
      <c r="DG34" s="376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  <c r="EK34" s="474"/>
      <c r="EL34" s="474"/>
      <c r="EM34" s="474"/>
      <c r="EN34" s="474"/>
      <c r="EO34" s="474"/>
      <c r="EP34" s="474"/>
      <c r="EQ34" s="474"/>
      <c r="ER34" s="474"/>
      <c r="ES34" s="47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474"/>
      <c r="GT34" s="474"/>
      <c r="GU34" s="474"/>
      <c r="GV34" s="474"/>
      <c r="GW34" s="474"/>
      <c r="GX34" s="474"/>
      <c r="GY34" s="474"/>
      <c r="GZ34" s="54"/>
      <c r="HA34" s="54"/>
      <c r="HB34" s="54"/>
      <c r="HE34">
        <v>17</v>
      </c>
    </row>
    <row r="35" spans="1:213" x14ac:dyDescent="0.35">
      <c r="A35" s="475"/>
      <c r="B35" s="475"/>
      <c r="C35" s="475"/>
      <c r="D35" s="475"/>
      <c r="F35" s="51">
        <v>18</v>
      </c>
      <c r="G35" s="5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366"/>
      <c r="CU35" s="366"/>
      <c r="CV35" s="366"/>
      <c r="CW35" s="376"/>
      <c r="CX35" s="376"/>
      <c r="CY35" s="376"/>
      <c r="CZ35" s="376"/>
      <c r="DA35" s="376"/>
      <c r="DB35" s="376"/>
      <c r="DD35">
        <v>16</v>
      </c>
      <c r="DF35" s="51">
        <v>18</v>
      </c>
      <c r="DG35" s="376"/>
      <c r="DH35" s="376"/>
      <c r="DI35" s="376"/>
      <c r="DJ35" s="474"/>
      <c r="DK35" s="474"/>
      <c r="DL35" s="474"/>
      <c r="DM35" s="474"/>
      <c r="DN35" s="474"/>
      <c r="DO35" s="474"/>
      <c r="DP35" s="474"/>
      <c r="DQ35" s="474"/>
      <c r="DR35" s="474"/>
      <c r="DS35" s="474"/>
      <c r="DT35" s="474"/>
      <c r="DU35" s="474"/>
      <c r="DV35" s="474"/>
      <c r="DW35" s="474"/>
      <c r="DX35" s="474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  <c r="EK35" s="474"/>
      <c r="EL35" s="474"/>
      <c r="EM35" s="474"/>
      <c r="EN35" s="474"/>
      <c r="EO35" s="474"/>
      <c r="EP35" s="474"/>
      <c r="EQ35" s="474"/>
      <c r="ER35" s="474"/>
      <c r="ES35" s="47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474"/>
      <c r="GT35" s="474"/>
      <c r="GU35" s="474"/>
      <c r="GV35" s="474"/>
      <c r="GW35" s="474"/>
      <c r="GX35" s="474"/>
      <c r="GY35" s="474"/>
      <c r="GZ35" s="54"/>
      <c r="HA35" s="54"/>
      <c r="HB35" s="54"/>
      <c r="HE35">
        <v>16</v>
      </c>
    </row>
    <row r="36" spans="1:213" x14ac:dyDescent="0.35">
      <c r="A36" s="475"/>
      <c r="B36" s="475"/>
      <c r="C36" s="475"/>
      <c r="D36" s="475"/>
      <c r="F36" s="51">
        <v>19</v>
      </c>
      <c r="G36" s="54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  <c r="AD36" s="474"/>
      <c r="AE36" s="474"/>
      <c r="AF36" s="474"/>
      <c r="AG36" s="474"/>
      <c r="AH36" s="474"/>
      <c r="AI36" s="474"/>
      <c r="AJ36" s="474"/>
      <c r="AK36" s="474"/>
      <c r="AL36" s="474"/>
      <c r="AM36" s="474"/>
      <c r="AN36" s="474"/>
      <c r="AO36" s="474"/>
      <c r="AP36" s="474"/>
      <c r="AQ36" s="474"/>
      <c r="AR36" s="474"/>
      <c r="AS36" s="47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366"/>
      <c r="CU36" s="366"/>
      <c r="CV36" s="479"/>
      <c r="CW36" s="376"/>
      <c r="CX36" s="376"/>
      <c r="CY36" s="376"/>
      <c r="CZ36" s="376"/>
      <c r="DA36" s="376"/>
      <c r="DB36" s="376"/>
      <c r="DD36">
        <v>15</v>
      </c>
      <c r="DF36" s="51">
        <v>19</v>
      </c>
      <c r="DG36" s="376"/>
      <c r="DH36" s="376"/>
      <c r="DI36" s="376"/>
      <c r="DJ36" s="474"/>
      <c r="DK36" s="474"/>
      <c r="DL36" s="474"/>
      <c r="DM36" s="474"/>
      <c r="DN36" s="474"/>
      <c r="DO36" s="474"/>
      <c r="DP36" s="474"/>
      <c r="DQ36" s="474"/>
      <c r="DR36" s="474"/>
      <c r="DS36" s="474"/>
      <c r="DT36" s="474"/>
      <c r="DU36" s="474"/>
      <c r="DV36" s="474"/>
      <c r="DW36" s="474"/>
      <c r="DX36" s="474"/>
      <c r="DY36" s="474"/>
      <c r="DZ36" s="474"/>
      <c r="EA36" s="474"/>
      <c r="EB36" s="474"/>
      <c r="EC36" s="474"/>
      <c r="ED36" s="474"/>
      <c r="EE36" s="474"/>
      <c r="EF36" s="474"/>
      <c r="EG36" s="474"/>
      <c r="EH36" s="474"/>
      <c r="EI36" s="474"/>
      <c r="EJ36" s="474"/>
      <c r="EK36" s="474"/>
      <c r="EL36" s="474"/>
      <c r="EM36" s="474"/>
      <c r="EN36" s="474"/>
      <c r="EO36" s="474"/>
      <c r="EP36" s="474"/>
      <c r="EQ36" s="474"/>
      <c r="ER36" s="474"/>
      <c r="ES36" s="47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474"/>
      <c r="GT36" s="474"/>
      <c r="GU36" s="474"/>
      <c r="GV36" s="474"/>
      <c r="GW36" s="474"/>
      <c r="GX36" s="474"/>
      <c r="GY36" s="474"/>
      <c r="GZ36" s="54"/>
      <c r="HA36" s="54"/>
      <c r="HB36" s="54"/>
      <c r="HE36">
        <v>15</v>
      </c>
    </row>
    <row r="37" spans="1:213" x14ac:dyDescent="0.35">
      <c r="A37" s="475"/>
      <c r="B37" s="475"/>
      <c r="C37" s="475"/>
      <c r="D37" s="475"/>
      <c r="F37" s="51">
        <v>20</v>
      </c>
      <c r="G37" s="5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479"/>
      <c r="CU37" s="479"/>
      <c r="CV37" s="479"/>
      <c r="CW37" s="376"/>
      <c r="CX37" s="376"/>
      <c r="CY37" s="376"/>
      <c r="CZ37" s="376"/>
      <c r="DA37" s="376"/>
      <c r="DB37" s="376"/>
      <c r="DD37">
        <v>14</v>
      </c>
      <c r="DF37" s="51">
        <v>20</v>
      </c>
      <c r="DG37" s="376"/>
      <c r="DH37" s="376"/>
      <c r="DI37" s="376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74"/>
      <c r="DY37" s="474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474"/>
      <c r="EK37" s="474"/>
      <c r="EL37" s="474"/>
      <c r="EM37" s="474"/>
      <c r="EN37" s="474"/>
      <c r="EO37" s="474"/>
      <c r="EP37" s="474"/>
      <c r="EQ37" s="474"/>
      <c r="ER37" s="474"/>
      <c r="ES37" s="47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474"/>
      <c r="GT37" s="474"/>
      <c r="GU37" s="474"/>
      <c r="GV37" s="474"/>
      <c r="GW37" s="474"/>
      <c r="GX37" s="474"/>
      <c r="GY37" s="474"/>
      <c r="GZ37" s="54"/>
      <c r="HA37" s="54"/>
      <c r="HB37" s="54"/>
      <c r="HE37">
        <v>14</v>
      </c>
    </row>
    <row r="38" spans="1:213" x14ac:dyDescent="0.35">
      <c r="A38" s="475"/>
      <c r="B38" s="475"/>
      <c r="C38" s="475"/>
      <c r="D38" s="475"/>
      <c r="F38" s="51">
        <v>21</v>
      </c>
      <c r="G38" s="5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4"/>
      <c r="AH38" s="474"/>
      <c r="AI38" s="474"/>
      <c r="AJ38" s="474"/>
      <c r="AK38" s="474"/>
      <c r="AL38" s="474"/>
      <c r="AM38" s="474"/>
      <c r="AN38" s="474"/>
      <c r="AO38" s="474"/>
      <c r="AP38" s="474"/>
      <c r="AQ38" s="474"/>
      <c r="AR38" s="474"/>
      <c r="AS38" s="47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479"/>
      <c r="CU38" s="479"/>
      <c r="CV38" s="479"/>
      <c r="CW38" s="376"/>
      <c r="CX38" s="376"/>
      <c r="CY38" s="376"/>
      <c r="CZ38" s="376"/>
      <c r="DA38" s="376"/>
      <c r="DB38" s="376"/>
      <c r="DD38">
        <v>13</v>
      </c>
      <c r="DF38" s="51">
        <v>21</v>
      </c>
      <c r="DG38" s="376"/>
      <c r="DH38" s="376"/>
      <c r="DI38" s="376"/>
      <c r="DJ38" s="474"/>
      <c r="DK38" s="474"/>
      <c r="DL38" s="474"/>
      <c r="DM38" s="474"/>
      <c r="DN38" s="474"/>
      <c r="DO38" s="474"/>
      <c r="DP38" s="474"/>
      <c r="DQ38" s="474"/>
      <c r="DR38" s="474"/>
      <c r="DS38" s="474"/>
      <c r="DT38" s="474"/>
      <c r="DU38" s="474"/>
      <c r="DV38" s="474"/>
      <c r="DW38" s="474"/>
      <c r="DX38" s="474"/>
      <c r="DY38" s="474"/>
      <c r="DZ38" s="474"/>
      <c r="EA38" s="474"/>
      <c r="EB38" s="474"/>
      <c r="EC38" s="474"/>
      <c r="ED38" s="474"/>
      <c r="EE38" s="474"/>
      <c r="EF38" s="474"/>
      <c r="EG38" s="474"/>
      <c r="EH38" s="474"/>
      <c r="EI38" s="474"/>
      <c r="EJ38" s="474"/>
      <c r="EK38" s="474"/>
      <c r="EL38" s="474"/>
      <c r="EM38" s="474"/>
      <c r="EN38" s="474"/>
      <c r="EO38" s="474"/>
      <c r="EP38" s="474"/>
      <c r="EQ38" s="474"/>
      <c r="ER38" s="474"/>
      <c r="ES38" s="47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474"/>
      <c r="GT38" s="474"/>
      <c r="GU38" s="474"/>
      <c r="GV38" s="474"/>
      <c r="GW38" s="474"/>
      <c r="GX38" s="474"/>
      <c r="GY38" s="474"/>
      <c r="GZ38" s="54"/>
      <c r="HA38" s="54"/>
      <c r="HB38" s="54"/>
      <c r="HE38">
        <v>13</v>
      </c>
    </row>
    <row r="39" spans="1:213" x14ac:dyDescent="0.35">
      <c r="A39" s="475"/>
      <c r="B39" s="475"/>
      <c r="C39" s="475"/>
      <c r="D39" s="475"/>
      <c r="F39" s="51">
        <v>22</v>
      </c>
      <c r="G39" s="5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479"/>
      <c r="CU39" s="479"/>
      <c r="CV39" s="479"/>
      <c r="CW39" s="376"/>
      <c r="CX39" s="376"/>
      <c r="CY39" s="376"/>
      <c r="CZ39" s="376"/>
      <c r="DA39" s="376"/>
      <c r="DB39" s="376"/>
      <c r="DD39">
        <v>12</v>
      </c>
      <c r="DF39" s="51">
        <v>22</v>
      </c>
      <c r="DG39" s="376"/>
      <c r="DH39" s="376"/>
      <c r="DI39" s="376"/>
      <c r="DJ39" s="474"/>
      <c r="DK39" s="474"/>
      <c r="DL39" s="474"/>
      <c r="DM39" s="474"/>
      <c r="DN39" s="474"/>
      <c r="DO39" s="474"/>
      <c r="DP39" s="474"/>
      <c r="DQ39" s="474"/>
      <c r="DR39" s="474"/>
      <c r="DS39" s="474"/>
      <c r="DT39" s="474"/>
      <c r="DU39" s="474"/>
      <c r="DV39" s="474"/>
      <c r="DW39" s="474"/>
      <c r="DX39" s="474"/>
      <c r="DY39" s="474"/>
      <c r="DZ39" s="474"/>
      <c r="EA39" s="474"/>
      <c r="EB39" s="474"/>
      <c r="EC39" s="474"/>
      <c r="ED39" s="474"/>
      <c r="EE39" s="474"/>
      <c r="EF39" s="474"/>
      <c r="EG39" s="474"/>
      <c r="EH39" s="474"/>
      <c r="EI39" s="474"/>
      <c r="EJ39" s="474"/>
      <c r="EK39" s="474"/>
      <c r="EL39" s="474"/>
      <c r="EM39" s="474"/>
      <c r="EN39" s="474"/>
      <c r="EO39" s="474"/>
      <c r="EP39" s="474"/>
      <c r="EQ39" s="474"/>
      <c r="ER39" s="474"/>
      <c r="ES39" s="47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474"/>
      <c r="GT39" s="474"/>
      <c r="GU39" s="474"/>
      <c r="GV39" s="474"/>
      <c r="GW39" s="474"/>
      <c r="GX39" s="474"/>
      <c r="GY39" s="474"/>
      <c r="GZ39" s="54"/>
      <c r="HA39" s="54"/>
      <c r="HB39" s="54"/>
      <c r="HE39">
        <v>12</v>
      </c>
    </row>
    <row r="40" spans="1:213" x14ac:dyDescent="0.35">
      <c r="A40" s="475"/>
      <c r="B40" s="475"/>
      <c r="C40" s="475"/>
      <c r="D40" s="475"/>
      <c r="F40" s="51">
        <v>23</v>
      </c>
      <c r="G40" s="5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479"/>
      <c r="CU40" s="479"/>
      <c r="CV40" s="479"/>
      <c r="CW40" s="376"/>
      <c r="CX40" s="376"/>
      <c r="CY40" s="376"/>
      <c r="CZ40" s="376"/>
      <c r="DA40" s="376"/>
      <c r="DB40" s="376"/>
      <c r="DD40">
        <v>11</v>
      </c>
      <c r="DF40" s="51">
        <v>23</v>
      </c>
      <c r="DG40" s="376"/>
      <c r="DH40" s="376"/>
      <c r="DI40" s="376"/>
      <c r="DJ40" s="474"/>
      <c r="DK40" s="474"/>
      <c r="DL40" s="474"/>
      <c r="DM40" s="474"/>
      <c r="DN40" s="474"/>
      <c r="DO40" s="474"/>
      <c r="DP40" s="474"/>
      <c r="DQ40" s="474"/>
      <c r="DR40" s="474"/>
      <c r="DS40" s="474"/>
      <c r="DT40" s="474"/>
      <c r="DU40" s="474"/>
      <c r="DV40" s="474"/>
      <c r="DW40" s="474"/>
      <c r="DX40" s="474"/>
      <c r="DY40" s="474"/>
      <c r="DZ40" s="474"/>
      <c r="EA40" s="474"/>
      <c r="EB40" s="474"/>
      <c r="EC40" s="474"/>
      <c r="ED40" s="474"/>
      <c r="EE40" s="474"/>
      <c r="EF40" s="474"/>
      <c r="EG40" s="474"/>
      <c r="EH40" s="474"/>
      <c r="EI40" s="474"/>
      <c r="EJ40" s="474"/>
      <c r="EK40" s="474"/>
      <c r="EL40" s="474"/>
      <c r="EM40" s="474"/>
      <c r="EN40" s="474"/>
      <c r="EO40" s="474"/>
      <c r="EP40" s="474"/>
      <c r="EQ40" s="474"/>
      <c r="ER40" s="474"/>
      <c r="ES40" s="47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474"/>
      <c r="GT40" s="474"/>
      <c r="GU40" s="474"/>
      <c r="GV40" s="474"/>
      <c r="GW40" s="474"/>
      <c r="GX40" s="474"/>
      <c r="GY40" s="474"/>
      <c r="GZ40" s="54"/>
      <c r="HA40" s="54"/>
      <c r="HB40" s="54"/>
      <c r="HE40">
        <v>11</v>
      </c>
    </row>
    <row r="41" spans="1:213" x14ac:dyDescent="0.35">
      <c r="A41" s="475"/>
      <c r="F41" s="51">
        <v>24</v>
      </c>
      <c r="G41" s="5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479"/>
      <c r="CU41" s="479"/>
      <c r="CV41" s="479"/>
      <c r="CW41" s="376"/>
      <c r="CX41" s="376"/>
      <c r="CY41" s="376"/>
      <c r="CZ41" s="376"/>
      <c r="DA41" s="376"/>
      <c r="DB41" s="376"/>
      <c r="DD41">
        <v>10</v>
      </c>
      <c r="DF41" s="51">
        <v>24</v>
      </c>
      <c r="DG41" s="376"/>
      <c r="DH41" s="376"/>
      <c r="DI41" s="376"/>
      <c r="DJ41" s="474"/>
      <c r="DK41" s="474"/>
      <c r="DL41" s="474"/>
      <c r="DM41" s="474"/>
      <c r="DN41" s="474"/>
      <c r="DO41" s="474"/>
      <c r="DP41" s="474"/>
      <c r="DQ41" s="474"/>
      <c r="DR41" s="474"/>
      <c r="DS41" s="474"/>
      <c r="DT41" s="474"/>
      <c r="DU41" s="474"/>
      <c r="DV41" s="474"/>
      <c r="DW41" s="474"/>
      <c r="DX41" s="474"/>
      <c r="DY41" s="474"/>
      <c r="DZ41" s="474"/>
      <c r="EA41" s="474"/>
      <c r="EB41" s="474"/>
      <c r="EC41" s="474"/>
      <c r="ED41" s="474"/>
      <c r="EE41" s="474"/>
      <c r="EF41" s="474"/>
      <c r="EG41" s="474"/>
      <c r="EH41" s="474"/>
      <c r="EI41" s="474"/>
      <c r="EJ41" s="474"/>
      <c r="EK41" s="474"/>
      <c r="EL41" s="474"/>
      <c r="EM41" s="474"/>
      <c r="EN41" s="474"/>
      <c r="EO41" s="474"/>
      <c r="EP41" s="474"/>
      <c r="EQ41" s="474"/>
      <c r="ER41" s="474"/>
      <c r="ES41" s="47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474"/>
      <c r="GT41" s="474"/>
      <c r="GU41" s="474"/>
      <c r="GV41" s="474"/>
      <c r="GW41" s="474"/>
      <c r="GX41" s="474"/>
      <c r="GY41" s="474"/>
      <c r="GZ41" s="54"/>
      <c r="HA41" s="54"/>
      <c r="HB41" s="54"/>
      <c r="HE41">
        <v>10</v>
      </c>
    </row>
    <row r="42" spans="1:213" x14ac:dyDescent="0.35">
      <c r="F42" s="51">
        <v>25</v>
      </c>
      <c r="G42" s="5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479"/>
      <c r="CU42" s="479"/>
      <c r="CV42" s="479"/>
      <c r="CW42" s="376"/>
      <c r="CX42" s="376"/>
      <c r="CY42" s="376"/>
      <c r="CZ42" s="376"/>
      <c r="DA42" s="376"/>
      <c r="DB42" s="376"/>
      <c r="DD42">
        <v>9</v>
      </c>
      <c r="DF42" s="51">
        <v>25</v>
      </c>
      <c r="DG42" s="376"/>
      <c r="DH42" s="376"/>
      <c r="DI42" s="376"/>
      <c r="DJ42" s="474"/>
      <c r="DK42" s="474"/>
      <c r="DL42" s="474"/>
      <c r="DM42" s="474"/>
      <c r="DN42" s="474"/>
      <c r="DO42" s="474"/>
      <c r="DP42" s="474"/>
      <c r="DQ42" s="474"/>
      <c r="DR42" s="474"/>
      <c r="DS42" s="474"/>
      <c r="DT42" s="474"/>
      <c r="DU42" s="474"/>
      <c r="DV42" s="474"/>
      <c r="DW42" s="474"/>
      <c r="DX42" s="474"/>
      <c r="DY42" s="474"/>
      <c r="DZ42" s="474"/>
      <c r="EA42" s="474"/>
      <c r="EB42" s="474"/>
      <c r="EC42" s="474"/>
      <c r="ED42" s="474"/>
      <c r="EE42" s="474"/>
      <c r="EF42" s="474"/>
      <c r="EG42" s="474"/>
      <c r="EH42" s="474"/>
      <c r="EI42" s="474"/>
      <c r="EJ42" s="474"/>
      <c r="EK42" s="474"/>
      <c r="EL42" s="474"/>
      <c r="EM42" s="474"/>
      <c r="EN42" s="474"/>
      <c r="EO42" s="474"/>
      <c r="EP42" s="474"/>
      <c r="EQ42" s="474"/>
      <c r="ER42" s="474"/>
      <c r="ES42" s="47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474"/>
      <c r="GT42" s="474"/>
      <c r="GU42" s="474"/>
      <c r="GV42" s="474"/>
      <c r="GW42" s="474"/>
      <c r="GX42" s="474"/>
      <c r="GY42" s="474"/>
      <c r="GZ42" s="54"/>
      <c r="HA42" s="54"/>
      <c r="HB42" s="54"/>
      <c r="HE42">
        <v>9</v>
      </c>
    </row>
    <row r="43" spans="1:213" x14ac:dyDescent="0.35">
      <c r="F43" s="51">
        <v>26</v>
      </c>
      <c r="G43" s="5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479"/>
      <c r="CU43" s="479"/>
      <c r="CV43" s="479"/>
      <c r="CW43" s="376"/>
      <c r="CX43" s="376"/>
      <c r="CY43" s="376"/>
      <c r="CZ43" s="376"/>
      <c r="DA43" s="376"/>
      <c r="DB43" s="376"/>
      <c r="DD43">
        <v>8</v>
      </c>
      <c r="DF43" s="51">
        <v>26</v>
      </c>
      <c r="DG43" s="376"/>
      <c r="DH43" s="376"/>
      <c r="DI43" s="376"/>
      <c r="DJ43" s="474"/>
      <c r="DK43" s="474"/>
      <c r="DL43" s="474"/>
      <c r="DM43" s="474"/>
      <c r="DN43" s="474"/>
      <c r="DO43" s="474"/>
      <c r="DP43" s="474"/>
      <c r="DQ43" s="474"/>
      <c r="DR43" s="474"/>
      <c r="DS43" s="474"/>
      <c r="DT43" s="474"/>
      <c r="DU43" s="474"/>
      <c r="DV43" s="474"/>
      <c r="DW43" s="474"/>
      <c r="DX43" s="474"/>
      <c r="DY43" s="474"/>
      <c r="DZ43" s="474"/>
      <c r="EA43" s="474"/>
      <c r="EB43" s="474"/>
      <c r="EC43" s="474"/>
      <c r="ED43" s="474"/>
      <c r="EE43" s="474"/>
      <c r="EF43" s="474"/>
      <c r="EG43" s="474"/>
      <c r="EH43" s="474"/>
      <c r="EI43" s="474"/>
      <c r="EJ43" s="474"/>
      <c r="EK43" s="474"/>
      <c r="EL43" s="474"/>
      <c r="EM43" s="474"/>
      <c r="EN43" s="474"/>
      <c r="EO43" s="474"/>
      <c r="EP43" s="474"/>
      <c r="EQ43" s="474"/>
      <c r="ER43" s="474"/>
      <c r="ES43" s="47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474"/>
      <c r="GT43" s="474"/>
      <c r="GU43" s="474"/>
      <c r="GV43" s="474"/>
      <c r="GW43" s="474"/>
      <c r="GX43" s="474"/>
      <c r="GY43" s="474"/>
      <c r="GZ43" s="54"/>
      <c r="HA43" s="54"/>
      <c r="HB43" s="54"/>
      <c r="HE43">
        <v>8</v>
      </c>
    </row>
    <row r="44" spans="1:213" x14ac:dyDescent="0.35">
      <c r="F44" s="51">
        <v>27</v>
      </c>
      <c r="G44" s="5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479"/>
      <c r="CU44" s="479"/>
      <c r="CV44" s="479"/>
      <c r="CW44" s="376"/>
      <c r="CX44" s="376"/>
      <c r="CY44" s="376"/>
      <c r="CZ44" s="376"/>
      <c r="DA44" s="376"/>
      <c r="DB44" s="376"/>
      <c r="DD44">
        <v>7</v>
      </c>
      <c r="DF44" s="51">
        <v>27</v>
      </c>
      <c r="DG44" s="376"/>
      <c r="DH44" s="376"/>
      <c r="DI44" s="376"/>
      <c r="DJ44" s="474"/>
      <c r="DK44" s="474"/>
      <c r="DL44" s="474"/>
      <c r="DM44" s="474"/>
      <c r="DN44" s="474"/>
      <c r="DO44" s="474"/>
      <c r="DP44" s="474"/>
      <c r="DQ44" s="474"/>
      <c r="DR44" s="474"/>
      <c r="DS44" s="474"/>
      <c r="DT44" s="474"/>
      <c r="DU44" s="474"/>
      <c r="DV44" s="474"/>
      <c r="DW44" s="474"/>
      <c r="DX44" s="474"/>
      <c r="DY44" s="474"/>
      <c r="DZ44" s="474"/>
      <c r="EA44" s="474"/>
      <c r="EB44" s="474"/>
      <c r="EC44" s="474"/>
      <c r="ED44" s="474"/>
      <c r="EE44" s="474"/>
      <c r="EF44" s="474"/>
      <c r="EG44" s="474"/>
      <c r="EH44" s="474"/>
      <c r="EI44" s="474"/>
      <c r="EJ44" s="474"/>
      <c r="EK44" s="474"/>
      <c r="EL44" s="474"/>
      <c r="EM44" s="474"/>
      <c r="EN44" s="474"/>
      <c r="EO44" s="474"/>
      <c r="EP44" s="474"/>
      <c r="EQ44" s="474"/>
      <c r="ER44" s="474"/>
      <c r="ES44" s="47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474"/>
      <c r="GT44" s="474"/>
      <c r="GU44" s="474"/>
      <c r="GV44" s="474"/>
      <c r="GW44" s="474"/>
      <c r="GX44" s="474"/>
      <c r="GY44" s="474"/>
      <c r="GZ44" s="54"/>
      <c r="HA44" s="54"/>
      <c r="HB44" s="54"/>
      <c r="HE44">
        <v>7</v>
      </c>
    </row>
    <row r="45" spans="1:213" x14ac:dyDescent="0.35">
      <c r="F45" s="51">
        <v>28</v>
      </c>
      <c r="G45" s="5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479"/>
      <c r="CU45" s="479"/>
      <c r="CV45" s="479"/>
      <c r="CW45" s="376"/>
      <c r="CX45" s="376"/>
      <c r="CY45" s="376"/>
      <c r="CZ45" s="376"/>
      <c r="DA45" s="376"/>
      <c r="DB45" s="376"/>
      <c r="DD45">
        <v>6</v>
      </c>
      <c r="DF45" s="51">
        <v>28</v>
      </c>
      <c r="DG45" s="376"/>
      <c r="DH45" s="376"/>
      <c r="DI45" s="376"/>
      <c r="DJ45" s="474"/>
      <c r="DK45" s="474"/>
      <c r="DL45" s="474"/>
      <c r="DM45" s="474"/>
      <c r="DN45" s="474"/>
      <c r="DO45" s="474"/>
      <c r="DP45" s="474"/>
      <c r="DQ45" s="474"/>
      <c r="DR45" s="474"/>
      <c r="DS45" s="474"/>
      <c r="DT45" s="474"/>
      <c r="DU45" s="474"/>
      <c r="DV45" s="474"/>
      <c r="DW45" s="474"/>
      <c r="DX45" s="474"/>
      <c r="DY45" s="474"/>
      <c r="DZ45" s="474"/>
      <c r="EA45" s="474"/>
      <c r="EB45" s="474"/>
      <c r="EC45" s="474"/>
      <c r="ED45" s="474"/>
      <c r="EE45" s="474"/>
      <c r="EF45" s="474"/>
      <c r="EG45" s="474"/>
      <c r="EH45" s="474"/>
      <c r="EI45" s="474"/>
      <c r="EJ45" s="474"/>
      <c r="EK45" s="474"/>
      <c r="EL45" s="474"/>
      <c r="EM45" s="474"/>
      <c r="EN45" s="474"/>
      <c r="EO45" s="474"/>
      <c r="EP45" s="474"/>
      <c r="EQ45" s="474"/>
      <c r="ER45" s="474"/>
      <c r="ES45" s="47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474"/>
      <c r="GT45" s="474"/>
      <c r="GU45" s="474"/>
      <c r="GV45" s="474"/>
      <c r="GW45" s="474"/>
      <c r="GX45" s="474"/>
      <c r="GY45" s="474"/>
      <c r="GZ45" s="54"/>
      <c r="HA45" s="54"/>
      <c r="HB45" s="54"/>
      <c r="HE45">
        <v>6</v>
      </c>
    </row>
    <row r="46" spans="1:213" x14ac:dyDescent="0.35">
      <c r="F46" s="51">
        <v>29</v>
      </c>
      <c r="G46" s="5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479"/>
      <c r="CU46" s="479"/>
      <c r="CV46" s="479"/>
      <c r="CW46" s="376"/>
      <c r="CX46" s="376"/>
      <c r="CY46" s="376"/>
      <c r="CZ46" s="376"/>
      <c r="DA46" s="376"/>
      <c r="DB46" s="376"/>
      <c r="DD46">
        <v>5</v>
      </c>
      <c r="DF46" s="51">
        <v>29</v>
      </c>
      <c r="DG46" s="376"/>
      <c r="DH46" s="376"/>
      <c r="DI46" s="376"/>
      <c r="DJ46" s="474"/>
      <c r="DK46" s="474"/>
      <c r="DL46" s="474"/>
      <c r="DM46" s="474"/>
      <c r="DN46" s="474"/>
      <c r="DO46" s="474"/>
      <c r="DP46" s="474"/>
      <c r="DQ46" s="474"/>
      <c r="DR46" s="474"/>
      <c r="DS46" s="474"/>
      <c r="DT46" s="474"/>
      <c r="DU46" s="474"/>
      <c r="DV46" s="474"/>
      <c r="DW46" s="474"/>
      <c r="DX46" s="474"/>
      <c r="DY46" s="474"/>
      <c r="DZ46" s="474"/>
      <c r="EA46" s="474"/>
      <c r="EB46" s="474"/>
      <c r="EC46" s="474"/>
      <c r="ED46" s="474"/>
      <c r="EE46" s="474"/>
      <c r="EF46" s="474"/>
      <c r="EG46" s="474"/>
      <c r="EH46" s="474"/>
      <c r="EI46" s="474"/>
      <c r="EJ46" s="474"/>
      <c r="EK46" s="474"/>
      <c r="EL46" s="474"/>
      <c r="EM46" s="474"/>
      <c r="EN46" s="474"/>
      <c r="EO46" s="474"/>
      <c r="EP46" s="474"/>
      <c r="EQ46" s="474"/>
      <c r="ER46" s="474"/>
      <c r="ES46" s="47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474"/>
      <c r="GT46" s="474"/>
      <c r="GU46" s="474"/>
      <c r="GV46" s="474"/>
      <c r="GW46" s="474"/>
      <c r="GX46" s="474"/>
      <c r="GY46" s="474"/>
      <c r="GZ46" s="54"/>
      <c r="HA46" s="54"/>
      <c r="HB46" s="54"/>
      <c r="HE46">
        <v>5</v>
      </c>
    </row>
    <row r="47" spans="1:213" x14ac:dyDescent="0.35">
      <c r="F47" s="51">
        <v>30</v>
      </c>
      <c r="G47" s="5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479"/>
      <c r="CU47" s="479"/>
      <c r="CV47" s="479"/>
      <c r="CW47" s="376"/>
      <c r="CX47" s="376"/>
      <c r="CY47" s="376"/>
      <c r="CZ47" s="376"/>
      <c r="DA47" s="376"/>
      <c r="DB47" s="376"/>
      <c r="DD47">
        <v>4</v>
      </c>
      <c r="DF47" s="51">
        <v>30</v>
      </c>
      <c r="DG47" s="376"/>
      <c r="DH47" s="376"/>
      <c r="DI47" s="376"/>
      <c r="DJ47" s="474"/>
      <c r="DK47" s="474"/>
      <c r="DL47" s="474"/>
      <c r="DM47" s="474"/>
      <c r="DN47" s="474"/>
      <c r="DO47" s="474"/>
      <c r="DP47" s="474"/>
      <c r="DQ47" s="474"/>
      <c r="DR47" s="474"/>
      <c r="DS47" s="474"/>
      <c r="DT47" s="474"/>
      <c r="DU47" s="474"/>
      <c r="DV47" s="474"/>
      <c r="DW47" s="474"/>
      <c r="DX47" s="474"/>
      <c r="DY47" s="474"/>
      <c r="DZ47" s="474"/>
      <c r="EA47" s="474"/>
      <c r="EB47" s="474"/>
      <c r="EC47" s="474"/>
      <c r="ED47" s="474"/>
      <c r="EE47" s="474"/>
      <c r="EF47" s="474"/>
      <c r="EG47" s="474"/>
      <c r="EH47" s="474"/>
      <c r="EI47" s="474"/>
      <c r="EJ47" s="474"/>
      <c r="EK47" s="474"/>
      <c r="EL47" s="474"/>
      <c r="EM47" s="474"/>
      <c r="EN47" s="474"/>
      <c r="EO47" s="474"/>
      <c r="EP47" s="474"/>
      <c r="EQ47" s="474"/>
      <c r="ER47" s="474"/>
      <c r="ES47" s="47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474"/>
      <c r="GT47" s="474"/>
      <c r="GU47" s="474"/>
      <c r="GV47" s="474"/>
      <c r="GW47" s="474"/>
      <c r="GX47" s="474"/>
      <c r="GY47" s="474"/>
      <c r="GZ47" s="54"/>
      <c r="HA47" s="54"/>
      <c r="HB47" s="54"/>
      <c r="HE47">
        <v>4</v>
      </c>
    </row>
    <row r="48" spans="1:213" x14ac:dyDescent="0.35">
      <c r="F48" s="51">
        <v>31</v>
      </c>
      <c r="G48" s="5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479"/>
      <c r="CU48" s="479"/>
      <c r="CV48" s="479"/>
      <c r="CW48" s="376"/>
      <c r="CX48" s="376"/>
      <c r="CY48" s="376"/>
      <c r="CZ48" s="376"/>
      <c r="DA48" s="376"/>
      <c r="DB48" s="376"/>
      <c r="DD48">
        <v>3</v>
      </c>
      <c r="DF48" s="51">
        <v>31</v>
      </c>
      <c r="DG48" s="376"/>
      <c r="DH48" s="376"/>
      <c r="DI48" s="376"/>
      <c r="DJ48" s="474"/>
      <c r="DK48" s="474"/>
      <c r="DL48" s="474"/>
      <c r="DM48" s="474"/>
      <c r="DN48" s="474"/>
      <c r="DO48" s="474"/>
      <c r="DP48" s="474"/>
      <c r="DQ48" s="474"/>
      <c r="DR48" s="474"/>
      <c r="DS48" s="474"/>
      <c r="DT48" s="474"/>
      <c r="DU48" s="474"/>
      <c r="DV48" s="474"/>
      <c r="DW48" s="474"/>
      <c r="DX48" s="474"/>
      <c r="DY48" s="474"/>
      <c r="DZ48" s="474"/>
      <c r="EA48" s="474"/>
      <c r="EB48" s="474"/>
      <c r="EC48" s="474"/>
      <c r="ED48" s="474"/>
      <c r="EE48" s="474"/>
      <c r="EF48" s="474"/>
      <c r="EG48" s="474"/>
      <c r="EH48" s="474"/>
      <c r="EI48" s="474"/>
      <c r="EJ48" s="474"/>
      <c r="EK48" s="474"/>
      <c r="EL48" s="474"/>
      <c r="EM48" s="474"/>
      <c r="EN48" s="474"/>
      <c r="EO48" s="474"/>
      <c r="EP48" s="474"/>
      <c r="EQ48" s="474"/>
      <c r="ER48" s="474"/>
      <c r="ES48" s="47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474"/>
      <c r="GT48" s="474"/>
      <c r="GU48" s="474"/>
      <c r="GV48" s="474"/>
      <c r="GW48" s="474"/>
      <c r="GX48" s="474"/>
      <c r="GY48" s="474"/>
      <c r="GZ48" s="54"/>
      <c r="HA48" s="54"/>
      <c r="HB48" s="54"/>
      <c r="HE48">
        <v>3</v>
      </c>
    </row>
    <row r="49" spans="1:213" x14ac:dyDescent="0.35">
      <c r="F49" s="51">
        <v>32</v>
      </c>
      <c r="G49" s="5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479"/>
      <c r="CU49" s="479"/>
      <c r="CV49" s="479"/>
      <c r="CW49" s="376"/>
      <c r="CX49" s="376"/>
      <c r="CY49" s="376"/>
      <c r="CZ49" s="376"/>
      <c r="DA49" s="376"/>
      <c r="DB49" s="376"/>
      <c r="DD49">
        <v>2</v>
      </c>
      <c r="DF49" s="51">
        <v>32</v>
      </c>
      <c r="DG49" s="376"/>
      <c r="DH49" s="376"/>
      <c r="DI49" s="376"/>
      <c r="DJ49" s="474"/>
      <c r="DK49" s="474"/>
      <c r="DL49" s="474"/>
      <c r="DM49" s="474"/>
      <c r="DN49" s="474"/>
      <c r="DO49" s="474"/>
      <c r="DP49" s="474"/>
      <c r="DQ49" s="474"/>
      <c r="DR49" s="474"/>
      <c r="DS49" s="474"/>
      <c r="DT49" s="474"/>
      <c r="DU49" s="474"/>
      <c r="DV49" s="474"/>
      <c r="DW49" s="474"/>
      <c r="DX49" s="474"/>
      <c r="DY49" s="474"/>
      <c r="DZ49" s="474"/>
      <c r="EA49" s="474"/>
      <c r="EB49" s="474"/>
      <c r="EC49" s="474"/>
      <c r="ED49" s="474"/>
      <c r="EE49" s="474"/>
      <c r="EF49" s="474"/>
      <c r="EG49" s="474"/>
      <c r="EH49" s="474"/>
      <c r="EI49" s="474"/>
      <c r="EJ49" s="474"/>
      <c r="EK49" s="474"/>
      <c r="EL49" s="474"/>
      <c r="EM49" s="474"/>
      <c r="EN49" s="474"/>
      <c r="EO49" s="474"/>
      <c r="EP49" s="474"/>
      <c r="EQ49" s="474"/>
      <c r="ER49" s="474"/>
      <c r="ES49" s="47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474"/>
      <c r="GT49" s="474"/>
      <c r="GU49" s="474"/>
      <c r="GV49" s="474"/>
      <c r="GW49" s="474"/>
      <c r="GX49" s="474"/>
      <c r="GY49" s="474"/>
      <c r="GZ49" s="54"/>
      <c r="HA49" s="54"/>
      <c r="HB49" s="54"/>
      <c r="HE49">
        <v>2</v>
      </c>
    </row>
    <row r="50" spans="1:213" x14ac:dyDescent="0.35">
      <c r="F50" s="51">
        <v>33</v>
      </c>
      <c r="G50" s="5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479"/>
      <c r="CU50" s="479"/>
      <c r="CV50" s="479"/>
      <c r="CW50" s="376"/>
      <c r="CX50" s="376"/>
      <c r="CY50" s="376"/>
      <c r="CZ50" s="376"/>
      <c r="DA50" s="376"/>
      <c r="DB50" s="376"/>
      <c r="DD50">
        <v>1</v>
      </c>
      <c r="DF50" s="51">
        <v>33</v>
      </c>
      <c r="DG50" s="376"/>
      <c r="DH50" s="376"/>
      <c r="DI50" s="376"/>
      <c r="DJ50" s="474"/>
      <c r="DK50" s="474"/>
      <c r="DL50" s="474"/>
      <c r="DM50" s="474"/>
      <c r="DN50" s="474"/>
      <c r="DO50" s="474"/>
      <c r="DP50" s="474"/>
      <c r="DQ50" s="474"/>
      <c r="DR50" s="474"/>
      <c r="DS50" s="474"/>
      <c r="DT50" s="474"/>
      <c r="DU50" s="474"/>
      <c r="DV50" s="474"/>
      <c r="DW50" s="474"/>
      <c r="DX50" s="474"/>
      <c r="DY50" s="474"/>
      <c r="DZ50" s="474"/>
      <c r="EA50" s="474"/>
      <c r="EB50" s="474"/>
      <c r="EC50" s="474"/>
      <c r="ED50" s="474"/>
      <c r="EE50" s="474"/>
      <c r="EF50" s="474"/>
      <c r="EG50" s="474"/>
      <c r="EH50" s="474"/>
      <c r="EI50" s="474"/>
      <c r="EJ50" s="474"/>
      <c r="EK50" s="474"/>
      <c r="EL50" s="474"/>
      <c r="EM50" s="474"/>
      <c r="EN50" s="474"/>
      <c r="EO50" s="474"/>
      <c r="EP50" s="474"/>
      <c r="EQ50" s="474"/>
      <c r="ER50" s="474"/>
      <c r="ES50" s="47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474"/>
      <c r="GT50" s="474"/>
      <c r="GU50" s="474"/>
      <c r="GV50" s="474"/>
      <c r="GW50" s="474"/>
      <c r="GX50" s="474"/>
      <c r="GY50" s="474"/>
      <c r="GZ50" s="54"/>
      <c r="HA50" s="54"/>
      <c r="HB50" s="54"/>
      <c r="HE50">
        <v>1</v>
      </c>
    </row>
    <row r="52" spans="1:213" x14ac:dyDescent="0.35">
      <c r="G52" s="51" t="s">
        <v>350</v>
      </c>
    </row>
    <row r="53" spans="1:213" x14ac:dyDescent="0.35">
      <c r="G53" s="51" t="s">
        <v>348</v>
      </c>
    </row>
    <row r="54" spans="1:213" x14ac:dyDescent="0.35">
      <c r="A54" s="455" t="s">
        <v>147</v>
      </c>
      <c r="B54" s="455" t="s">
        <v>337</v>
      </c>
      <c r="C54" s="455" t="s">
        <v>338</v>
      </c>
      <c r="D54" s="455" t="s">
        <v>339</v>
      </c>
      <c r="G54" s="471">
        <v>1</v>
      </c>
      <c r="H54" s="471">
        <v>2</v>
      </c>
      <c r="I54" s="471">
        <v>3</v>
      </c>
      <c r="J54" s="471">
        <v>4</v>
      </c>
      <c r="K54" s="471">
        <v>5</v>
      </c>
      <c r="L54" s="471">
        <v>6</v>
      </c>
      <c r="M54" s="471">
        <v>7</v>
      </c>
      <c r="N54" s="471">
        <v>8</v>
      </c>
      <c r="O54" s="471">
        <v>9</v>
      </c>
      <c r="P54" s="471">
        <v>10</v>
      </c>
      <c r="Q54" s="471">
        <v>11</v>
      </c>
      <c r="R54" s="471">
        <v>12</v>
      </c>
      <c r="S54" s="471">
        <v>13</v>
      </c>
      <c r="T54" s="471">
        <v>14</v>
      </c>
      <c r="U54" s="471">
        <v>15</v>
      </c>
      <c r="V54" s="471">
        <v>16</v>
      </c>
      <c r="W54" s="471">
        <v>17</v>
      </c>
      <c r="X54" s="471">
        <v>18</v>
      </c>
      <c r="Y54" s="471">
        <v>19</v>
      </c>
      <c r="Z54" s="471">
        <v>20</v>
      </c>
      <c r="AA54" s="471">
        <v>21</v>
      </c>
      <c r="AB54" s="471">
        <v>22</v>
      </c>
      <c r="AC54" s="471">
        <v>23</v>
      </c>
      <c r="AD54" s="471">
        <v>24</v>
      </c>
      <c r="AE54" s="471">
        <v>25</v>
      </c>
      <c r="AF54" s="471">
        <v>26</v>
      </c>
      <c r="AG54" s="471">
        <v>27</v>
      </c>
      <c r="AH54" s="471">
        <v>28</v>
      </c>
      <c r="AI54" s="471">
        <v>29</v>
      </c>
      <c r="AJ54" s="471">
        <v>30</v>
      </c>
      <c r="AK54" s="471">
        <v>31</v>
      </c>
      <c r="AL54" s="471">
        <v>32</v>
      </c>
      <c r="AM54" s="471">
        <v>33</v>
      </c>
      <c r="AN54" s="471">
        <v>34</v>
      </c>
      <c r="AO54" s="471">
        <v>35</v>
      </c>
      <c r="AP54" s="471">
        <v>36</v>
      </c>
      <c r="AQ54" s="471">
        <v>37</v>
      </c>
      <c r="AR54" s="471">
        <v>38</v>
      </c>
      <c r="AS54" s="471">
        <v>39</v>
      </c>
      <c r="AT54" s="471">
        <v>40</v>
      </c>
      <c r="AU54" s="471">
        <v>41</v>
      </c>
      <c r="AV54" s="471">
        <v>42</v>
      </c>
      <c r="AW54" s="471">
        <v>43</v>
      </c>
      <c r="AX54" s="471">
        <v>44</v>
      </c>
      <c r="AY54" s="471">
        <v>45</v>
      </c>
      <c r="AZ54" s="471">
        <v>46</v>
      </c>
      <c r="BA54" s="471">
        <v>47</v>
      </c>
      <c r="BB54" s="471">
        <v>48</v>
      </c>
      <c r="BC54" s="471">
        <v>49</v>
      </c>
      <c r="BD54" s="471">
        <v>50</v>
      </c>
      <c r="BE54" s="471">
        <v>51</v>
      </c>
      <c r="BF54" s="471">
        <v>52</v>
      </c>
      <c r="BG54" s="471">
        <v>53</v>
      </c>
      <c r="BH54" s="471">
        <v>54</v>
      </c>
      <c r="BI54" s="471">
        <v>55</v>
      </c>
      <c r="BJ54" s="471">
        <v>56</v>
      </c>
      <c r="BK54" s="471">
        <v>57</v>
      </c>
      <c r="BL54" s="471">
        <v>58</v>
      </c>
      <c r="BM54" s="471">
        <v>59</v>
      </c>
      <c r="BN54" s="471">
        <v>60</v>
      </c>
      <c r="BO54" s="471">
        <v>61</v>
      </c>
      <c r="BP54" s="471">
        <v>62</v>
      </c>
      <c r="BQ54" s="471">
        <v>63</v>
      </c>
      <c r="BR54" s="471">
        <v>64</v>
      </c>
      <c r="BS54" s="471">
        <v>65</v>
      </c>
      <c r="BT54" s="471">
        <v>66</v>
      </c>
      <c r="BU54" s="471">
        <v>67</v>
      </c>
      <c r="BV54" s="471">
        <v>68</v>
      </c>
      <c r="BW54" s="471">
        <v>69</v>
      </c>
      <c r="BX54" s="471">
        <v>70</v>
      </c>
      <c r="BY54" s="471">
        <v>71</v>
      </c>
      <c r="BZ54" s="471">
        <v>72</v>
      </c>
      <c r="CA54" s="471">
        <v>73</v>
      </c>
      <c r="CB54" s="471">
        <v>74</v>
      </c>
      <c r="CC54" s="471">
        <v>75</v>
      </c>
      <c r="CD54" s="471">
        <v>76</v>
      </c>
      <c r="CE54" s="471">
        <v>77</v>
      </c>
      <c r="CF54" s="471">
        <v>78</v>
      </c>
      <c r="CG54" s="471">
        <v>79</v>
      </c>
      <c r="CH54" s="471">
        <v>80</v>
      </c>
      <c r="CI54" s="471">
        <v>81</v>
      </c>
      <c r="CJ54" s="471">
        <v>82</v>
      </c>
      <c r="CK54" s="471">
        <v>83</v>
      </c>
      <c r="CL54" s="471">
        <v>84</v>
      </c>
      <c r="CM54" s="471">
        <v>85</v>
      </c>
      <c r="CN54" s="471">
        <v>86</v>
      </c>
      <c r="CO54" s="471">
        <v>87</v>
      </c>
      <c r="CP54" s="471">
        <v>88</v>
      </c>
      <c r="CQ54" s="471">
        <v>89</v>
      </c>
      <c r="CR54" s="471">
        <v>90</v>
      </c>
      <c r="CS54" s="471">
        <v>91</v>
      </c>
      <c r="CT54" s="471">
        <v>92</v>
      </c>
      <c r="CU54" s="471">
        <v>93</v>
      </c>
      <c r="CV54" s="471">
        <v>94</v>
      </c>
      <c r="CW54" s="471">
        <v>95</v>
      </c>
      <c r="CX54" s="471">
        <v>96</v>
      </c>
      <c r="CY54" s="471">
        <v>97</v>
      </c>
      <c r="CZ54" s="473">
        <v>98</v>
      </c>
      <c r="DA54" s="473">
        <v>99</v>
      </c>
      <c r="DB54" s="473">
        <v>100</v>
      </c>
      <c r="DD54" s="471"/>
      <c r="DE54" s="471"/>
    </row>
    <row r="55" spans="1:213" x14ac:dyDescent="0.35">
      <c r="A55" s="456">
        <v>12</v>
      </c>
      <c r="B55" s="456">
        <v>100</v>
      </c>
      <c r="C55" s="455">
        <f>B55*A55</f>
        <v>1200</v>
      </c>
      <c r="D55" s="455">
        <f>C55</f>
        <v>1200</v>
      </c>
      <c r="E55" s="576" t="s">
        <v>354</v>
      </c>
      <c r="F55" s="51">
        <v>1</v>
      </c>
      <c r="G55" s="5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54"/>
      <c r="DA55" s="54"/>
      <c r="DB55" s="54"/>
    </row>
    <row r="56" spans="1:213" x14ac:dyDescent="0.35">
      <c r="E56" s="576"/>
      <c r="F56" s="51">
        <v>2</v>
      </c>
      <c r="G56" s="5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474"/>
      <c r="CT56" s="474"/>
      <c r="CU56" s="474"/>
      <c r="CV56" s="474"/>
      <c r="CW56" s="474"/>
      <c r="CX56" s="474"/>
      <c r="CY56" s="474"/>
      <c r="CZ56" s="54"/>
      <c r="DA56" s="54"/>
      <c r="DB56" s="54"/>
    </row>
    <row r="57" spans="1:213" x14ac:dyDescent="0.35">
      <c r="A57" t="s">
        <v>340</v>
      </c>
      <c r="E57" s="576"/>
      <c r="F57" s="51">
        <v>3</v>
      </c>
      <c r="G57" s="5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474"/>
      <c r="CT57" s="474"/>
      <c r="CU57" s="474"/>
      <c r="CV57" s="474"/>
      <c r="CW57" s="474"/>
      <c r="CX57" s="474"/>
      <c r="CY57" s="474"/>
      <c r="CZ57" s="54"/>
      <c r="DA57" s="54"/>
      <c r="DB57" s="54"/>
    </row>
    <row r="58" spans="1:213" x14ac:dyDescent="0.35">
      <c r="A58" s="457" t="s">
        <v>341</v>
      </c>
      <c r="B58" s="455" t="s">
        <v>342</v>
      </c>
      <c r="C58" s="455" t="s">
        <v>343</v>
      </c>
      <c r="D58" s="455" t="s">
        <v>344</v>
      </c>
      <c r="E58" s="576"/>
      <c r="F58" s="51">
        <v>4</v>
      </c>
      <c r="G58" s="5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474"/>
      <c r="CT58" s="474"/>
      <c r="CU58" s="474"/>
      <c r="CV58" s="474"/>
      <c r="CW58" s="474"/>
      <c r="CX58" s="474"/>
      <c r="CY58" s="474"/>
      <c r="CZ58" s="54"/>
      <c r="DA58" s="54"/>
      <c r="DB58" s="54"/>
    </row>
    <row r="59" spans="1:213" x14ac:dyDescent="0.35">
      <c r="A59" s="457" t="s">
        <v>345</v>
      </c>
      <c r="B59" s="458">
        <v>1.4881432986403459E-2</v>
      </c>
      <c r="C59" s="456">
        <v>12</v>
      </c>
      <c r="D59" s="495">
        <f>B59*100*C59/2</f>
        <v>8.9288597918420756</v>
      </c>
      <c r="E59" s="576"/>
      <c r="F59" s="51">
        <v>5</v>
      </c>
      <c r="G59" s="5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474"/>
      <c r="CT59" s="474"/>
      <c r="CU59" s="474"/>
      <c r="CV59" s="474"/>
      <c r="CW59" s="474"/>
      <c r="CX59" s="474"/>
      <c r="CY59" s="474"/>
      <c r="CZ59" s="54"/>
      <c r="DA59" s="54"/>
      <c r="DB59" s="54"/>
    </row>
    <row r="60" spans="1:213" x14ac:dyDescent="0.35">
      <c r="F60" s="51">
        <v>6</v>
      </c>
      <c r="G60" s="5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474"/>
      <c r="CT60" s="474"/>
      <c r="CU60" s="474"/>
      <c r="CV60" s="474"/>
      <c r="CW60" s="474"/>
      <c r="CX60" s="474"/>
      <c r="CY60" s="474"/>
      <c r="CZ60" s="54"/>
      <c r="DA60" s="54"/>
      <c r="DB60" s="54"/>
    </row>
    <row r="61" spans="1:213" x14ac:dyDescent="0.35">
      <c r="F61" s="51">
        <v>7</v>
      </c>
      <c r="G61" s="5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474"/>
      <c r="CT61" s="474"/>
      <c r="CU61" s="474"/>
      <c r="CV61" s="474"/>
      <c r="CW61" s="474"/>
      <c r="CX61" s="474"/>
      <c r="CY61" s="474"/>
      <c r="CZ61" s="54"/>
      <c r="DA61" s="54"/>
      <c r="DB61" s="54"/>
    </row>
    <row r="62" spans="1:213" x14ac:dyDescent="0.35">
      <c r="A62" s="457" t="s">
        <v>341</v>
      </c>
      <c r="B62" s="455" t="s">
        <v>342</v>
      </c>
      <c r="C62" s="455" t="s">
        <v>343</v>
      </c>
      <c r="D62" s="455" t="s">
        <v>344</v>
      </c>
      <c r="F62" s="51">
        <v>8</v>
      </c>
      <c r="G62" s="5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474"/>
      <c r="CT62" s="474"/>
      <c r="CU62" s="474"/>
      <c r="CV62" s="474"/>
      <c r="CW62" s="474"/>
      <c r="CX62" s="474"/>
      <c r="CY62" s="474"/>
      <c r="CZ62" s="54"/>
      <c r="DA62" s="54"/>
      <c r="DB62" s="54"/>
    </row>
    <row r="63" spans="1:213" x14ac:dyDescent="0.35">
      <c r="A63" s="457" t="s">
        <v>345</v>
      </c>
      <c r="B63" s="459">
        <f>B59*18/12</f>
        <v>2.2322149479605188E-2</v>
      </c>
      <c r="C63" s="456">
        <v>24</v>
      </c>
      <c r="D63" s="495">
        <f>B63*100*C63/2</f>
        <v>26.786579375526227</v>
      </c>
      <c r="F63" s="51">
        <v>9</v>
      </c>
      <c r="G63" s="54"/>
      <c r="H63" s="474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474"/>
      <c r="CT63" s="474"/>
      <c r="CU63" s="474"/>
      <c r="CV63" s="474"/>
      <c r="CW63" s="474"/>
      <c r="CX63" s="474"/>
      <c r="CY63" s="474"/>
      <c r="CZ63" s="54"/>
      <c r="DA63" s="54"/>
      <c r="DB63" s="54"/>
    </row>
    <row r="64" spans="1:213" x14ac:dyDescent="0.35">
      <c r="F64" s="51">
        <v>10</v>
      </c>
      <c r="G64" s="5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474"/>
      <c r="CT64" s="474"/>
      <c r="CU64" s="474"/>
      <c r="CV64" s="474"/>
      <c r="CW64" s="474"/>
      <c r="CX64" s="474"/>
      <c r="CY64" s="474"/>
      <c r="CZ64" s="54"/>
      <c r="DA64" s="54"/>
      <c r="DB64" s="54"/>
    </row>
    <row r="65" spans="1:106" x14ac:dyDescent="0.35">
      <c r="A65" s="460"/>
      <c r="F65" s="51">
        <v>11</v>
      </c>
      <c r="G65" s="5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474"/>
      <c r="CT65" s="474"/>
      <c r="CU65" s="474"/>
      <c r="CV65" s="474"/>
      <c r="CW65" s="474"/>
      <c r="CX65" s="474"/>
      <c r="CY65" s="474"/>
      <c r="CZ65" s="54"/>
      <c r="DA65" s="54"/>
      <c r="DB65" s="54"/>
    </row>
    <row r="66" spans="1:106" x14ac:dyDescent="0.35">
      <c r="A66" s="457" t="s">
        <v>341</v>
      </c>
      <c r="B66" s="455" t="s">
        <v>346</v>
      </c>
      <c r="C66" s="455" t="s">
        <v>343</v>
      </c>
      <c r="D66" s="455" t="s">
        <v>344</v>
      </c>
      <c r="F66" s="51">
        <v>12</v>
      </c>
      <c r="G66" s="5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474"/>
      <c r="CT66" s="474"/>
      <c r="CU66" s="474"/>
      <c r="CV66" s="474"/>
      <c r="CW66" s="474"/>
      <c r="CX66" s="474"/>
      <c r="CY66" s="474"/>
      <c r="CZ66" s="54"/>
      <c r="DA66" s="54"/>
      <c r="DB66" s="54"/>
    </row>
    <row r="67" spans="1:106" x14ac:dyDescent="0.35">
      <c r="A67" s="457" t="s">
        <v>345</v>
      </c>
      <c r="B67" s="459">
        <f>B59*2</f>
        <v>2.9762865972806918E-2</v>
      </c>
      <c r="C67" s="456">
        <v>33</v>
      </c>
      <c r="D67" s="495">
        <f>B67*100*C67/2</f>
        <v>49.10872885513141</v>
      </c>
      <c r="F67" s="51">
        <v>13</v>
      </c>
      <c r="G67" s="5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474"/>
      <c r="CT67" s="474"/>
      <c r="CU67" s="474"/>
      <c r="CV67" s="474"/>
      <c r="CW67" s="474"/>
      <c r="CX67" s="474"/>
      <c r="CY67" s="474"/>
      <c r="CZ67" s="54"/>
      <c r="DA67" s="54"/>
      <c r="DB67" s="54"/>
    </row>
    <row r="68" spans="1:106" x14ac:dyDescent="0.35">
      <c r="F68" s="51">
        <v>14</v>
      </c>
      <c r="G68" s="54"/>
      <c r="H68" s="474"/>
      <c r="I68" s="474"/>
      <c r="J68" s="474"/>
      <c r="K68" s="474"/>
      <c r="L68" s="474"/>
      <c r="M68" s="474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474"/>
      <c r="CT68" s="474"/>
      <c r="CU68" s="474"/>
      <c r="CV68" s="474"/>
      <c r="CW68" s="474"/>
      <c r="CX68" s="474"/>
      <c r="CY68" s="474"/>
      <c r="CZ68" s="54"/>
      <c r="DA68" s="54"/>
      <c r="DB68" s="54"/>
    </row>
    <row r="69" spans="1:106" x14ac:dyDescent="0.35">
      <c r="D69" s="497">
        <f>C8/D67</f>
        <v>2.7939089087350659</v>
      </c>
      <c r="F69" s="51">
        <v>15</v>
      </c>
      <c r="G69" s="5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474"/>
      <c r="CT69" s="474"/>
      <c r="CU69" s="474"/>
      <c r="CV69" s="474"/>
      <c r="CW69" s="474"/>
      <c r="CX69" s="474"/>
      <c r="CY69" s="474"/>
      <c r="CZ69" s="54"/>
      <c r="DA69" s="54"/>
      <c r="DB69" s="54"/>
    </row>
    <row r="70" spans="1:106" x14ac:dyDescent="0.35">
      <c r="D70" s="497">
        <f>D8/D67</f>
        <v>3.6594824005599826</v>
      </c>
      <c r="F70" s="51">
        <v>16</v>
      </c>
      <c r="G70" s="54"/>
      <c r="H70" s="474"/>
      <c r="I70" s="474"/>
      <c r="J70" s="474"/>
      <c r="K70" s="474"/>
      <c r="L70" s="474"/>
      <c r="M70" s="474"/>
      <c r="N70" s="474"/>
      <c r="O70" s="474"/>
      <c r="P70" s="474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474"/>
      <c r="CT70" s="474"/>
      <c r="CU70" s="474"/>
      <c r="CV70" s="474"/>
      <c r="CW70" s="474"/>
      <c r="CX70" s="474"/>
      <c r="CY70" s="474"/>
      <c r="CZ70" s="54"/>
      <c r="DA70" s="54"/>
      <c r="DB70" s="54"/>
    </row>
    <row r="71" spans="1:106" x14ac:dyDescent="0.35">
      <c r="F71" s="51">
        <v>17</v>
      </c>
      <c r="G71" s="54"/>
      <c r="H71" s="474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474"/>
      <c r="CT71" s="474"/>
      <c r="CU71" s="474"/>
      <c r="CV71" s="474"/>
      <c r="CW71" s="474"/>
      <c r="CX71" s="474"/>
      <c r="CY71" s="474"/>
      <c r="CZ71" s="54"/>
      <c r="DA71" s="54"/>
      <c r="DB71" s="376"/>
    </row>
    <row r="72" spans="1:106" x14ac:dyDescent="0.35">
      <c r="F72" s="51">
        <v>18</v>
      </c>
      <c r="G72" s="5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474"/>
      <c r="CT72" s="474"/>
      <c r="CU72" s="474"/>
      <c r="CV72" s="474"/>
      <c r="CW72" s="474"/>
      <c r="CX72" s="474"/>
      <c r="CY72" s="474"/>
      <c r="CZ72" s="376"/>
      <c r="DA72" s="376"/>
      <c r="DB72" s="376"/>
    </row>
    <row r="73" spans="1:106" x14ac:dyDescent="0.35">
      <c r="F73" s="51">
        <v>19</v>
      </c>
      <c r="G73" s="5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474"/>
      <c r="CT73" s="474"/>
      <c r="CU73" s="474"/>
      <c r="CV73" s="474"/>
      <c r="CW73" s="474"/>
      <c r="CX73" s="474"/>
      <c r="CY73" s="474"/>
      <c r="CZ73" s="376"/>
      <c r="DA73" s="376"/>
      <c r="DB73" s="376"/>
    </row>
    <row r="74" spans="1:106" x14ac:dyDescent="0.35">
      <c r="F74" s="51">
        <v>20</v>
      </c>
      <c r="G74" s="5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474"/>
      <c r="CT74" s="474"/>
      <c r="CU74" s="474"/>
      <c r="CV74" s="474"/>
      <c r="CW74" s="474"/>
      <c r="CX74" s="474"/>
      <c r="CY74" s="474"/>
      <c r="CZ74" s="376"/>
      <c r="DA74" s="376"/>
      <c r="DB74" s="376"/>
    </row>
    <row r="75" spans="1:106" x14ac:dyDescent="0.35">
      <c r="F75" s="51">
        <v>21</v>
      </c>
      <c r="G75" s="5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474"/>
      <c r="CT75" s="474"/>
      <c r="CU75" s="474"/>
      <c r="CV75" s="474"/>
      <c r="CW75" s="474"/>
      <c r="CX75" s="474"/>
      <c r="CY75" s="474"/>
      <c r="CZ75" s="376"/>
      <c r="DA75" s="376"/>
      <c r="DB75" s="376"/>
    </row>
    <row r="76" spans="1:106" x14ac:dyDescent="0.35">
      <c r="F76" s="51">
        <v>22</v>
      </c>
      <c r="G76" s="5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474"/>
      <c r="CT76" s="474"/>
      <c r="CU76" s="474"/>
      <c r="CV76" s="474"/>
      <c r="CW76" s="474"/>
      <c r="CX76" s="474"/>
      <c r="CY76" s="474"/>
      <c r="CZ76" s="376"/>
      <c r="DA76" s="376"/>
      <c r="DB76" s="376"/>
    </row>
    <row r="77" spans="1:106" x14ac:dyDescent="0.35">
      <c r="F77" s="51">
        <v>23</v>
      </c>
      <c r="G77" s="5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474"/>
      <c r="CT77" s="474"/>
      <c r="CU77" s="474"/>
      <c r="CV77" s="474"/>
      <c r="CW77" s="474"/>
      <c r="CX77" s="474"/>
      <c r="CY77" s="474"/>
      <c r="CZ77" s="376"/>
      <c r="DA77" s="376"/>
      <c r="DB77" s="376"/>
    </row>
    <row r="78" spans="1:106" x14ac:dyDescent="0.35">
      <c r="F78" s="51">
        <v>24</v>
      </c>
      <c r="G78" s="5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474"/>
      <c r="CT78" s="474"/>
      <c r="CU78" s="474"/>
      <c r="CV78" s="474"/>
      <c r="CW78" s="474"/>
      <c r="CX78" s="474"/>
      <c r="CY78" s="474"/>
      <c r="CZ78" s="376"/>
      <c r="DA78" s="376"/>
      <c r="DB78" s="376"/>
    </row>
    <row r="79" spans="1:106" x14ac:dyDescent="0.35">
      <c r="F79" s="51">
        <v>25</v>
      </c>
      <c r="G79" s="5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474"/>
      <c r="CT79" s="474"/>
      <c r="CU79" s="474"/>
      <c r="CV79" s="474"/>
      <c r="CW79" s="474"/>
      <c r="CX79" s="474"/>
      <c r="CY79" s="474"/>
      <c r="CZ79" s="376"/>
      <c r="DA79" s="376"/>
      <c r="DB79" s="376"/>
    </row>
    <row r="80" spans="1:106" x14ac:dyDescent="0.35">
      <c r="F80" s="51">
        <v>26</v>
      </c>
      <c r="G80" s="5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  <c r="AO80" s="474"/>
      <c r="AP80" s="474"/>
      <c r="AQ80" s="474"/>
      <c r="AR80" s="474"/>
      <c r="AS80" s="47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474"/>
      <c r="CT80" s="474"/>
      <c r="CU80" s="474"/>
      <c r="CV80" s="474"/>
      <c r="CW80" s="474"/>
      <c r="CX80" s="474"/>
      <c r="CY80" s="474"/>
      <c r="CZ80" s="376"/>
      <c r="DA80" s="376"/>
      <c r="DB80" s="376"/>
    </row>
    <row r="81" spans="6:106" x14ac:dyDescent="0.35">
      <c r="F81" s="51">
        <v>27</v>
      </c>
      <c r="G81" s="5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4"/>
      <c r="AL81" s="474"/>
      <c r="AM81" s="474"/>
      <c r="AN81" s="474"/>
      <c r="AO81" s="474"/>
      <c r="AP81" s="474"/>
      <c r="AQ81" s="474"/>
      <c r="AR81" s="474"/>
      <c r="AS81" s="47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474"/>
      <c r="CT81" s="474"/>
      <c r="CU81" s="474"/>
      <c r="CV81" s="474"/>
      <c r="CW81" s="474"/>
      <c r="CX81" s="474"/>
      <c r="CY81" s="474"/>
      <c r="CZ81" s="376"/>
      <c r="DA81" s="376"/>
      <c r="DB81" s="376"/>
    </row>
    <row r="82" spans="6:106" x14ac:dyDescent="0.35">
      <c r="F82" s="51">
        <v>28</v>
      </c>
      <c r="G82" s="5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4"/>
      <c r="AR82" s="474"/>
      <c r="AS82" s="47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474"/>
      <c r="CT82" s="474"/>
      <c r="CU82" s="474"/>
      <c r="CV82" s="474"/>
      <c r="CW82" s="474"/>
      <c r="CX82" s="474"/>
      <c r="CY82" s="474"/>
      <c r="CZ82" s="376"/>
      <c r="DA82" s="376"/>
      <c r="DB82" s="376"/>
    </row>
    <row r="83" spans="6:106" x14ac:dyDescent="0.35">
      <c r="F83" s="51">
        <v>29</v>
      </c>
      <c r="G83" s="54"/>
      <c r="H83" s="474"/>
      <c r="I83" s="474"/>
      <c r="J83" s="474"/>
      <c r="K83" s="474"/>
      <c r="L83" s="474"/>
      <c r="M83" s="474"/>
      <c r="N83" s="474"/>
      <c r="O83" s="474"/>
      <c r="P83" s="474"/>
      <c r="Q83" s="474"/>
      <c r="R83" s="474"/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4"/>
      <c r="AN83" s="474"/>
      <c r="AO83" s="474"/>
      <c r="AP83" s="474"/>
      <c r="AQ83" s="474"/>
      <c r="AR83" s="474"/>
      <c r="AS83" s="47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474"/>
      <c r="CT83" s="474"/>
      <c r="CU83" s="474"/>
      <c r="CV83" s="474"/>
      <c r="CW83" s="474"/>
      <c r="CX83" s="474"/>
      <c r="CY83" s="474"/>
      <c r="CZ83" s="376"/>
      <c r="DA83" s="376"/>
      <c r="DB83" s="376"/>
    </row>
    <row r="84" spans="6:106" x14ac:dyDescent="0.35">
      <c r="F84" s="51">
        <v>30</v>
      </c>
      <c r="G84" s="5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4"/>
      <c r="AL84" s="474"/>
      <c r="AM84" s="474"/>
      <c r="AN84" s="474"/>
      <c r="AO84" s="474"/>
      <c r="AP84" s="474"/>
      <c r="AQ84" s="474"/>
      <c r="AR84" s="474"/>
      <c r="AS84" s="47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474"/>
      <c r="CT84" s="474"/>
      <c r="CU84" s="474"/>
      <c r="CV84" s="474"/>
      <c r="CW84" s="474"/>
      <c r="CX84" s="474"/>
      <c r="CY84" s="474"/>
      <c r="CZ84" s="376"/>
      <c r="DA84" s="376"/>
      <c r="DB84" s="376"/>
    </row>
    <row r="85" spans="6:106" x14ac:dyDescent="0.35">
      <c r="F85" s="51">
        <v>31</v>
      </c>
      <c r="G85" s="5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4"/>
      <c r="AL85" s="474"/>
      <c r="AM85" s="474"/>
      <c r="AN85" s="474"/>
      <c r="AO85" s="474"/>
      <c r="AP85" s="474"/>
      <c r="AQ85" s="474"/>
      <c r="AR85" s="474"/>
      <c r="AS85" s="47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474"/>
      <c r="CT85" s="474"/>
      <c r="CU85" s="474"/>
      <c r="CV85" s="474"/>
      <c r="CW85" s="474"/>
      <c r="CX85" s="474"/>
      <c r="CY85" s="474"/>
      <c r="CZ85" s="376"/>
      <c r="DA85" s="376"/>
      <c r="DB85" s="376"/>
    </row>
    <row r="86" spans="6:106" x14ac:dyDescent="0.35">
      <c r="F86" s="51">
        <v>32</v>
      </c>
      <c r="G86" s="54"/>
      <c r="H86" s="474"/>
      <c r="I86" s="474"/>
      <c r="J86" s="474"/>
      <c r="K86" s="474"/>
      <c r="L86" s="474"/>
      <c r="M86" s="474"/>
      <c r="N86" s="474"/>
      <c r="O86" s="474"/>
      <c r="P86" s="474"/>
      <c r="Q86" s="474"/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  <c r="AO86" s="474"/>
      <c r="AP86" s="474"/>
      <c r="AQ86" s="474"/>
      <c r="AR86" s="474"/>
      <c r="AS86" s="47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474"/>
      <c r="CT86" s="474"/>
      <c r="CU86" s="474"/>
      <c r="CV86" s="474"/>
      <c r="CW86" s="474"/>
      <c r="CX86" s="474"/>
      <c r="CY86" s="474"/>
      <c r="CZ86" s="376"/>
      <c r="DA86" s="376"/>
      <c r="DB86" s="376"/>
    </row>
    <row r="87" spans="6:106" x14ac:dyDescent="0.35">
      <c r="F87" s="51">
        <v>33</v>
      </c>
      <c r="G87" s="54"/>
      <c r="H87" s="474"/>
      <c r="I87" s="474"/>
      <c r="J87" s="474"/>
      <c r="K87" s="474"/>
      <c r="L87" s="474"/>
      <c r="M87" s="474"/>
      <c r="N87" s="474"/>
      <c r="O87" s="474"/>
      <c r="P87" s="474"/>
      <c r="Q87" s="474"/>
      <c r="R87" s="474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4"/>
      <c r="AL87" s="474"/>
      <c r="AM87" s="474"/>
      <c r="AN87" s="474"/>
      <c r="AO87" s="474"/>
      <c r="AP87" s="474"/>
      <c r="AQ87" s="474"/>
      <c r="AR87" s="474"/>
      <c r="AS87" s="47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474"/>
      <c r="CT87" s="474"/>
      <c r="CU87" s="474"/>
      <c r="CV87" s="474"/>
      <c r="CW87" s="474"/>
      <c r="CX87" s="474"/>
      <c r="CY87" s="474"/>
      <c r="CZ87" s="376"/>
      <c r="DA87" s="376"/>
      <c r="DB87" s="376"/>
    </row>
  </sheetData>
  <mergeCells count="8">
    <mergeCell ref="DE18:DE22"/>
    <mergeCell ref="F14:AK14"/>
    <mergeCell ref="A4:DD4"/>
    <mergeCell ref="E18:E22"/>
    <mergeCell ref="E55:E59"/>
    <mergeCell ref="D8:D9"/>
    <mergeCell ref="C9:C10"/>
    <mergeCell ref="A14:B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66"/>
  <sheetViews>
    <sheetView topLeftCell="A3" zoomScale="70" zoomScaleNormal="70" workbookViewId="0">
      <selection activeCell="A4" sqref="A4:BW4"/>
    </sheetView>
  </sheetViews>
  <sheetFormatPr baseColWidth="10" defaultRowHeight="14.5" x14ac:dyDescent="0.35"/>
  <cols>
    <col min="1" max="1" width="14.453125" customWidth="1"/>
    <col min="3" max="4" width="10.54296875" customWidth="1"/>
    <col min="5" max="5" width="5.81640625" customWidth="1"/>
    <col min="6" max="6" width="5.1796875" customWidth="1"/>
    <col min="7" max="39" width="2.6328125" customWidth="1"/>
    <col min="40" max="40" width="3.26953125" customWidth="1"/>
    <col min="41" max="73" width="2.6328125" customWidth="1"/>
    <col min="74" max="74" width="5.453125" style="23" customWidth="1"/>
    <col min="75" max="82" width="3.7265625" style="23" customWidth="1"/>
  </cols>
  <sheetData>
    <row r="1" spans="1:78" hidden="1" x14ac:dyDescent="0.3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22"/>
      <c r="BV1"/>
      <c r="BW1"/>
      <c r="BX1"/>
      <c r="BY1"/>
      <c r="BZ1"/>
    </row>
    <row r="2" spans="1:78" hidden="1" x14ac:dyDescent="0.3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45 pacientes, a los 33 meses</v>
      </c>
      <c r="F2" s="2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BV2"/>
      <c r="BW2"/>
      <c r="BX2"/>
      <c r="BY2"/>
      <c r="BZ2"/>
    </row>
    <row r="3" spans="1:78" ht="8.25" customHeight="1" thickBot="1" x14ac:dyDescent="0.4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BV3"/>
      <c r="BW3"/>
      <c r="BX3"/>
      <c r="BY3"/>
      <c r="BZ3"/>
    </row>
    <row r="4" spans="1:78" ht="56" customHeight="1" thickBot="1" x14ac:dyDescent="0.4">
      <c r="A4" s="567" t="s">
        <v>360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  <c r="BO4" s="568"/>
      <c r="BP4" s="568"/>
      <c r="BQ4" s="568"/>
      <c r="BR4" s="568"/>
      <c r="BS4" s="568"/>
      <c r="BT4" s="568"/>
      <c r="BU4" s="568"/>
      <c r="BV4" s="568"/>
      <c r="BW4" s="569"/>
      <c r="BX4"/>
      <c r="BY4"/>
      <c r="BZ4"/>
    </row>
    <row r="5" spans="1:78" ht="33.75" customHeight="1" x14ac:dyDescent="0.35">
      <c r="A5" s="396" t="s">
        <v>330</v>
      </c>
      <c r="B5" s="27">
        <f>C5+D5+E5</f>
        <v>45</v>
      </c>
      <c r="C5" s="447">
        <v>2</v>
      </c>
      <c r="D5" s="448">
        <v>1</v>
      </c>
      <c r="E5" s="449">
        <v>42</v>
      </c>
      <c r="G5" s="25"/>
      <c r="H5" s="25"/>
      <c r="I5" s="25"/>
      <c r="J5" s="390" t="s">
        <v>174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BV5"/>
      <c r="BW5"/>
      <c r="BX5"/>
      <c r="BY5"/>
      <c r="BZ5"/>
    </row>
    <row r="6" spans="1:78" ht="15" customHeight="1" x14ac:dyDescent="0.35">
      <c r="A6" s="25"/>
      <c r="C6" s="28"/>
      <c r="D6" s="29"/>
      <c r="E6" s="30"/>
      <c r="F6" s="25"/>
      <c r="G6" s="25"/>
      <c r="H6" s="25"/>
      <c r="I6" s="25"/>
      <c r="J6" s="389" t="s">
        <v>175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BV6"/>
      <c r="BW6"/>
      <c r="BX6"/>
      <c r="BY6"/>
      <c r="BZ6"/>
    </row>
    <row r="7" spans="1:78" ht="39" x14ac:dyDescent="0.35">
      <c r="A7" s="397" t="s">
        <v>331</v>
      </c>
      <c r="B7" s="31" t="s">
        <v>147</v>
      </c>
      <c r="C7" s="32" t="str">
        <f>CONCATENATE(A1," ",B1," ",B5," ",C1)</f>
        <v>meses de los 45 del grupo Interv</v>
      </c>
      <c r="D7" s="32" t="str">
        <f>CONCATENATE(A1," ",B1," ",B5," ",D1)</f>
        <v>meses de los 45 del grupo Contr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BV7"/>
      <c r="BW7"/>
      <c r="BX7"/>
      <c r="BY7"/>
      <c r="BZ7"/>
    </row>
    <row r="8" spans="1:78" ht="26.5" x14ac:dyDescent="0.35">
      <c r="A8" s="33" t="s">
        <v>1</v>
      </c>
      <c r="B8" s="34">
        <v>0.96892413201885985</v>
      </c>
      <c r="C8" s="427">
        <f>B8*B5</f>
        <v>43.601585940848693</v>
      </c>
      <c r="D8" s="570">
        <f>(B8+B9)*B5</f>
        <v>59.955465459679033</v>
      </c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25"/>
      <c r="BV8"/>
      <c r="BW8"/>
      <c r="BX8"/>
      <c r="BY8"/>
      <c r="BZ8"/>
    </row>
    <row r="9" spans="1:78" ht="26.5" x14ac:dyDescent="0.35">
      <c r="A9" s="37" t="s">
        <v>3</v>
      </c>
      <c r="B9" s="38">
        <v>0.36341954486289652</v>
      </c>
      <c r="C9" s="571">
        <f>(B10+B9)*B5</f>
        <v>1441.3984140591515</v>
      </c>
      <c r="D9" s="570"/>
      <c r="E9" s="29"/>
      <c r="F9" s="3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25"/>
      <c r="BV9"/>
      <c r="BW9"/>
      <c r="BX9"/>
      <c r="BY9"/>
      <c r="BZ9"/>
    </row>
    <row r="10" spans="1:78" ht="26.5" x14ac:dyDescent="0.35">
      <c r="A10" s="40" t="s">
        <v>2</v>
      </c>
      <c r="B10" s="41">
        <v>31.667656323118248</v>
      </c>
      <c r="C10" s="571"/>
      <c r="D10" s="42">
        <f>B10*B5</f>
        <v>1425.0445345403211</v>
      </c>
      <c r="E10" s="28"/>
      <c r="F10" s="39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25"/>
      <c r="BV10"/>
      <c r="BW10"/>
      <c r="BX10"/>
      <c r="BY10"/>
      <c r="BZ10"/>
    </row>
    <row r="11" spans="1:78" x14ac:dyDescent="0.35">
      <c r="A11" s="2"/>
      <c r="B11" s="44">
        <v>33.000000000000007</v>
      </c>
      <c r="C11" s="45">
        <f>C8+C9</f>
        <v>1485.0000000000002</v>
      </c>
      <c r="D11" s="45">
        <f>D8+D10</f>
        <v>1485.0000000000002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9" customHeigh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x14ac:dyDescent="0.35">
      <c r="A13" s="25"/>
      <c r="B13" s="25"/>
      <c r="C13" s="21">
        <f>(E5+D5)*B11</f>
        <v>1419.0000000000002</v>
      </c>
      <c r="D13" s="21">
        <f>E5*B11</f>
        <v>1386.0000000000002</v>
      </c>
      <c r="E13" s="25"/>
      <c r="F13" s="47" t="s">
        <v>12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ht="36" customHeight="1" x14ac:dyDescent="0.35">
      <c r="A14" s="572" t="s">
        <v>13</v>
      </c>
      <c r="B14" s="572"/>
      <c r="C14" s="48">
        <f>C9-C13</f>
        <v>22.398414059151264</v>
      </c>
      <c r="D14" s="48">
        <f>D10-D13</f>
        <v>39.04453454032091</v>
      </c>
      <c r="F14" s="573" t="str">
        <f>IF((AND(((B9+B10)/B11)&gt;((D5+E5)/B5),(B10/B11)&gt;(E5/B5))),E2,#REF!)</f>
        <v>puede representarse llegando los 45 pacientes, a los 33 meses</v>
      </c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78" ht="18.75" customHeight="1" thickBot="1" x14ac:dyDescent="0.4">
      <c r="A15" s="49"/>
      <c r="B15" s="49"/>
      <c r="C15" s="49"/>
      <c r="D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25"/>
      <c r="BX15" s="25"/>
      <c r="BY15" s="25"/>
      <c r="BZ15" s="25"/>
    </row>
    <row r="16" spans="1:78" ht="17.25" customHeight="1" thickBot="1" x14ac:dyDescent="0.4">
      <c r="A16" s="408" t="s">
        <v>329</v>
      </c>
      <c r="B16" s="363"/>
      <c r="C16" s="364"/>
      <c r="G16" s="51" t="s">
        <v>355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0"/>
      <c r="AO16" s="51" t="s">
        <v>14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0"/>
      <c r="BW16" s="50"/>
      <c r="BX16" s="50"/>
      <c r="BY16" s="50"/>
      <c r="BZ16" s="50"/>
    </row>
    <row r="17" spans="1:82" x14ac:dyDescent="0.35">
      <c r="A17" s="362" t="s">
        <v>356</v>
      </c>
      <c r="G17" s="51" t="s">
        <v>334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O17" s="51" t="s">
        <v>334</v>
      </c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</row>
    <row r="18" spans="1:82" x14ac:dyDescent="0.35">
      <c r="A18" s="362" t="s">
        <v>155</v>
      </c>
      <c r="F18" s="23"/>
      <c r="G18" s="404">
        <v>1</v>
      </c>
      <c r="H18" s="404">
        <v>2</v>
      </c>
      <c r="I18" s="404">
        <v>3</v>
      </c>
      <c r="J18" s="404">
        <v>4</v>
      </c>
      <c r="K18" s="404">
        <v>5</v>
      </c>
      <c r="L18" s="404">
        <v>6</v>
      </c>
      <c r="M18" s="404">
        <v>7</v>
      </c>
      <c r="N18" s="404">
        <v>8</v>
      </c>
      <c r="O18" s="404">
        <v>9</v>
      </c>
      <c r="P18" s="404">
        <v>10</v>
      </c>
      <c r="Q18" s="404">
        <v>11</v>
      </c>
      <c r="R18" s="404">
        <v>12</v>
      </c>
      <c r="S18" s="404">
        <v>13</v>
      </c>
      <c r="T18" s="404">
        <v>14</v>
      </c>
      <c r="U18" s="404">
        <v>15</v>
      </c>
      <c r="V18" s="404">
        <v>16</v>
      </c>
      <c r="W18" s="404">
        <v>17</v>
      </c>
      <c r="X18" s="404">
        <v>18</v>
      </c>
      <c r="Y18" s="404">
        <v>19</v>
      </c>
      <c r="Z18" s="404">
        <v>20</v>
      </c>
      <c r="AA18" s="404">
        <v>21</v>
      </c>
      <c r="AB18" s="404">
        <v>22</v>
      </c>
      <c r="AC18" s="404">
        <v>23</v>
      </c>
      <c r="AD18" s="404">
        <v>24</v>
      </c>
      <c r="AE18" s="404">
        <v>25</v>
      </c>
      <c r="AF18" s="404">
        <v>26</v>
      </c>
      <c r="AG18" s="404">
        <v>27</v>
      </c>
      <c r="AH18" s="404">
        <v>28</v>
      </c>
      <c r="AI18" s="404">
        <v>29</v>
      </c>
      <c r="AJ18" s="404">
        <v>30</v>
      </c>
      <c r="AK18" s="404">
        <v>31</v>
      </c>
      <c r="AL18" s="404">
        <v>32</v>
      </c>
      <c r="AM18" s="404">
        <v>33</v>
      </c>
      <c r="AN18" s="402"/>
      <c r="AO18" s="404">
        <v>1</v>
      </c>
      <c r="AP18" s="404">
        <v>2</v>
      </c>
      <c r="AQ18" s="404">
        <v>3</v>
      </c>
      <c r="AR18" s="404">
        <v>4</v>
      </c>
      <c r="AS18" s="404">
        <v>5</v>
      </c>
      <c r="AT18" s="404">
        <v>6</v>
      </c>
      <c r="AU18" s="404">
        <v>7</v>
      </c>
      <c r="AV18" s="404">
        <v>8</v>
      </c>
      <c r="AW18" s="404">
        <v>9</v>
      </c>
      <c r="AX18" s="404">
        <v>10</v>
      </c>
      <c r="AY18" s="404">
        <v>11</v>
      </c>
      <c r="AZ18" s="404">
        <v>12</v>
      </c>
      <c r="BA18" s="404">
        <v>13</v>
      </c>
      <c r="BB18" s="404">
        <v>14</v>
      </c>
      <c r="BC18" s="404">
        <v>15</v>
      </c>
      <c r="BD18" s="404">
        <v>16</v>
      </c>
      <c r="BE18" s="404">
        <v>17</v>
      </c>
      <c r="BF18" s="404">
        <v>18</v>
      </c>
      <c r="BG18" s="404">
        <v>19</v>
      </c>
      <c r="BH18" s="404">
        <v>20</v>
      </c>
      <c r="BI18" s="404">
        <v>21</v>
      </c>
      <c r="BJ18" s="404">
        <v>22</v>
      </c>
      <c r="BK18" s="404">
        <v>23</v>
      </c>
      <c r="BL18" s="404">
        <v>24</v>
      </c>
      <c r="BM18" s="404">
        <v>25</v>
      </c>
      <c r="BN18" s="404">
        <v>26</v>
      </c>
      <c r="BO18" s="404">
        <v>27</v>
      </c>
      <c r="BP18" s="404">
        <v>28</v>
      </c>
      <c r="BQ18" s="404">
        <v>29</v>
      </c>
      <c r="BR18" s="404">
        <v>30</v>
      </c>
      <c r="BS18" s="404">
        <v>31</v>
      </c>
      <c r="BT18" s="404">
        <v>32</v>
      </c>
      <c r="BU18" s="404">
        <v>33</v>
      </c>
    </row>
    <row r="19" spans="1:82" x14ac:dyDescent="0.35">
      <c r="E19" s="584" t="s">
        <v>358</v>
      </c>
      <c r="F19" s="57">
        <v>45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23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57">
        <v>45</v>
      </c>
      <c r="BW19" s="584" t="s">
        <v>358</v>
      </c>
      <c r="BX19" s="53"/>
      <c r="BY19" s="53"/>
      <c r="BZ19" s="53"/>
      <c r="CA19" s="53"/>
      <c r="CB19" s="53"/>
      <c r="CC19" s="53"/>
      <c r="CD19" s="53"/>
    </row>
    <row r="20" spans="1:82" x14ac:dyDescent="0.35">
      <c r="E20" s="584"/>
      <c r="F20" s="57">
        <v>44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57">
        <v>44</v>
      </c>
      <c r="BW20" s="584"/>
      <c r="BX20" s="53"/>
      <c r="BY20" s="53"/>
      <c r="BZ20" s="53"/>
      <c r="CA20" s="53"/>
      <c r="CB20" s="53"/>
      <c r="CC20" s="53"/>
      <c r="CD20" s="53"/>
    </row>
    <row r="21" spans="1:82" ht="16" thickBot="1" x14ac:dyDescent="0.4">
      <c r="E21" s="584"/>
      <c r="F21" s="365">
        <v>43</v>
      </c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23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428">
        <v>43</v>
      </c>
      <c r="BW21" s="584"/>
      <c r="BX21" s="53"/>
      <c r="BY21" s="53"/>
      <c r="BZ21" s="53"/>
      <c r="CA21" s="53"/>
      <c r="CB21" s="53"/>
      <c r="CC21" s="53"/>
      <c r="CD21" s="53"/>
    </row>
    <row r="22" spans="1:82" x14ac:dyDescent="0.35">
      <c r="A22" s="331" t="s">
        <v>130</v>
      </c>
      <c r="B22" s="332"/>
      <c r="C22" s="332"/>
      <c r="D22" s="333"/>
      <c r="E22" s="584"/>
      <c r="F22" s="55">
        <v>42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23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5">
        <v>42</v>
      </c>
      <c r="BW22" s="584"/>
      <c r="BX22" s="53"/>
      <c r="BY22" s="53"/>
      <c r="BZ22" s="53"/>
      <c r="CA22" s="53"/>
      <c r="CB22" s="53"/>
      <c r="CC22" s="53"/>
      <c r="CD22" s="53"/>
    </row>
    <row r="23" spans="1:82" x14ac:dyDescent="0.35">
      <c r="A23" s="334" t="s">
        <v>125</v>
      </c>
      <c r="B23" s="335" t="s">
        <v>126</v>
      </c>
      <c r="C23" s="335" t="s">
        <v>114</v>
      </c>
      <c r="D23" s="336" t="s">
        <v>11</v>
      </c>
      <c r="E23" s="584"/>
      <c r="F23" s="55">
        <v>41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23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>
        <v>41</v>
      </c>
      <c r="BW23" s="584"/>
      <c r="BX23" s="53"/>
      <c r="BY23" s="53"/>
      <c r="BZ23" s="53"/>
      <c r="CA23" s="53"/>
      <c r="CB23" s="53"/>
      <c r="CC23" s="53"/>
      <c r="CD23" s="53"/>
    </row>
    <row r="24" spans="1:82" x14ac:dyDescent="0.35">
      <c r="A24" s="337">
        <v>3.669724770642202E-2</v>
      </c>
      <c r="B24" s="338">
        <v>5.8722674667809685E-2</v>
      </c>
      <c r="C24" s="339">
        <f>B24-A24</f>
        <v>2.2025426961387665E-2</v>
      </c>
      <c r="D24" s="340">
        <f>1/C24</f>
        <v>45.402071058739516</v>
      </c>
      <c r="E24" s="584"/>
      <c r="F24" s="55">
        <v>40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23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5">
        <v>40</v>
      </c>
      <c r="BW24" s="584"/>
      <c r="BX24" s="53"/>
      <c r="BY24" s="53"/>
      <c r="BZ24" s="53"/>
      <c r="CA24" s="53"/>
      <c r="CB24" s="53"/>
      <c r="CC24" s="53"/>
      <c r="CD24" s="53"/>
    </row>
    <row r="25" spans="1:82" ht="15" thickBot="1" x14ac:dyDescent="0.4">
      <c r="A25" s="487" t="s">
        <v>353</v>
      </c>
      <c r="B25" s="378">
        <f>A24*D24</f>
        <v>1.6661310480271383</v>
      </c>
      <c r="C25" s="342">
        <f>C24*D24</f>
        <v>0.99999999999999989</v>
      </c>
      <c r="D25" s="377">
        <f>(1-B24)*D24</f>
        <v>42.735940010712376</v>
      </c>
      <c r="E25" s="584"/>
      <c r="F25" s="55">
        <v>39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23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5">
        <v>39</v>
      </c>
      <c r="BW25" s="584"/>
      <c r="BX25" s="53"/>
      <c r="BY25" s="53"/>
      <c r="BZ25" s="53"/>
      <c r="CA25" s="53"/>
      <c r="CB25" s="53"/>
      <c r="CC25" s="53"/>
      <c r="CD25" s="53"/>
    </row>
    <row r="26" spans="1:82" x14ac:dyDescent="0.35">
      <c r="F26" s="55">
        <v>38</v>
      </c>
      <c r="G26" s="406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6"/>
      <c r="AO26" s="406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5">
        <v>38</v>
      </c>
      <c r="BW26" s="53"/>
      <c r="BX26" s="53"/>
      <c r="BY26" s="53"/>
      <c r="BZ26" s="53"/>
      <c r="CA26" s="53"/>
      <c r="CB26" s="53"/>
      <c r="CC26" s="53"/>
      <c r="CD26" s="53"/>
    </row>
    <row r="27" spans="1:82" x14ac:dyDescent="0.35">
      <c r="F27" s="55">
        <v>37</v>
      </c>
      <c r="G27" s="406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6"/>
      <c r="AO27" s="406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5">
        <v>37</v>
      </c>
      <c r="BW27" s="53"/>
      <c r="BX27" s="53"/>
      <c r="BY27" s="53"/>
      <c r="BZ27" s="53"/>
      <c r="CA27" s="53"/>
      <c r="CB27" s="53"/>
      <c r="CC27" s="53"/>
      <c r="CD27" s="53"/>
    </row>
    <row r="28" spans="1:82" x14ac:dyDescent="0.35">
      <c r="F28" s="55">
        <v>36</v>
      </c>
      <c r="G28" s="406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O28" s="406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5">
        <v>36</v>
      </c>
    </row>
    <row r="29" spans="1:82" x14ac:dyDescent="0.35">
      <c r="F29" s="55">
        <v>35</v>
      </c>
      <c r="G29" s="406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O29" s="406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5">
        <v>35</v>
      </c>
    </row>
    <row r="30" spans="1:82" x14ac:dyDescent="0.35">
      <c r="F30" s="55">
        <v>34</v>
      </c>
      <c r="G30" s="406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O30" s="406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5">
        <v>34</v>
      </c>
    </row>
    <row r="31" spans="1:82" x14ac:dyDescent="0.35">
      <c r="F31" s="55">
        <v>33</v>
      </c>
      <c r="G31" s="40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O31" s="406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5">
        <v>33</v>
      </c>
    </row>
    <row r="32" spans="1:82" x14ac:dyDescent="0.35">
      <c r="F32" s="55">
        <v>32</v>
      </c>
      <c r="G32" s="40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O32" s="406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5">
        <v>32</v>
      </c>
    </row>
    <row r="33" spans="6:74" x14ac:dyDescent="0.35">
      <c r="F33" s="55">
        <v>31</v>
      </c>
      <c r="G33" s="406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O33" s="406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>
        <v>31</v>
      </c>
    </row>
    <row r="34" spans="6:74" x14ac:dyDescent="0.35">
      <c r="F34" s="55">
        <v>30</v>
      </c>
      <c r="G34" s="406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O34" s="406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5">
        <v>30</v>
      </c>
    </row>
    <row r="35" spans="6:74" x14ac:dyDescent="0.35">
      <c r="F35" s="55">
        <v>29</v>
      </c>
      <c r="G35" s="406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O35" s="406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5">
        <v>29</v>
      </c>
    </row>
    <row r="36" spans="6:74" x14ac:dyDescent="0.35">
      <c r="F36" s="55">
        <v>28</v>
      </c>
      <c r="G36" s="406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O36" s="406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5">
        <v>28</v>
      </c>
    </row>
    <row r="37" spans="6:74" x14ac:dyDescent="0.35">
      <c r="F37" s="55">
        <v>27</v>
      </c>
      <c r="G37" s="406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O37" s="406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5">
        <v>27</v>
      </c>
    </row>
    <row r="38" spans="6:74" x14ac:dyDescent="0.35">
      <c r="F38" s="55">
        <v>26</v>
      </c>
      <c r="G38" s="406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55">
        <v>26</v>
      </c>
    </row>
    <row r="39" spans="6:74" x14ac:dyDescent="0.35">
      <c r="F39" s="55">
        <v>25</v>
      </c>
      <c r="G39" s="406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402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55">
        <v>25</v>
      </c>
    </row>
    <row r="40" spans="6:74" x14ac:dyDescent="0.35">
      <c r="F40" s="55">
        <v>24</v>
      </c>
      <c r="G40" s="406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402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55">
        <v>24</v>
      </c>
    </row>
    <row r="41" spans="6:74" x14ac:dyDescent="0.35">
      <c r="F41" s="55">
        <v>23</v>
      </c>
      <c r="G41" s="406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02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  <c r="BT41" s="406"/>
      <c r="BU41" s="406"/>
      <c r="BV41" s="55">
        <v>23</v>
      </c>
    </row>
    <row r="42" spans="6:74" x14ac:dyDescent="0.35">
      <c r="F42" s="55">
        <v>22</v>
      </c>
      <c r="G42" s="40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402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6"/>
      <c r="BM42" s="406"/>
      <c r="BN42" s="406"/>
      <c r="BO42" s="406"/>
      <c r="BP42" s="406"/>
      <c r="BQ42" s="406"/>
      <c r="BR42" s="406"/>
      <c r="BS42" s="406"/>
      <c r="BT42" s="406"/>
      <c r="BU42" s="406"/>
      <c r="BV42" s="55">
        <v>22</v>
      </c>
    </row>
    <row r="43" spans="6:74" x14ac:dyDescent="0.35">
      <c r="F43" s="55">
        <v>21</v>
      </c>
      <c r="G43" s="406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402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06"/>
      <c r="BJ43" s="406"/>
      <c r="BK43" s="406"/>
      <c r="BL43" s="406"/>
      <c r="BM43" s="406"/>
      <c r="BN43" s="406"/>
      <c r="BO43" s="406"/>
      <c r="BP43" s="406"/>
      <c r="BQ43" s="406"/>
      <c r="BR43" s="406"/>
      <c r="BS43" s="406"/>
      <c r="BT43" s="406"/>
      <c r="BU43" s="406"/>
      <c r="BV43" s="55">
        <v>21</v>
      </c>
    </row>
    <row r="44" spans="6:74" x14ac:dyDescent="0.35">
      <c r="F44" s="55">
        <v>20</v>
      </c>
      <c r="G44" s="406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402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06"/>
      <c r="BU44" s="406"/>
      <c r="BV44" s="55">
        <v>20</v>
      </c>
    </row>
    <row r="45" spans="6:74" x14ac:dyDescent="0.35">
      <c r="F45" s="55">
        <v>19</v>
      </c>
      <c r="G45" s="406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402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6"/>
      <c r="BU45" s="406"/>
      <c r="BV45" s="55">
        <v>19</v>
      </c>
    </row>
    <row r="46" spans="6:74" x14ac:dyDescent="0.35">
      <c r="F46" s="55">
        <v>18</v>
      </c>
      <c r="G46" s="406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O46" s="406"/>
      <c r="AP46" s="406"/>
      <c r="AQ46" s="406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406"/>
      <c r="BC46" s="406"/>
      <c r="BD46" s="406"/>
      <c r="BE46" s="406"/>
      <c r="BF46" s="406"/>
      <c r="BG46" s="406"/>
      <c r="BH46" s="406"/>
      <c r="BI46" s="406"/>
      <c r="BJ46" s="406"/>
      <c r="BK46" s="406"/>
      <c r="BL46" s="406"/>
      <c r="BM46" s="406"/>
      <c r="BN46" s="406"/>
      <c r="BO46" s="406"/>
      <c r="BP46" s="406"/>
      <c r="BQ46" s="406"/>
      <c r="BR46" s="406"/>
      <c r="BS46" s="406"/>
      <c r="BT46" s="406"/>
      <c r="BU46" s="406"/>
      <c r="BV46" s="55">
        <v>18</v>
      </c>
    </row>
    <row r="47" spans="6:74" x14ac:dyDescent="0.35">
      <c r="F47" s="55">
        <v>17</v>
      </c>
      <c r="G47" s="406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0"/>
      <c r="AO47" s="406"/>
      <c r="AP47" s="406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  <c r="BD47" s="406"/>
      <c r="BE47" s="406"/>
      <c r="BF47" s="406"/>
      <c r="BG47" s="406"/>
      <c r="BH47" s="406"/>
      <c r="BI47" s="406"/>
      <c r="BJ47" s="406"/>
      <c r="BK47" s="406"/>
      <c r="BL47" s="406"/>
      <c r="BM47" s="406"/>
      <c r="BN47" s="406"/>
      <c r="BO47" s="406"/>
      <c r="BP47" s="406"/>
      <c r="BQ47" s="406"/>
      <c r="BR47" s="406"/>
      <c r="BS47" s="406"/>
      <c r="BT47" s="406"/>
      <c r="BU47" s="406"/>
      <c r="BV47" s="55">
        <v>17</v>
      </c>
    </row>
    <row r="48" spans="6:74" x14ac:dyDescent="0.35">
      <c r="F48" s="55">
        <v>16</v>
      </c>
      <c r="G48" s="406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406"/>
      <c r="BQ48" s="406"/>
      <c r="BR48" s="406"/>
      <c r="BS48" s="406"/>
      <c r="BT48" s="406"/>
      <c r="BU48" s="406"/>
      <c r="BV48" s="55">
        <v>16</v>
      </c>
    </row>
    <row r="49" spans="6:74" x14ac:dyDescent="0.35">
      <c r="F49" s="55">
        <v>15</v>
      </c>
      <c r="G49" s="406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O49" s="406"/>
      <c r="AP49" s="406"/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406"/>
      <c r="BE49" s="406"/>
      <c r="BF49" s="406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  <c r="BS49" s="406"/>
      <c r="BT49" s="406"/>
      <c r="BU49" s="406"/>
      <c r="BV49" s="55">
        <v>15</v>
      </c>
    </row>
    <row r="50" spans="6:74" x14ac:dyDescent="0.35">
      <c r="F50" s="55">
        <v>14</v>
      </c>
      <c r="G50" s="406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6"/>
      <c r="BM50" s="406"/>
      <c r="BN50" s="406"/>
      <c r="BO50" s="406"/>
      <c r="BP50" s="406"/>
      <c r="BQ50" s="406"/>
      <c r="BR50" s="406"/>
      <c r="BS50" s="406"/>
      <c r="BT50" s="406"/>
      <c r="BU50" s="406"/>
      <c r="BV50" s="55">
        <v>14</v>
      </c>
    </row>
    <row r="51" spans="6:74" x14ac:dyDescent="0.35">
      <c r="F51" s="55">
        <v>13</v>
      </c>
      <c r="G51" s="406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406"/>
      <c r="BU51" s="406"/>
      <c r="BV51" s="55">
        <v>13</v>
      </c>
    </row>
    <row r="52" spans="6:74" x14ac:dyDescent="0.35">
      <c r="F52" s="55">
        <v>12</v>
      </c>
      <c r="G52" s="406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  <c r="BF52" s="406"/>
      <c r="BG52" s="406"/>
      <c r="BH52" s="406"/>
      <c r="BI52" s="406"/>
      <c r="BJ52" s="406"/>
      <c r="BK52" s="406"/>
      <c r="BL52" s="406"/>
      <c r="BM52" s="406"/>
      <c r="BN52" s="406"/>
      <c r="BO52" s="406"/>
      <c r="BP52" s="406"/>
      <c r="BQ52" s="406"/>
      <c r="BR52" s="406"/>
      <c r="BS52" s="406"/>
      <c r="BT52" s="406"/>
      <c r="BU52" s="406"/>
      <c r="BV52" s="55">
        <v>12</v>
      </c>
    </row>
    <row r="53" spans="6:74" x14ac:dyDescent="0.35">
      <c r="F53" s="55">
        <v>11</v>
      </c>
      <c r="G53" s="406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6"/>
      <c r="BU53" s="406"/>
      <c r="BV53" s="55">
        <v>11</v>
      </c>
    </row>
    <row r="54" spans="6:74" x14ac:dyDescent="0.35">
      <c r="F54" s="55">
        <v>10</v>
      </c>
      <c r="G54" s="406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6"/>
      <c r="BU54" s="406"/>
      <c r="BV54" s="55">
        <v>10</v>
      </c>
    </row>
    <row r="55" spans="6:74" x14ac:dyDescent="0.35">
      <c r="F55" s="55">
        <v>9</v>
      </c>
      <c r="G55" s="406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6"/>
      <c r="BU55" s="406"/>
      <c r="BV55" s="55">
        <v>9</v>
      </c>
    </row>
    <row r="56" spans="6:74" x14ac:dyDescent="0.35">
      <c r="F56" s="55">
        <v>8</v>
      </c>
      <c r="G56" s="406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O56" s="406"/>
      <c r="AP56" s="406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6"/>
      <c r="BE56" s="406"/>
      <c r="BF56" s="406"/>
      <c r="BG56" s="406"/>
      <c r="BH56" s="406"/>
      <c r="BI56" s="406"/>
      <c r="BJ56" s="406"/>
      <c r="BK56" s="406"/>
      <c r="BL56" s="406"/>
      <c r="BM56" s="406"/>
      <c r="BN56" s="406"/>
      <c r="BO56" s="406"/>
      <c r="BP56" s="406"/>
      <c r="BQ56" s="406"/>
      <c r="BR56" s="406"/>
      <c r="BS56" s="406"/>
      <c r="BT56" s="406"/>
      <c r="BU56" s="406"/>
      <c r="BV56" s="55">
        <v>8</v>
      </c>
    </row>
    <row r="57" spans="6:74" x14ac:dyDescent="0.35">
      <c r="F57" s="55">
        <v>7</v>
      </c>
      <c r="G57" s="406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6"/>
      <c r="BV57" s="55">
        <v>7</v>
      </c>
    </row>
    <row r="58" spans="6:74" x14ac:dyDescent="0.35">
      <c r="F58" s="55">
        <v>6</v>
      </c>
      <c r="G58" s="406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406"/>
      <c r="AZ58" s="406"/>
      <c r="BA58" s="406"/>
      <c r="BB58" s="406"/>
      <c r="BC58" s="406"/>
      <c r="BD58" s="406"/>
      <c r="BE58" s="406"/>
      <c r="BF58" s="406"/>
      <c r="BG58" s="406"/>
      <c r="BH58" s="406"/>
      <c r="BI58" s="406"/>
      <c r="BJ58" s="406"/>
      <c r="BK58" s="406"/>
      <c r="BL58" s="406"/>
      <c r="BM58" s="406"/>
      <c r="BN58" s="406"/>
      <c r="BO58" s="406"/>
      <c r="BP58" s="406"/>
      <c r="BQ58" s="406"/>
      <c r="BR58" s="406"/>
      <c r="BS58" s="406"/>
      <c r="BT58" s="406"/>
      <c r="BU58" s="406"/>
      <c r="BV58" s="55">
        <v>6</v>
      </c>
    </row>
    <row r="59" spans="6:74" x14ac:dyDescent="0.35">
      <c r="F59" s="55">
        <v>5</v>
      </c>
      <c r="G59" s="406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O59" s="406"/>
      <c r="AP59" s="406"/>
      <c r="AQ59" s="406"/>
      <c r="AR59" s="406"/>
      <c r="AS59" s="406"/>
      <c r="AT59" s="406"/>
      <c r="AU59" s="406"/>
      <c r="AV59" s="406"/>
      <c r="AW59" s="406"/>
      <c r="AX59" s="406"/>
      <c r="AY59" s="406"/>
      <c r="AZ59" s="406"/>
      <c r="BA59" s="406"/>
      <c r="BB59" s="406"/>
      <c r="BC59" s="406"/>
      <c r="BD59" s="406"/>
      <c r="BE59" s="406"/>
      <c r="BF59" s="406"/>
      <c r="BG59" s="406"/>
      <c r="BH59" s="406"/>
      <c r="BI59" s="406"/>
      <c r="BJ59" s="406"/>
      <c r="BK59" s="406"/>
      <c r="BL59" s="406"/>
      <c r="BM59" s="406"/>
      <c r="BN59" s="406"/>
      <c r="BO59" s="406"/>
      <c r="BP59" s="406"/>
      <c r="BQ59" s="406"/>
      <c r="BR59" s="406"/>
      <c r="BS59" s="406"/>
      <c r="BT59" s="406"/>
      <c r="BU59" s="406"/>
      <c r="BV59" s="55">
        <v>5</v>
      </c>
    </row>
    <row r="60" spans="6:74" x14ac:dyDescent="0.35">
      <c r="F60" s="55">
        <v>4</v>
      </c>
      <c r="G60" s="406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  <c r="BB60" s="406"/>
      <c r="BC60" s="406"/>
      <c r="BD60" s="406"/>
      <c r="BE60" s="406"/>
      <c r="BF60" s="406"/>
      <c r="BG60" s="406"/>
      <c r="BH60" s="406"/>
      <c r="BI60" s="406"/>
      <c r="BJ60" s="406"/>
      <c r="BK60" s="406"/>
      <c r="BL60" s="406"/>
      <c r="BM60" s="406"/>
      <c r="BN60" s="406"/>
      <c r="BO60" s="406"/>
      <c r="BP60" s="406"/>
      <c r="BQ60" s="406"/>
      <c r="BR60" s="406"/>
      <c r="BS60" s="406"/>
      <c r="BT60" s="406"/>
      <c r="BU60" s="406"/>
      <c r="BV60" s="55">
        <v>4</v>
      </c>
    </row>
    <row r="61" spans="6:74" x14ac:dyDescent="0.35">
      <c r="F61" s="55">
        <v>3</v>
      </c>
      <c r="G61" s="406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406"/>
      <c r="BR61" s="406"/>
      <c r="BS61" s="406"/>
      <c r="BT61" s="406"/>
      <c r="BU61" s="406"/>
      <c r="BV61" s="55">
        <v>3</v>
      </c>
    </row>
    <row r="62" spans="6:74" x14ac:dyDescent="0.35">
      <c r="F62" s="55">
        <v>2</v>
      </c>
      <c r="G62" s="406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406"/>
      <c r="BR62" s="406"/>
      <c r="BS62" s="406"/>
      <c r="BT62" s="406"/>
      <c r="BU62" s="406"/>
      <c r="BV62" s="55">
        <v>2</v>
      </c>
    </row>
    <row r="63" spans="6:74" x14ac:dyDescent="0.35">
      <c r="F63" s="55">
        <v>1</v>
      </c>
      <c r="G63" s="406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6"/>
      <c r="BH63" s="406"/>
      <c r="BI63" s="406"/>
      <c r="BJ63" s="406"/>
      <c r="BK63" s="406"/>
      <c r="BL63" s="406"/>
      <c r="BM63" s="406"/>
      <c r="BN63" s="406"/>
      <c r="BO63" s="406"/>
      <c r="BP63" s="406"/>
      <c r="BQ63" s="406"/>
      <c r="BR63" s="406"/>
      <c r="BS63" s="406"/>
      <c r="BT63" s="406"/>
      <c r="BU63" s="406"/>
      <c r="BV63" s="55">
        <v>1</v>
      </c>
    </row>
    <row r="64" spans="6:74" x14ac:dyDescent="0.35">
      <c r="G64" s="404">
        <v>1</v>
      </c>
      <c r="H64" s="404">
        <v>2</v>
      </c>
      <c r="I64" s="404">
        <v>3</v>
      </c>
      <c r="J64" s="404">
        <v>4</v>
      </c>
      <c r="K64" s="404">
        <v>5</v>
      </c>
      <c r="L64" s="404">
        <v>6</v>
      </c>
      <c r="M64" s="404">
        <v>7</v>
      </c>
      <c r="N64" s="404">
        <v>8</v>
      </c>
      <c r="O64" s="404">
        <v>9</v>
      </c>
      <c r="P64" s="404">
        <v>10</v>
      </c>
      <c r="Q64" s="404">
        <v>11</v>
      </c>
      <c r="R64" s="404">
        <v>12</v>
      </c>
      <c r="S64" s="404">
        <v>13</v>
      </c>
      <c r="T64">
        <v>14</v>
      </c>
      <c r="U64">
        <v>15</v>
      </c>
      <c r="V64">
        <v>16</v>
      </c>
      <c r="W64">
        <v>17</v>
      </c>
      <c r="X64">
        <v>18</v>
      </c>
      <c r="Y64">
        <v>19</v>
      </c>
      <c r="Z64">
        <v>20</v>
      </c>
      <c r="AA64">
        <v>21</v>
      </c>
      <c r="AB64">
        <v>22</v>
      </c>
      <c r="AC64">
        <v>23</v>
      </c>
      <c r="AD64">
        <v>24</v>
      </c>
      <c r="AE64">
        <v>25</v>
      </c>
      <c r="AF64">
        <v>26</v>
      </c>
      <c r="AG64">
        <v>27</v>
      </c>
      <c r="AH64">
        <v>28</v>
      </c>
      <c r="AI64">
        <v>29</v>
      </c>
      <c r="AJ64">
        <v>30</v>
      </c>
      <c r="AK64">
        <v>31</v>
      </c>
      <c r="AL64">
        <v>32</v>
      </c>
      <c r="AM64">
        <v>33</v>
      </c>
      <c r="AO64">
        <v>1</v>
      </c>
      <c r="AP64">
        <v>2</v>
      </c>
      <c r="AQ64">
        <v>3</v>
      </c>
      <c r="AR64">
        <v>4</v>
      </c>
      <c r="AS64">
        <v>5</v>
      </c>
      <c r="AT64">
        <v>6</v>
      </c>
      <c r="AU64">
        <v>7</v>
      </c>
      <c r="AV64">
        <v>8</v>
      </c>
      <c r="AW64">
        <v>9</v>
      </c>
      <c r="AX64">
        <v>10</v>
      </c>
      <c r="AY64">
        <v>11</v>
      </c>
      <c r="AZ64">
        <v>12</v>
      </c>
      <c r="BA64">
        <v>13</v>
      </c>
      <c r="BB64">
        <v>14</v>
      </c>
      <c r="BC64">
        <v>15</v>
      </c>
      <c r="BD64">
        <v>16</v>
      </c>
      <c r="BE64">
        <v>17</v>
      </c>
      <c r="BF64">
        <v>18</v>
      </c>
      <c r="BG64">
        <v>19</v>
      </c>
      <c r="BH64">
        <v>20</v>
      </c>
      <c r="BI64">
        <v>21</v>
      </c>
      <c r="BJ64">
        <v>22</v>
      </c>
      <c r="BK64">
        <v>23</v>
      </c>
      <c r="BL64">
        <v>24</v>
      </c>
      <c r="BM64">
        <v>25</v>
      </c>
      <c r="BN64">
        <v>26</v>
      </c>
      <c r="BO64">
        <v>27</v>
      </c>
      <c r="BP64">
        <v>28</v>
      </c>
      <c r="BQ64">
        <v>29</v>
      </c>
      <c r="BR64">
        <v>30</v>
      </c>
      <c r="BS64">
        <v>31</v>
      </c>
      <c r="BT64">
        <v>32</v>
      </c>
      <c r="BU64">
        <v>33</v>
      </c>
    </row>
    <row r="65" spans="7:41" x14ac:dyDescent="0.35">
      <c r="G65" s="51" t="s">
        <v>334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AO65" s="51" t="s">
        <v>334</v>
      </c>
    </row>
    <row r="66" spans="7:41" x14ac:dyDescent="0.35">
      <c r="G66" s="51" t="s">
        <v>355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AO66" s="51" t="s">
        <v>14</v>
      </c>
    </row>
  </sheetData>
  <mergeCells count="7">
    <mergeCell ref="E19:E25"/>
    <mergeCell ref="BW19:BW25"/>
    <mergeCell ref="A4:BW4"/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94"/>
  <sheetViews>
    <sheetView topLeftCell="A3" zoomScale="70" zoomScaleNormal="70" workbookViewId="0">
      <selection activeCell="A4" sqref="A4:BW4"/>
    </sheetView>
  </sheetViews>
  <sheetFormatPr baseColWidth="10" defaultRowHeight="14.5" x14ac:dyDescent="0.35"/>
  <cols>
    <col min="1" max="1" width="19.7265625" customWidth="1"/>
    <col min="3" max="4" width="10.54296875" customWidth="1"/>
    <col min="5" max="5" width="5.81640625" customWidth="1"/>
    <col min="6" max="6" width="5.1796875" customWidth="1"/>
    <col min="7" max="39" width="2.6328125" customWidth="1"/>
    <col min="40" max="40" width="3.26953125" customWidth="1"/>
    <col min="41" max="73" width="2.6328125" customWidth="1"/>
    <col min="74" max="74" width="5.453125" style="23" customWidth="1"/>
    <col min="75" max="82" width="3.7265625" style="23" customWidth="1"/>
  </cols>
  <sheetData>
    <row r="1" spans="1:81" hidden="1" x14ac:dyDescent="0.35">
      <c r="A1" s="22" t="str">
        <f>B7</f>
        <v>meses</v>
      </c>
      <c r="B1" s="22" t="s">
        <v>4</v>
      </c>
      <c r="C1" s="22" t="s">
        <v>5</v>
      </c>
      <c r="D1" s="22" t="s">
        <v>6</v>
      </c>
      <c r="E1" s="22"/>
      <c r="F1" s="22"/>
      <c r="BV1"/>
      <c r="BW1"/>
      <c r="BX1"/>
      <c r="BY1"/>
      <c r="BZ1"/>
      <c r="CA1"/>
      <c r="CB1"/>
      <c r="CC1"/>
    </row>
    <row r="2" spans="1:81" hidden="1" x14ac:dyDescent="0.35">
      <c r="A2" s="22" t="s">
        <v>7</v>
      </c>
      <c r="B2" s="22" t="s">
        <v>8</v>
      </c>
      <c r="C2" s="22" t="s">
        <v>9</v>
      </c>
      <c r="D2" s="22" t="s">
        <v>10</v>
      </c>
      <c r="E2" s="22" t="str">
        <f>CONCATENATE(B2," ",B5," ",C2," ",B11," ",B7)</f>
        <v>puede representarse llegando los 73 pacientes, a los 33 meses</v>
      </c>
      <c r="F2" s="2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BV2"/>
      <c r="BW2"/>
      <c r="BX2"/>
      <c r="BY2"/>
      <c r="BZ2"/>
      <c r="CA2"/>
      <c r="CB2"/>
      <c r="CC2"/>
    </row>
    <row r="3" spans="1:81" ht="8.25" customHeight="1" thickBot="1" x14ac:dyDescent="0.4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BV3"/>
      <c r="BW3"/>
      <c r="BX3"/>
      <c r="BY3"/>
      <c r="BZ3"/>
      <c r="CA3"/>
      <c r="CB3"/>
      <c r="CC3"/>
    </row>
    <row r="4" spans="1:81" ht="53" customHeight="1" thickBot="1" x14ac:dyDescent="0.4">
      <c r="A4" s="567" t="s">
        <v>361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  <c r="BO4" s="568"/>
      <c r="BP4" s="568"/>
      <c r="BQ4" s="568"/>
      <c r="BR4" s="568"/>
      <c r="BS4" s="568"/>
      <c r="BT4" s="568"/>
      <c r="BU4" s="568"/>
      <c r="BV4" s="568"/>
      <c r="BW4" s="569"/>
      <c r="BX4"/>
      <c r="BY4"/>
      <c r="BZ4"/>
      <c r="CA4"/>
      <c r="CB4"/>
      <c r="CC4"/>
    </row>
    <row r="5" spans="1:81" ht="34.5" customHeight="1" x14ac:dyDescent="0.35">
      <c r="A5" s="396" t="s">
        <v>330</v>
      </c>
      <c r="B5" s="27">
        <f>C5+D5+E5</f>
        <v>73</v>
      </c>
      <c r="C5" s="450">
        <v>2</v>
      </c>
      <c r="D5" s="448">
        <v>1</v>
      </c>
      <c r="E5" s="449">
        <v>70</v>
      </c>
      <c r="G5" s="25"/>
      <c r="H5" s="25"/>
      <c r="I5" s="25"/>
      <c r="J5" s="390" t="s">
        <v>174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BV5"/>
      <c r="BW5"/>
      <c r="BX5"/>
      <c r="BY5"/>
      <c r="BZ5"/>
    </row>
    <row r="6" spans="1:81" ht="15" customHeight="1" x14ac:dyDescent="0.35">
      <c r="A6" s="25"/>
      <c r="C6" s="28"/>
      <c r="D6" s="29"/>
      <c r="E6" s="30"/>
      <c r="F6" s="25"/>
      <c r="G6" s="25"/>
      <c r="H6" s="25"/>
      <c r="I6" s="25"/>
      <c r="J6" s="389" t="s">
        <v>175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BV6"/>
      <c r="BW6"/>
      <c r="BX6"/>
      <c r="BY6"/>
      <c r="BZ6"/>
    </row>
    <row r="7" spans="1:81" ht="39" x14ac:dyDescent="0.35">
      <c r="A7" s="397" t="s">
        <v>331</v>
      </c>
      <c r="B7" s="31" t="s">
        <v>147</v>
      </c>
      <c r="C7" s="32" t="str">
        <f>CONCATENATE(A1," ",B1," ",B5," ",C1)</f>
        <v>meses de los 73 del grupo Interv</v>
      </c>
      <c r="D7" s="32" t="str">
        <f>CONCATENATE(A1," ",B1," ",B5," ",D1)</f>
        <v>meses de los 73 del grupo Contr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BV7"/>
      <c r="BW7"/>
      <c r="BX7"/>
      <c r="BY7"/>
      <c r="BZ7"/>
    </row>
    <row r="8" spans="1:81" x14ac:dyDescent="0.35">
      <c r="A8" s="33" t="s">
        <v>1</v>
      </c>
      <c r="B8" s="34">
        <v>0.67188169738534076</v>
      </c>
      <c r="C8" s="427">
        <f>B8*B5</f>
        <v>49.047363909129878</v>
      </c>
      <c r="D8" s="570">
        <f>(B8+B9)*B5</f>
        <v>65.714313907442587</v>
      </c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25"/>
      <c r="BV8"/>
      <c r="BW8"/>
      <c r="BX8"/>
      <c r="BY8"/>
      <c r="BZ8"/>
    </row>
    <row r="9" spans="1:81" ht="26.5" x14ac:dyDescent="0.35">
      <c r="A9" s="37" t="s">
        <v>3</v>
      </c>
      <c r="B9" s="38">
        <v>0.2283143835385304</v>
      </c>
      <c r="C9" s="571">
        <f>(B10+B9)*B5</f>
        <v>2359.9526360908703</v>
      </c>
      <c r="D9" s="570"/>
      <c r="E9" s="29"/>
      <c r="F9" s="39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25"/>
      <c r="BV9"/>
      <c r="BW9"/>
      <c r="BX9"/>
      <c r="BY9"/>
      <c r="BZ9"/>
    </row>
    <row r="10" spans="1:81" ht="26.5" x14ac:dyDescent="0.35">
      <c r="A10" s="40" t="s">
        <v>2</v>
      </c>
      <c r="B10" s="41">
        <v>32.09980391907613</v>
      </c>
      <c r="C10" s="571"/>
      <c r="D10" s="42">
        <f>B10*B5</f>
        <v>2343.2856860925576</v>
      </c>
      <c r="E10" s="28"/>
      <c r="F10" s="39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25"/>
      <c r="BV10"/>
      <c r="BW10"/>
      <c r="BX10"/>
      <c r="BY10"/>
      <c r="BZ10"/>
    </row>
    <row r="11" spans="1:81" x14ac:dyDescent="0.35">
      <c r="A11" s="2"/>
      <c r="B11" s="44">
        <v>33</v>
      </c>
      <c r="C11" s="45">
        <f>C8+C9</f>
        <v>2409</v>
      </c>
      <c r="D11" s="45">
        <f>D8+D10</f>
        <v>2409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81" ht="9" customHeight="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81" x14ac:dyDescent="0.35">
      <c r="A13" s="25"/>
      <c r="B13" s="25"/>
      <c r="C13" s="21">
        <f>(E5+D5)*B11</f>
        <v>2343</v>
      </c>
      <c r="D13" s="21">
        <f>E5*B11</f>
        <v>2310</v>
      </c>
      <c r="E13" s="25"/>
      <c r="F13" s="47" t="s">
        <v>12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81" ht="36" customHeight="1" x14ac:dyDescent="0.35">
      <c r="A14" s="572" t="s">
        <v>13</v>
      </c>
      <c r="B14" s="572"/>
      <c r="C14" s="48">
        <f>C9-C13</f>
        <v>16.952636090870328</v>
      </c>
      <c r="D14" s="48">
        <f>D10-D13</f>
        <v>33.285686092557626</v>
      </c>
      <c r="F14" s="573" t="str">
        <f>IF((AND(((B9+B10)/B11)&gt;((D5+E5)/B5),(B10/B11)&gt;(E5/B5))),E2,#REF!)</f>
        <v>puede representarse llegando los 73 pacientes, a los 33 meses</v>
      </c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81" ht="18.75" customHeight="1" thickBot="1" x14ac:dyDescent="0.4">
      <c r="A15" s="49"/>
      <c r="B15" s="49"/>
      <c r="C15" s="49"/>
      <c r="D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25"/>
      <c r="BZ15" s="25"/>
    </row>
    <row r="16" spans="1:81" ht="17.25" customHeight="1" thickBot="1" x14ac:dyDescent="0.4">
      <c r="A16" s="408" t="s">
        <v>186</v>
      </c>
      <c r="B16" s="363"/>
      <c r="C16" s="364"/>
      <c r="G16" s="51" t="s">
        <v>355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0"/>
      <c r="AO16" s="51" t="s">
        <v>14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0"/>
      <c r="BW16" s="50"/>
      <c r="BX16" s="50"/>
      <c r="BY16" s="50"/>
      <c r="BZ16" s="50"/>
    </row>
    <row r="17" spans="1:82" x14ac:dyDescent="0.35">
      <c r="A17" s="362" t="s">
        <v>356</v>
      </c>
      <c r="G17" s="51" t="s">
        <v>334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O17" s="51" t="s">
        <v>334</v>
      </c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</row>
    <row r="18" spans="1:82" x14ac:dyDescent="0.35">
      <c r="A18" s="362" t="s">
        <v>155</v>
      </c>
      <c r="F18" s="23"/>
      <c r="G18" s="404">
        <v>1</v>
      </c>
      <c r="H18" s="404">
        <v>2</v>
      </c>
      <c r="I18" s="404">
        <v>3</v>
      </c>
      <c r="J18" s="404">
        <v>4</v>
      </c>
      <c r="K18" s="404">
        <v>5</v>
      </c>
      <c r="L18" s="404">
        <v>6</v>
      </c>
      <c r="M18" s="404">
        <v>7</v>
      </c>
      <c r="N18" s="404">
        <v>8</v>
      </c>
      <c r="O18" s="404">
        <v>9</v>
      </c>
      <c r="P18" s="404">
        <v>10</v>
      </c>
      <c r="Q18" s="404">
        <v>11</v>
      </c>
      <c r="R18" s="404">
        <v>12</v>
      </c>
      <c r="S18" s="404">
        <v>13</v>
      </c>
      <c r="T18" s="404">
        <v>14</v>
      </c>
      <c r="U18" s="404">
        <v>15</v>
      </c>
      <c r="V18" s="404">
        <v>16</v>
      </c>
      <c r="W18" s="404">
        <v>17</v>
      </c>
      <c r="X18" s="404">
        <v>18</v>
      </c>
      <c r="Y18" s="404">
        <v>19</v>
      </c>
      <c r="Z18" s="404">
        <v>20</v>
      </c>
      <c r="AA18" s="404">
        <v>21</v>
      </c>
      <c r="AB18" s="404">
        <v>22</v>
      </c>
      <c r="AC18" s="404">
        <v>23</v>
      </c>
      <c r="AD18" s="404">
        <v>24</v>
      </c>
      <c r="AE18" s="404">
        <v>25</v>
      </c>
      <c r="AF18" s="404">
        <v>26</v>
      </c>
      <c r="AG18" s="404">
        <v>27</v>
      </c>
      <c r="AH18" s="404">
        <v>28</v>
      </c>
      <c r="AI18" s="404">
        <v>29</v>
      </c>
      <c r="AJ18" s="404">
        <v>30</v>
      </c>
      <c r="AK18" s="404">
        <v>31</v>
      </c>
      <c r="AL18" s="404">
        <v>32</v>
      </c>
      <c r="AM18" s="404">
        <v>33</v>
      </c>
      <c r="AN18" s="402"/>
      <c r="AO18" s="404">
        <v>1</v>
      </c>
      <c r="AP18" s="404">
        <v>2</v>
      </c>
      <c r="AQ18" s="404">
        <v>3</v>
      </c>
      <c r="AR18" s="404">
        <v>4</v>
      </c>
      <c r="AS18" s="404">
        <v>5</v>
      </c>
      <c r="AT18" s="404">
        <v>6</v>
      </c>
      <c r="AU18" s="404">
        <v>7</v>
      </c>
      <c r="AV18" s="404">
        <v>8</v>
      </c>
      <c r="AW18" s="404">
        <v>9</v>
      </c>
      <c r="AX18" s="404">
        <v>10</v>
      </c>
      <c r="AY18" s="404">
        <v>11</v>
      </c>
      <c r="AZ18" s="404">
        <v>12</v>
      </c>
      <c r="BA18" s="404">
        <v>13</v>
      </c>
      <c r="BB18" s="404">
        <v>14</v>
      </c>
      <c r="BC18" s="404">
        <v>15</v>
      </c>
      <c r="BD18" s="404">
        <v>16</v>
      </c>
      <c r="BE18" s="404">
        <v>17</v>
      </c>
      <c r="BF18" s="404">
        <v>18</v>
      </c>
      <c r="BG18" s="404">
        <v>19</v>
      </c>
      <c r="BH18" s="404">
        <v>20</v>
      </c>
      <c r="BI18" s="404">
        <v>21</v>
      </c>
      <c r="BJ18" s="404">
        <v>22</v>
      </c>
      <c r="BK18" s="404">
        <v>23</v>
      </c>
      <c r="BL18" s="404">
        <v>24</v>
      </c>
      <c r="BM18" s="404">
        <v>25</v>
      </c>
      <c r="BN18" s="404">
        <v>26</v>
      </c>
      <c r="BO18" s="404">
        <v>27</v>
      </c>
      <c r="BP18" s="404">
        <v>28</v>
      </c>
      <c r="BQ18" s="404">
        <v>29</v>
      </c>
      <c r="BR18" s="404">
        <v>30</v>
      </c>
      <c r="BS18" s="404">
        <v>31</v>
      </c>
      <c r="BT18" s="404">
        <v>32</v>
      </c>
      <c r="BU18" s="404">
        <v>33</v>
      </c>
    </row>
    <row r="19" spans="1:82" x14ac:dyDescent="0.35">
      <c r="E19" s="584" t="s">
        <v>358</v>
      </c>
      <c r="F19" s="57">
        <v>73</v>
      </c>
      <c r="G19" s="54"/>
      <c r="H19" s="54"/>
      <c r="I19" s="54"/>
      <c r="J19" s="54"/>
      <c r="K19" s="54"/>
      <c r="L19" s="54"/>
      <c r="M19" s="54"/>
      <c r="N19" s="54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23"/>
      <c r="AO19" s="54"/>
      <c r="AP19" s="54"/>
      <c r="AQ19" s="54"/>
      <c r="AR19" s="54"/>
      <c r="AS19" s="54"/>
      <c r="AT19" s="54"/>
      <c r="AU19" s="54"/>
      <c r="AV19" s="54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57">
        <v>73</v>
      </c>
      <c r="BW19" s="584" t="s">
        <v>358</v>
      </c>
      <c r="BX19" s="53"/>
      <c r="BY19" s="53"/>
      <c r="BZ19" s="53"/>
      <c r="CA19" s="53"/>
      <c r="CB19" s="53"/>
      <c r="CC19" s="53"/>
      <c r="CD19" s="53"/>
    </row>
    <row r="20" spans="1:82" x14ac:dyDescent="0.35">
      <c r="E20" s="584"/>
      <c r="F20" s="57">
        <v>72</v>
      </c>
      <c r="G20" s="54"/>
      <c r="H20" s="54"/>
      <c r="I20" s="54"/>
      <c r="J20" s="54"/>
      <c r="K20" s="54"/>
      <c r="L20" s="54"/>
      <c r="M20" s="54"/>
      <c r="N20" s="54"/>
      <c r="O20" s="54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O20" s="54"/>
      <c r="AP20" s="54"/>
      <c r="AQ20" s="54"/>
      <c r="AR20" s="54"/>
      <c r="AS20" s="54"/>
      <c r="AT20" s="54"/>
      <c r="AU20" s="54"/>
      <c r="AV20" s="54"/>
      <c r="AW20" s="54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57">
        <v>72</v>
      </c>
      <c r="BW20" s="584"/>
      <c r="BX20" s="53"/>
      <c r="BY20" s="53"/>
      <c r="BZ20" s="53"/>
      <c r="CA20" s="53"/>
      <c r="CB20" s="53"/>
      <c r="CC20" s="53"/>
      <c r="CD20" s="53"/>
    </row>
    <row r="21" spans="1:82" ht="16" thickBot="1" x14ac:dyDescent="0.4">
      <c r="E21" s="584"/>
      <c r="F21" s="365">
        <v>71</v>
      </c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23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28">
        <v>71</v>
      </c>
      <c r="BW21" s="584"/>
      <c r="BX21" s="53"/>
      <c r="BY21" s="53"/>
      <c r="BZ21" s="53"/>
      <c r="CA21" s="53"/>
      <c r="CB21" s="53"/>
      <c r="CC21" s="53"/>
      <c r="CD21" s="53"/>
    </row>
    <row r="22" spans="1:82" x14ac:dyDescent="0.35">
      <c r="A22" s="331" t="s">
        <v>130</v>
      </c>
      <c r="B22" s="332"/>
      <c r="C22" s="332"/>
      <c r="D22" s="333"/>
      <c r="E22" s="584"/>
      <c r="F22" s="55">
        <v>70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23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5">
        <v>70</v>
      </c>
      <c r="BW22" s="584"/>
      <c r="BX22" s="53"/>
      <c r="BY22" s="53"/>
      <c r="BZ22" s="53"/>
      <c r="CA22" s="53"/>
      <c r="CB22" s="53"/>
      <c r="CC22" s="53"/>
      <c r="CD22" s="53"/>
    </row>
    <row r="23" spans="1:82" x14ac:dyDescent="0.35">
      <c r="A23" s="334" t="s">
        <v>125</v>
      </c>
      <c r="B23" s="335" t="s">
        <v>126</v>
      </c>
      <c r="C23" s="335" t="s">
        <v>114</v>
      </c>
      <c r="D23" s="336" t="s">
        <v>11</v>
      </c>
      <c r="E23" s="584"/>
      <c r="F23" s="55">
        <v>69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23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>
        <v>69</v>
      </c>
      <c r="BW23" s="584"/>
      <c r="BX23" s="53"/>
      <c r="BY23" s="53"/>
      <c r="BZ23" s="53"/>
      <c r="CA23" s="53"/>
      <c r="CB23" s="53"/>
      <c r="CC23" s="53"/>
      <c r="CD23" s="53"/>
    </row>
    <row r="24" spans="1:82" x14ac:dyDescent="0.35">
      <c r="A24" s="337">
        <v>2.6882867505867294E-2</v>
      </c>
      <c r="B24" s="338">
        <v>4.0720102871838831E-2</v>
      </c>
      <c r="C24" s="339">
        <f>B24-A24</f>
        <v>1.3837235365971538E-2</v>
      </c>
      <c r="D24" s="340">
        <f>1/C24</f>
        <v>72.268771438201824</v>
      </c>
      <c r="E24" s="584"/>
      <c r="F24" s="55">
        <v>68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23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5">
        <v>68</v>
      </c>
      <c r="BW24" s="584"/>
      <c r="BX24" s="53"/>
      <c r="BY24" s="53"/>
      <c r="BZ24" s="53"/>
      <c r="CA24" s="53"/>
      <c r="CB24" s="53"/>
      <c r="CC24" s="53"/>
      <c r="CD24" s="53"/>
    </row>
    <row r="25" spans="1:82" ht="15" thickBot="1" x14ac:dyDescent="0.4">
      <c r="A25" s="487" t="s">
        <v>353</v>
      </c>
      <c r="B25" s="378">
        <f>A24*D24</f>
        <v>1.9427918073849861</v>
      </c>
      <c r="C25" s="342">
        <f>C24*D24</f>
        <v>1</v>
      </c>
      <c r="D25" s="377">
        <f>(1-B24)*D24</f>
        <v>69.325979630816846</v>
      </c>
      <c r="E25" s="584"/>
      <c r="F25" s="55">
        <v>67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23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5">
        <v>67</v>
      </c>
      <c r="BW25" s="584"/>
      <c r="BX25" s="53"/>
      <c r="BY25" s="53"/>
      <c r="BZ25" s="53"/>
      <c r="CA25" s="53"/>
      <c r="CB25" s="53"/>
      <c r="CC25" s="53"/>
      <c r="CD25" s="53"/>
    </row>
    <row r="26" spans="1:82" x14ac:dyDescent="0.35">
      <c r="F26" s="55">
        <v>66</v>
      </c>
      <c r="G26" s="406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6"/>
      <c r="AO26" s="406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5">
        <v>66</v>
      </c>
      <c r="BW26" s="53"/>
      <c r="BX26" s="53"/>
      <c r="BY26" s="53"/>
      <c r="BZ26" s="53"/>
      <c r="CA26" s="53"/>
      <c r="CB26" s="53"/>
      <c r="CC26" s="53"/>
      <c r="CD26" s="53"/>
    </row>
    <row r="27" spans="1:82" x14ac:dyDescent="0.35">
      <c r="F27" s="55">
        <v>65</v>
      </c>
      <c r="G27" s="406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6"/>
      <c r="AO27" s="406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5">
        <v>65</v>
      </c>
      <c r="BW27" s="53"/>
      <c r="BX27" s="53"/>
      <c r="BY27" s="53"/>
      <c r="BZ27" s="53"/>
      <c r="CA27" s="53"/>
      <c r="CB27" s="53"/>
      <c r="CC27" s="53"/>
      <c r="CD27" s="53"/>
    </row>
    <row r="28" spans="1:82" x14ac:dyDescent="0.35">
      <c r="F28" s="55">
        <v>64</v>
      </c>
      <c r="G28" s="406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O28" s="406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5">
        <v>64</v>
      </c>
    </row>
    <row r="29" spans="1:82" x14ac:dyDescent="0.35">
      <c r="F29" s="55">
        <v>63</v>
      </c>
      <c r="G29" s="406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O29" s="406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5">
        <v>63</v>
      </c>
    </row>
    <row r="30" spans="1:82" x14ac:dyDescent="0.35">
      <c r="F30" s="55">
        <v>62</v>
      </c>
      <c r="G30" s="406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O30" s="406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5">
        <v>62</v>
      </c>
    </row>
    <row r="31" spans="1:82" x14ac:dyDescent="0.35">
      <c r="F31" s="55">
        <v>61</v>
      </c>
      <c r="G31" s="40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O31" s="406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5">
        <v>61</v>
      </c>
    </row>
    <row r="32" spans="1:82" x14ac:dyDescent="0.35">
      <c r="F32" s="55">
        <v>60</v>
      </c>
      <c r="G32" s="40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O32" s="406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5">
        <v>60</v>
      </c>
    </row>
    <row r="33" spans="6:74" x14ac:dyDescent="0.35">
      <c r="F33" s="55">
        <v>59</v>
      </c>
      <c r="G33" s="406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O33" s="406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5">
        <v>59</v>
      </c>
    </row>
    <row r="34" spans="6:74" x14ac:dyDescent="0.35">
      <c r="F34" s="55">
        <v>58</v>
      </c>
      <c r="G34" s="406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O34" s="406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5">
        <v>58</v>
      </c>
    </row>
    <row r="35" spans="6:74" x14ac:dyDescent="0.35">
      <c r="F35" s="55">
        <v>57</v>
      </c>
      <c r="G35" s="406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O35" s="406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5">
        <v>57</v>
      </c>
    </row>
    <row r="36" spans="6:74" x14ac:dyDescent="0.35">
      <c r="F36" s="55">
        <v>56</v>
      </c>
      <c r="G36" s="406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O36" s="406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5">
        <v>56</v>
      </c>
    </row>
    <row r="37" spans="6:74" x14ac:dyDescent="0.35">
      <c r="F37" s="55">
        <v>55</v>
      </c>
      <c r="G37" s="406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O37" s="406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5">
        <v>55</v>
      </c>
    </row>
    <row r="38" spans="6:74" x14ac:dyDescent="0.35">
      <c r="F38" s="55">
        <v>54</v>
      </c>
      <c r="G38" s="406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55">
        <v>54</v>
      </c>
    </row>
    <row r="39" spans="6:74" x14ac:dyDescent="0.35">
      <c r="F39" s="55">
        <v>53</v>
      </c>
      <c r="G39" s="406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402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55">
        <v>53</v>
      </c>
    </row>
    <row r="40" spans="6:74" x14ac:dyDescent="0.35">
      <c r="F40" s="55">
        <v>52</v>
      </c>
      <c r="G40" s="406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402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55">
        <v>52</v>
      </c>
    </row>
    <row r="41" spans="6:74" x14ac:dyDescent="0.35">
      <c r="F41" s="55">
        <v>51</v>
      </c>
      <c r="G41" s="406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402"/>
      <c r="AO41" s="406"/>
      <c r="AP41" s="406"/>
      <c r="AQ41" s="406"/>
      <c r="AR41" s="406"/>
      <c r="AS41" s="406"/>
      <c r="AT41" s="406"/>
      <c r="AU41" s="406"/>
      <c r="AV41" s="406"/>
      <c r="AW41" s="406"/>
      <c r="AX41" s="406"/>
      <c r="AY41" s="406"/>
      <c r="AZ41" s="406"/>
      <c r="BA41" s="406"/>
      <c r="BB41" s="406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6"/>
      <c r="BS41" s="406"/>
      <c r="BT41" s="406"/>
      <c r="BU41" s="406"/>
      <c r="BV41" s="55">
        <v>51</v>
      </c>
    </row>
    <row r="42" spans="6:74" x14ac:dyDescent="0.35">
      <c r="F42" s="55">
        <v>50</v>
      </c>
      <c r="G42" s="40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402"/>
      <c r="AO42" s="406"/>
      <c r="AP42" s="406"/>
      <c r="AQ42" s="406"/>
      <c r="AR42" s="406"/>
      <c r="AS42" s="406"/>
      <c r="AT42" s="406"/>
      <c r="AU42" s="406"/>
      <c r="AV42" s="406"/>
      <c r="AW42" s="406"/>
      <c r="AX42" s="406"/>
      <c r="AY42" s="406"/>
      <c r="AZ42" s="406"/>
      <c r="BA42" s="406"/>
      <c r="BB42" s="406"/>
      <c r="BC42" s="406"/>
      <c r="BD42" s="406"/>
      <c r="BE42" s="406"/>
      <c r="BF42" s="406"/>
      <c r="BG42" s="406"/>
      <c r="BH42" s="406"/>
      <c r="BI42" s="406"/>
      <c r="BJ42" s="406"/>
      <c r="BK42" s="406"/>
      <c r="BL42" s="406"/>
      <c r="BM42" s="406"/>
      <c r="BN42" s="406"/>
      <c r="BO42" s="406"/>
      <c r="BP42" s="406"/>
      <c r="BQ42" s="406"/>
      <c r="BR42" s="406"/>
      <c r="BS42" s="406"/>
      <c r="BT42" s="406"/>
      <c r="BU42" s="406"/>
      <c r="BV42" s="55">
        <v>50</v>
      </c>
    </row>
    <row r="43" spans="6:74" x14ac:dyDescent="0.35">
      <c r="F43" s="55">
        <v>49</v>
      </c>
      <c r="G43" s="406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402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06"/>
      <c r="BJ43" s="406"/>
      <c r="BK43" s="406"/>
      <c r="BL43" s="406"/>
      <c r="BM43" s="406"/>
      <c r="BN43" s="406"/>
      <c r="BO43" s="406"/>
      <c r="BP43" s="406"/>
      <c r="BQ43" s="406"/>
      <c r="BR43" s="406"/>
      <c r="BS43" s="406"/>
      <c r="BT43" s="406"/>
      <c r="BU43" s="406"/>
      <c r="BV43" s="55">
        <v>49</v>
      </c>
    </row>
    <row r="44" spans="6:74" x14ac:dyDescent="0.35">
      <c r="F44" s="55">
        <v>48</v>
      </c>
      <c r="G44" s="406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402"/>
      <c r="AO44" s="406"/>
      <c r="AP44" s="406"/>
      <c r="AQ44" s="406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6"/>
      <c r="BF44" s="406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06"/>
      <c r="BU44" s="406"/>
      <c r="BV44" s="55">
        <v>48</v>
      </c>
    </row>
    <row r="45" spans="6:74" x14ac:dyDescent="0.35">
      <c r="F45" s="55">
        <v>47</v>
      </c>
      <c r="G45" s="406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402"/>
      <c r="AO45" s="406"/>
      <c r="AP45" s="406"/>
      <c r="AQ45" s="406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6"/>
      <c r="BF45" s="406"/>
      <c r="BG45" s="406"/>
      <c r="BH45" s="406"/>
      <c r="BI45" s="406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6"/>
      <c r="BU45" s="406"/>
      <c r="BV45" s="55">
        <v>47</v>
      </c>
    </row>
    <row r="46" spans="6:74" x14ac:dyDescent="0.35">
      <c r="F46" s="55">
        <v>46</v>
      </c>
      <c r="G46" s="406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O46" s="406"/>
      <c r="AP46" s="406"/>
      <c r="AQ46" s="406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406"/>
      <c r="BC46" s="406"/>
      <c r="BD46" s="406"/>
      <c r="BE46" s="406"/>
      <c r="BF46" s="406"/>
      <c r="BG46" s="406"/>
      <c r="BH46" s="406"/>
      <c r="BI46" s="406"/>
      <c r="BJ46" s="406"/>
      <c r="BK46" s="406"/>
      <c r="BL46" s="406"/>
      <c r="BM46" s="406"/>
      <c r="BN46" s="406"/>
      <c r="BO46" s="406"/>
      <c r="BP46" s="406"/>
      <c r="BQ46" s="406"/>
      <c r="BR46" s="406"/>
      <c r="BS46" s="406"/>
      <c r="BT46" s="406"/>
      <c r="BU46" s="406"/>
      <c r="BV46" s="55">
        <v>46</v>
      </c>
    </row>
    <row r="47" spans="6:74" x14ac:dyDescent="0.35">
      <c r="F47" s="55">
        <v>45</v>
      </c>
      <c r="G47" s="406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0"/>
      <c r="AO47" s="406"/>
      <c r="AP47" s="406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  <c r="BD47" s="406"/>
      <c r="BE47" s="406"/>
      <c r="BF47" s="406"/>
      <c r="BG47" s="406"/>
      <c r="BH47" s="406"/>
      <c r="BI47" s="406"/>
      <c r="BJ47" s="406"/>
      <c r="BK47" s="406"/>
      <c r="BL47" s="406"/>
      <c r="BM47" s="406"/>
      <c r="BN47" s="406"/>
      <c r="BO47" s="406"/>
      <c r="BP47" s="406"/>
      <c r="BQ47" s="406"/>
      <c r="BR47" s="406"/>
      <c r="BS47" s="406"/>
      <c r="BT47" s="406"/>
      <c r="BU47" s="406"/>
      <c r="BV47" s="55">
        <v>45</v>
      </c>
    </row>
    <row r="48" spans="6:74" x14ac:dyDescent="0.35">
      <c r="F48" s="55">
        <v>44</v>
      </c>
      <c r="G48" s="406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O48" s="406"/>
      <c r="AP48" s="406"/>
      <c r="AQ48" s="406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6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406"/>
      <c r="BQ48" s="406"/>
      <c r="BR48" s="406"/>
      <c r="BS48" s="406"/>
      <c r="BT48" s="406"/>
      <c r="BU48" s="406"/>
      <c r="BV48" s="55">
        <v>44</v>
      </c>
    </row>
    <row r="49" spans="6:74" x14ac:dyDescent="0.35">
      <c r="F49" s="55">
        <v>43</v>
      </c>
      <c r="G49" s="406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O49" s="406"/>
      <c r="AP49" s="406"/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406"/>
      <c r="BE49" s="406"/>
      <c r="BF49" s="406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  <c r="BS49" s="406"/>
      <c r="BT49" s="406"/>
      <c r="BU49" s="406"/>
      <c r="BV49" s="55">
        <v>43</v>
      </c>
    </row>
    <row r="50" spans="6:74" x14ac:dyDescent="0.35">
      <c r="F50" s="55">
        <v>42</v>
      </c>
      <c r="G50" s="406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O50" s="406"/>
      <c r="AP50" s="406"/>
      <c r="AQ50" s="406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6"/>
      <c r="BF50" s="406"/>
      <c r="BG50" s="406"/>
      <c r="BH50" s="406"/>
      <c r="BI50" s="406"/>
      <c r="BJ50" s="406"/>
      <c r="BK50" s="406"/>
      <c r="BL50" s="406"/>
      <c r="BM50" s="406"/>
      <c r="BN50" s="406"/>
      <c r="BO50" s="406"/>
      <c r="BP50" s="406"/>
      <c r="BQ50" s="406"/>
      <c r="BR50" s="406"/>
      <c r="BS50" s="406"/>
      <c r="BT50" s="406"/>
      <c r="BU50" s="406"/>
      <c r="BV50" s="55">
        <v>42</v>
      </c>
    </row>
    <row r="51" spans="6:74" x14ac:dyDescent="0.35">
      <c r="F51" s="55">
        <v>41</v>
      </c>
      <c r="G51" s="406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O51" s="406"/>
      <c r="AP51" s="406"/>
      <c r="AQ51" s="406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6"/>
      <c r="BF51" s="406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406"/>
      <c r="BU51" s="406"/>
      <c r="BV51" s="55">
        <v>41</v>
      </c>
    </row>
    <row r="52" spans="6:74" x14ac:dyDescent="0.35">
      <c r="F52" s="55">
        <v>40</v>
      </c>
      <c r="G52" s="406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  <c r="BF52" s="406"/>
      <c r="BG52" s="406"/>
      <c r="BH52" s="406"/>
      <c r="BI52" s="406"/>
      <c r="BJ52" s="406"/>
      <c r="BK52" s="406"/>
      <c r="BL52" s="406"/>
      <c r="BM52" s="406"/>
      <c r="BN52" s="406"/>
      <c r="BO52" s="406"/>
      <c r="BP52" s="406"/>
      <c r="BQ52" s="406"/>
      <c r="BR52" s="406"/>
      <c r="BS52" s="406"/>
      <c r="BT52" s="406"/>
      <c r="BU52" s="406"/>
      <c r="BV52" s="55">
        <v>40</v>
      </c>
    </row>
    <row r="53" spans="6:74" x14ac:dyDescent="0.35">
      <c r="F53" s="55">
        <v>39</v>
      </c>
      <c r="G53" s="406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  <c r="BF53" s="406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6"/>
      <c r="BU53" s="406"/>
      <c r="BV53" s="55">
        <v>39</v>
      </c>
    </row>
    <row r="54" spans="6:74" x14ac:dyDescent="0.35">
      <c r="F54" s="55">
        <v>38</v>
      </c>
      <c r="G54" s="406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6"/>
      <c r="BU54" s="406"/>
      <c r="BV54" s="55">
        <v>38</v>
      </c>
    </row>
    <row r="55" spans="6:74" x14ac:dyDescent="0.35">
      <c r="F55" s="55">
        <v>37</v>
      </c>
      <c r="G55" s="406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6"/>
      <c r="BF55" s="406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6"/>
      <c r="BU55" s="406"/>
      <c r="BV55" s="55">
        <v>37</v>
      </c>
    </row>
    <row r="56" spans="6:74" x14ac:dyDescent="0.35">
      <c r="F56" s="55">
        <v>36</v>
      </c>
      <c r="G56" s="406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O56" s="406"/>
      <c r="AP56" s="406"/>
      <c r="AQ56" s="406"/>
      <c r="AR56" s="406"/>
      <c r="AS56" s="406"/>
      <c r="AT56" s="406"/>
      <c r="AU56" s="406"/>
      <c r="AV56" s="406"/>
      <c r="AW56" s="406"/>
      <c r="AX56" s="406"/>
      <c r="AY56" s="406"/>
      <c r="AZ56" s="406"/>
      <c r="BA56" s="406"/>
      <c r="BB56" s="406"/>
      <c r="BC56" s="406"/>
      <c r="BD56" s="406"/>
      <c r="BE56" s="406"/>
      <c r="BF56" s="406"/>
      <c r="BG56" s="406"/>
      <c r="BH56" s="406"/>
      <c r="BI56" s="406"/>
      <c r="BJ56" s="406"/>
      <c r="BK56" s="406"/>
      <c r="BL56" s="406"/>
      <c r="BM56" s="406"/>
      <c r="BN56" s="406"/>
      <c r="BO56" s="406"/>
      <c r="BP56" s="406"/>
      <c r="BQ56" s="406"/>
      <c r="BR56" s="406"/>
      <c r="BS56" s="406"/>
      <c r="BT56" s="406"/>
      <c r="BU56" s="406"/>
      <c r="BV56" s="55">
        <v>36</v>
      </c>
    </row>
    <row r="57" spans="6:74" x14ac:dyDescent="0.35">
      <c r="F57" s="55">
        <v>35</v>
      </c>
      <c r="G57" s="406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6"/>
      <c r="BV57" s="55">
        <v>35</v>
      </c>
    </row>
    <row r="58" spans="6:74" x14ac:dyDescent="0.35">
      <c r="F58" s="55">
        <v>34</v>
      </c>
      <c r="G58" s="406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406"/>
      <c r="AZ58" s="406"/>
      <c r="BA58" s="406"/>
      <c r="BB58" s="406"/>
      <c r="BC58" s="406"/>
      <c r="BD58" s="406"/>
      <c r="BE58" s="406"/>
      <c r="BF58" s="406"/>
      <c r="BG58" s="406"/>
      <c r="BH58" s="406"/>
      <c r="BI58" s="406"/>
      <c r="BJ58" s="406"/>
      <c r="BK58" s="406"/>
      <c r="BL58" s="406"/>
      <c r="BM58" s="406"/>
      <c r="BN58" s="406"/>
      <c r="BO58" s="406"/>
      <c r="BP58" s="406"/>
      <c r="BQ58" s="406"/>
      <c r="BR58" s="406"/>
      <c r="BS58" s="406"/>
      <c r="BT58" s="406"/>
      <c r="BU58" s="406"/>
      <c r="BV58" s="55">
        <v>34</v>
      </c>
    </row>
    <row r="59" spans="6:74" x14ac:dyDescent="0.35">
      <c r="F59" s="55">
        <v>33</v>
      </c>
      <c r="G59" s="406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O59" s="406"/>
      <c r="AP59" s="406"/>
      <c r="AQ59" s="406"/>
      <c r="AR59" s="406"/>
      <c r="AS59" s="406"/>
      <c r="AT59" s="406"/>
      <c r="AU59" s="406"/>
      <c r="AV59" s="406"/>
      <c r="AW59" s="406"/>
      <c r="AX59" s="406"/>
      <c r="AY59" s="406"/>
      <c r="AZ59" s="406"/>
      <c r="BA59" s="406"/>
      <c r="BB59" s="406"/>
      <c r="BC59" s="406"/>
      <c r="BD59" s="406"/>
      <c r="BE59" s="406"/>
      <c r="BF59" s="406"/>
      <c r="BG59" s="406"/>
      <c r="BH59" s="406"/>
      <c r="BI59" s="406"/>
      <c r="BJ59" s="406"/>
      <c r="BK59" s="406"/>
      <c r="BL59" s="406"/>
      <c r="BM59" s="406"/>
      <c r="BN59" s="406"/>
      <c r="BO59" s="406"/>
      <c r="BP59" s="406"/>
      <c r="BQ59" s="406"/>
      <c r="BR59" s="406"/>
      <c r="BS59" s="406"/>
      <c r="BT59" s="406"/>
      <c r="BU59" s="406"/>
      <c r="BV59" s="55">
        <v>33</v>
      </c>
    </row>
    <row r="60" spans="6:74" x14ac:dyDescent="0.35">
      <c r="F60" s="55">
        <v>32</v>
      </c>
      <c r="G60" s="406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  <c r="BB60" s="406"/>
      <c r="BC60" s="406"/>
      <c r="BD60" s="406"/>
      <c r="BE60" s="406"/>
      <c r="BF60" s="406"/>
      <c r="BG60" s="406"/>
      <c r="BH60" s="406"/>
      <c r="BI60" s="406"/>
      <c r="BJ60" s="406"/>
      <c r="BK60" s="406"/>
      <c r="BL60" s="406"/>
      <c r="BM60" s="406"/>
      <c r="BN60" s="406"/>
      <c r="BO60" s="406"/>
      <c r="BP60" s="406"/>
      <c r="BQ60" s="406"/>
      <c r="BR60" s="406"/>
      <c r="BS60" s="406"/>
      <c r="BT60" s="406"/>
      <c r="BU60" s="406"/>
      <c r="BV60" s="55">
        <v>32</v>
      </c>
    </row>
    <row r="61" spans="6:74" x14ac:dyDescent="0.35">
      <c r="F61" s="55">
        <v>31</v>
      </c>
      <c r="G61" s="406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6"/>
      <c r="BF61" s="406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406"/>
      <c r="BR61" s="406"/>
      <c r="BS61" s="406"/>
      <c r="BT61" s="406"/>
      <c r="BU61" s="406"/>
      <c r="BV61" s="55">
        <v>31</v>
      </c>
    </row>
    <row r="62" spans="6:74" x14ac:dyDescent="0.35">
      <c r="F62" s="55">
        <v>30</v>
      </c>
      <c r="G62" s="406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6"/>
      <c r="BF62" s="406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406"/>
      <c r="BR62" s="406"/>
      <c r="BS62" s="406"/>
      <c r="BT62" s="406"/>
      <c r="BU62" s="406"/>
      <c r="BV62" s="55">
        <v>30</v>
      </c>
    </row>
    <row r="63" spans="6:74" x14ac:dyDescent="0.35">
      <c r="F63" s="55">
        <v>29</v>
      </c>
      <c r="G63" s="406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6"/>
      <c r="BF63" s="406"/>
      <c r="BG63" s="406"/>
      <c r="BH63" s="406"/>
      <c r="BI63" s="406"/>
      <c r="BJ63" s="406"/>
      <c r="BK63" s="406"/>
      <c r="BL63" s="406"/>
      <c r="BM63" s="406"/>
      <c r="BN63" s="406"/>
      <c r="BO63" s="406"/>
      <c r="BP63" s="406"/>
      <c r="BQ63" s="406"/>
      <c r="BR63" s="406"/>
      <c r="BS63" s="406"/>
      <c r="BT63" s="406"/>
      <c r="BU63" s="406"/>
      <c r="BV63" s="55">
        <v>29</v>
      </c>
    </row>
    <row r="64" spans="6:74" x14ac:dyDescent="0.35">
      <c r="F64" s="55">
        <v>28</v>
      </c>
      <c r="G64" s="406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O64" s="406"/>
      <c r="AP64" s="406"/>
      <c r="AQ64" s="406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6"/>
      <c r="BE64" s="406"/>
      <c r="BF64" s="406"/>
      <c r="BG64" s="406"/>
      <c r="BH64" s="406"/>
      <c r="BI64" s="406"/>
      <c r="BJ64" s="406"/>
      <c r="BK64" s="406"/>
      <c r="BL64" s="406"/>
      <c r="BM64" s="406"/>
      <c r="BN64" s="406"/>
      <c r="BO64" s="406"/>
      <c r="BP64" s="406"/>
      <c r="BQ64" s="406"/>
      <c r="BR64" s="406"/>
      <c r="BS64" s="406"/>
      <c r="BT64" s="406"/>
      <c r="BU64" s="406"/>
      <c r="BV64" s="55">
        <v>28</v>
      </c>
    </row>
    <row r="65" spans="6:74" x14ac:dyDescent="0.35">
      <c r="F65" s="55">
        <v>27</v>
      </c>
      <c r="G65" s="406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O65" s="406"/>
      <c r="AP65" s="406"/>
      <c r="AQ65" s="406"/>
      <c r="AR65" s="406"/>
      <c r="AS65" s="406"/>
      <c r="AT65" s="40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6"/>
      <c r="BE65" s="406"/>
      <c r="BF65" s="406"/>
      <c r="BG65" s="406"/>
      <c r="BH65" s="406"/>
      <c r="BI65" s="406"/>
      <c r="BJ65" s="406"/>
      <c r="BK65" s="406"/>
      <c r="BL65" s="406"/>
      <c r="BM65" s="406"/>
      <c r="BN65" s="406"/>
      <c r="BO65" s="406"/>
      <c r="BP65" s="406"/>
      <c r="BQ65" s="406"/>
      <c r="BR65" s="406"/>
      <c r="BS65" s="406"/>
      <c r="BT65" s="406"/>
      <c r="BU65" s="406"/>
      <c r="BV65" s="55">
        <v>27</v>
      </c>
    </row>
    <row r="66" spans="6:74" x14ac:dyDescent="0.35">
      <c r="F66" s="55">
        <v>26</v>
      </c>
      <c r="G66" s="406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O66" s="406"/>
      <c r="AP66" s="406"/>
      <c r="AQ66" s="406"/>
      <c r="AR66" s="406"/>
      <c r="AS66" s="406"/>
      <c r="AT66" s="406"/>
      <c r="AU66" s="406"/>
      <c r="AV66" s="406"/>
      <c r="AW66" s="406"/>
      <c r="AX66" s="406"/>
      <c r="AY66" s="406"/>
      <c r="AZ66" s="406"/>
      <c r="BA66" s="406"/>
      <c r="BB66" s="406"/>
      <c r="BC66" s="406"/>
      <c r="BD66" s="406"/>
      <c r="BE66" s="406"/>
      <c r="BF66" s="406"/>
      <c r="BG66" s="406"/>
      <c r="BH66" s="406"/>
      <c r="BI66" s="406"/>
      <c r="BJ66" s="406"/>
      <c r="BK66" s="406"/>
      <c r="BL66" s="406"/>
      <c r="BM66" s="406"/>
      <c r="BN66" s="406"/>
      <c r="BO66" s="406"/>
      <c r="BP66" s="406"/>
      <c r="BQ66" s="406"/>
      <c r="BR66" s="406"/>
      <c r="BS66" s="406"/>
      <c r="BT66" s="406"/>
      <c r="BU66" s="406"/>
      <c r="BV66" s="55">
        <v>26</v>
      </c>
    </row>
    <row r="67" spans="6:74" x14ac:dyDescent="0.35">
      <c r="F67" s="55">
        <v>25</v>
      </c>
      <c r="G67" s="406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O67" s="406"/>
      <c r="AP67" s="406"/>
      <c r="AQ67" s="406"/>
      <c r="AR67" s="406"/>
      <c r="AS67" s="406"/>
      <c r="AT67" s="406"/>
      <c r="AU67" s="406"/>
      <c r="AV67" s="406"/>
      <c r="AW67" s="406"/>
      <c r="AX67" s="406"/>
      <c r="AY67" s="406"/>
      <c r="AZ67" s="406"/>
      <c r="BA67" s="406"/>
      <c r="BB67" s="406"/>
      <c r="BC67" s="406"/>
      <c r="BD67" s="406"/>
      <c r="BE67" s="406"/>
      <c r="BF67" s="406"/>
      <c r="BG67" s="406"/>
      <c r="BH67" s="406"/>
      <c r="BI67" s="406"/>
      <c r="BJ67" s="406"/>
      <c r="BK67" s="406"/>
      <c r="BL67" s="406"/>
      <c r="BM67" s="406"/>
      <c r="BN67" s="406"/>
      <c r="BO67" s="406"/>
      <c r="BP67" s="406"/>
      <c r="BQ67" s="406"/>
      <c r="BR67" s="406"/>
      <c r="BS67" s="406"/>
      <c r="BT67" s="406"/>
      <c r="BU67" s="406"/>
      <c r="BV67" s="55">
        <v>25</v>
      </c>
    </row>
    <row r="68" spans="6:74" x14ac:dyDescent="0.35">
      <c r="F68" s="55">
        <v>24</v>
      </c>
      <c r="G68" s="406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O68" s="406"/>
      <c r="AP68" s="406"/>
      <c r="AQ68" s="406"/>
      <c r="AR68" s="406"/>
      <c r="AS68" s="406"/>
      <c r="AT68" s="406"/>
      <c r="AU68" s="406"/>
      <c r="AV68" s="406"/>
      <c r="AW68" s="406"/>
      <c r="AX68" s="406"/>
      <c r="AY68" s="406"/>
      <c r="AZ68" s="406"/>
      <c r="BA68" s="406"/>
      <c r="BB68" s="406"/>
      <c r="BC68" s="406"/>
      <c r="BD68" s="406"/>
      <c r="BE68" s="406"/>
      <c r="BF68" s="406"/>
      <c r="BG68" s="406"/>
      <c r="BH68" s="406"/>
      <c r="BI68" s="406"/>
      <c r="BJ68" s="406"/>
      <c r="BK68" s="406"/>
      <c r="BL68" s="406"/>
      <c r="BM68" s="406"/>
      <c r="BN68" s="406"/>
      <c r="BO68" s="406"/>
      <c r="BP68" s="406"/>
      <c r="BQ68" s="406"/>
      <c r="BR68" s="406"/>
      <c r="BS68" s="406"/>
      <c r="BT68" s="406"/>
      <c r="BU68" s="406"/>
      <c r="BV68" s="55">
        <v>24</v>
      </c>
    </row>
    <row r="69" spans="6:74" x14ac:dyDescent="0.35">
      <c r="F69" s="55">
        <v>23</v>
      </c>
      <c r="G69" s="406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O69" s="406"/>
      <c r="AP69" s="406"/>
      <c r="AQ69" s="406"/>
      <c r="AR69" s="406"/>
      <c r="AS69" s="406"/>
      <c r="AT69" s="406"/>
      <c r="AU69" s="406"/>
      <c r="AV69" s="406"/>
      <c r="AW69" s="406"/>
      <c r="AX69" s="406"/>
      <c r="AY69" s="406"/>
      <c r="AZ69" s="406"/>
      <c r="BA69" s="406"/>
      <c r="BB69" s="406"/>
      <c r="BC69" s="406"/>
      <c r="BD69" s="406"/>
      <c r="BE69" s="406"/>
      <c r="BF69" s="406"/>
      <c r="BG69" s="406"/>
      <c r="BH69" s="406"/>
      <c r="BI69" s="406"/>
      <c r="BJ69" s="406"/>
      <c r="BK69" s="406"/>
      <c r="BL69" s="406"/>
      <c r="BM69" s="406"/>
      <c r="BN69" s="406"/>
      <c r="BO69" s="406"/>
      <c r="BP69" s="406"/>
      <c r="BQ69" s="406"/>
      <c r="BR69" s="406"/>
      <c r="BS69" s="406"/>
      <c r="BT69" s="406"/>
      <c r="BU69" s="406"/>
      <c r="BV69" s="55">
        <v>23</v>
      </c>
    </row>
    <row r="70" spans="6:74" x14ac:dyDescent="0.35">
      <c r="F70" s="55">
        <v>22</v>
      </c>
      <c r="G70" s="406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O70" s="406"/>
      <c r="AP70" s="406"/>
      <c r="AQ70" s="406"/>
      <c r="AR70" s="406"/>
      <c r="AS70" s="406"/>
      <c r="AT70" s="406"/>
      <c r="AU70" s="406"/>
      <c r="AV70" s="406"/>
      <c r="AW70" s="406"/>
      <c r="AX70" s="406"/>
      <c r="AY70" s="406"/>
      <c r="AZ70" s="406"/>
      <c r="BA70" s="406"/>
      <c r="BB70" s="406"/>
      <c r="BC70" s="406"/>
      <c r="BD70" s="406"/>
      <c r="BE70" s="406"/>
      <c r="BF70" s="406"/>
      <c r="BG70" s="406"/>
      <c r="BH70" s="406"/>
      <c r="BI70" s="406"/>
      <c r="BJ70" s="406"/>
      <c r="BK70" s="406"/>
      <c r="BL70" s="406"/>
      <c r="BM70" s="406"/>
      <c r="BN70" s="406"/>
      <c r="BO70" s="406"/>
      <c r="BP70" s="406"/>
      <c r="BQ70" s="406"/>
      <c r="BR70" s="406"/>
      <c r="BS70" s="406"/>
      <c r="BT70" s="406"/>
      <c r="BU70" s="406"/>
      <c r="BV70" s="55">
        <v>22</v>
      </c>
    </row>
    <row r="71" spans="6:74" x14ac:dyDescent="0.35">
      <c r="F71" s="55">
        <v>21</v>
      </c>
      <c r="G71" s="406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06"/>
      <c r="BA71" s="406"/>
      <c r="BB71" s="406"/>
      <c r="BC71" s="406"/>
      <c r="BD71" s="406"/>
      <c r="BE71" s="406"/>
      <c r="BF71" s="406"/>
      <c r="BG71" s="406"/>
      <c r="BH71" s="406"/>
      <c r="BI71" s="406"/>
      <c r="BJ71" s="406"/>
      <c r="BK71" s="406"/>
      <c r="BL71" s="406"/>
      <c r="BM71" s="406"/>
      <c r="BN71" s="406"/>
      <c r="BO71" s="406"/>
      <c r="BP71" s="406"/>
      <c r="BQ71" s="406"/>
      <c r="BR71" s="406"/>
      <c r="BS71" s="406"/>
      <c r="BT71" s="406"/>
      <c r="BU71" s="406"/>
      <c r="BV71" s="55">
        <v>21</v>
      </c>
    </row>
    <row r="72" spans="6:74" x14ac:dyDescent="0.35">
      <c r="F72" s="55">
        <v>20</v>
      </c>
      <c r="G72" s="406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O72" s="406"/>
      <c r="AP72" s="406"/>
      <c r="AQ72" s="406"/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  <c r="BD72" s="406"/>
      <c r="BE72" s="406"/>
      <c r="BF72" s="406"/>
      <c r="BG72" s="406"/>
      <c r="BH72" s="406"/>
      <c r="BI72" s="406"/>
      <c r="BJ72" s="406"/>
      <c r="BK72" s="406"/>
      <c r="BL72" s="406"/>
      <c r="BM72" s="406"/>
      <c r="BN72" s="406"/>
      <c r="BO72" s="406"/>
      <c r="BP72" s="406"/>
      <c r="BQ72" s="406"/>
      <c r="BR72" s="406"/>
      <c r="BS72" s="406"/>
      <c r="BT72" s="406"/>
      <c r="BU72" s="406"/>
      <c r="BV72" s="55">
        <v>20</v>
      </c>
    </row>
    <row r="73" spans="6:74" x14ac:dyDescent="0.35">
      <c r="F73" s="55">
        <v>19</v>
      </c>
      <c r="G73" s="406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O73" s="406"/>
      <c r="AP73" s="406"/>
      <c r="AQ73" s="406"/>
      <c r="AR73" s="406"/>
      <c r="AS73" s="406"/>
      <c r="AT73" s="406"/>
      <c r="AU73" s="406"/>
      <c r="AV73" s="406"/>
      <c r="AW73" s="406"/>
      <c r="AX73" s="406"/>
      <c r="AY73" s="406"/>
      <c r="AZ73" s="406"/>
      <c r="BA73" s="406"/>
      <c r="BB73" s="406"/>
      <c r="BC73" s="406"/>
      <c r="BD73" s="406"/>
      <c r="BE73" s="406"/>
      <c r="BF73" s="406"/>
      <c r="BG73" s="406"/>
      <c r="BH73" s="406"/>
      <c r="BI73" s="406"/>
      <c r="BJ73" s="406"/>
      <c r="BK73" s="406"/>
      <c r="BL73" s="406"/>
      <c r="BM73" s="406"/>
      <c r="BN73" s="406"/>
      <c r="BO73" s="406"/>
      <c r="BP73" s="406"/>
      <c r="BQ73" s="406"/>
      <c r="BR73" s="406"/>
      <c r="BS73" s="406"/>
      <c r="BT73" s="406"/>
      <c r="BU73" s="406"/>
      <c r="BV73" s="55">
        <v>19</v>
      </c>
    </row>
    <row r="74" spans="6:74" x14ac:dyDescent="0.35">
      <c r="F74" s="55">
        <v>18</v>
      </c>
      <c r="G74" s="406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O74" s="406"/>
      <c r="AP74" s="406"/>
      <c r="AQ74" s="406"/>
      <c r="AR74" s="406"/>
      <c r="AS74" s="406"/>
      <c r="AT74" s="406"/>
      <c r="AU74" s="406"/>
      <c r="AV74" s="406"/>
      <c r="AW74" s="406"/>
      <c r="AX74" s="406"/>
      <c r="AY74" s="406"/>
      <c r="AZ74" s="406"/>
      <c r="BA74" s="406"/>
      <c r="BB74" s="406"/>
      <c r="BC74" s="406"/>
      <c r="BD74" s="406"/>
      <c r="BE74" s="406"/>
      <c r="BF74" s="406"/>
      <c r="BG74" s="406"/>
      <c r="BH74" s="406"/>
      <c r="BI74" s="406"/>
      <c r="BJ74" s="406"/>
      <c r="BK74" s="406"/>
      <c r="BL74" s="406"/>
      <c r="BM74" s="406"/>
      <c r="BN74" s="406"/>
      <c r="BO74" s="406"/>
      <c r="BP74" s="406"/>
      <c r="BQ74" s="406"/>
      <c r="BR74" s="406"/>
      <c r="BS74" s="406"/>
      <c r="BT74" s="406"/>
      <c r="BU74" s="406"/>
      <c r="BV74" s="55">
        <v>18</v>
      </c>
    </row>
    <row r="75" spans="6:74" x14ac:dyDescent="0.35">
      <c r="F75" s="55">
        <v>17</v>
      </c>
      <c r="G75" s="406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O75" s="406"/>
      <c r="AP75" s="406"/>
      <c r="AQ75" s="406"/>
      <c r="AR75" s="406"/>
      <c r="AS75" s="406"/>
      <c r="AT75" s="406"/>
      <c r="AU75" s="406"/>
      <c r="AV75" s="406"/>
      <c r="AW75" s="406"/>
      <c r="AX75" s="406"/>
      <c r="AY75" s="406"/>
      <c r="AZ75" s="406"/>
      <c r="BA75" s="406"/>
      <c r="BB75" s="406"/>
      <c r="BC75" s="406"/>
      <c r="BD75" s="406"/>
      <c r="BE75" s="406"/>
      <c r="BF75" s="406"/>
      <c r="BG75" s="406"/>
      <c r="BH75" s="406"/>
      <c r="BI75" s="406"/>
      <c r="BJ75" s="406"/>
      <c r="BK75" s="406"/>
      <c r="BL75" s="406"/>
      <c r="BM75" s="406"/>
      <c r="BN75" s="406"/>
      <c r="BO75" s="406"/>
      <c r="BP75" s="406"/>
      <c r="BQ75" s="406"/>
      <c r="BR75" s="406"/>
      <c r="BS75" s="406"/>
      <c r="BT75" s="406"/>
      <c r="BU75" s="406"/>
      <c r="BV75" s="55">
        <v>17</v>
      </c>
    </row>
    <row r="76" spans="6:74" x14ac:dyDescent="0.35">
      <c r="F76" s="55">
        <v>16</v>
      </c>
      <c r="G76" s="406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O76" s="406"/>
      <c r="AP76" s="406"/>
      <c r="AQ76" s="406"/>
      <c r="AR76" s="406"/>
      <c r="AS76" s="406"/>
      <c r="AT76" s="406"/>
      <c r="AU76" s="406"/>
      <c r="AV76" s="406"/>
      <c r="AW76" s="406"/>
      <c r="AX76" s="406"/>
      <c r="AY76" s="406"/>
      <c r="AZ76" s="406"/>
      <c r="BA76" s="406"/>
      <c r="BB76" s="406"/>
      <c r="BC76" s="406"/>
      <c r="BD76" s="406"/>
      <c r="BE76" s="406"/>
      <c r="BF76" s="406"/>
      <c r="BG76" s="406"/>
      <c r="BH76" s="406"/>
      <c r="BI76" s="406"/>
      <c r="BJ76" s="406"/>
      <c r="BK76" s="406"/>
      <c r="BL76" s="406"/>
      <c r="BM76" s="406"/>
      <c r="BN76" s="406"/>
      <c r="BO76" s="406"/>
      <c r="BP76" s="406"/>
      <c r="BQ76" s="406"/>
      <c r="BR76" s="406"/>
      <c r="BS76" s="406"/>
      <c r="BT76" s="406"/>
      <c r="BU76" s="406"/>
      <c r="BV76" s="55">
        <v>16</v>
      </c>
    </row>
    <row r="77" spans="6:74" x14ac:dyDescent="0.35">
      <c r="F77" s="55">
        <v>15</v>
      </c>
      <c r="G77" s="406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O77" s="406"/>
      <c r="AP77" s="406"/>
      <c r="AQ77" s="406"/>
      <c r="AR77" s="406"/>
      <c r="AS77" s="406"/>
      <c r="AT77" s="406"/>
      <c r="AU77" s="406"/>
      <c r="AV77" s="406"/>
      <c r="AW77" s="406"/>
      <c r="AX77" s="406"/>
      <c r="AY77" s="406"/>
      <c r="AZ77" s="406"/>
      <c r="BA77" s="406"/>
      <c r="BB77" s="406"/>
      <c r="BC77" s="406"/>
      <c r="BD77" s="406"/>
      <c r="BE77" s="406"/>
      <c r="BF77" s="406"/>
      <c r="BG77" s="406"/>
      <c r="BH77" s="406"/>
      <c r="BI77" s="406"/>
      <c r="BJ77" s="406"/>
      <c r="BK77" s="406"/>
      <c r="BL77" s="406"/>
      <c r="BM77" s="406"/>
      <c r="BN77" s="406"/>
      <c r="BO77" s="406"/>
      <c r="BP77" s="406"/>
      <c r="BQ77" s="406"/>
      <c r="BR77" s="406"/>
      <c r="BS77" s="406"/>
      <c r="BT77" s="406"/>
      <c r="BU77" s="406"/>
      <c r="BV77" s="55">
        <v>15</v>
      </c>
    </row>
    <row r="78" spans="6:74" x14ac:dyDescent="0.35">
      <c r="F78" s="55">
        <v>14</v>
      </c>
      <c r="G78" s="406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6"/>
      <c r="BM78" s="406"/>
      <c r="BN78" s="406"/>
      <c r="BO78" s="406"/>
      <c r="BP78" s="406"/>
      <c r="BQ78" s="406"/>
      <c r="BR78" s="406"/>
      <c r="BS78" s="406"/>
      <c r="BT78" s="406"/>
      <c r="BU78" s="406"/>
      <c r="BV78" s="55">
        <v>14</v>
      </c>
    </row>
    <row r="79" spans="6:74" x14ac:dyDescent="0.35">
      <c r="F79" s="55">
        <v>13</v>
      </c>
      <c r="G79" s="406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  <c r="BC79" s="406"/>
      <c r="BD79" s="406"/>
      <c r="BE79" s="406"/>
      <c r="BF79" s="406"/>
      <c r="BG79" s="406"/>
      <c r="BH79" s="406"/>
      <c r="BI79" s="406"/>
      <c r="BJ79" s="406"/>
      <c r="BK79" s="406"/>
      <c r="BL79" s="406"/>
      <c r="BM79" s="406"/>
      <c r="BN79" s="406"/>
      <c r="BO79" s="406"/>
      <c r="BP79" s="406"/>
      <c r="BQ79" s="406"/>
      <c r="BR79" s="406"/>
      <c r="BS79" s="406"/>
      <c r="BT79" s="406"/>
      <c r="BU79" s="406"/>
      <c r="BV79" s="55">
        <v>13</v>
      </c>
    </row>
    <row r="80" spans="6:74" x14ac:dyDescent="0.35">
      <c r="F80" s="55">
        <v>12</v>
      </c>
      <c r="G80" s="406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O80" s="406"/>
      <c r="AP80" s="406"/>
      <c r="AQ80" s="406"/>
      <c r="AR80" s="406"/>
      <c r="AS80" s="406"/>
      <c r="AT80" s="406"/>
      <c r="AU80" s="406"/>
      <c r="AV80" s="406"/>
      <c r="AW80" s="406"/>
      <c r="AX80" s="406"/>
      <c r="AY80" s="406"/>
      <c r="AZ80" s="406"/>
      <c r="BA80" s="406"/>
      <c r="BB80" s="406"/>
      <c r="BC80" s="406"/>
      <c r="BD80" s="406"/>
      <c r="BE80" s="406"/>
      <c r="BF80" s="406"/>
      <c r="BG80" s="406"/>
      <c r="BH80" s="406"/>
      <c r="BI80" s="406"/>
      <c r="BJ80" s="406"/>
      <c r="BK80" s="406"/>
      <c r="BL80" s="406"/>
      <c r="BM80" s="406"/>
      <c r="BN80" s="406"/>
      <c r="BO80" s="406"/>
      <c r="BP80" s="406"/>
      <c r="BQ80" s="406"/>
      <c r="BR80" s="406"/>
      <c r="BS80" s="406"/>
      <c r="BT80" s="406"/>
      <c r="BU80" s="406"/>
      <c r="BV80" s="55">
        <v>12</v>
      </c>
    </row>
    <row r="81" spans="6:74" x14ac:dyDescent="0.35">
      <c r="F81" s="55">
        <v>11</v>
      </c>
      <c r="G81" s="406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406"/>
      <c r="AZ81" s="406"/>
      <c r="BA81" s="406"/>
      <c r="BB81" s="406"/>
      <c r="BC81" s="406"/>
      <c r="BD81" s="406"/>
      <c r="BE81" s="406"/>
      <c r="BF81" s="406"/>
      <c r="BG81" s="406"/>
      <c r="BH81" s="406"/>
      <c r="BI81" s="406"/>
      <c r="BJ81" s="406"/>
      <c r="BK81" s="406"/>
      <c r="BL81" s="406"/>
      <c r="BM81" s="406"/>
      <c r="BN81" s="406"/>
      <c r="BO81" s="406"/>
      <c r="BP81" s="406"/>
      <c r="BQ81" s="406"/>
      <c r="BR81" s="406"/>
      <c r="BS81" s="406"/>
      <c r="BT81" s="406"/>
      <c r="BU81" s="406"/>
      <c r="BV81" s="55">
        <v>11</v>
      </c>
    </row>
    <row r="82" spans="6:74" x14ac:dyDescent="0.35">
      <c r="F82" s="55">
        <v>10</v>
      </c>
      <c r="G82" s="406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6"/>
      <c r="BF82" s="406"/>
      <c r="BG82" s="406"/>
      <c r="BH82" s="406"/>
      <c r="BI82" s="406"/>
      <c r="BJ82" s="406"/>
      <c r="BK82" s="406"/>
      <c r="BL82" s="406"/>
      <c r="BM82" s="406"/>
      <c r="BN82" s="406"/>
      <c r="BO82" s="406"/>
      <c r="BP82" s="406"/>
      <c r="BQ82" s="406"/>
      <c r="BR82" s="406"/>
      <c r="BS82" s="406"/>
      <c r="BT82" s="406"/>
      <c r="BU82" s="406"/>
      <c r="BV82" s="55">
        <v>10</v>
      </c>
    </row>
    <row r="83" spans="6:74" x14ac:dyDescent="0.35">
      <c r="F83" s="55">
        <v>9</v>
      </c>
      <c r="G83" s="406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406"/>
      <c r="BI83" s="406"/>
      <c r="BJ83" s="406"/>
      <c r="BK83" s="406"/>
      <c r="BL83" s="406"/>
      <c r="BM83" s="406"/>
      <c r="BN83" s="406"/>
      <c r="BO83" s="406"/>
      <c r="BP83" s="406"/>
      <c r="BQ83" s="406"/>
      <c r="BR83" s="406"/>
      <c r="BS83" s="406"/>
      <c r="BT83" s="406"/>
      <c r="BU83" s="406"/>
      <c r="BV83" s="55">
        <v>9</v>
      </c>
    </row>
    <row r="84" spans="6:74" x14ac:dyDescent="0.35">
      <c r="F84" s="55">
        <v>8</v>
      </c>
      <c r="G84" s="406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O84" s="406"/>
      <c r="AP84" s="406"/>
      <c r="AQ84" s="406"/>
      <c r="AR84" s="406"/>
      <c r="AS84" s="406"/>
      <c r="AT84" s="406"/>
      <c r="AU84" s="406"/>
      <c r="AV84" s="406"/>
      <c r="AW84" s="406"/>
      <c r="AX84" s="406"/>
      <c r="AY84" s="406"/>
      <c r="AZ84" s="406"/>
      <c r="BA84" s="406"/>
      <c r="BB84" s="406"/>
      <c r="BC84" s="406"/>
      <c r="BD84" s="406"/>
      <c r="BE84" s="406"/>
      <c r="BF84" s="406"/>
      <c r="BG84" s="406"/>
      <c r="BH84" s="406"/>
      <c r="BI84" s="406"/>
      <c r="BJ84" s="406"/>
      <c r="BK84" s="406"/>
      <c r="BL84" s="406"/>
      <c r="BM84" s="406"/>
      <c r="BN84" s="406"/>
      <c r="BO84" s="406"/>
      <c r="BP84" s="406"/>
      <c r="BQ84" s="406"/>
      <c r="BR84" s="406"/>
      <c r="BS84" s="406"/>
      <c r="BT84" s="406"/>
      <c r="BU84" s="406"/>
      <c r="BV84" s="55">
        <v>8</v>
      </c>
    </row>
    <row r="85" spans="6:74" x14ac:dyDescent="0.35">
      <c r="F85" s="55">
        <v>7</v>
      </c>
      <c r="G85" s="406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6"/>
      <c r="BJ85" s="406"/>
      <c r="BK85" s="406"/>
      <c r="BL85" s="406"/>
      <c r="BM85" s="406"/>
      <c r="BN85" s="406"/>
      <c r="BO85" s="406"/>
      <c r="BP85" s="406"/>
      <c r="BQ85" s="406"/>
      <c r="BR85" s="406"/>
      <c r="BS85" s="406"/>
      <c r="BT85" s="406"/>
      <c r="BU85" s="406"/>
      <c r="BV85" s="55">
        <v>7</v>
      </c>
    </row>
    <row r="86" spans="6:74" x14ac:dyDescent="0.35">
      <c r="F86" s="55">
        <v>6</v>
      </c>
      <c r="G86" s="406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O86" s="406"/>
      <c r="AP86" s="406"/>
      <c r="AQ86" s="406"/>
      <c r="AR86" s="406"/>
      <c r="AS86" s="406"/>
      <c r="AT86" s="406"/>
      <c r="AU86" s="406"/>
      <c r="AV86" s="406"/>
      <c r="AW86" s="406"/>
      <c r="AX86" s="406"/>
      <c r="AY86" s="406"/>
      <c r="AZ86" s="406"/>
      <c r="BA86" s="406"/>
      <c r="BB86" s="406"/>
      <c r="BC86" s="406"/>
      <c r="BD86" s="406"/>
      <c r="BE86" s="406"/>
      <c r="BF86" s="406"/>
      <c r="BG86" s="406"/>
      <c r="BH86" s="406"/>
      <c r="BI86" s="406"/>
      <c r="BJ86" s="406"/>
      <c r="BK86" s="406"/>
      <c r="BL86" s="406"/>
      <c r="BM86" s="406"/>
      <c r="BN86" s="406"/>
      <c r="BO86" s="406"/>
      <c r="BP86" s="406"/>
      <c r="BQ86" s="406"/>
      <c r="BR86" s="406"/>
      <c r="BS86" s="406"/>
      <c r="BT86" s="406"/>
      <c r="BU86" s="406"/>
      <c r="BV86" s="55">
        <v>6</v>
      </c>
    </row>
    <row r="87" spans="6:74" x14ac:dyDescent="0.35">
      <c r="F87" s="55">
        <v>5</v>
      </c>
      <c r="G87" s="406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406"/>
      <c r="BE87" s="406"/>
      <c r="BF87" s="406"/>
      <c r="BG87" s="406"/>
      <c r="BH87" s="406"/>
      <c r="BI87" s="406"/>
      <c r="BJ87" s="406"/>
      <c r="BK87" s="406"/>
      <c r="BL87" s="406"/>
      <c r="BM87" s="406"/>
      <c r="BN87" s="406"/>
      <c r="BO87" s="406"/>
      <c r="BP87" s="406"/>
      <c r="BQ87" s="406"/>
      <c r="BR87" s="406"/>
      <c r="BS87" s="406"/>
      <c r="BT87" s="406"/>
      <c r="BU87" s="406"/>
      <c r="BV87" s="55">
        <v>5</v>
      </c>
    </row>
    <row r="88" spans="6:74" x14ac:dyDescent="0.35">
      <c r="F88" s="55">
        <v>4</v>
      </c>
      <c r="G88" s="406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6"/>
      <c r="BG88" s="406"/>
      <c r="BH88" s="406"/>
      <c r="BI88" s="406"/>
      <c r="BJ88" s="406"/>
      <c r="BK88" s="406"/>
      <c r="BL88" s="406"/>
      <c r="BM88" s="406"/>
      <c r="BN88" s="406"/>
      <c r="BO88" s="406"/>
      <c r="BP88" s="406"/>
      <c r="BQ88" s="406"/>
      <c r="BR88" s="406"/>
      <c r="BS88" s="406"/>
      <c r="BT88" s="406"/>
      <c r="BU88" s="406"/>
      <c r="BV88" s="55">
        <v>4</v>
      </c>
    </row>
    <row r="89" spans="6:74" x14ac:dyDescent="0.35">
      <c r="F89" s="55">
        <v>3</v>
      </c>
      <c r="G89" s="406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6"/>
      <c r="BG89" s="406"/>
      <c r="BH89" s="406"/>
      <c r="BI89" s="406"/>
      <c r="BJ89" s="406"/>
      <c r="BK89" s="406"/>
      <c r="BL89" s="406"/>
      <c r="BM89" s="406"/>
      <c r="BN89" s="406"/>
      <c r="BO89" s="406"/>
      <c r="BP89" s="406"/>
      <c r="BQ89" s="406"/>
      <c r="BR89" s="406"/>
      <c r="BS89" s="406"/>
      <c r="BT89" s="406"/>
      <c r="BU89" s="406"/>
      <c r="BV89" s="55">
        <v>3</v>
      </c>
    </row>
    <row r="90" spans="6:74" x14ac:dyDescent="0.35">
      <c r="F90" s="55">
        <v>2</v>
      </c>
      <c r="G90" s="406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O90" s="406"/>
      <c r="AP90" s="406"/>
      <c r="AQ90" s="406"/>
      <c r="AR90" s="406"/>
      <c r="AS90" s="406"/>
      <c r="AT90" s="406"/>
      <c r="AU90" s="406"/>
      <c r="AV90" s="406"/>
      <c r="AW90" s="406"/>
      <c r="AX90" s="406"/>
      <c r="AY90" s="406"/>
      <c r="AZ90" s="406"/>
      <c r="BA90" s="406"/>
      <c r="BB90" s="406"/>
      <c r="BC90" s="406"/>
      <c r="BD90" s="406"/>
      <c r="BE90" s="406"/>
      <c r="BF90" s="406"/>
      <c r="BG90" s="406"/>
      <c r="BH90" s="406"/>
      <c r="BI90" s="406"/>
      <c r="BJ90" s="406"/>
      <c r="BK90" s="406"/>
      <c r="BL90" s="406"/>
      <c r="BM90" s="406"/>
      <c r="BN90" s="406"/>
      <c r="BO90" s="406"/>
      <c r="BP90" s="406"/>
      <c r="BQ90" s="406"/>
      <c r="BR90" s="406"/>
      <c r="BS90" s="406"/>
      <c r="BT90" s="406"/>
      <c r="BU90" s="406"/>
      <c r="BV90" s="55">
        <v>2</v>
      </c>
    </row>
    <row r="91" spans="6:74" x14ac:dyDescent="0.35">
      <c r="F91" s="55">
        <v>1</v>
      </c>
      <c r="G91" s="406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  <c r="BG91" s="406"/>
      <c r="BH91" s="406"/>
      <c r="BI91" s="406"/>
      <c r="BJ91" s="406"/>
      <c r="BK91" s="406"/>
      <c r="BL91" s="406"/>
      <c r="BM91" s="406"/>
      <c r="BN91" s="406"/>
      <c r="BO91" s="406"/>
      <c r="BP91" s="406"/>
      <c r="BQ91" s="406"/>
      <c r="BR91" s="406"/>
      <c r="BS91" s="406"/>
      <c r="BT91" s="406"/>
      <c r="BU91" s="406"/>
      <c r="BV91" s="55">
        <v>1</v>
      </c>
    </row>
    <row r="92" spans="6:74" x14ac:dyDescent="0.35">
      <c r="G92" s="404">
        <v>1</v>
      </c>
      <c r="H92" s="404">
        <v>2</v>
      </c>
      <c r="I92" s="404">
        <v>3</v>
      </c>
      <c r="J92" s="404">
        <v>4</v>
      </c>
      <c r="K92" s="404">
        <v>5</v>
      </c>
      <c r="L92" s="404">
        <v>6</v>
      </c>
      <c r="M92" s="404">
        <v>7</v>
      </c>
      <c r="N92" s="404">
        <v>8</v>
      </c>
      <c r="O92" s="404">
        <v>9</v>
      </c>
      <c r="P92" s="404">
        <v>10</v>
      </c>
      <c r="Q92" s="404">
        <v>11</v>
      </c>
      <c r="R92" s="404">
        <v>12</v>
      </c>
      <c r="S92" s="404">
        <v>13</v>
      </c>
      <c r="T92">
        <v>14</v>
      </c>
      <c r="U92">
        <v>15</v>
      </c>
      <c r="V92">
        <v>16</v>
      </c>
      <c r="W92">
        <v>17</v>
      </c>
      <c r="X92">
        <v>18</v>
      </c>
      <c r="Y92">
        <v>19</v>
      </c>
      <c r="Z92">
        <v>20</v>
      </c>
      <c r="AA92">
        <v>21</v>
      </c>
      <c r="AB92">
        <v>22</v>
      </c>
      <c r="AC92">
        <v>23</v>
      </c>
      <c r="AD92">
        <v>24</v>
      </c>
      <c r="AE92">
        <v>25</v>
      </c>
      <c r="AF92">
        <v>26</v>
      </c>
      <c r="AG92">
        <v>27</v>
      </c>
      <c r="AH92">
        <v>28</v>
      </c>
      <c r="AI92">
        <v>29</v>
      </c>
      <c r="AJ92">
        <v>30</v>
      </c>
      <c r="AK92">
        <v>31</v>
      </c>
      <c r="AL92">
        <v>32</v>
      </c>
      <c r="AM92">
        <v>33</v>
      </c>
      <c r="AO92">
        <v>1</v>
      </c>
      <c r="AP92">
        <v>2</v>
      </c>
      <c r="AQ92">
        <v>3</v>
      </c>
      <c r="AR92">
        <v>4</v>
      </c>
      <c r="AS92">
        <v>5</v>
      </c>
      <c r="AT92">
        <v>6</v>
      </c>
      <c r="AU92">
        <v>7</v>
      </c>
      <c r="AV92">
        <v>8</v>
      </c>
      <c r="AW92">
        <v>9</v>
      </c>
      <c r="AX92">
        <v>10</v>
      </c>
      <c r="AY92">
        <v>11</v>
      </c>
      <c r="AZ92">
        <v>12</v>
      </c>
      <c r="BA92">
        <v>13</v>
      </c>
      <c r="BB92">
        <v>14</v>
      </c>
      <c r="BC92">
        <v>15</v>
      </c>
      <c r="BD92">
        <v>16</v>
      </c>
      <c r="BE92">
        <v>17</v>
      </c>
      <c r="BF92">
        <v>18</v>
      </c>
      <c r="BG92">
        <v>19</v>
      </c>
      <c r="BH92">
        <v>20</v>
      </c>
      <c r="BI92">
        <v>21</v>
      </c>
      <c r="BJ92">
        <v>22</v>
      </c>
      <c r="BK92">
        <v>23</v>
      </c>
      <c r="BL92">
        <v>24</v>
      </c>
      <c r="BM92">
        <v>25</v>
      </c>
      <c r="BN92">
        <v>26</v>
      </c>
      <c r="BO92">
        <v>27</v>
      </c>
      <c r="BP92">
        <v>28</v>
      </c>
      <c r="BQ92">
        <v>29</v>
      </c>
      <c r="BR92">
        <v>30</v>
      </c>
      <c r="BS92">
        <v>31</v>
      </c>
      <c r="BT92">
        <v>32</v>
      </c>
      <c r="BU92">
        <v>33</v>
      </c>
    </row>
    <row r="93" spans="6:74" x14ac:dyDescent="0.35">
      <c r="G93" s="51" t="s">
        <v>334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AO93" s="51" t="s">
        <v>334</v>
      </c>
    </row>
    <row r="94" spans="6:74" x14ac:dyDescent="0.35">
      <c r="G94" s="51" t="s">
        <v>355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AO94" s="51" t="s">
        <v>14</v>
      </c>
    </row>
  </sheetData>
  <mergeCells count="7">
    <mergeCell ref="E19:E25"/>
    <mergeCell ref="BW19:BW25"/>
    <mergeCell ref="A4:BW4"/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IncAcum</vt:lpstr>
      <vt:lpstr>Gr1a Mort 3x3, nnt</vt:lpstr>
      <vt:lpstr>Gr1b Mort 3x3, %</vt:lpstr>
      <vt:lpstr>Gr2 MortCV 3x3</vt:lpstr>
      <vt:lpstr>Gr3 InsCar 3x3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2022-12-18T11:02:50Z</dcterms:modified>
</cp:coreProperties>
</file>