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alo\Desktop\Vac Inactiv\"/>
    </mc:Choice>
  </mc:AlternateContent>
  <bookViews>
    <workbookView xWindow="0" yWindow="0" windowWidth="20490" windowHeight="7545"/>
  </bookViews>
  <sheets>
    <sheet name="NNT y PtSLEv" sheetId="6" r:id="rId1"/>
    <sheet name="Gráf1 WIV04 LevModSev" sheetId="4" r:id="rId2"/>
    <sheet name="Gráf2 HB02 LevModSev" sheetId="8"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6" l="1"/>
  <c r="C23" i="8" l="1"/>
  <c r="D13" i="8"/>
  <c r="C13" i="8"/>
  <c r="D10" i="8"/>
  <c r="D14" i="8" s="1"/>
  <c r="B5" i="8"/>
  <c r="D8" i="8" s="1"/>
  <c r="E2" i="8"/>
  <c r="F14" i="8" s="1"/>
  <c r="A1" i="8"/>
  <c r="C8" i="8" l="1"/>
  <c r="D7" i="8"/>
  <c r="C9" i="8"/>
  <c r="C14" i="8" s="1"/>
  <c r="D11" i="8"/>
  <c r="D23" i="8"/>
  <c r="D24" i="8" s="1"/>
  <c r="C7" i="8"/>
  <c r="G2" i="8"/>
  <c r="B24" i="8"/>
  <c r="C11" i="8" l="1"/>
  <c r="C24" i="8"/>
  <c r="B5" i="4" l="1"/>
  <c r="H9" i="6" l="1"/>
  <c r="I8" i="6"/>
  <c r="I7" i="6"/>
  <c r="J60" i="6" l="1"/>
  <c r="K60" i="6"/>
  <c r="L60" i="6"/>
  <c r="M60" i="6"/>
  <c r="N60" i="6"/>
  <c r="S5" i="6" l="1"/>
  <c r="C23" i="4"/>
  <c r="D23" i="4" l="1"/>
  <c r="D24" i="4" l="1"/>
  <c r="B24" i="4"/>
  <c r="C24" i="4"/>
  <c r="V62" i="6" l="1"/>
  <c r="P14" i="6"/>
  <c r="T14" i="6"/>
  <c r="O14" i="6"/>
  <c r="S14" i="6" l="1"/>
  <c r="R14" i="6"/>
  <c r="Q14" i="6" l="1"/>
  <c r="S7" i="6"/>
  <c r="V7" i="6" s="1"/>
  <c r="T62" i="6"/>
  <c r="S6" i="6"/>
  <c r="V6" i="6" s="1"/>
  <c r="S62" i="6"/>
  <c r="R62" i="6" l="1"/>
  <c r="U62" i="6" s="1"/>
  <c r="S8" i="6"/>
  <c r="V8" i="6" s="1"/>
  <c r="D56" i="6"/>
  <c r="B53" i="6"/>
  <c r="G61" i="6" s="1"/>
  <c r="E41" i="6"/>
  <c r="E40" i="6"/>
  <c r="I23" i="6"/>
  <c r="I22" i="6"/>
  <c r="C22" i="6"/>
  <c r="B22" i="6"/>
  <c r="I21" i="6"/>
  <c r="C21" i="6"/>
  <c r="G14" i="6"/>
  <c r="E54" i="6" s="1"/>
  <c r="D14" i="6"/>
  <c r="F9" i="6"/>
  <c r="I9" i="6" s="1"/>
  <c r="D9" i="6"/>
  <c r="E8" i="6"/>
  <c r="C23" i="6" l="1"/>
  <c r="G23" i="6" s="1"/>
  <c r="S9" i="6"/>
  <c r="T8" i="6" s="1"/>
  <c r="E22" i="6"/>
  <c r="E42" i="6"/>
  <c r="N21" i="6"/>
  <c r="C41" i="6"/>
  <c r="C46" i="6" s="1"/>
  <c r="G21" i="6"/>
  <c r="G22" i="6"/>
  <c r="D22" i="6"/>
  <c r="J22" i="6" s="1"/>
  <c r="K56" i="6" s="1"/>
  <c r="D58" i="6" s="1"/>
  <c r="D62" i="6" s="1"/>
  <c r="B21" i="6"/>
  <c r="B23" i="6"/>
  <c r="C56" i="6"/>
  <c r="E61" i="6"/>
  <c r="B14" i="6"/>
  <c r="K14" i="6"/>
  <c r="F61" i="6"/>
  <c r="C40" i="6"/>
  <c r="T7" i="6" l="1"/>
  <c r="V9" i="6"/>
  <c r="T6" i="6"/>
  <c r="F22" i="6"/>
  <c r="L22" i="6" s="1"/>
  <c r="M56" i="6" s="1"/>
  <c r="C42" i="6"/>
  <c r="E21" i="6"/>
  <c r="N23" i="6"/>
  <c r="D21" i="6"/>
  <c r="F21" i="6" s="1"/>
  <c r="E9" i="6"/>
  <c r="C14" i="6"/>
  <c r="F14" i="6" s="1"/>
  <c r="I14" i="6" s="1"/>
  <c r="C45" i="6"/>
  <c r="E23" i="6"/>
  <c r="D23" i="6"/>
  <c r="F23" i="6" s="1"/>
  <c r="K22" i="6" l="1"/>
  <c r="L56" i="6" s="1"/>
  <c r="N56" i="6" s="1"/>
  <c r="E14" i="6"/>
  <c r="H14" i="6" s="1"/>
  <c r="E55" i="6" s="1"/>
  <c r="M14" i="6"/>
  <c r="E56" i="6"/>
  <c r="Q28" i="6"/>
  <c r="J23" i="6"/>
  <c r="K57" i="6" s="1"/>
  <c r="W22" i="6"/>
  <c r="W21" i="6"/>
  <c r="J21" i="6"/>
  <c r="K55" i="6" s="1"/>
  <c r="J26" i="6"/>
  <c r="L23" i="6"/>
  <c r="M57" i="6" s="1"/>
  <c r="K23" i="6"/>
  <c r="L57" i="6" s="1"/>
  <c r="D41" i="6"/>
  <c r="D46" i="6" s="1"/>
  <c r="D40" i="6"/>
  <c r="L21" i="6"/>
  <c r="M55" i="6" s="1"/>
  <c r="K21" i="6"/>
  <c r="L55" i="6" s="1"/>
  <c r="L14" i="6" l="1"/>
  <c r="E58" i="6"/>
  <c r="E62" i="6" s="1"/>
  <c r="D42" i="6"/>
  <c r="D45" i="6"/>
  <c r="C48" i="6" s="1"/>
  <c r="K41" i="6"/>
  <c r="I40" i="6" s="1"/>
  <c r="F54" i="6"/>
  <c r="N31" i="6"/>
  <c r="N32" i="6" s="1"/>
  <c r="K26" i="6"/>
  <c r="L26" i="6"/>
  <c r="N22" i="6"/>
  <c r="N24" i="6" s="1"/>
  <c r="N25" i="6" s="1"/>
  <c r="N26" i="6" s="1"/>
  <c r="J27" i="6"/>
  <c r="J35" i="6" s="1"/>
  <c r="N57" i="6"/>
  <c r="N55" i="6"/>
  <c r="C58" i="6"/>
  <c r="C62" i="6" s="1"/>
  <c r="W23" i="6"/>
  <c r="W24" i="6" s="1"/>
  <c r="W25" i="6" s="1"/>
  <c r="J32" i="6" l="1"/>
  <c r="T3" i="6" s="1"/>
  <c r="F55" i="6"/>
  <c r="L27" i="6"/>
  <c r="K35" i="6" s="1"/>
  <c r="M62" i="6"/>
  <c r="P62" i="6" s="1"/>
  <c r="F56" i="6"/>
  <c r="L62" i="6"/>
  <c r="O62" i="6" s="1"/>
  <c r="K27" i="6"/>
  <c r="L35" i="6" s="1"/>
  <c r="G46" i="6"/>
  <c r="C49" i="6"/>
  <c r="J62" i="6" s="1"/>
  <c r="J34" i="6"/>
  <c r="J36" i="6"/>
  <c r="J31" i="6"/>
  <c r="U3" i="6" s="1"/>
  <c r="G54" i="6"/>
  <c r="J29" i="6"/>
  <c r="J37" i="6"/>
  <c r="J30" i="6"/>
  <c r="V3" i="6" s="1"/>
  <c r="H56" i="6"/>
  <c r="H58" i="6" s="1"/>
  <c r="H62" i="6" s="1"/>
  <c r="N33" i="6"/>
  <c r="S3" i="6" l="1"/>
  <c r="K32" i="6"/>
  <c r="F58" i="6"/>
  <c r="F62" i="6" s="1"/>
  <c r="G55" i="6"/>
  <c r="K36" i="6"/>
  <c r="L29" i="6"/>
  <c r="K34" i="6"/>
  <c r="L31" i="6"/>
  <c r="L30" i="6"/>
  <c r="K37" i="6"/>
  <c r="L36" i="6"/>
  <c r="K31" i="6"/>
  <c r="L34" i="6"/>
  <c r="K29" i="6"/>
  <c r="G56" i="6"/>
  <c r="K30" i="6"/>
  <c r="L37" i="6"/>
  <c r="L32" i="6"/>
  <c r="G58" i="6" l="1"/>
  <c r="G62" i="6" s="1"/>
  <c r="D13" i="4"/>
  <c r="C13" i="4"/>
  <c r="E2" i="4"/>
  <c r="G2" i="4" s="1"/>
  <c r="A1" i="4"/>
  <c r="D10" i="4" l="1"/>
  <c r="D14" i="4" s="1"/>
  <c r="C7" i="4"/>
  <c r="F14" i="4"/>
  <c r="D7" i="4"/>
  <c r="C8" i="4"/>
  <c r="D8" i="4"/>
  <c r="C9" i="4"/>
  <c r="C14" i="4" s="1"/>
  <c r="D11" i="4" l="1"/>
  <c r="C11" i="4"/>
</calcChain>
</file>

<file path=xl/sharedStrings.xml><?xml version="1.0" encoding="utf-8"?>
<sst xmlns="http://schemas.openxmlformats.org/spreadsheetml/2006/main" count="374" uniqueCount="252">
  <si>
    <t>días</t>
  </si>
  <si>
    <t>Resto de t sin éxito</t>
  </si>
  <si>
    <t>tSLEv sin la intervención</t>
  </si>
  <si>
    <t>PtSLEv por la intervención</t>
  </si>
  <si>
    <t>de los</t>
  </si>
  <si>
    <t>del grupo Interv</t>
  </si>
  <si>
    <t>del grupo Contr</t>
  </si>
  <si>
    <t>NO</t>
  </si>
  <si>
    <t>puede representarse llegando los</t>
  </si>
  <si>
    <t>pacientes, a los</t>
  </si>
  <si>
    <t>, pues habría que recortar o ampliar los tiempos respectivos de uno o más pacientes "libres de evento" o "con evento"</t>
  </si>
  <si>
    <t>NNT</t>
  </si>
  <si>
    <t xml:space="preserve">NOTA: </t>
  </si>
  <si>
    <t>Distribuir cuadros verdes tras todos los supervivientes al evento</t>
  </si>
  <si>
    <t>Personas</t>
  </si>
  <si>
    <t>IC</t>
  </si>
  <si>
    <t>Enferman</t>
  </si>
  <si>
    <t>No enferman</t>
  </si>
  <si>
    <t>Con eventos</t>
  </si>
  <si>
    <t>Sin eventos</t>
  </si>
  <si>
    <t>Total</t>
  </si>
  <si>
    <r>
      <t xml:space="preserve">Los límites del intervalos de confianza son los exponentes neperianos o antilogaritmos de la ecuación [ ln RR + - Z </t>
    </r>
    <r>
      <rPr>
        <b/>
        <vertAlign val="subscript"/>
        <sz val="10"/>
        <rFont val="Calibri"/>
        <family val="2"/>
      </rPr>
      <t>α/2</t>
    </r>
    <r>
      <rPr>
        <b/>
        <sz val="10"/>
        <rFont val="Calibri"/>
        <family val="2"/>
      </rPr>
      <t xml:space="preserve"> * EE (ln RR) ]</t>
    </r>
  </si>
  <si>
    <t>EE del ln RR = Raíz (varianza del ln RR) = Raíz [b/ a(a+b)]+[d / c(c+d)]. También es igual a Raíz (1/a + 1/c - 1/a+b -1/c+d)</t>
  </si>
  <si>
    <t>ln RR</t>
  </si>
  <si>
    <t>EE del ln RR = Raíz (varianza del ln RR) = Raíz [b / a(a+b)]+[d/ c(c+d)]</t>
  </si>
  <si>
    <r>
      <t xml:space="preserve">Z </t>
    </r>
    <r>
      <rPr>
        <b/>
        <vertAlign val="subscript"/>
        <sz val="10"/>
        <rFont val="Calibri"/>
        <family val="2"/>
      </rPr>
      <t>α/2</t>
    </r>
  </si>
  <si>
    <t>ln del LI IC</t>
  </si>
  <si>
    <t>ln del LS IC</t>
  </si>
  <si>
    <t>RR</t>
  </si>
  <si>
    <t>LI del IC</t>
  </si>
  <si>
    <t>LS del IC</t>
  </si>
  <si>
    <t>RRR</t>
  </si>
  <si>
    <t>Límite inferior del IC</t>
  </si>
  <si>
    <t>Límite superior del IC</t>
  </si>
  <si>
    <r>
      <t xml:space="preserve">MÉTODO DE NEWCOMBE-WILSON: </t>
    </r>
    <r>
      <rPr>
        <sz val="10"/>
        <rFont val="Calibri"/>
        <family val="2"/>
      </rPr>
      <t>Que puede utilizarse sin necesidad de estar pendientes del tamaño del amuestra o de proporciones cuyo p &lt;5 / n. Por ello puede utilizarse para las excepciones anteriores y para todas todas</t>
    </r>
  </si>
  <si>
    <t>Para calcular el IC 95% se sigue la iteración de calcular tres valores, que denominamos A, B y C. Pues bien, el IC = (A+-B) / C; y sale directamente sin sumar ni restar a la estimación puntual. Se observará que los extremos tienen distinta extensión.</t>
  </si>
  <si>
    <t>Aunque es mejor calcularlo por ji^2 de Pearson, puede utilizarse una aproximación al cálculo de la "p de la diferencia"</t>
  </si>
  <si>
    <r>
      <t>p</t>
    </r>
    <r>
      <rPr>
        <sz val="10"/>
        <rFont val="Calibri"/>
        <family val="2"/>
      </rPr>
      <t xml:space="preserve"> = eventos / n</t>
    </r>
  </si>
  <si>
    <t>A= 2*eventos + z^2</t>
  </si>
  <si>
    <r>
      <t xml:space="preserve">B= z * Raíz [z^2 + 4*eventos (1 - </t>
    </r>
    <r>
      <rPr>
        <i/>
        <sz val="10"/>
        <rFont val="Calibri"/>
        <family val="2"/>
      </rPr>
      <t>p</t>
    </r>
    <r>
      <rPr>
        <sz val="10"/>
        <rFont val="Calibri"/>
        <family val="2"/>
      </rPr>
      <t xml:space="preserve">)] </t>
    </r>
  </si>
  <si>
    <t>C= 2(n+z^2)</t>
  </si>
  <si>
    <t>IC = (A+-B)/C</t>
  </si>
  <si>
    <t>Coinciden z^2 de una distribución normal tipificada (=&gt; muestras grandes) con ji^2 con un grado de libertad (EA, pág 254)</t>
  </si>
  <si>
    <t>eventos</t>
  </si>
  <si>
    <t>n (de muestra)</t>
  </si>
  <si>
    <t>p (proporción) = eventos / n</t>
  </si>
  <si>
    <r>
      <t xml:space="preserve">B= z * Raíz [z^2 + 4*eventos (1 - </t>
    </r>
    <r>
      <rPr>
        <b/>
        <i/>
        <sz val="10"/>
        <rFont val="Calibri"/>
        <family val="2"/>
      </rPr>
      <t>p</t>
    </r>
    <r>
      <rPr>
        <b/>
        <sz val="10"/>
        <rFont val="Calibri"/>
        <family val="2"/>
      </rPr>
      <t xml:space="preserve">)] </t>
    </r>
  </si>
  <si>
    <t>Z α/2 (0,05)</t>
  </si>
  <si>
    <t>Proporción</t>
  </si>
  <si>
    <t>CÁLCULO DE LA POTENCIA:</t>
  </si>
  <si>
    <r>
      <t>Zβ = [Raíz (nd^2 /2</t>
    </r>
    <r>
      <rPr>
        <i/>
        <sz val="10"/>
        <rFont val="Calibri"/>
        <family val="2"/>
      </rPr>
      <t>p</t>
    </r>
    <r>
      <rPr>
        <sz val="10"/>
        <rFont val="Calibri"/>
        <family val="2"/>
      </rPr>
      <t>m*</t>
    </r>
    <r>
      <rPr>
        <i/>
        <sz val="10"/>
        <rFont val="Calibri"/>
        <family val="2"/>
      </rPr>
      <t>q</t>
    </r>
    <r>
      <rPr>
        <sz val="10"/>
        <rFont val="Calibri"/>
        <family val="2"/>
      </rPr>
      <t>m)] - Z α/2 (0,05)</t>
    </r>
  </si>
  <si>
    <r>
      <t xml:space="preserve">CÁLCULO DE LA </t>
    </r>
    <r>
      <rPr>
        <b/>
        <i/>
        <sz val="9"/>
        <rFont val="Calibri"/>
        <family val="2"/>
      </rPr>
      <t>p</t>
    </r>
  </si>
  <si>
    <r>
      <t xml:space="preserve">Z </t>
    </r>
    <r>
      <rPr>
        <vertAlign val="subscript"/>
        <sz val="10"/>
        <rFont val="Calibri"/>
        <family val="2"/>
      </rPr>
      <t>α/2</t>
    </r>
    <r>
      <rPr>
        <sz val="10"/>
        <rFont val="Calibri"/>
        <family val="2"/>
      </rPr>
      <t xml:space="preserve"> = Dif Proporc / EE</t>
    </r>
    <r>
      <rPr>
        <vertAlign val="subscript"/>
        <sz val="10"/>
        <rFont val="Calibri"/>
        <family val="2"/>
      </rPr>
      <t xml:space="preserve"> dif proporc</t>
    </r>
  </si>
  <si>
    <t xml:space="preserve"> p (no rechazar Ho │ Ho verdadera)</t>
  </si>
  <si>
    <t>Operar</t>
  </si>
  <si>
    <t>n = nº de los que hay en cada grupo (ojo, no de la suma de ambos)</t>
  </si>
  <si>
    <t>Dif Proporc =  RAR</t>
  </si>
  <si>
    <r>
      <t xml:space="preserve">1-α =  p (no rechazar Ho </t>
    </r>
    <r>
      <rPr>
        <sz val="10"/>
        <rFont val="Calibri"/>
        <family val="2"/>
      </rPr>
      <t>│ Ho verdadera)</t>
    </r>
  </si>
  <si>
    <t>d = diferencia de proporciones de ambos grupos o RAR</t>
  </si>
  <si>
    <r>
      <t xml:space="preserve">EE </t>
    </r>
    <r>
      <rPr>
        <vertAlign val="subscript"/>
        <sz val="10"/>
        <rFont val="Calibri"/>
        <family val="2"/>
      </rPr>
      <t>dif proporc</t>
    </r>
    <r>
      <rPr>
        <sz val="10"/>
        <rFont val="Calibri"/>
        <family val="2"/>
      </rPr>
      <t xml:space="preserve"> = Raíz{ [PM*(1-PM)/n</t>
    </r>
    <r>
      <rPr>
        <vertAlign val="subscript"/>
        <sz val="10"/>
        <rFont val="Calibri"/>
        <family val="2"/>
      </rPr>
      <t>1</t>
    </r>
    <r>
      <rPr>
        <sz val="10"/>
        <rFont val="Calibri"/>
        <family val="2"/>
      </rPr>
      <t>] + [PM*(1-PM)/n</t>
    </r>
    <r>
      <rPr>
        <vertAlign val="subscript"/>
        <sz val="10"/>
        <rFont val="Calibri"/>
        <family val="2"/>
      </rPr>
      <t>2</t>
    </r>
    <r>
      <rPr>
        <sz val="10"/>
        <rFont val="Calibri"/>
        <family val="2"/>
      </rPr>
      <t xml:space="preserve">] }= </t>
    </r>
  </si>
  <si>
    <t>pM = proporción "media" de los eventos = nº total eventos / nº suma de ambos grupos; qM= complementario</t>
  </si>
  <si>
    <t>Z α/2 = Dif Proporc / EE Dif proporc</t>
  </si>
  <si>
    <t>A continuación, se aplica: IC = RAR - Raíz [(p1-Li1)^2 + (Ls2-p2)^2]  hasta RAR + Raíz [(p2-Li2)^2 + (Ls1-p1)^2], cuidando colocar arriba la proporción mayor y abajo la menor</t>
  </si>
  <si>
    <r>
      <t>Zβ = [Raíz (n* Dif Proporc</t>
    </r>
    <r>
      <rPr>
        <vertAlign val="superscript"/>
        <sz val="10"/>
        <rFont val="Calibri"/>
        <family val="2"/>
      </rPr>
      <t>2</t>
    </r>
    <r>
      <rPr>
        <sz val="10"/>
        <rFont val="Calibri"/>
        <family val="2"/>
      </rPr>
      <t xml:space="preserve"> /2PM</t>
    </r>
    <r>
      <rPr>
        <sz val="10"/>
        <rFont val="Calibri"/>
        <family val="2"/>
      </rPr>
      <t>*(1-PM)] - Z α/2</t>
    </r>
  </si>
  <si>
    <t>α = probab de que la diferencia detectada entre ambos sea debida al azar, en caso de que no exista</t>
  </si>
  <si>
    <r>
      <t>Ls1:</t>
    </r>
    <r>
      <rPr>
        <sz val="10"/>
        <rFont val="Calibri"/>
        <family val="2"/>
      </rPr>
      <t xml:space="preserve"> límite superior del grupo 1; </t>
    </r>
    <r>
      <rPr>
        <b/>
        <sz val="10"/>
        <rFont val="Calibri"/>
        <family val="2"/>
      </rPr>
      <t xml:space="preserve">Li2: </t>
    </r>
    <r>
      <rPr>
        <sz val="10"/>
        <rFont val="Calibri"/>
        <family val="2"/>
      </rPr>
      <t>límite inferior del grupo 2</t>
    </r>
  </si>
  <si>
    <t>1 -β = potencia estadística resultante =&gt; probab de detectar una diferencia entre ambos, en caso de que exista</t>
  </si>
  <si>
    <t>1-α = nivel e confianza =  p (no rechazar Ho │ Ho verdadera)</t>
  </si>
  <si>
    <t>RAR =</t>
  </si>
  <si>
    <t xml:space="preserve"> β =&gt; probabilidad de no detectar una diferencia que sí exista.</t>
  </si>
  <si>
    <t>NNT =</t>
  </si>
  <si>
    <t>APLICAR SÓLO SI EL NNT Y SUS IC SON POSITIVOS</t>
  </si>
  <si>
    <t>Potencia de contraste</t>
  </si>
  <si>
    <r>
      <t xml:space="preserve">1 -β =  p (rechazar Ho </t>
    </r>
    <r>
      <rPr>
        <sz val="10"/>
        <rFont val="Calibri"/>
        <family val="2"/>
      </rPr>
      <t>│ Ho falsa)</t>
    </r>
  </si>
  <si>
    <t>DM: diferencia de proporciones</t>
  </si>
  <si>
    <t>Permanecerán sanos sin tomar el Mto de Intervención</t>
  </si>
  <si>
    <r>
      <t>Z</t>
    </r>
    <r>
      <rPr>
        <vertAlign val="subscript"/>
        <sz val="10"/>
        <rFont val="Calibri"/>
        <family val="2"/>
      </rPr>
      <t>1-</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Z</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</si>
  <si>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t>=&gt;</t>
  </si>
  <si>
    <r>
      <t>EEDM (Z</t>
    </r>
    <r>
      <rPr>
        <vertAlign val="subscript"/>
        <sz val="10"/>
        <rFont val="Calibri"/>
        <family val="2"/>
      </rPr>
      <t>1-</t>
    </r>
    <r>
      <rPr>
        <vertAlign val="subscript"/>
        <sz val="10"/>
        <rFont val="Calibri"/>
        <family val="2"/>
      </rPr>
      <t>α/2</t>
    </r>
    <r>
      <rPr>
        <sz val="10"/>
        <rFont val="Calibri"/>
        <family val="2"/>
      </rPr>
      <t xml:space="preserve"> + Z</t>
    </r>
    <r>
      <rPr>
        <vertAlign val="subscript"/>
        <sz val="10"/>
        <rFont val="Calibri"/>
        <family val="2"/>
      </rPr>
      <t>β</t>
    </r>
    <r>
      <rPr>
        <sz val="10"/>
        <rFont val="Calibri"/>
        <family val="2"/>
      </rPr>
      <t xml:space="preserve">) </t>
    </r>
    <r>
      <rPr>
        <sz val="10"/>
        <rFont val="Calibri"/>
        <family val="2"/>
      </rPr>
      <t>= DM</t>
    </r>
  </si>
  <si>
    <t>Permanecerán sanos por tomar el Mto de Intervención</t>
  </si>
  <si>
    <r>
      <t>Z</t>
    </r>
    <r>
      <rPr>
        <vertAlign val="subscript"/>
        <sz val="10"/>
        <rFont val="Calibri"/>
        <family val="2"/>
      </rPr>
      <t>β</t>
    </r>
    <r>
      <rPr>
        <sz val="10"/>
        <rFont val="Calibri"/>
        <family val="2"/>
      </rPr>
      <t xml:space="preserve">  =  (DM/EE</t>
    </r>
    <r>
      <rPr>
        <vertAlign val="subscript"/>
        <sz val="10"/>
        <rFont val="Calibri"/>
        <family val="2"/>
      </rPr>
      <t>DM</t>
    </r>
    <r>
      <rPr>
        <sz val="10"/>
        <rFont val="Calibri"/>
        <family val="2"/>
      </rPr>
      <t>) - Z</t>
    </r>
    <r>
      <rPr>
        <vertAlign val="subscript"/>
        <sz val="10"/>
        <rFont val="Calibri"/>
        <family val="2"/>
      </rPr>
      <t>1-α/2</t>
    </r>
    <r>
      <rPr>
        <sz val="10"/>
        <rFont val="Calibri"/>
        <family val="2"/>
      </rPr>
      <t xml:space="preserve"> </t>
    </r>
  </si>
  <si>
    <t>Enfermarán incluso tomando el Mto de Intervención</t>
  </si>
  <si>
    <t>1 -β =  potencia estadística resultante =  p de detectar una diferencia entre ambos, en caso de que exista</t>
  </si>
  <si>
    <t>β =  probabilidad de no detectar una diferencia que sí exista =  p (no rechazar Ho │ Ho falsa)</t>
  </si>
  <si>
    <t>APLICAR SÓLO SI EL NNT Y SUS IC SON NEGATIVOS</t>
  </si>
  <si>
    <t>NND</t>
  </si>
  <si>
    <t>Enfermarán por tomar el Mto de Intervención</t>
  </si>
  <si>
    <t>Chi cuadrado de Pearson</t>
  </si>
  <si>
    <t>Enfermarán incluso sin tomar el Mto de Intervención</t>
  </si>
  <si>
    <t>Esperadas</t>
  </si>
  <si>
    <t>Expuestos</t>
  </si>
  <si>
    <t xml:space="preserve">χ² teórico alfa 0,05, y 1 g.l = </t>
  </si>
  <si>
    <t>No expuestos</t>
  </si>
  <si>
    <t>Grados de libertad = (Nº filas - 1 ) x (Nº columnas -1) =</t>
  </si>
  <si>
    <t>Totales</t>
  </si>
  <si>
    <t>Si χ² cal &lt; χ² teórico =&gt;</t>
  </si>
  <si>
    <t>Se acepta Ho =&gt; existe homogeneidad o independencia de la intervención estudiada</t>
  </si>
  <si>
    <t>Si χ² cal &gt; χ² teórico =&gt;</t>
  </si>
  <si>
    <t>Se rechaza Ho =&gt; existe heterogenicidad o dependencia de la intervención estudiada</t>
  </si>
  <si>
    <r>
      <t>χ² cal= Sumat (observado</t>
    </r>
    <r>
      <rPr>
        <vertAlign val="subscript"/>
        <sz val="10"/>
        <rFont val="Calibri"/>
        <family val="2"/>
      </rPr>
      <t xml:space="preserve"> i </t>
    </r>
    <r>
      <rPr>
        <sz val="10"/>
        <rFont val="Calibri"/>
        <family val="2"/>
      </rPr>
      <t xml:space="preserve">- esperado </t>
    </r>
    <r>
      <rPr>
        <vertAlign val="subscript"/>
        <sz val="10"/>
        <rFont val="Calibri"/>
        <family val="2"/>
      </rPr>
      <t>i</t>
    </r>
    <r>
      <rPr>
        <sz val="10"/>
        <rFont val="Calibri"/>
        <family val="2"/>
      </rPr>
      <t>)</t>
    </r>
    <r>
      <rPr>
        <vertAlign val="superscript"/>
        <sz val="10"/>
        <rFont val="Calibri"/>
        <family val="2"/>
      </rPr>
      <t>2</t>
    </r>
    <r>
      <rPr>
        <sz val="10"/>
        <rFont val="Calibri"/>
        <family val="2"/>
      </rPr>
      <t xml:space="preserve"> / esperado </t>
    </r>
    <r>
      <rPr>
        <vertAlign val="subscript"/>
        <sz val="10"/>
        <rFont val="Calibri"/>
        <family val="2"/>
      </rPr>
      <t>i</t>
    </r>
    <r>
      <rPr>
        <sz val="10"/>
        <rFont val="Calibri"/>
        <family val="2"/>
      </rPr>
      <t>)</t>
    </r>
  </si>
  <si>
    <t>χ² cal - χ² teórico =</t>
  </si>
  <si>
    <t>χ² cal= Suma [(ao-ae)^2/ae +(bo-be)^2/be + (co-ce)^2/ce + (do-de)^2/de)]</t>
  </si>
  <si>
    <t>Es &lt; 0 =&gt;Acepto Ho =&gt; Homogeneidad o independencia (o tratamiento no eficaz)</t>
  </si>
  <si>
    <t>χ² cal=</t>
  </si>
  <si>
    <t>Es &gt; 0 =&gt;Rechazo Ho =&gt; Heterogenicidad o dependencia (o tratamiento eficaz)</t>
  </si>
  <si>
    <r>
      <t>Corresponde a</t>
    </r>
    <r>
      <rPr>
        <b/>
        <i/>
        <sz val="10"/>
        <rFont val="Calibri"/>
        <family val="2"/>
      </rPr>
      <t xml:space="preserve"> p</t>
    </r>
    <r>
      <rPr>
        <sz val="10"/>
        <rFont val="Calibri"/>
        <family val="2"/>
      </rPr>
      <t>=</t>
    </r>
  </si>
  <si>
    <t>Cálculo por incidencias acumuladas</t>
  </si>
  <si>
    <t>Estimación puntual e IC de cada proporción</t>
  </si>
  <si>
    <t>(</t>
  </si>
  <si>
    <t>-</t>
  </si>
  <si>
    <t>)</t>
  </si>
  <si>
    <t>%</t>
  </si>
  <si>
    <t>Nº event Interv (%)</t>
  </si>
  <si>
    <t>Nº event Control (%)</t>
  </si>
  <si>
    <t>RAR</t>
  </si>
  <si>
    <t>potencia</t>
  </si>
  <si>
    <t>a</t>
  </si>
  <si>
    <t>/</t>
  </si>
  <si>
    <t>Potencia</t>
  </si>
  <si>
    <t>% Intervención (Fact Box)</t>
  </si>
  <si>
    <t>% Control (Fact Box)</t>
  </si>
  <si>
    <t>t medio con Ev, con ABC por polígonos</t>
  </si>
  <si>
    <t>t x ABC, Intev</t>
  </si>
  <si>
    <t>t x ABC, Contr</t>
  </si>
  <si>
    <t>meses</t>
  </si>
  <si>
    <t>tiempo</t>
  </si>
  <si>
    <t>Meses</t>
  </si>
  <si>
    <t>RA interv</t>
  </si>
  <si>
    <t>RA contr</t>
  </si>
  <si>
    <t>destinos NNT</t>
  </si>
  <si>
    <r>
      <rPr>
        <i/>
        <sz val="10"/>
        <rFont val="Calibri"/>
        <family val="2"/>
      </rPr>
      <t xml:space="preserve">p </t>
    </r>
    <r>
      <rPr>
        <b/>
        <sz val="10"/>
        <rFont val="Calibri"/>
        <family val="2"/>
      </rPr>
      <t>para la diferencia</t>
    </r>
  </si>
  <si>
    <t>Cálculo por incidencias acumuladas de RR, RAR, NNT, potencia estadística y valor de p</t>
  </si>
  <si>
    <t>Estimación puntual de las incidencias acumuladas</t>
  </si>
  <si>
    <t>Permanecenn sin Ev gracias a Mto Intervención</t>
  </si>
  <si>
    <t>Permanen sin Ev sin tomar Mto Intervención</t>
  </si>
  <si>
    <t>Tendrán el Ev, incluso tomando Mto Intervención</t>
  </si>
  <si>
    <t>RR (IC 95%)</t>
  </si>
  <si>
    <t>RAR (IC 95%)</t>
  </si>
  <si>
    <t>NNT (IC 95%)</t>
  </si>
  <si>
    <t>Vacuna</t>
  </si>
  <si>
    <t>Hoja información al usuario que no se maneja con los IC</t>
  </si>
  <si>
    <r>
      <t xml:space="preserve">Valor de </t>
    </r>
    <r>
      <rPr>
        <b/>
        <i/>
        <sz val="10"/>
        <rFont val="Calibri"/>
        <family val="2"/>
      </rPr>
      <t>p</t>
    </r>
    <r>
      <rPr>
        <sz val="10"/>
        <rFont val="Calibri"/>
        <family val="2"/>
      </rPr>
      <t xml:space="preserve"> para la diferencia</t>
    </r>
  </si>
  <si>
    <t>nº Eventos crudos (%)</t>
  </si>
  <si>
    <t>Cálculos por incidencias acumuladas</t>
  </si>
  <si>
    <t>tiempo medio de Supervivencia Libre de Evento (tSLEv) sin la intervención</t>
  </si>
  <si>
    <t>Prolongación del tiempo medio de Supervivencia Libre de Evento (PtSLEv) por la intervención</t>
  </si>
  <si>
    <t>Resto de tiempo sin éxito durante todo el tiempo de seguimiento</t>
  </si>
  <si>
    <t>Total de t de seguimiento</t>
  </si>
  <si>
    <t>Total del tiempo medio de seguimiento</t>
  </si>
  <si>
    <t>Nº de personas con evento por cada 100 tratadas con</t>
  </si>
  <si>
    <t>% Interv (Fact Box)</t>
  </si>
  <si>
    <r>
      <t>Abreviaturas</t>
    </r>
    <r>
      <rPr>
        <sz val="8"/>
        <rFont val="Calibri"/>
        <family val="2"/>
      </rPr>
      <t xml:space="preserve">: </t>
    </r>
    <r>
      <rPr>
        <b/>
        <sz val="8"/>
        <rFont val="Calibri"/>
        <family val="2"/>
      </rPr>
      <t xml:space="preserve">IC: </t>
    </r>
    <r>
      <rPr>
        <sz val="8"/>
        <rFont val="Calibri"/>
        <family val="2"/>
      </rPr>
      <t xml:space="preserve">intervalo de confianza; </t>
    </r>
    <r>
      <rPr>
        <b/>
        <sz val="8"/>
        <rFont val="Calibri"/>
        <family val="2"/>
      </rPr>
      <t>RA</t>
    </r>
    <r>
      <rPr>
        <sz val="8"/>
        <rFont val="Calibri"/>
        <family val="2"/>
      </rPr>
      <t>: Riesgo Absoluto;</t>
    </r>
    <r>
      <rPr>
        <b/>
        <sz val="8"/>
        <rFont val="Calibri"/>
        <family val="2"/>
      </rPr>
      <t xml:space="preserve"> RR</t>
    </r>
    <r>
      <rPr>
        <sz val="8"/>
        <rFont val="Calibri"/>
        <family val="2"/>
      </rPr>
      <t xml:space="preserve">: Riesgo Relativo; </t>
    </r>
    <r>
      <rPr>
        <b/>
        <sz val="8"/>
        <rFont val="Calibri"/>
        <family val="2"/>
      </rPr>
      <t>RAR</t>
    </r>
    <r>
      <rPr>
        <sz val="8"/>
        <rFont val="Calibri"/>
        <family val="2"/>
      </rPr>
      <t xml:space="preserve">: Reducción Absoluta del Riesgo; </t>
    </r>
    <r>
      <rPr>
        <b/>
        <sz val="8"/>
        <rFont val="Calibri"/>
        <family val="2"/>
      </rPr>
      <t>NNT</t>
    </r>
    <r>
      <rPr>
        <sz val="8"/>
        <rFont val="Calibri"/>
        <family val="2"/>
      </rPr>
      <t xml:space="preserve">: Número Necesario a Tratar para evitar un evento; </t>
    </r>
    <r>
      <rPr>
        <b/>
        <sz val="8"/>
        <rFont val="Calibri"/>
        <family val="2"/>
      </rPr>
      <t xml:space="preserve">tSLEv: </t>
    </r>
    <r>
      <rPr>
        <sz val="8"/>
        <rFont val="Calibri"/>
        <family val="2"/>
      </rPr>
      <t xml:space="preserve">tiempo medio de Supervivencia Libre de Evento; </t>
    </r>
    <r>
      <rPr>
        <b/>
        <sz val="8"/>
        <rFont val="Calibri"/>
        <family val="2"/>
      </rPr>
      <t>PtSLEv:</t>
    </r>
    <r>
      <rPr>
        <sz val="8"/>
        <rFont val="Calibri"/>
        <family val="2"/>
      </rPr>
      <t xml:space="preserve"> Prolongación del tiempo medio de Supervivencia Libre de Evento.</t>
    </r>
  </si>
  <si>
    <t>Los 3 destinos del NNT</t>
  </si>
  <si>
    <t>Los 3 tiempos biográficos</t>
  </si>
  <si>
    <t>personas-año</t>
  </si>
  <si>
    <r>
      <rPr>
        <sz val="10"/>
        <color indexed="12"/>
        <rFont val="Calibri"/>
        <family val="2"/>
      </rPr>
      <t>(</t>
    </r>
    <r>
      <rPr>
        <sz val="10"/>
        <color indexed="12"/>
        <rFont val="Symbol"/>
        <family val="1"/>
        <charset val="2"/>
      </rPr>
      <t># #</t>
    </r>
    <r>
      <rPr>
        <sz val="10"/>
        <color indexed="12"/>
        <rFont val="Calibri"/>
        <family val="2"/>
      </rPr>
      <t>)</t>
    </r>
    <r>
      <rPr>
        <sz val="10"/>
        <rFont val="Calibri"/>
        <family val="2"/>
      </rPr>
      <t xml:space="preserve"> La FDA define un evento adverso grave (serious adverse event, SAE) cuando el resultado del paciente es uno de los siguientes: 1) Muerte; 2) Amenaza de la vida; 3) Hospitalización (inicial o prolongada); 4) Discapacidad o cambios significativos, persistentes o permanentes, deterioro, daño o interrupción en la función o en la estructura del cuerpo del paciente, actividades físicas o calidad de vida; 5) Anomalía congénita; o 6) Requiere intervención para prevenir un empeoramiento o daño permanentes.</t>
    </r>
  </si>
  <si>
    <r>
      <rPr>
        <sz val="10"/>
        <color rgb="FF0000CC"/>
        <rFont val="Calibri"/>
        <family val="2"/>
        <scheme val="minor"/>
      </rPr>
      <t>(</t>
    </r>
    <r>
      <rPr>
        <sz val="10"/>
        <color rgb="FF0000CC"/>
        <rFont val="Symbol"/>
        <family val="1"/>
        <charset val="2"/>
      </rPr>
      <t>#</t>
    </r>
    <r>
      <rPr>
        <sz val="10"/>
        <color rgb="FF0000CC"/>
        <rFont val="Calibri"/>
        <family val="2"/>
        <scheme val="minor"/>
      </rPr>
      <t>)</t>
    </r>
    <r>
      <rPr>
        <b/>
        <u/>
        <sz val="10"/>
        <color theme="1"/>
        <rFont val="Calibri"/>
        <family val="2"/>
        <scheme val="minor"/>
      </rPr>
      <t xml:space="preserve"> Gr</t>
    </r>
    <r>
      <rPr>
        <b/>
        <u/>
        <sz val="10"/>
        <rFont val="Calibri"/>
        <family val="2"/>
        <scheme val="minor"/>
      </rPr>
      <t>ado 3</t>
    </r>
    <r>
      <rPr>
        <b/>
        <sz val="10"/>
        <rFont val="Calibri"/>
        <family val="2"/>
        <scheme val="minor"/>
      </rPr>
      <t xml:space="preserve">: </t>
    </r>
    <r>
      <rPr>
        <sz val="10"/>
        <rFont val="Calibri"/>
        <family val="2"/>
        <scheme val="minor"/>
      </rPr>
      <t>Grave o médicamente significativo, pero no inmediatamente amenazante de la vida; hospitalización o prolongación de la hospitalización indicada; limitación o incapacitación para las actividades de la vida diaria (AVD) de autocuidado</t>
    </r>
    <r>
      <rPr>
        <sz val="10"/>
        <color theme="1"/>
        <rFont val="Calibri"/>
        <family val="2"/>
        <scheme val="minor"/>
      </rPr>
      <t xml:space="preserve"> (bañarse, vestirse y desvestirse, alimentarse, usar el baño, tomar medicamentos y no postrarse en cama. </t>
    </r>
    <r>
      <rPr>
        <b/>
        <u/>
        <sz val="10"/>
        <rFont val="Calibri"/>
        <family val="2"/>
        <scheme val="minor"/>
      </rPr>
      <t>Grado 4</t>
    </r>
    <r>
      <rPr>
        <b/>
        <sz val="10"/>
        <rFont val="Calibri"/>
        <family val="2"/>
        <scheme val="minor"/>
      </rPr>
      <t xml:space="preserve">: </t>
    </r>
    <r>
      <rPr>
        <sz val="10"/>
        <rFont val="Calibri"/>
        <family val="2"/>
        <scheme val="minor"/>
      </rPr>
      <t xml:space="preserve">Consecuencias amenazantes de la vida; intervención urgente indicada. </t>
    </r>
    <r>
      <rPr>
        <b/>
        <u/>
        <sz val="10"/>
        <rFont val="Calibri"/>
        <family val="2"/>
        <scheme val="minor"/>
      </rPr>
      <t>Grado 5</t>
    </r>
    <r>
      <rPr>
        <b/>
        <sz val="10"/>
        <rFont val="Calibri"/>
        <family val="2"/>
        <scheme val="minor"/>
      </rPr>
      <t>:</t>
    </r>
    <r>
      <rPr>
        <sz val="10"/>
        <rFont val="Calibri"/>
        <family val="2"/>
        <scheme val="minor"/>
      </rPr>
      <t xml:space="preserve"> Muerte relacionada con algún efecto adverso.</t>
    </r>
  </si>
  <si>
    <t>20210526-ECA 77d, +18, Vac 2d[Inact WIV04 ó HB02 vs AlOH3] -CoVi. Kaabi</t>
  </si>
  <si>
    <t>Al Kaabi N, Zhang Y, Xia S, et al. Effect of 2 Inactivated SARS-CoV-2 Vaccines on Symptomatic COVID-19 Infection in Adults: A Randomized Clinical Trial. JAMA. Published online May 26, 2021. doi:10.1001/jama.2021.8565</t>
  </si>
  <si>
    <t>2 dosis Vac control Sol Al[OH]3, n= 12.737</t>
  </si>
  <si>
    <t>Vac control Sol Al[OH]3</t>
  </si>
  <si>
    <t>95/12737 (0,75%)</t>
  </si>
  <si>
    <t>0,27 (0,19-0,39)</t>
  </si>
  <si>
    <t>0,54% (0,36% a 0,71%)</t>
  </si>
  <si>
    <t>185 (141 a 274)</t>
  </si>
  <si>
    <t>100%</t>
  </si>
  <si>
    <t>26/12743 (0,2%)</t>
  </si>
  <si>
    <t>Caso RT-PCR+ tras síntomas Leves o Moderados o Severos</t>
  </si>
  <si>
    <t>21/12726 (0,17%)</t>
  </si>
  <si>
    <t>0,22 (0,15-0,32)</t>
  </si>
  <si>
    <t>0,58% (0,41% a 0,74%)</t>
  </si>
  <si>
    <t>172 (135 a 246)</t>
  </si>
  <si>
    <t>0/12726 (0%)</t>
  </si>
  <si>
    <t>2/12737 (0,02%)</t>
  </si>
  <si>
    <t>0,02% (-0,03% a 0,05%)</t>
  </si>
  <si>
    <t>6369 (2085 a -3871)</t>
  </si>
  <si>
    <t>29,24%</t>
  </si>
  <si>
    <t>6369 (2087 a -3871)</t>
  </si>
  <si>
    <t>29,28%</t>
  </si>
  <si>
    <t>0/12743 (0%)</t>
  </si>
  <si>
    <t>--------</t>
  </si>
  <si>
    <t>21/12722 (0,17%)</t>
  </si>
  <si>
    <t>0,04% (-0,06% a 0,14%)</t>
  </si>
  <si>
    <t>2541 (733 a -1658)</t>
  </si>
  <si>
    <t>16/12727 (0,13%)</t>
  </si>
  <si>
    <t>10/12713 (0,08%)</t>
  </si>
  <si>
    <t>0,09% (-0,01% a 0,17%)</t>
  </si>
  <si>
    <t>1157 (576 a -12714)</t>
  </si>
  <si>
    <t>Vac de virus inactivados que indica la línea</t>
  </si>
  <si>
    <t>Vac Virus Inact WIV04 ó HB02</t>
  </si>
  <si>
    <t>2 dosis Vac Virus Inact WIV04, n= 12.743</t>
  </si>
  <si>
    <t>2 dosis Vac Virus Inact HB02, n= 12.726</t>
  </si>
  <si>
    <t>0,48 (0,22-1,01)</t>
  </si>
  <si>
    <t>50,6%</t>
  </si>
  <si>
    <t>0,76 (0,4-1,46)</t>
  </si>
  <si>
    <t>12,79%</t>
  </si>
  <si>
    <r>
      <rPr>
        <b/>
        <sz val="10"/>
        <color rgb="FF0000FF"/>
        <rFont val="Calibri"/>
        <family val="2"/>
        <scheme val="minor"/>
      </rPr>
      <t>(*)</t>
    </r>
    <r>
      <rPr>
        <b/>
        <sz val="10"/>
        <rFont val="Calibri"/>
        <family val="2"/>
        <scheme val="minor"/>
      </rPr>
      <t xml:space="preserve"> Se consideró un caso de COVID-19 Leve, Moderado o Severo</t>
    </r>
    <r>
      <rPr>
        <sz val="10"/>
        <rFont val="Calibri"/>
        <family val="2"/>
        <scheme val="minor"/>
      </rPr>
      <t>: Si da RT-PCR positivo de una muestra respiratoria (torunda nasal, de garganta, de esputo, de saliva) de otra parte, tras cumplir:  a) al menos 2 de los siguientes síntomas que duren al menos 2 días: fiebre (temperatura axilar ≥37,5º C), escalofríos, dolor de garganta, congestión nasal, mialgia, fatiga, dolor de cabeza, náuseas o vómitos o diarrea; o b) al menos 1 signo o síntoma respiratorio (que incluya tos, dificultad para respirar), nuevo trastorno olfativo o del gusto, o evidencia radiográfica de neumonía similar a COVID-19.</t>
    </r>
  </si>
  <si>
    <r>
      <t xml:space="preserve">Caso RT-PCR positivo, tras síntomas Leves o Moderados o Severos </t>
    </r>
    <r>
      <rPr>
        <sz val="12"/>
        <color rgb="FF0000CC"/>
        <rFont val="Calibri"/>
        <family val="2"/>
        <scheme val="minor"/>
      </rPr>
      <t>(*)</t>
    </r>
  </si>
  <si>
    <t>Asintomáticos RT-PCR positivo encontrados en un análisis post-hoc</t>
  </si>
  <si>
    <r>
      <t xml:space="preserve">Caso RT-PCR positivo, tras síntomas Severos </t>
    </r>
    <r>
      <rPr>
        <sz val="12"/>
        <color rgb="FF0000CC"/>
        <rFont val="Calibri"/>
        <family val="2"/>
        <scheme val="minor"/>
      </rPr>
      <t>(**)</t>
    </r>
  </si>
  <si>
    <r>
      <rPr>
        <sz val="10"/>
        <color rgb="FF0000CC"/>
        <rFont val="Calibri"/>
        <family val="2"/>
        <scheme val="minor"/>
      </rPr>
      <t>(**)</t>
    </r>
    <r>
      <rPr>
        <sz val="10"/>
        <rFont val="Calibri"/>
        <family val="2"/>
        <scheme val="minor"/>
      </rPr>
      <t xml:space="preserve"> </t>
    </r>
    <r>
      <rPr>
        <b/>
        <sz val="10"/>
        <rFont val="Calibri"/>
        <family val="2"/>
        <scheme val="minor"/>
      </rPr>
      <t>Caso confirmado de COVID-19 leve:</t>
    </r>
    <r>
      <rPr>
        <sz val="10"/>
        <rFont val="Calibri"/>
        <family val="2"/>
        <scheme val="minor"/>
      </rPr>
      <t xml:space="preserve"> Si es confirmado tras cumplir con síntomas clínicos son leves y no hay signos de neumonía en las imágenes. </t>
    </r>
    <r>
      <rPr>
        <b/>
        <sz val="10"/>
        <rFont val="Calibri"/>
        <family val="2"/>
        <scheme val="minor"/>
      </rPr>
      <t>Caso moderado confirmados de COVID-19</t>
    </r>
    <r>
      <rPr>
        <sz val="10"/>
        <rFont val="Calibri"/>
        <family val="2"/>
        <scheme val="minor"/>
      </rPr>
      <t xml:space="preserve">: Si es confirmado tras presentar fiebre y síntomas respiratorios con hallazgos radiológicos de neumonía. </t>
    </r>
    <r>
      <rPr>
        <b/>
        <sz val="10"/>
        <rFont val="Calibri"/>
        <family val="2"/>
        <scheme val="minor"/>
      </rPr>
      <t>Caso grave (severo) confirmado de COVID-19:</t>
    </r>
    <r>
      <rPr>
        <sz val="10"/>
        <rFont val="Calibri"/>
        <family val="2"/>
        <scheme val="minor"/>
      </rPr>
      <t xml:space="preserve"> Si es confirmado tras cumplir cualquiera de los siguientes criterios: a) Dificultad respiratoria (pero ≥ 30 respiraciones/ min); b) Saturación de oxígeno en reposo ≤93%; c) Presión arterial parcial de oxígeno (PaO2)/ fracción de oxígeno inspirado (FiO2) ≤300 mmHg (1 mmHg = 0,133 kPa); o d) Los síntomas clínicos empeoran progresivamente y las imágenes de tórax muestran &gt; 50% de progresión obvia de la lesión en 24-48 horas. </t>
    </r>
    <r>
      <rPr>
        <b/>
        <sz val="10"/>
        <rFont val="Calibri"/>
        <family val="2"/>
        <scheme val="minor"/>
      </rPr>
      <t xml:space="preserve">Caso crítico confirmado de COVID-19: </t>
    </r>
    <r>
      <rPr>
        <sz val="10"/>
        <rFont val="Calibri"/>
        <family val="2"/>
        <scheme val="minor"/>
      </rPr>
      <t>Si es confirmado tras cumplir cualquiera de los siguientes criterios: a) - Insuficiencia respiratoria y que requiere ventilación mecánica; b) Choque; c) Con otras fallas orgánicas que requieran cuidados en UCI; o d) Muerte.</t>
    </r>
  </si>
  <si>
    <r>
      <t>Vac Control, Sol de Al(OH)</t>
    </r>
    <r>
      <rPr>
        <vertAlign val="subscript"/>
        <sz val="10"/>
        <rFont val="Calibri"/>
        <family val="2"/>
        <scheme val="minor"/>
      </rPr>
      <t>3</t>
    </r>
  </si>
  <si>
    <t>al menos 1 dosis Vac Virus Inact WIV04, n= 13.464</t>
  </si>
  <si>
    <t>al menos 1 dosis Vac Virus Inact HB02, n= 13.471</t>
  </si>
  <si>
    <t>Media de seguimiento: 61,2 días (que comienzan a contarse desde el día 14 después de recibir la 2ª dosis)</t>
  </si>
  <si>
    <r>
      <t xml:space="preserve">Tabla nnt-1: </t>
    </r>
    <r>
      <rPr>
        <b/>
        <sz val="12"/>
        <rFont val="Calibri"/>
        <family val="2"/>
      </rPr>
      <t>Personas sin Covid-19, de la comunidad con ≥ 18 años, que reciben 2 dosis estandar de la vacuna  de virus inactivados WIV04 ó la vacuna de virus inactivados HB02 o la vacuna control con solución de hidróxido de aluminio. Se muestran los eventos que suceden en los 61 días posteriores al día 14 tras la 2ª dosis, entre los participantes que fueron RT-PCR negativos el día 14 tras la 2ª dosis.</t>
    </r>
  </si>
  <si>
    <t>Media de seguimiento: 28 días tras recibir cualquier dosis de vacuna.</t>
  </si>
  <si>
    <t>EA dentro de los 28 días posteriores a cualquier dosis de vacuna</t>
  </si>
  <si>
    <r>
      <t xml:space="preserve">EA serious (= graves) </t>
    </r>
    <r>
      <rPr>
        <sz val="12"/>
        <color rgb="FF0000CC"/>
        <rFont val="Calibri"/>
        <family val="2"/>
        <scheme val="minor"/>
      </rPr>
      <t xml:space="preserve">(# #) </t>
    </r>
  </si>
  <si>
    <t>78/13453 (0,58%)</t>
  </si>
  <si>
    <t>0,82 (0,59-1,14)</t>
  </si>
  <si>
    <t>0,1% (-0,07% a 0,28%)</t>
  </si>
  <si>
    <t>957 (359 a -1392)</t>
  </si>
  <si>
    <t>64/13464 (0,48%)</t>
  </si>
  <si>
    <t>59/13471 (0,44%)</t>
  </si>
  <si>
    <t>0,76 (0,54-1,06)</t>
  </si>
  <si>
    <t>0,14% (-0,03% a 0,31%)</t>
  </si>
  <si>
    <t>705 (320 a -3143)</t>
  </si>
  <si>
    <t>6207/13471 (46,08%)</t>
  </si>
  <si>
    <t>96/13471 (0,71%)</t>
  </si>
  <si>
    <t>106/13453 (0,79%)</t>
  </si>
  <si>
    <t>0,9 (0,69-1,19)</t>
  </si>
  <si>
    <t>0,08% (-0,13% a 0,28%)</t>
  </si>
  <si>
    <t>1328 (354 a -751)</t>
  </si>
  <si>
    <t>6793/13453 (50,49%)</t>
  </si>
  <si>
    <t>0,91 (0,89-0,94)</t>
  </si>
  <si>
    <t>4,42% (3,23% a 5,61%)</t>
  </si>
  <si>
    <t>23 (18 a 31)</t>
  </si>
  <si>
    <t>6505/13464 (48,31%)</t>
  </si>
  <si>
    <t>0,96 (0,93-0,98)</t>
  </si>
  <si>
    <t>2,18% (0,99% a 3,37%)</t>
  </si>
  <si>
    <t>46 (30 a 101)</t>
  </si>
  <si>
    <t>EA dentro de los 28 días posteriores a cualquier dosis de vacuna posiblemente relacionados con las vacunas</t>
  </si>
  <si>
    <t>Total de EA posiblemente relacionados con las vacunas</t>
  </si>
  <si>
    <t>0/13464 (0%)</t>
  </si>
  <si>
    <t>0/13453 (0%)</t>
  </si>
  <si>
    <t>0% (-0,03% a 0,03%)</t>
  </si>
  <si>
    <t>2/13471 (0,01%)</t>
  </si>
  <si>
    <t>-0,01% (-0,05% a 0,02%)</t>
  </si>
  <si>
    <t>-6736 (4094 a -2205)</t>
  </si>
  <si>
    <r>
      <t>Tabla nnt-2</t>
    </r>
    <r>
      <rPr>
        <b/>
        <sz val="12"/>
        <rFont val="Calibri"/>
        <family val="2"/>
      </rPr>
      <t>: EFECTOS ADVERSOS (EA) registrados de los participantes que que recibieron al menos una dosis de vacuna.</t>
    </r>
  </si>
  <si>
    <t>107/13464 (0,79%)</t>
  </si>
  <si>
    <t>1,01 (0,77-1,32)</t>
  </si>
  <si>
    <t>-0,01% (-0,22% a 0,21%)</t>
  </si>
  <si>
    <t>-14742 (484 a -454)</t>
  </si>
  <si>
    <r>
      <t>2 dosis Vac control Sol Al[OH]</t>
    </r>
    <r>
      <rPr>
        <b/>
        <vertAlign val="subscript"/>
        <sz val="11"/>
        <rFont val="Calibri"/>
        <family val="2"/>
        <scheme val="minor"/>
      </rPr>
      <t>3</t>
    </r>
    <r>
      <rPr>
        <b/>
        <sz val="11"/>
        <rFont val="Calibri"/>
        <family val="2"/>
        <scheme val="minor"/>
      </rPr>
      <t>, n= 12.737</t>
    </r>
  </si>
  <si>
    <r>
      <t>al menos 1 dosis Vac control Sol Al[OH]</t>
    </r>
    <r>
      <rPr>
        <b/>
        <vertAlign val="subscript"/>
        <sz val="11"/>
        <rFont val="Calibri"/>
        <family val="2"/>
        <scheme val="minor"/>
      </rPr>
      <t>3</t>
    </r>
    <r>
      <rPr>
        <b/>
        <sz val="11"/>
        <rFont val="Calibri"/>
        <family val="2"/>
        <scheme val="minor"/>
      </rPr>
      <t>, n= 13.453</t>
    </r>
  </si>
  <si>
    <r>
      <rPr>
        <b/>
        <sz val="14"/>
        <color rgb="FF993300"/>
        <rFont val="Calibri"/>
        <family val="2"/>
        <scheme val="minor"/>
      </rPr>
      <t xml:space="preserve">Gráfico g-1 [WIV04 vs Contr]: </t>
    </r>
    <r>
      <rPr>
        <b/>
        <sz val="14"/>
        <color theme="1"/>
        <rFont val="Calibri"/>
        <family val="2"/>
        <scheme val="minor"/>
      </rPr>
      <t>Cruce de PtSLEv x Rg 1 en Casos [Lev-Mod-Sev] de Covid-19 durante los 61 días desde el día 14 tras las 2ª dosis.</t>
    </r>
  </si>
  <si>
    <r>
      <rPr>
        <b/>
        <sz val="14"/>
        <color rgb="FF993300"/>
        <rFont val="Calibri"/>
        <family val="2"/>
        <scheme val="minor"/>
      </rPr>
      <t xml:space="preserve">Gráfico g-2 [HB02 vs Contr]: </t>
    </r>
    <r>
      <rPr>
        <b/>
        <sz val="14"/>
        <color theme="1"/>
        <rFont val="Calibri"/>
        <family val="2"/>
        <scheme val="minor"/>
      </rPr>
      <t>Cruce de PtSLEv x Rg 1 en Casos [Lev-Mod-Sev] de Covid-19 durante los 61 días desde el día 14 tras las 2ª dosis.</t>
    </r>
  </si>
  <si>
    <t>Control</t>
  </si>
  <si>
    <r>
      <t xml:space="preserve">Total de EA grado 3 </t>
    </r>
    <r>
      <rPr>
        <i/>
        <sz val="11"/>
        <color rgb="FF0000CC"/>
        <rFont val="Calibri"/>
        <family val="2"/>
        <scheme val="minor"/>
      </rPr>
      <t xml:space="preserve">(#) </t>
    </r>
  </si>
  <si>
    <r>
      <t xml:space="preserve">Total de EA grados 1, 2 ó 3 </t>
    </r>
    <r>
      <rPr>
        <sz val="12"/>
        <color rgb="FF0000CC"/>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</si>
</sst>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 _€_-;\-* #,##0.00\ _€_-;_-* &quot;-&quot;??\ _€_-;_-@_-"/>
    <numFmt numFmtId="164" formatCode="0.0"/>
    <numFmt numFmtId="165" formatCode="_-* #,##0.0\ _€_-;\-* #,##0.0\ _€_-;_-* &quot;-&quot;??\ _€_-;_-@_-"/>
    <numFmt numFmtId="166" formatCode="0.0%"/>
    <numFmt numFmtId="167" formatCode="#,##0.0"/>
    <numFmt numFmtId="168" formatCode="_-* #,##0\ _€_-;\-* #,##0\ _€_-;_-* &quot;-&quot;??\ _€_-;_-@_-"/>
    <numFmt numFmtId="169" formatCode="_-* #,##0.000\ _€_-;\-* #,##0.000\ _€_-;_-* &quot;-&quot;??\ _€_-;_-@_-"/>
    <numFmt numFmtId="170" formatCode="#,##0.00_ ;\-#,##0.00\ "/>
    <numFmt numFmtId="171" formatCode="_-* #,##0.0000\ _€_-;\-* #,##0.0000\ _€_-;_-* &quot;-&quot;??\ _€_-;_-@_-"/>
    <numFmt numFmtId="172" formatCode="_-* #,##0.00000\ _€_-;\-* #,##0.00000\ _€_-;_-* &quot;-&quot;??\ _€_-;_-@_-"/>
    <numFmt numFmtId="173" formatCode="_-* #,##0.0\ _€_-;\-* #,##0.0\ _€_-;_-* &quot;-&quot;?\ _€_-;_-@_-"/>
    <numFmt numFmtId="174" formatCode="_-* #,##0.000000\ _€_-;\-* #,##0.000000\ _€_-;_-* &quot;-&quot;??\ _€_-;_-@_-"/>
    <numFmt numFmtId="175" formatCode="_-* #,##0.0000\ _€_-;\-* #,##0.0000\ _€_-;_-* &quot;-&quot;?\ _€_-;_-@_-"/>
    <numFmt numFmtId="176" formatCode="0.000"/>
    <numFmt numFmtId="177" formatCode="_-* #,##0.000\ _€_-;\-* #,##0.000\ _€_-;_-* &quot;-&quot;???\ _€_-;_-@_-"/>
    <numFmt numFmtId="178" formatCode="0.0000"/>
  </numFmts>
  <fonts count="92" x14ac:knownFonts="1">
    <font>
      <sz val="11"/>
      <color theme="1"/>
      <name val="Calibri"/>
      <family val="2"/>
      <scheme val="minor"/>
    </font>
    <font>
      <sz val="11"/>
      <color theme="1"/>
      <name val="Calibri"/>
      <family val="2"/>
      <scheme val="minor"/>
    </font>
    <font>
      <b/>
      <sz val="11"/>
      <color rgb="FF0000FF"/>
      <name val="Calibri"/>
      <family val="2"/>
      <scheme val="minor"/>
    </font>
    <font>
      <sz val="10"/>
      <name val="Calibri"/>
      <family val="2"/>
      <scheme val="minor"/>
    </font>
    <font>
      <sz val="11"/>
      <color rgb="FF0000FF"/>
      <name val="Calibri"/>
      <family val="2"/>
      <scheme val="minor"/>
    </font>
    <font>
      <b/>
      <sz val="10"/>
      <name val="Calibri"/>
      <family val="2"/>
      <scheme val="minor"/>
    </font>
    <font>
      <b/>
      <sz val="12"/>
      <name val="Calibri"/>
      <family val="2"/>
      <scheme val="minor"/>
    </font>
    <font>
      <b/>
      <sz val="11"/>
      <name val="Calibri"/>
      <family val="2"/>
      <scheme val="minor"/>
    </font>
    <font>
      <sz val="10"/>
      <color rgb="FFFF0000"/>
      <name val="Calibri"/>
      <family val="2"/>
      <scheme val="minor"/>
    </font>
    <font>
      <i/>
      <sz val="10"/>
      <color rgb="FFFF0000"/>
      <name val="Calibri"/>
      <family val="2"/>
      <scheme val="minor"/>
    </font>
    <font>
      <sz val="10"/>
      <color rgb="FF008000"/>
      <name val="Calibri"/>
      <family val="2"/>
      <scheme val="minor"/>
    </font>
    <font>
      <i/>
      <sz val="10"/>
      <color rgb="FF008000"/>
      <name val="Calibri"/>
      <family val="2"/>
      <scheme val="minor"/>
    </font>
    <font>
      <sz val="10"/>
      <color rgb="FF669900"/>
      <name val="Calibri"/>
      <family val="2"/>
      <scheme val="minor"/>
    </font>
    <font>
      <i/>
      <sz val="10"/>
      <color rgb="FF66990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color rgb="FF009900"/>
      <name val="Calibri"/>
      <family val="2"/>
      <scheme val="minor"/>
    </font>
    <font>
      <i/>
      <sz val="10"/>
      <color rgb="FF009900"/>
      <name val="Calibri"/>
      <family val="2"/>
      <scheme val="minor"/>
    </font>
    <font>
      <b/>
      <sz val="10"/>
      <color theme="1"/>
      <name val="Calibri"/>
      <family val="2"/>
      <scheme val="minor"/>
    </font>
    <font>
      <b/>
      <sz val="12"/>
      <color rgb="FF008000"/>
      <name val="Calibri"/>
      <family val="2"/>
      <scheme val="minor"/>
    </font>
    <font>
      <b/>
      <sz val="12"/>
      <color rgb="FFFF0000"/>
      <name val="Calibri"/>
      <family val="2"/>
      <scheme val="minor"/>
    </font>
    <font>
      <sz val="11"/>
      <color rgb="FF669900"/>
      <name val="Calibri"/>
      <family val="2"/>
      <scheme val="minor"/>
    </font>
    <font>
      <b/>
      <sz val="10"/>
      <color indexed="50"/>
      <name val="Calibri"/>
      <family val="2"/>
      <scheme val="minor"/>
    </font>
    <font>
      <b/>
      <i/>
      <sz val="10"/>
      <name val="Calibri"/>
      <family val="2"/>
      <scheme val="minor"/>
    </font>
    <font>
      <sz val="10"/>
      <color indexed="12"/>
      <name val="Calibri"/>
      <family val="2"/>
      <scheme val="minor"/>
    </font>
    <font>
      <sz val="10"/>
      <color indexed="52"/>
      <name val="Calibri"/>
      <family val="2"/>
      <scheme val="minor"/>
    </font>
    <font>
      <b/>
      <sz val="10"/>
      <color indexed="12"/>
      <name val="Calibri"/>
      <family val="2"/>
      <scheme val="minor"/>
    </font>
    <font>
      <sz val="10"/>
      <name val="Calibri"/>
      <family val="2"/>
    </font>
    <font>
      <b/>
      <sz val="10"/>
      <name val="Calibri"/>
      <family val="2"/>
    </font>
    <font>
      <sz val="8"/>
      <name val="Calibri"/>
      <family val="2"/>
      <scheme val="minor"/>
    </font>
    <font>
      <b/>
      <sz val="10"/>
      <color indexed="57"/>
      <name val="Calibri"/>
      <family val="2"/>
      <scheme val="minor"/>
    </font>
    <font>
      <b/>
      <sz val="10"/>
      <color indexed="63"/>
      <name val="Calibri"/>
      <family val="2"/>
      <scheme val="minor"/>
    </font>
    <font>
      <b/>
      <vertAlign val="subscript"/>
      <sz val="10"/>
      <name val="Calibri"/>
      <family val="2"/>
    </font>
    <font>
      <sz val="10"/>
      <color indexed="20"/>
      <name val="Calibri"/>
      <family val="2"/>
      <scheme val="minor"/>
    </font>
    <font>
      <i/>
      <sz val="10"/>
      <name val="Calibri"/>
      <family val="2"/>
      <scheme val="minor"/>
    </font>
    <font>
      <i/>
      <sz val="10"/>
      <name val="Calibri"/>
      <family val="2"/>
    </font>
    <font>
      <b/>
      <i/>
      <sz val="10"/>
      <name val="Calibri"/>
      <family val="2"/>
    </font>
    <font>
      <b/>
      <sz val="9"/>
      <name val="Calibri"/>
      <family val="2"/>
      <scheme val="minor"/>
    </font>
    <font>
      <b/>
      <i/>
      <sz val="9"/>
      <name val="Calibri"/>
      <family val="2"/>
    </font>
    <font>
      <vertAlign val="subscript"/>
      <sz val="10"/>
      <name val="Calibri"/>
      <family val="2"/>
    </font>
    <font>
      <vertAlign val="superscript"/>
      <sz val="10"/>
      <name val="Calibri"/>
      <family val="2"/>
    </font>
    <font>
      <b/>
      <sz val="10"/>
      <color indexed="14"/>
      <name val="Calibri"/>
      <family val="2"/>
      <scheme val="minor"/>
    </font>
    <font>
      <sz val="10"/>
      <color indexed="14"/>
      <name val="Calibri"/>
      <family val="2"/>
      <scheme val="minor"/>
    </font>
    <font>
      <sz val="10"/>
      <color rgb="FF000000"/>
      <name val="Calibri"/>
      <family val="2"/>
      <scheme val="minor"/>
    </font>
    <font>
      <sz val="11"/>
      <color rgb="FF000000"/>
      <name val="Calibri"/>
      <family val="2"/>
      <scheme val="minor"/>
    </font>
    <font>
      <sz val="8"/>
      <color rgb="FF000000"/>
      <name val="Calibri"/>
      <family val="2"/>
      <scheme val="minor"/>
    </font>
    <font>
      <sz val="11"/>
      <name val="Calibri"/>
      <family val="2"/>
      <scheme val="minor"/>
    </font>
    <font>
      <sz val="12"/>
      <name val="Calibri"/>
      <family val="2"/>
      <scheme val="minor"/>
    </font>
    <font>
      <sz val="10"/>
      <color indexed="61"/>
      <name val="Calibri"/>
      <family val="2"/>
      <scheme val="minor"/>
    </font>
    <font>
      <sz val="9"/>
      <name val="Calibri"/>
      <family val="2"/>
      <scheme val="minor"/>
    </font>
    <font>
      <sz val="6"/>
      <color rgb="FF669900"/>
      <name val="Calibri"/>
      <family val="2"/>
      <scheme val="minor"/>
    </font>
    <font>
      <sz val="6"/>
      <color rgb="FF009900"/>
      <name val="Calibri"/>
      <family val="2"/>
      <scheme val="minor"/>
    </font>
    <font>
      <sz val="6"/>
      <color rgb="FFFF0000"/>
      <name val="Calibri"/>
      <family val="2"/>
      <scheme val="minor"/>
    </font>
    <font>
      <b/>
      <sz val="16"/>
      <color rgb="FFFF0000"/>
      <name val="Calibri"/>
      <family val="2"/>
      <scheme val="minor"/>
    </font>
    <font>
      <b/>
      <sz val="16"/>
      <color rgb="FF009900"/>
      <name val="Calibri"/>
      <family val="2"/>
      <scheme val="minor"/>
    </font>
    <font>
      <b/>
      <sz val="12"/>
      <color indexed="60"/>
      <name val="Calibri"/>
      <family val="2"/>
    </font>
    <font>
      <b/>
      <sz val="12"/>
      <name val="Calibri"/>
      <family val="2"/>
    </font>
    <font>
      <b/>
      <sz val="10"/>
      <color rgb="FF0000FF"/>
      <name val="Calibri"/>
      <family val="2"/>
      <scheme val="minor"/>
    </font>
    <font>
      <b/>
      <sz val="11"/>
      <color rgb="FFFF0000"/>
      <name val="Calibri"/>
      <family val="2"/>
      <scheme val="minor"/>
    </font>
    <font>
      <b/>
      <sz val="11"/>
      <color rgb="FF669900"/>
      <name val="Calibri"/>
      <family val="2"/>
      <scheme val="minor"/>
    </font>
    <font>
      <b/>
      <sz val="11"/>
      <color rgb="FF008000"/>
      <name val="Calibri"/>
      <family val="2"/>
      <scheme val="minor"/>
    </font>
    <font>
      <b/>
      <sz val="16"/>
      <color rgb="FF669900"/>
      <name val="Calibri"/>
      <family val="2"/>
      <scheme val="minor"/>
    </font>
    <font>
      <b/>
      <sz val="16"/>
      <color rgb="FF008000"/>
      <name val="Calibri"/>
      <family val="2"/>
      <scheme val="minor"/>
    </font>
    <font>
      <b/>
      <sz val="16"/>
      <name val="Calibri"/>
      <family val="2"/>
      <scheme val="minor"/>
    </font>
    <font>
      <sz val="10"/>
      <color rgb="FFCC99FF"/>
      <name val="Calibri"/>
      <family val="2"/>
      <scheme val="minor"/>
    </font>
    <font>
      <b/>
      <sz val="10"/>
      <color rgb="FF669900"/>
      <name val="Calibri"/>
      <family val="2"/>
      <scheme val="minor"/>
    </font>
    <font>
      <b/>
      <sz val="10"/>
      <color rgb="FF008000"/>
      <name val="Calibri"/>
      <family val="2"/>
      <scheme val="minor"/>
    </font>
    <font>
      <b/>
      <sz val="10"/>
      <color rgb="FFFF0000"/>
      <name val="Calibri"/>
      <family val="2"/>
      <scheme val="minor"/>
    </font>
    <font>
      <sz val="8"/>
      <color indexed="12"/>
      <name val="Calibri"/>
      <family val="2"/>
      <scheme val="minor"/>
    </font>
    <font>
      <sz val="8"/>
      <name val="Calibri"/>
      <family val="2"/>
    </font>
    <font>
      <b/>
      <sz val="8"/>
      <name val="Calibri"/>
      <family val="2"/>
    </font>
    <font>
      <sz val="10"/>
      <color rgb="FF0000FF"/>
      <name val="Calibri"/>
      <family val="2"/>
      <scheme val="minor"/>
    </font>
    <font>
      <b/>
      <sz val="14"/>
      <color theme="1"/>
      <name val="Calibri"/>
      <family val="2"/>
      <scheme val="minor"/>
    </font>
    <font>
      <b/>
      <sz val="14"/>
      <color rgb="FF993300"/>
      <name val="Calibri"/>
      <family val="2"/>
      <scheme val="minor"/>
    </font>
    <font>
      <sz val="10"/>
      <color rgb="FF00B0F0"/>
      <name val="Calibri"/>
      <family val="2"/>
      <scheme val="minor"/>
    </font>
    <font>
      <i/>
      <sz val="11"/>
      <name val="Calibri"/>
      <family val="2"/>
      <scheme val="minor"/>
    </font>
    <font>
      <b/>
      <sz val="12"/>
      <color rgb="FFC00000"/>
      <name val="Calibri"/>
      <family val="2"/>
      <scheme val="minor"/>
    </font>
    <font>
      <b/>
      <u/>
      <sz val="10"/>
      <color theme="1"/>
      <name val="Calibri"/>
      <family val="2"/>
      <scheme val="minor"/>
    </font>
    <font>
      <b/>
      <u/>
      <sz val="10"/>
      <name val="Calibri"/>
      <family val="2"/>
      <scheme val="minor"/>
    </font>
    <font>
      <sz val="10"/>
      <color indexed="12"/>
      <name val="Calibri"/>
      <family val="2"/>
    </font>
    <font>
      <sz val="10"/>
      <color indexed="12"/>
      <name val="Symbol"/>
      <family val="1"/>
      <charset val="2"/>
    </font>
    <font>
      <sz val="10"/>
      <color rgb="FF0000CC"/>
      <name val="Symbol"/>
      <family val="1"/>
      <charset val="2"/>
    </font>
    <font>
      <sz val="10"/>
      <color rgb="FF0000CC"/>
      <name val="Calibri"/>
      <family val="2"/>
      <scheme val="minor"/>
    </font>
    <font>
      <sz val="12"/>
      <color rgb="FF008000"/>
      <name val="Calibri"/>
      <family val="2"/>
      <scheme val="minor"/>
    </font>
    <font>
      <sz val="12"/>
      <color rgb="FF0000CC"/>
      <name val="Calibri"/>
      <family val="2"/>
      <scheme val="minor"/>
    </font>
    <font>
      <vertAlign val="subscript"/>
      <sz val="10"/>
      <name val="Calibri"/>
      <family val="2"/>
      <scheme val="minor"/>
    </font>
    <font>
      <sz val="12"/>
      <color theme="1"/>
      <name val="Calibri"/>
      <family val="2"/>
      <scheme val="minor"/>
    </font>
    <font>
      <i/>
      <sz val="11"/>
      <color theme="1"/>
      <name val="Calibri"/>
      <family val="2"/>
      <scheme val="minor"/>
    </font>
    <font>
      <i/>
      <sz val="11"/>
      <color rgb="FF0000CC"/>
      <name val="Calibri"/>
      <family val="2"/>
      <scheme val="minor"/>
    </font>
    <font>
      <b/>
      <vertAlign val="subscript"/>
      <sz val="11"/>
      <name val="Calibri"/>
      <family val="2"/>
      <scheme val="minor"/>
    </font>
    <font>
      <b/>
      <i/>
      <sz val="11"/>
      <name val="Calibri"/>
      <family val="2"/>
      <scheme val="minor"/>
    </font>
  </fonts>
  <fills count="20">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rgb="FF66FF33"/>
        <bgColor indexed="64"/>
      </patternFill>
    </fill>
    <fill>
      <patternFill patternType="solid">
        <fgColor rgb="FF669900"/>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
      <patternFill patternType="solid">
        <fgColor indexed="50"/>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rgb="FFFFCCFF"/>
        <bgColor indexed="64"/>
      </patternFill>
    </fill>
    <fill>
      <patternFill patternType="solid">
        <fgColor rgb="FFFFC000"/>
        <bgColor indexed="64"/>
      </patternFill>
    </fill>
    <fill>
      <patternFill patternType="solid">
        <fgColor theme="9" tint="0.79998168889431442"/>
        <bgColor indexed="64"/>
      </patternFill>
    </fill>
    <fill>
      <patternFill patternType="solid">
        <fgColor theme="5"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6">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right"/>
    </xf>
    <xf numFmtId="0" fontId="3" fillId="0" borderId="0" xfId="0" applyFont="1" applyAlignment="1">
      <alignment horizontal="center"/>
    </xf>
    <xf numFmtId="0" fontId="3" fillId="0" borderId="0" xfId="0" applyFont="1" applyFill="1" applyBorder="1" applyAlignment="1">
      <alignment horizontal="center"/>
    </xf>
    <xf numFmtId="2" fontId="3" fillId="0" borderId="0" xfId="0" applyNumberFormat="1" applyFont="1"/>
    <xf numFmtId="0" fontId="3" fillId="0" borderId="0" xfId="0" applyFont="1" applyFill="1"/>
    <xf numFmtId="0" fontId="3" fillId="0" borderId="0" xfId="0" applyFont="1" applyFill="1" applyBorder="1"/>
    <xf numFmtId="0" fontId="3" fillId="0" borderId="0" xfId="0" applyFont="1" applyBorder="1"/>
    <xf numFmtId="2" fontId="5" fillId="0" borderId="7" xfId="0" applyNumberFormat="1" applyFont="1" applyBorder="1"/>
    <xf numFmtId="0" fontId="3" fillId="0" borderId="7" xfId="0" applyFont="1" applyFill="1" applyBorder="1" applyAlignment="1">
      <alignment horizontal="center" vertical="center" wrapText="1"/>
    </xf>
    <xf numFmtId="0" fontId="8" fillId="0" borderId="0" xfId="0" applyFont="1" applyAlignment="1">
      <alignment horizontal="right"/>
    </xf>
    <xf numFmtId="166" fontId="9" fillId="0" borderId="0" xfId="2" applyNumberFormat="1" applyFont="1" applyAlignment="1">
      <alignment horizontal="center"/>
    </xf>
    <xf numFmtId="0" fontId="10" fillId="0" borderId="0" xfId="0" applyFont="1" applyAlignment="1">
      <alignment horizontal="right"/>
    </xf>
    <xf numFmtId="166" fontId="11" fillId="0" borderId="0" xfId="2" applyNumberFormat="1" applyFont="1" applyAlignment="1">
      <alignment horizontal="center"/>
    </xf>
    <xf numFmtId="0" fontId="12" fillId="0" borderId="0" xfId="0" applyFont="1" applyAlignment="1">
      <alignment horizontal="right"/>
    </xf>
    <xf numFmtId="2" fontId="12" fillId="0" borderId="0" xfId="0" applyNumberFormat="1" applyFont="1"/>
    <xf numFmtId="166" fontId="13" fillId="0" borderId="0" xfId="2" applyNumberFormat="1" applyFont="1" applyAlignment="1">
      <alignment horizontal="center"/>
    </xf>
    <xf numFmtId="3" fontId="5" fillId="0" borderId="7" xfId="0" applyNumberFormat="1" applyFont="1" applyBorder="1"/>
    <xf numFmtId="1" fontId="12" fillId="0" borderId="0" xfId="0" applyNumberFormat="1" applyFont="1"/>
    <xf numFmtId="0" fontId="16" fillId="0" borderId="0" xfId="0" applyFont="1" applyAlignment="1">
      <alignment vertical="center"/>
    </xf>
    <xf numFmtId="0" fontId="0" fillId="0" borderId="0" xfId="0" applyBorder="1"/>
    <xf numFmtId="166" fontId="16" fillId="0" borderId="0" xfId="2" applyNumberFormat="1" applyFont="1" applyAlignment="1">
      <alignment horizontal="left" vertical="center"/>
    </xf>
    <xf numFmtId="0" fontId="16" fillId="0" borderId="0" xfId="0" applyFont="1"/>
    <xf numFmtId="49" fontId="16" fillId="0" borderId="0" xfId="0" applyNumberFormat="1" applyFont="1"/>
    <xf numFmtId="1" fontId="16" fillId="3" borderId="0" xfId="0" applyNumberFormat="1" applyFont="1" applyFill="1" applyAlignment="1">
      <alignment horizontal="center" vertical="center"/>
    </xf>
    <xf numFmtId="1" fontId="17" fillId="2" borderId="7" xfId="0" applyNumberFormat="1" applyFont="1" applyFill="1" applyBorder="1" applyAlignment="1">
      <alignment horizontal="center" vertical="center"/>
    </xf>
    <xf numFmtId="1" fontId="12" fillId="2" borderId="7" xfId="0" applyNumberFormat="1" applyFont="1" applyFill="1" applyBorder="1" applyAlignment="1">
      <alignment horizontal="center" vertical="center"/>
    </xf>
    <xf numFmtId="9" fontId="13" fillId="0" borderId="0" xfId="2" applyFont="1" applyFill="1" applyBorder="1" applyAlignment="1">
      <alignment horizontal="center" vertical="center"/>
    </xf>
    <xf numFmtId="9" fontId="18" fillId="0" borderId="0" xfId="2" applyFont="1" applyFill="1" applyBorder="1" applyAlignment="1">
      <alignment horizontal="center" vertical="center"/>
    </xf>
    <xf numFmtId="9" fontId="9" fillId="0" borderId="0" xfId="2" applyFont="1" applyFill="1" applyBorder="1" applyAlignment="1">
      <alignment horizontal="center" vertical="center"/>
    </xf>
    <xf numFmtId="0" fontId="3" fillId="2" borderId="7" xfId="0" applyFont="1" applyFill="1" applyBorder="1" applyAlignment="1">
      <alignment horizontal="right" vertical="top" wrapText="1"/>
    </xf>
    <xf numFmtId="0" fontId="16" fillId="0" borderId="7" xfId="0" applyFont="1" applyBorder="1" applyAlignment="1">
      <alignment horizontal="center" vertical="center" wrapText="1"/>
    </xf>
    <xf numFmtId="0" fontId="8" fillId="0" borderId="7" xfId="0" applyFont="1" applyBorder="1" applyAlignment="1">
      <alignment horizontal="right" wrapText="1"/>
    </xf>
    <xf numFmtId="2" fontId="8" fillId="2" borderId="7" xfId="0" applyNumberFormat="1" applyFont="1" applyFill="1" applyBorder="1" applyAlignment="1">
      <alignment vertical="center"/>
    </xf>
    <xf numFmtId="166" fontId="9" fillId="0" borderId="0" xfId="2" applyNumberFormat="1" applyFont="1" applyAlignment="1">
      <alignment horizontal="center" vertical="center"/>
    </xf>
    <xf numFmtId="166" fontId="9" fillId="0" borderId="0" xfId="0" applyNumberFormat="1" applyFont="1" applyAlignment="1">
      <alignment vertical="center" wrapText="1"/>
    </xf>
    <xf numFmtId="0" fontId="17" fillId="0" borderId="7" xfId="0" applyFont="1" applyBorder="1" applyAlignment="1">
      <alignment horizontal="right" wrapText="1"/>
    </xf>
    <xf numFmtId="2" fontId="17" fillId="2" borderId="7" xfId="0" applyNumberFormat="1" applyFont="1" applyFill="1" applyBorder="1" applyAlignment="1">
      <alignment vertical="center"/>
    </xf>
    <xf numFmtId="166" fontId="13" fillId="0" borderId="0" xfId="2" applyNumberFormat="1" applyFont="1" applyFill="1" applyBorder="1" applyAlignment="1">
      <alignment vertical="center"/>
    </xf>
    <xf numFmtId="0" fontId="12" fillId="0" borderId="7" xfId="0" applyFont="1" applyBorder="1" applyAlignment="1">
      <alignment horizontal="right" wrapText="1"/>
    </xf>
    <xf numFmtId="2" fontId="12" fillId="2" borderId="7" xfId="0" applyNumberFormat="1" applyFont="1" applyFill="1" applyBorder="1" applyAlignment="1">
      <alignment vertical="center"/>
    </xf>
    <xf numFmtId="1" fontId="12" fillId="0" borderId="7" xfId="0" applyNumberFormat="1" applyFont="1" applyBorder="1" applyAlignment="1">
      <alignment vertical="center"/>
    </xf>
    <xf numFmtId="166" fontId="13" fillId="0" borderId="0" xfId="2" applyNumberFormat="1" applyFont="1" applyFill="1" applyBorder="1" applyAlignment="1">
      <alignment horizontal="center" vertical="center"/>
    </xf>
    <xf numFmtId="2" fontId="5" fillId="2" borderId="10" xfId="0" applyNumberFormat="1" applyFont="1" applyFill="1" applyBorder="1" applyAlignment="1">
      <alignment vertical="center"/>
    </xf>
    <xf numFmtId="1" fontId="19" fillId="0" borderId="7" xfId="0" applyNumberFormat="1" applyFont="1" applyBorder="1" applyAlignment="1">
      <alignment horizontal="right" vertical="center"/>
    </xf>
    <xf numFmtId="9" fontId="16" fillId="0" borderId="0" xfId="0" applyNumberFormat="1" applyFont="1"/>
    <xf numFmtId="0" fontId="16" fillId="0" borderId="0" xfId="0" applyFont="1" applyAlignment="1">
      <alignment horizontal="left" vertical="top"/>
    </xf>
    <xf numFmtId="164" fontId="12" fillId="3" borderId="7" xfId="0" applyNumberFormat="1" applyFont="1" applyFill="1" applyBorder="1" applyAlignment="1">
      <alignment vertical="center"/>
    </xf>
    <xf numFmtId="0" fontId="16" fillId="0" borderId="0" xfId="0" applyFont="1" applyBorder="1" applyAlignment="1">
      <alignment horizontal="left" vertical="center" wrapText="1"/>
    </xf>
    <xf numFmtId="0" fontId="16" fillId="0" borderId="0" xfId="0" applyFont="1" applyBorder="1" applyAlignment="1">
      <alignment horizontal="left" vertical="top" wrapText="1"/>
    </xf>
    <xf numFmtId="0" fontId="15" fillId="0" borderId="0" xfId="0" applyFont="1"/>
    <xf numFmtId="0" fontId="15" fillId="0" borderId="0" xfId="0" applyFont="1" applyAlignment="1">
      <alignment horizontal="right"/>
    </xf>
    <xf numFmtId="0" fontId="15" fillId="0" borderId="0" xfId="0" applyFont="1" applyBorder="1" applyAlignment="1">
      <alignment horizontal="left"/>
    </xf>
    <xf numFmtId="0" fontId="0" fillId="0" borderId="0" xfId="0" applyFill="1" applyBorder="1"/>
    <xf numFmtId="0" fontId="0" fillId="5" borderId="7" xfId="0" applyFill="1" applyBorder="1"/>
    <xf numFmtId="0" fontId="22" fillId="0" borderId="0" xfId="0" applyFont="1" applyAlignment="1">
      <alignment horizontal="center" vertical="center"/>
    </xf>
    <xf numFmtId="0" fontId="14" fillId="0" borderId="0" xfId="0" applyFont="1" applyBorder="1" applyAlignment="1">
      <alignment horizontal="center" vertical="center"/>
    </xf>
    <xf numFmtId="168" fontId="5" fillId="0" borderId="0" xfId="1" applyNumberFormat="1" applyFont="1" applyFill="1" applyBorder="1" applyAlignment="1"/>
    <xf numFmtId="168" fontId="23" fillId="0" borderId="0" xfId="1" applyNumberFormat="1" applyFont="1" applyFill="1" applyBorder="1" applyAlignment="1"/>
    <xf numFmtId="168" fontId="24" fillId="0" borderId="0" xfId="0" applyNumberFormat="1" applyFont="1" applyFill="1" applyBorder="1" applyAlignment="1">
      <alignment horizontal="left"/>
    </xf>
    <xf numFmtId="2" fontId="3" fillId="0" borderId="0" xfId="0" applyNumberFormat="1" applyFont="1" applyBorder="1"/>
    <xf numFmtId="10" fontId="25" fillId="0" borderId="0" xfId="2" applyNumberFormat="1" applyFont="1" applyBorder="1" applyAlignment="1">
      <alignment horizontal="center"/>
    </xf>
    <xf numFmtId="0" fontId="3" fillId="0" borderId="0" xfId="0" applyFont="1" applyBorder="1" applyAlignment="1">
      <alignment horizontal="center"/>
    </xf>
    <xf numFmtId="10" fontId="3" fillId="0" borderId="0" xfId="0" applyNumberFormat="1" applyFont="1" applyFill="1" applyBorder="1" applyAlignment="1">
      <alignment horizontal="center"/>
    </xf>
    <xf numFmtId="0" fontId="26" fillId="0" borderId="0" xfId="0" applyFont="1" applyFill="1" applyBorder="1" applyAlignment="1">
      <alignment horizontal="right"/>
    </xf>
    <xf numFmtId="0" fontId="6" fillId="0" borderId="0" xfId="0" applyFont="1" applyBorder="1" applyAlignment="1">
      <alignment vertical="distributed"/>
    </xf>
    <xf numFmtId="0" fontId="3" fillId="0" borderId="7" xfId="0" applyFont="1" applyBorder="1" applyAlignment="1">
      <alignment horizontal="center" vertical="center"/>
    </xf>
    <xf numFmtId="9" fontId="3" fillId="2" borderId="7" xfId="0" applyNumberFormat="1" applyFont="1" applyFill="1" applyBorder="1" applyAlignment="1">
      <alignment horizontal="center" vertical="center"/>
    </xf>
    <xf numFmtId="10" fontId="3" fillId="0" borderId="0" xfId="2" applyNumberFormat="1" applyFont="1" applyBorder="1" applyAlignment="1">
      <alignment horizontal="center"/>
    </xf>
    <xf numFmtId="0" fontId="27" fillId="0" borderId="0" xfId="0" applyFont="1" applyFill="1" applyBorder="1" applyAlignment="1">
      <alignment vertical="distributed"/>
    </xf>
    <xf numFmtId="0" fontId="3" fillId="0" borderId="0" xfId="0" applyFont="1" applyFill="1" applyAlignment="1">
      <alignment horizontal="center"/>
    </xf>
    <xf numFmtId="10" fontId="3" fillId="0" borderId="0" xfId="0" applyNumberFormat="1" applyFont="1" applyFill="1" applyAlignment="1">
      <alignment horizontal="center"/>
    </xf>
    <xf numFmtId="0" fontId="25" fillId="0" borderId="0" xfId="0" applyFont="1" applyBorder="1" applyAlignment="1">
      <alignment vertical="center" wrapText="1"/>
    </xf>
    <xf numFmtId="9" fontId="3" fillId="0" borderId="0" xfId="0" applyNumberFormat="1" applyFont="1" applyBorder="1"/>
    <xf numFmtId="43" fontId="3" fillId="0" borderId="0" xfId="0" applyNumberFormat="1" applyFont="1"/>
    <xf numFmtId="43" fontId="30" fillId="0" borderId="0" xfId="1" applyFont="1" applyFill="1" applyBorder="1" applyAlignment="1">
      <alignment horizontal="center"/>
    </xf>
    <xf numFmtId="43" fontId="3" fillId="0" borderId="0" xfId="1" applyFont="1" applyFill="1"/>
    <xf numFmtId="0" fontId="31" fillId="0" borderId="0" xfId="0" applyFont="1" applyFill="1"/>
    <xf numFmtId="169" fontId="3" fillId="0" borderId="0" xfId="0" applyNumberFormat="1" applyFont="1" applyBorder="1" applyAlignment="1">
      <alignment horizontal="left" vertical="center"/>
    </xf>
    <xf numFmtId="0" fontId="5" fillId="0" borderId="15" xfId="0" applyFont="1" applyBorder="1" applyAlignment="1">
      <alignment horizontal="center"/>
    </xf>
    <xf numFmtId="0" fontId="5" fillId="0" borderId="3" xfId="0" applyFont="1" applyBorder="1"/>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5" fillId="0" borderId="8" xfId="0" applyFont="1" applyBorder="1" applyAlignment="1">
      <alignment horizontal="center"/>
    </xf>
    <xf numFmtId="0" fontId="5" fillId="0" borderId="22" xfId="0" applyFont="1" applyBorder="1" applyAlignment="1">
      <alignment horizontal="center"/>
    </xf>
    <xf numFmtId="168" fontId="3" fillId="7" borderId="7" xfId="0" applyNumberFormat="1" applyFont="1" applyFill="1" applyBorder="1" applyAlignment="1">
      <alignment vertical="center"/>
    </xf>
    <xf numFmtId="168" fontId="3" fillId="0" borderId="7" xfId="0" applyNumberFormat="1" applyFont="1" applyBorder="1" applyAlignment="1">
      <alignment vertical="center"/>
    </xf>
    <xf numFmtId="168" fontId="3" fillId="7" borderId="7" xfId="1" applyNumberFormat="1" applyFont="1" applyFill="1" applyBorder="1" applyAlignment="1">
      <alignment vertical="center"/>
    </xf>
    <xf numFmtId="43" fontId="3" fillId="0" borderId="0" xfId="1" applyFont="1" applyFill="1" applyBorder="1" applyAlignment="1">
      <alignment horizontal="center" vertical="center" wrapText="1"/>
    </xf>
    <xf numFmtId="168" fontId="5" fillId="0" borderId="4" xfId="0" applyNumberFormat="1" applyFont="1" applyBorder="1" applyAlignment="1">
      <alignment horizontal="right"/>
    </xf>
    <xf numFmtId="168" fontId="5" fillId="0" borderId="10" xfId="0" applyNumberFormat="1" applyFont="1" applyBorder="1" applyAlignment="1">
      <alignment horizontal="right"/>
    </xf>
    <xf numFmtId="168" fontId="5" fillId="0" borderId="6" xfId="0" applyNumberFormat="1" applyFont="1" applyBorder="1" applyAlignment="1">
      <alignment horizontal="right"/>
    </xf>
    <xf numFmtId="10" fontId="3" fillId="0" borderId="0" xfId="2" applyNumberFormat="1" applyFont="1" applyFill="1"/>
    <xf numFmtId="10" fontId="3" fillId="0" borderId="0" xfId="0" applyNumberFormat="1" applyFont="1" applyFill="1"/>
    <xf numFmtId="0" fontId="3" fillId="0" borderId="0" xfId="0" applyFont="1" applyBorder="1" applyAlignment="1">
      <alignment horizontal="right"/>
    </xf>
    <xf numFmtId="0" fontId="5" fillId="0" borderId="0" xfId="0" applyFont="1" applyFill="1" applyBorder="1" applyAlignment="1">
      <alignment horizontal="center"/>
    </xf>
    <xf numFmtId="0" fontId="3" fillId="0" borderId="0" xfId="0" applyFont="1" applyFill="1" applyBorder="1" applyAlignment="1">
      <alignment horizontal="right"/>
    </xf>
    <xf numFmtId="43" fontId="3" fillId="0" borderId="0" xfId="1" applyFont="1" applyFill="1" applyBorder="1"/>
    <xf numFmtId="43"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0" fontId="3" fillId="0" borderId="0" xfId="2" applyNumberFormat="1" applyFont="1" applyFill="1" applyBorder="1" applyAlignment="1">
      <alignment horizontal="center"/>
    </xf>
    <xf numFmtId="10" fontId="3" fillId="0" borderId="0" xfId="2"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43" fontId="5" fillId="0" borderId="15" xfId="1" applyFont="1" applyFill="1" applyBorder="1" applyAlignment="1">
      <alignment horizontal="center" vertical="center" wrapText="1"/>
    </xf>
    <xf numFmtId="43" fontId="5" fillId="0" borderId="15" xfId="1" applyFont="1" applyBorder="1" applyAlignment="1">
      <alignment horizontal="center" vertical="center" wrapText="1"/>
    </xf>
    <xf numFmtId="2" fontId="3" fillId="0" borderId="7" xfId="1" applyNumberFormat="1" applyFont="1" applyBorder="1" applyAlignment="1">
      <alignment horizontal="center" vertical="center" wrapText="1"/>
    </xf>
    <xf numFmtId="170" fontId="3" fillId="0" borderId="7" xfId="1" applyNumberFormat="1" applyFont="1" applyFill="1" applyBorder="1" applyAlignment="1">
      <alignment horizontal="center" vertical="center"/>
    </xf>
    <xf numFmtId="2" fontId="3" fillId="0" borderId="7" xfId="1" applyNumberFormat="1" applyFont="1" applyFill="1" applyBorder="1" applyAlignment="1">
      <alignment horizontal="center" vertical="center" wrapText="1"/>
    </xf>
    <xf numFmtId="2" fontId="3" fillId="0" borderId="11" xfId="1"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166" fontId="5" fillId="0" borderId="7" xfId="2" applyNumberFormat="1" applyFont="1" applyFill="1" applyBorder="1" applyAlignment="1">
      <alignment horizontal="center" vertical="center" wrapText="1"/>
    </xf>
    <xf numFmtId="43" fontId="5" fillId="0" borderId="0" xfId="0" applyNumberFormat="1" applyFont="1" applyFill="1" applyBorder="1" applyAlignment="1">
      <alignment horizontal="center" vertical="center" wrapText="1"/>
    </xf>
    <xf numFmtId="43" fontId="34" fillId="0" borderId="0" xfId="1" applyFont="1" applyFill="1" applyBorder="1"/>
    <xf numFmtId="169" fontId="3" fillId="0" borderId="0" xfId="0" applyNumberFormat="1" applyFont="1" applyFill="1" applyBorder="1" applyAlignment="1">
      <alignment horizontal="center" vertical="center" wrapText="1"/>
    </xf>
    <xf numFmtId="0" fontId="5" fillId="0" borderId="0" xfId="0" applyFont="1" applyFill="1" applyAlignment="1">
      <alignment horizontal="center"/>
    </xf>
    <xf numFmtId="43" fontId="34" fillId="0" borderId="0" xfId="1" applyFont="1" applyFill="1" applyAlignment="1">
      <alignment horizontal="right"/>
    </xf>
    <xf numFmtId="0" fontId="34" fillId="0" borderId="0" xfId="0" applyFont="1" applyFill="1" applyBorder="1"/>
    <xf numFmtId="43" fontId="3" fillId="0" borderId="0" xfId="0" applyNumberFormat="1" applyFont="1" applyFill="1"/>
    <xf numFmtId="171" fontId="3" fillId="0" borderId="0" xfId="0" applyNumberFormat="1" applyFont="1" applyFill="1" applyBorder="1" applyAlignment="1">
      <alignment horizontal="center" vertical="center" wrapText="1"/>
    </xf>
    <xf numFmtId="172" fontId="3" fillId="0" borderId="0" xfId="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173" fontId="3" fillId="0" borderId="0" xfId="0" applyNumberFormat="1" applyFont="1" applyFill="1" applyAlignment="1">
      <alignment horizontal="center" vertical="center" wrapText="1"/>
    </xf>
    <xf numFmtId="0" fontId="5" fillId="0" borderId="0" xfId="0" applyFont="1" applyFill="1" applyBorder="1" applyAlignment="1">
      <alignment horizontal="left"/>
    </xf>
    <xf numFmtId="43" fontId="3" fillId="0" borderId="0" xfId="1" applyFont="1" applyBorder="1" applyAlignment="1">
      <alignment horizontal="center"/>
    </xf>
    <xf numFmtId="174" fontId="3" fillId="0" borderId="0" xfId="1" applyNumberFormat="1" applyFont="1" applyBorder="1" applyAlignment="1">
      <alignment horizontal="center"/>
    </xf>
    <xf numFmtId="43" fontId="3" fillId="0" borderId="0" xfId="1" applyFont="1" applyFill="1" applyBorder="1" applyAlignment="1">
      <alignment horizontal="center"/>
    </xf>
    <xf numFmtId="10" fontId="5" fillId="0" borderId="0" xfId="2" applyNumberFormat="1" applyFont="1" applyFill="1" applyBorder="1" applyAlignment="1"/>
    <xf numFmtId="174" fontId="3" fillId="0" borderId="0" xfId="1" applyNumberFormat="1" applyFont="1" applyFill="1" applyBorder="1" applyAlignment="1">
      <alignment horizontal="center"/>
    </xf>
    <xf numFmtId="43" fontId="5" fillId="0" borderId="0" xfId="1" applyFont="1" applyFill="1" applyBorder="1" applyAlignment="1"/>
    <xf numFmtId="0" fontId="3" fillId="0" borderId="0" xfId="0" applyFont="1" applyFill="1" applyBorder="1" applyAlignment="1">
      <alignment horizontal="left"/>
    </xf>
    <xf numFmtId="0" fontId="5" fillId="0" borderId="7" xfId="0" applyFont="1" applyBorder="1" applyAlignment="1">
      <alignment horizontal="center" vertical="center" wrapText="1"/>
    </xf>
    <xf numFmtId="0" fontId="5" fillId="0" borderId="1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3" fillId="0" borderId="1" xfId="0" applyFont="1" applyFill="1" applyBorder="1" applyAlignment="1">
      <alignment horizontal="center" vertical="center" wrapText="1"/>
    </xf>
    <xf numFmtId="43" fontId="38" fillId="0" borderId="2" xfId="1" applyFont="1" applyFill="1" applyBorder="1" applyAlignment="1">
      <alignment horizontal="right"/>
    </xf>
    <xf numFmtId="0" fontId="3" fillId="0" borderId="2" xfId="0" applyFont="1" applyFill="1" applyBorder="1" applyAlignment="1">
      <alignment horizontal="left"/>
    </xf>
    <xf numFmtId="174" fontId="3" fillId="0" borderId="2" xfId="1" applyNumberFormat="1" applyFont="1" applyFill="1" applyBorder="1" applyAlignment="1">
      <alignment horizontal="center"/>
    </xf>
    <xf numFmtId="43" fontId="3" fillId="0" borderId="2" xfId="1" applyFont="1" applyFill="1" applyBorder="1" applyAlignment="1">
      <alignment horizontal="center"/>
    </xf>
    <xf numFmtId="43" fontId="5" fillId="0" borderId="2" xfId="1" applyFont="1" applyFill="1" applyBorder="1" applyAlignment="1"/>
    <xf numFmtId="43" fontId="5" fillId="0" borderId="3" xfId="1" applyFont="1" applyFill="1" applyBorder="1" applyAlignment="1"/>
    <xf numFmtId="0" fontId="3" fillId="0" borderId="1" xfId="0" applyFont="1" applyFill="1" applyBorder="1"/>
    <xf numFmtId="0" fontId="3" fillId="0" borderId="2" xfId="0" applyFont="1" applyBorder="1"/>
    <xf numFmtId="0" fontId="3" fillId="0" borderId="3" xfId="0" applyFont="1" applyBorder="1"/>
    <xf numFmtId="1" fontId="5" fillId="0" borderId="7" xfId="0" applyNumberFormat="1" applyFont="1" applyFill="1" applyBorder="1" applyAlignment="1">
      <alignment horizontal="center"/>
    </xf>
    <xf numFmtId="10" fontId="5" fillId="0" borderId="7" xfId="2" applyNumberFormat="1" applyFont="1" applyBorder="1" applyAlignment="1">
      <alignment horizontal="center"/>
    </xf>
    <xf numFmtId="43" fontId="5" fillId="0" borderId="7" xfId="1" applyFont="1" applyBorder="1" applyAlignment="1">
      <alignment horizontal="center"/>
    </xf>
    <xf numFmtId="43" fontId="5" fillId="0" borderId="7" xfId="0" applyNumberFormat="1" applyFont="1" applyBorder="1" applyAlignment="1">
      <alignment horizontal="center"/>
    </xf>
    <xf numFmtId="0" fontId="5" fillId="0" borderId="7" xfId="0" applyFont="1" applyBorder="1" applyAlignment="1">
      <alignment horizontal="center"/>
    </xf>
    <xf numFmtId="10" fontId="5" fillId="8" borderId="7" xfId="2" applyNumberFormat="1" applyFont="1" applyFill="1" applyBorder="1" applyAlignment="1"/>
    <xf numFmtId="1" fontId="3" fillId="0" borderId="23" xfId="0" applyNumberFormat="1" applyFont="1" applyFill="1" applyBorder="1" applyAlignment="1">
      <alignment horizontal="center" vertical="center" wrapText="1"/>
    </xf>
    <xf numFmtId="43" fontId="5" fillId="0" borderId="22" xfId="1" applyFont="1" applyFill="1" applyBorder="1" applyAlignment="1"/>
    <xf numFmtId="10" fontId="3" fillId="0" borderId="23" xfId="2" applyNumberFormat="1" applyFont="1" applyFill="1" applyBorder="1"/>
    <xf numFmtId="0" fontId="3" fillId="0" borderId="22" xfId="0" applyFont="1" applyBorder="1"/>
    <xf numFmtId="2" fontId="3" fillId="0" borderId="23" xfId="1" applyNumberFormat="1" applyFont="1" applyFill="1" applyBorder="1" applyAlignment="1">
      <alignment horizontal="center" vertical="center" wrapText="1"/>
    </xf>
    <xf numFmtId="0" fontId="3" fillId="0" borderId="22" xfId="0" applyFont="1" applyFill="1" applyBorder="1"/>
    <xf numFmtId="175" fontId="3" fillId="0" borderId="23" xfId="0" applyNumberFormat="1" applyFont="1" applyBorder="1"/>
    <xf numFmtId="166" fontId="3" fillId="0" borderId="23" xfId="2" applyNumberFormat="1" applyFont="1" applyFill="1" applyBorder="1" applyAlignment="1">
      <alignment horizontal="center" vertical="center" wrapText="1"/>
    </xf>
    <xf numFmtId="169" fontId="5" fillId="0" borderId="23" xfId="1" applyNumberFormat="1" applyFont="1" applyFill="1" applyBorder="1"/>
    <xf numFmtId="0" fontId="5" fillId="0" borderId="0" xfId="0" applyFont="1" applyAlignment="1">
      <alignment horizontal="left"/>
    </xf>
    <xf numFmtId="165" fontId="3" fillId="0" borderId="0" xfId="0" applyNumberFormat="1" applyFont="1" applyFill="1" applyBorder="1"/>
    <xf numFmtId="176" fontId="3" fillId="0" borderId="23" xfId="0" applyNumberFormat="1" applyFont="1" applyFill="1" applyBorder="1" applyAlignment="1">
      <alignment horizontal="center" vertical="center" wrapText="1"/>
    </xf>
    <xf numFmtId="171" fontId="3" fillId="9" borderId="23" xfId="1" applyNumberFormat="1" applyFont="1" applyFill="1" applyBorder="1"/>
    <xf numFmtId="0" fontId="5" fillId="0" borderId="0" xfId="0" applyFont="1" applyBorder="1"/>
    <xf numFmtId="166" fontId="3" fillId="0" borderId="0" xfId="2" applyNumberFormat="1" applyFont="1" applyAlignment="1">
      <alignment horizontal="center" vertical="center" wrapText="1"/>
    </xf>
    <xf numFmtId="10" fontId="3" fillId="3" borderId="23" xfId="2" applyNumberFormat="1" applyFont="1" applyFill="1" applyBorder="1" applyAlignment="1">
      <alignment horizontal="center" vertical="center" wrapText="1"/>
    </xf>
    <xf numFmtId="174" fontId="3" fillId="0" borderId="0" xfId="0" applyNumberFormat="1" applyFont="1" applyBorder="1"/>
    <xf numFmtId="10" fontId="42" fillId="0" borderId="23" xfId="0" applyNumberFormat="1" applyFont="1" applyBorder="1"/>
    <xf numFmtId="0" fontId="43" fillId="0" borderId="0" xfId="0" applyFont="1" applyBorder="1"/>
    <xf numFmtId="49" fontId="6" fillId="0" borderId="0" xfId="0" applyNumberFormat="1" applyFont="1"/>
    <xf numFmtId="10" fontId="3" fillId="9" borderId="7" xfId="2" applyNumberFormat="1" applyFont="1" applyFill="1" applyBorder="1" applyAlignment="1">
      <alignment horizontal="center"/>
    </xf>
    <xf numFmtId="10" fontId="3" fillId="10" borderId="7" xfId="2" applyNumberFormat="1" applyFont="1" applyFill="1" applyBorder="1" applyAlignment="1">
      <alignment horizontal="center"/>
    </xf>
    <xf numFmtId="10" fontId="3" fillId="11" borderId="7" xfId="2" applyNumberFormat="1" applyFont="1" applyFill="1" applyBorder="1" applyAlignment="1">
      <alignment horizontal="center"/>
    </xf>
    <xf numFmtId="10" fontId="3" fillId="0" borderId="4" xfId="2" applyNumberFormat="1" applyFont="1" applyBorder="1" applyAlignment="1">
      <alignment horizontal="center" vertical="center" wrapText="1"/>
    </xf>
    <xf numFmtId="0" fontId="43" fillId="0" borderId="5" xfId="0" applyFont="1" applyBorder="1"/>
    <xf numFmtId="0" fontId="3" fillId="0" borderId="5" xfId="0" applyFont="1" applyBorder="1"/>
    <xf numFmtId="177" fontId="3" fillId="0" borderId="5" xfId="0" applyNumberFormat="1" applyFont="1" applyBorder="1"/>
    <xf numFmtId="0" fontId="3" fillId="0" borderId="6" xfId="0" applyFont="1" applyBorder="1"/>
    <xf numFmtId="0" fontId="3" fillId="0" borderId="4" xfId="0" applyFont="1" applyFill="1" applyBorder="1"/>
    <xf numFmtId="0" fontId="3" fillId="0" borderId="5" xfId="0" applyFont="1" applyFill="1" applyBorder="1"/>
    <xf numFmtId="0" fontId="3" fillId="0" borderId="6" xfId="0" applyFont="1" applyFill="1" applyBorder="1"/>
    <xf numFmtId="10" fontId="3" fillId="0" borderId="0" xfId="0" applyNumberFormat="1" applyFont="1"/>
    <xf numFmtId="1" fontId="3" fillId="9" borderId="7" xfId="0" applyNumberFormat="1" applyFont="1" applyFill="1" applyBorder="1" applyAlignment="1">
      <alignment horizontal="center"/>
    </xf>
    <xf numFmtId="1" fontId="3" fillId="10" borderId="7" xfId="0" applyNumberFormat="1" applyFont="1" applyFill="1" applyBorder="1" applyAlignment="1">
      <alignment horizontal="center"/>
    </xf>
    <xf numFmtId="1" fontId="3" fillId="11" borderId="7" xfId="0" applyNumberFormat="1" applyFont="1" applyFill="1" applyBorder="1" applyAlignment="1">
      <alignment horizontal="center"/>
    </xf>
    <xf numFmtId="1"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0" fontId="3" fillId="0" borderId="2" xfId="0" applyFont="1" applyFill="1" applyBorder="1" applyAlignment="1">
      <alignment horizontal="right"/>
    </xf>
    <xf numFmtId="178" fontId="3" fillId="0" borderId="2" xfId="1" applyNumberFormat="1" applyFont="1" applyBorder="1" applyAlignment="1">
      <alignment horizontal="center" vertical="center"/>
    </xf>
    <xf numFmtId="2" fontId="3" fillId="0" borderId="2" xfId="0" applyNumberFormat="1" applyFont="1" applyBorder="1"/>
    <xf numFmtId="10" fontId="26" fillId="0" borderId="0" xfId="2" applyNumberFormat="1" applyFont="1" applyFill="1" applyBorder="1" applyAlignment="1">
      <alignment horizontal="right"/>
    </xf>
    <xf numFmtId="0" fontId="44" fillId="0" borderId="0" xfId="0" applyFont="1" applyBorder="1" applyAlignment="1">
      <alignment horizontal="right" vertical="center"/>
    </xf>
    <xf numFmtId="0" fontId="44" fillId="0" borderId="0" xfId="0" applyFont="1" applyBorder="1" applyAlignment="1">
      <alignment horizontal="right"/>
    </xf>
    <xf numFmtId="49" fontId="45" fillId="0" borderId="0" xfId="1" applyNumberFormat="1" applyFont="1" applyBorder="1" applyAlignment="1">
      <alignment horizontal="right"/>
    </xf>
    <xf numFmtId="1" fontId="45" fillId="0" borderId="0" xfId="0" applyNumberFormat="1" applyFont="1" applyFill="1" applyBorder="1" applyAlignment="1">
      <alignment horizontal="center"/>
    </xf>
    <xf numFmtId="43" fontId="5" fillId="0" borderId="23" xfId="1" applyFont="1" applyFill="1" applyBorder="1" applyAlignment="1">
      <alignment horizontal="center" vertical="center" wrapText="1"/>
    </xf>
    <xf numFmtId="0" fontId="30" fillId="0" borderId="0" xfId="0" applyFont="1" applyFill="1" applyBorder="1"/>
    <xf numFmtId="43" fontId="3" fillId="0" borderId="0" xfId="1" applyFont="1" applyFill="1" applyBorder="1" applyAlignment="1"/>
    <xf numFmtId="10" fontId="26" fillId="0" borderId="0" xfId="2" applyNumberFormat="1" applyFont="1" applyFill="1" applyBorder="1" applyAlignment="1">
      <alignment horizontal="center"/>
    </xf>
    <xf numFmtId="0" fontId="44" fillId="12" borderId="0" xfId="0" applyFont="1" applyFill="1" applyBorder="1" applyAlignment="1">
      <alignment horizontal="center" vertical="center" wrapText="1"/>
    </xf>
    <xf numFmtId="0" fontId="44" fillId="12" borderId="0" xfId="0" applyFont="1" applyFill="1" applyBorder="1"/>
    <xf numFmtId="0" fontId="44" fillId="12" borderId="0" xfId="0" applyFont="1" applyFill="1" applyBorder="1" applyAlignment="1">
      <alignment horizontal="right"/>
    </xf>
    <xf numFmtId="1" fontId="44" fillId="12" borderId="0" xfId="0" applyNumberFormat="1" applyFont="1" applyFill="1" applyBorder="1" applyAlignment="1">
      <alignment horizontal="center" vertical="distributed"/>
    </xf>
    <xf numFmtId="0" fontId="3" fillId="0" borderId="23" xfId="0" applyFont="1" applyBorder="1" applyAlignment="1">
      <alignment horizontal="center" vertical="center" wrapText="1"/>
    </xf>
    <xf numFmtId="0" fontId="3" fillId="0" borderId="0" xfId="0" applyFont="1" applyBorder="1" applyAlignment="1">
      <alignment horizontal="left"/>
    </xf>
    <xf numFmtId="49" fontId="3" fillId="0" borderId="0" xfId="0" applyNumberFormat="1" applyFont="1" applyBorder="1" applyAlignment="1">
      <alignment horizontal="center"/>
    </xf>
    <xf numFmtId="168" fontId="26" fillId="0" borderId="0" xfId="1" applyNumberFormat="1" applyFont="1" applyFill="1" applyBorder="1" applyAlignment="1">
      <alignment horizontal="center"/>
    </xf>
    <xf numFmtId="0" fontId="44" fillId="13" borderId="0" xfId="0" applyFont="1" applyFill="1" applyBorder="1" applyAlignment="1">
      <alignment horizontal="center" vertical="center" wrapText="1"/>
    </xf>
    <xf numFmtId="0" fontId="44" fillId="13" borderId="0" xfId="0" applyFont="1" applyFill="1" applyBorder="1"/>
    <xf numFmtId="0" fontId="44" fillId="13" borderId="0" xfId="0" applyFont="1" applyFill="1" applyBorder="1" applyAlignment="1">
      <alignment horizontal="right"/>
    </xf>
    <xf numFmtId="1" fontId="44" fillId="13" borderId="0" xfId="0" applyNumberFormat="1" applyFont="1" applyFill="1" applyBorder="1" applyAlignment="1">
      <alignment horizontal="center" vertical="distributed"/>
    </xf>
    <xf numFmtId="169" fontId="3" fillId="0" borderId="0" xfId="0" applyNumberFormat="1" applyFont="1" applyFill="1" applyBorder="1"/>
    <xf numFmtId="43" fontId="3" fillId="0" borderId="0" xfId="0" applyNumberFormat="1" applyFont="1" applyFill="1" applyBorder="1"/>
    <xf numFmtId="168" fontId="44" fillId="14" borderId="0" xfId="0" applyNumberFormat="1" applyFont="1" applyFill="1" applyBorder="1" applyAlignment="1">
      <alignment horizontal="center" vertical="center" wrapText="1"/>
    </xf>
    <xf numFmtId="43" fontId="46" fillId="14" borderId="0" xfId="1" applyFont="1" applyFill="1" applyBorder="1"/>
    <xf numFmtId="43" fontId="44" fillId="14" borderId="0" xfId="1" applyFont="1" applyFill="1" applyBorder="1" applyAlignment="1">
      <alignment horizontal="right"/>
    </xf>
    <xf numFmtId="1" fontId="44" fillId="14" borderId="0" xfId="0" applyNumberFormat="1" applyFont="1" applyFill="1" applyBorder="1" applyAlignment="1">
      <alignment horizontal="center" vertical="distributed"/>
    </xf>
    <xf numFmtId="49" fontId="44" fillId="0" borderId="0" xfId="0" applyNumberFormat="1" applyFont="1" applyFill="1" applyBorder="1" applyAlignment="1">
      <alignment horizontal="center" vertical="center" wrapText="1"/>
    </xf>
    <xf numFmtId="49" fontId="44" fillId="0" borderId="0" xfId="0" applyNumberFormat="1" applyFont="1" applyFill="1" applyBorder="1"/>
    <xf numFmtId="1" fontId="44" fillId="0" borderId="0" xfId="0" applyNumberFormat="1" applyFont="1" applyBorder="1" applyAlignment="1">
      <alignment horizontal="center"/>
    </xf>
    <xf numFmtId="43" fontId="3" fillId="0" borderId="5" xfId="1" applyFont="1" applyFill="1" applyBorder="1" applyAlignment="1">
      <alignment horizontal="center"/>
    </xf>
    <xf numFmtId="43" fontId="5" fillId="0" borderId="5" xfId="1" applyFont="1" applyFill="1" applyBorder="1" applyAlignment="1"/>
    <xf numFmtId="0" fontId="44" fillId="0" borderId="0" xfId="0" applyFont="1" applyFill="1" applyBorder="1" applyAlignment="1">
      <alignment horizontal="right" vertical="center"/>
    </xf>
    <xf numFmtId="49" fontId="44" fillId="0" borderId="0" xfId="1" applyNumberFormat="1" applyFont="1" applyBorder="1" applyAlignment="1">
      <alignment horizontal="right"/>
    </xf>
    <xf numFmtId="1" fontId="44" fillId="0" borderId="0" xfId="0" applyNumberFormat="1" applyFont="1" applyFill="1" applyBorder="1" applyAlignment="1">
      <alignment horizontal="center"/>
    </xf>
    <xf numFmtId="49" fontId="25" fillId="0" borderId="0" xfId="0" applyNumberFormat="1" applyFont="1"/>
    <xf numFmtId="0" fontId="44" fillId="11" borderId="0" xfId="0" applyFont="1" applyFill="1" applyBorder="1" applyAlignment="1">
      <alignment horizontal="center" vertical="center" wrapText="1"/>
    </xf>
    <xf numFmtId="0" fontId="44" fillId="11" borderId="0" xfId="0" applyFont="1" applyFill="1" applyBorder="1"/>
    <xf numFmtId="0" fontId="44" fillId="11" borderId="0" xfId="0" applyFont="1" applyFill="1" applyBorder="1" applyAlignment="1">
      <alignment horizontal="right"/>
    </xf>
    <xf numFmtId="1" fontId="44" fillId="11" borderId="0" xfId="0" applyNumberFormat="1" applyFont="1" applyFill="1" applyBorder="1" applyAlignment="1">
      <alignment horizontal="center" vertical="distributed"/>
    </xf>
    <xf numFmtId="0" fontId="48" fillId="0" borderId="0" xfId="0" applyFont="1" applyFill="1" applyBorder="1"/>
    <xf numFmtId="49" fontId="3" fillId="0" borderId="0" xfId="0" applyNumberFormat="1" applyFont="1" applyFill="1" applyBorder="1"/>
    <xf numFmtId="0" fontId="3" fillId="0" borderId="1" xfId="0" applyFont="1" applyBorder="1" applyAlignment="1">
      <alignment horizontal="center"/>
    </xf>
    <xf numFmtId="0" fontId="3" fillId="0" borderId="15" xfId="0" applyFont="1" applyBorder="1" applyAlignment="1">
      <alignment horizontal="center"/>
    </xf>
    <xf numFmtId="49" fontId="3" fillId="0" borderId="0" xfId="0" applyNumberFormat="1" applyFont="1" applyFill="1" applyBorder="1" applyAlignment="1">
      <alignment horizontal="center" vertical="center" wrapText="1"/>
    </xf>
    <xf numFmtId="43" fontId="30" fillId="0" borderId="0" xfId="1" applyFont="1" applyFill="1" applyBorder="1" applyAlignment="1">
      <alignment horizontal="center" vertical="center" wrapText="1"/>
    </xf>
    <xf numFmtId="43" fontId="5" fillId="0" borderId="0" xfId="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3" fillId="0" borderId="4" xfId="0" applyFont="1" applyBorder="1" applyAlignment="1">
      <alignment horizontal="center"/>
    </xf>
    <xf numFmtId="0" fontId="3" fillId="0" borderId="10" xfId="0" applyFont="1" applyBorder="1" applyAlignment="1">
      <alignment horizontal="center"/>
    </xf>
    <xf numFmtId="168" fontId="25" fillId="0" borderId="7" xfId="1" applyNumberFormat="1" applyFont="1" applyFill="1" applyBorder="1"/>
    <xf numFmtId="0" fontId="24" fillId="0" borderId="7" xfId="0" applyFont="1" applyFill="1" applyBorder="1" applyAlignment="1">
      <alignment horizontal="right" vertical="center"/>
    </xf>
    <xf numFmtId="43" fontId="3" fillId="0" borderId="7" xfId="1" applyFont="1" applyFill="1" applyBorder="1" applyAlignment="1">
      <alignment horizontal="center" vertical="center" wrapText="1"/>
    </xf>
    <xf numFmtId="168" fontId="5" fillId="0" borderId="0" xfId="0" applyNumberFormat="1" applyFont="1" applyFill="1" applyBorder="1"/>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right" vertical="center"/>
    </xf>
    <xf numFmtId="168" fontId="5" fillId="0" borderId="7" xfId="0" applyNumberFormat="1" applyFont="1" applyBorder="1" applyAlignment="1">
      <alignment horizontal="center" vertical="center" wrapText="1"/>
    </xf>
    <xf numFmtId="168" fontId="27" fillId="0" borderId="7" xfId="1" applyNumberFormat="1" applyFont="1" applyFill="1" applyBorder="1"/>
    <xf numFmtId="0" fontId="5" fillId="0" borderId="0" xfId="0" applyFont="1" applyBorder="1" applyAlignment="1">
      <alignment horizontal="right" vertical="center"/>
    </xf>
    <xf numFmtId="0" fontId="3" fillId="0" borderId="0" xfId="0" applyFont="1" applyBorder="1" applyAlignment="1">
      <alignment horizontal="left" vertical="center"/>
    </xf>
    <xf numFmtId="168" fontId="5" fillId="0" borderId="0" xfId="0" applyNumberFormat="1" applyFont="1" applyFill="1" applyBorder="1" applyAlignment="1">
      <alignment horizontal="center"/>
    </xf>
    <xf numFmtId="168" fontId="25" fillId="0" borderId="0" xfId="1" applyNumberFormat="1" applyFont="1" applyFill="1" applyBorder="1"/>
    <xf numFmtId="168" fontId="27" fillId="0" borderId="0" xfId="1" applyNumberFormat="1" applyFont="1" applyFill="1" applyBorder="1"/>
    <xf numFmtId="168" fontId="35" fillId="0" borderId="0" xfId="0" applyNumberFormat="1" applyFont="1" applyFill="1" applyBorder="1"/>
    <xf numFmtId="168" fontId="3" fillId="0" borderId="0" xfId="1" applyNumberFormat="1" applyFont="1" applyAlignment="1">
      <alignment horizontal="center" vertical="center" wrapText="1"/>
    </xf>
    <xf numFmtId="43" fontId="49" fillId="0" borderId="7" xfId="1" applyFont="1" applyBorder="1"/>
    <xf numFmtId="0" fontId="27" fillId="0" borderId="0" xfId="0" applyFont="1" applyAlignment="1">
      <alignment horizontal="right"/>
    </xf>
    <xf numFmtId="43" fontId="5" fillId="0" borderId="0" xfId="1" applyFont="1" applyAlignment="1">
      <alignment horizontal="center" vertical="center" wrapText="1"/>
    </xf>
    <xf numFmtId="168" fontId="3" fillId="0" borderId="0" xfId="0" applyNumberFormat="1" applyFont="1" applyAlignment="1">
      <alignment horizontal="center" vertical="center" wrapText="1"/>
    </xf>
    <xf numFmtId="0" fontId="27" fillId="0" borderId="0" xfId="0" applyFont="1" applyBorder="1" applyAlignment="1">
      <alignment horizontal="right"/>
    </xf>
    <xf numFmtId="43" fontId="3" fillId="3" borderId="0" xfId="0" applyNumberFormat="1" applyFont="1" applyFill="1" applyAlignment="1">
      <alignment horizontal="center" vertical="center" wrapText="1"/>
    </xf>
    <xf numFmtId="43" fontId="3" fillId="0" borderId="0" xfId="1" applyFont="1" applyBorder="1"/>
    <xf numFmtId="0" fontId="3" fillId="0" borderId="0" xfId="0" applyFont="1" applyAlignment="1">
      <alignment horizontal="center" vertical="center"/>
    </xf>
    <xf numFmtId="43" fontId="5" fillId="0" borderId="7" xfId="0" applyNumberFormat="1" applyFont="1" applyBorder="1"/>
    <xf numFmtId="43"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9" fontId="5" fillId="3" borderId="7" xfId="1" applyNumberFormat="1" applyFont="1" applyFill="1" applyBorder="1"/>
    <xf numFmtId="174" fontId="3" fillId="0" borderId="0" xfId="0" applyNumberFormat="1" applyFont="1" applyFill="1" applyBorder="1" applyAlignment="1">
      <alignment horizontal="center" vertical="center" wrapText="1"/>
    </xf>
    <xf numFmtId="0" fontId="5" fillId="0" borderId="0" xfId="0" applyFont="1" applyBorder="1" applyAlignment="1">
      <alignment horizontal="center"/>
    </xf>
    <xf numFmtId="9" fontId="3" fillId="0" borderId="0" xfId="2" applyFont="1" applyFill="1" applyBorder="1" applyAlignment="1">
      <alignment horizontal="center" vertical="center" wrapText="1"/>
    </xf>
    <xf numFmtId="0" fontId="3" fillId="0" borderId="2" xfId="0" applyFont="1" applyFill="1" applyBorder="1"/>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Fill="1" applyBorder="1" applyAlignment="1">
      <alignment horizontal="center" vertical="center" wrapText="1"/>
    </xf>
    <xf numFmtId="168" fontId="3" fillId="0" borderId="0" xfId="0" applyNumberFormat="1" applyFont="1" applyFill="1" applyBorder="1"/>
    <xf numFmtId="2" fontId="3" fillId="0" borderId="0" xfId="0" applyNumberFormat="1" applyFont="1" applyFill="1" applyBorder="1"/>
    <xf numFmtId="10" fontId="3" fillId="0" borderId="0" xfId="0" applyNumberFormat="1" applyFont="1" applyFill="1" applyBorder="1"/>
    <xf numFmtId="1" fontId="3" fillId="0" borderId="0"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49" fontId="3" fillId="0" borderId="23" xfId="0" applyNumberFormat="1" applyFont="1" applyFill="1" applyBorder="1"/>
    <xf numFmtId="169" fontId="3" fillId="0" borderId="0" xfId="0" applyNumberFormat="1" applyFont="1" applyFill="1" applyBorder="1" applyAlignment="1">
      <alignment horizontal="center" vertical="center"/>
    </xf>
    <xf numFmtId="0" fontId="3" fillId="0" borderId="0" xfId="0" applyFont="1" applyFill="1" applyBorder="1" applyAlignment="1"/>
    <xf numFmtId="10" fontId="3" fillId="0" borderId="22" xfId="0" applyNumberFormat="1" applyFont="1" applyFill="1" applyBorder="1" applyAlignment="1">
      <alignment horizontal="center" vertical="center" wrapText="1"/>
    </xf>
    <xf numFmtId="169" fontId="3" fillId="0" borderId="0" xfId="0" applyNumberFormat="1" applyFont="1" applyFill="1" applyBorder="1" applyAlignment="1">
      <alignment horizontal="center"/>
    </xf>
    <xf numFmtId="49" fontId="3" fillId="0" borderId="7" xfId="0" applyNumberFormat="1" applyFont="1" applyFill="1" applyBorder="1" applyAlignment="1">
      <alignment horizontal="center"/>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xf>
    <xf numFmtId="0" fontId="3" fillId="0" borderId="23" xfId="0" applyFont="1" applyFill="1" applyBorder="1"/>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4" xfId="0" applyNumberFormat="1" applyFont="1" applyFill="1" applyBorder="1"/>
    <xf numFmtId="0" fontId="3" fillId="0" borderId="5" xfId="0" applyFont="1" applyBorder="1" applyAlignment="1">
      <alignment horizontal="center" vertical="center" wrapText="1"/>
    </xf>
    <xf numFmtId="49" fontId="5" fillId="15" borderId="7" xfId="0" applyNumberFormat="1" applyFont="1" applyFill="1" applyBorder="1" applyAlignment="1">
      <alignment horizontal="center" vertical="center" wrapText="1"/>
    </xf>
    <xf numFmtId="0" fontId="5" fillId="15" borderId="7" xfId="0" applyFont="1" applyFill="1" applyBorder="1" applyAlignment="1">
      <alignment horizontal="center" vertical="center" wrapText="1"/>
    </xf>
    <xf numFmtId="0" fontId="3" fillId="0" borderId="0" xfId="0" applyFont="1" applyAlignment="1">
      <alignment vertical="center" wrapText="1"/>
    </xf>
    <xf numFmtId="169" fontId="3" fillId="0" borderId="0" xfId="0" applyNumberFormat="1" applyFont="1" applyAlignment="1">
      <alignment vertical="center"/>
    </xf>
    <xf numFmtId="176" fontId="3" fillId="0" borderId="7" xfId="0" applyNumberFormat="1" applyFont="1" applyBorder="1" applyAlignment="1">
      <alignment horizontal="center" vertical="center"/>
    </xf>
    <xf numFmtId="10" fontId="3" fillId="0" borderId="7" xfId="2" applyNumberFormat="1"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Border="1" applyAlignment="1">
      <alignment horizontal="center" vertical="center"/>
    </xf>
    <xf numFmtId="169" fontId="3" fillId="0" borderId="0" xfId="0" applyNumberFormat="1" applyFont="1" applyBorder="1"/>
    <xf numFmtId="176" fontId="3" fillId="0" borderId="0" xfId="0" applyNumberFormat="1" applyFont="1" applyBorder="1" applyAlignment="1">
      <alignment horizontal="center" vertical="center"/>
    </xf>
    <xf numFmtId="0" fontId="5" fillId="16"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50" fillId="0" borderId="7" xfId="0" applyFont="1" applyFill="1" applyBorder="1" applyAlignment="1">
      <alignment horizontal="center" vertical="center" wrapText="1"/>
    </xf>
    <xf numFmtId="2" fontId="3" fillId="2" borderId="7" xfId="0" applyNumberFormat="1" applyFont="1" applyFill="1" applyBorder="1" applyAlignment="1">
      <alignment horizontal="center" vertical="center"/>
    </xf>
    <xf numFmtId="178" fontId="3" fillId="0" borderId="0" xfId="1" applyNumberFormat="1" applyFont="1" applyFill="1" applyBorder="1" applyAlignment="1">
      <alignment horizontal="center"/>
    </xf>
    <xf numFmtId="178" fontId="3" fillId="0" borderId="0" xfId="0" applyNumberFormat="1" applyFont="1" applyFill="1" applyBorder="1" applyAlignment="1">
      <alignment horizontal="center"/>
    </xf>
    <xf numFmtId="0" fontId="12"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7" xfId="0" applyFont="1" applyBorder="1" applyAlignment="1">
      <alignment horizontal="center" vertical="center" wrapText="1"/>
    </xf>
    <xf numFmtId="2" fontId="3" fillId="0" borderId="7" xfId="0" applyNumberFormat="1" applyFont="1" applyFill="1" applyBorder="1" applyAlignment="1">
      <alignment horizontal="center"/>
    </xf>
    <xf numFmtId="2" fontId="12" fillId="0" borderId="7" xfId="0" applyNumberFormat="1" applyFont="1" applyBorder="1" applyAlignment="1">
      <alignment horizontal="center" vertical="center"/>
    </xf>
    <xf numFmtId="2" fontId="10" fillId="0" borderId="7" xfId="0" applyNumberFormat="1" applyFont="1" applyBorder="1" applyAlignment="1">
      <alignment horizontal="center" vertical="center"/>
    </xf>
    <xf numFmtId="0" fontId="16" fillId="0" borderId="17" xfId="0" applyFont="1" applyBorder="1"/>
    <xf numFmtId="0" fontId="16" fillId="0" borderId="18" xfId="0" applyFont="1" applyBorder="1"/>
    <xf numFmtId="0" fontId="16" fillId="0" borderId="19" xfId="0" applyFont="1" applyBorder="1"/>
    <xf numFmtId="0" fontId="16" fillId="0" borderId="20" xfId="0" applyFont="1" applyBorder="1" applyAlignment="1">
      <alignment horizontal="center"/>
    </xf>
    <xf numFmtId="0" fontId="16" fillId="0" borderId="0" xfId="0" applyFont="1" applyBorder="1" applyAlignment="1">
      <alignment horizontal="center"/>
    </xf>
    <xf numFmtId="0" fontId="16" fillId="0" borderId="21" xfId="0" applyFont="1" applyBorder="1" applyAlignment="1">
      <alignment horizontal="center"/>
    </xf>
    <xf numFmtId="10" fontId="16" fillId="0" borderId="20" xfId="0" applyNumberFormat="1" applyFont="1" applyBorder="1" applyAlignment="1">
      <alignment horizontal="center"/>
    </xf>
    <xf numFmtId="10" fontId="16" fillId="0" borderId="0" xfId="0" applyNumberFormat="1" applyFont="1" applyBorder="1" applyAlignment="1">
      <alignment horizontal="center"/>
    </xf>
    <xf numFmtId="9" fontId="16" fillId="0" borderId="0" xfId="0" applyNumberFormat="1" applyFont="1" applyBorder="1" applyAlignment="1">
      <alignment horizontal="center"/>
    </xf>
    <xf numFmtId="164" fontId="16" fillId="2" borderId="21" xfId="0" applyNumberFormat="1" applyFont="1" applyFill="1" applyBorder="1" applyAlignment="1">
      <alignment horizontal="center"/>
    </xf>
    <xf numFmtId="0" fontId="16" fillId="0" borderId="24" xfId="0" applyFont="1" applyBorder="1" applyAlignment="1">
      <alignment horizontal="center"/>
    </xf>
    <xf numFmtId="164" fontId="17" fillId="2" borderId="25" xfId="0" applyNumberFormat="1" applyFont="1" applyFill="1" applyBorder="1" applyAlignment="1">
      <alignment horizontal="center" vertical="center"/>
    </xf>
    <xf numFmtId="2" fontId="12" fillId="2" borderId="26" xfId="0" applyNumberFormat="1" applyFont="1" applyFill="1" applyBorder="1" applyAlignment="1">
      <alignment horizontal="center" vertical="center"/>
    </xf>
    <xf numFmtId="2" fontId="44" fillId="14" borderId="0" xfId="0" applyNumberFormat="1" applyFont="1" applyFill="1" applyBorder="1" applyAlignment="1">
      <alignment horizontal="center" vertical="distributed"/>
    </xf>
    <xf numFmtId="164" fontId="44" fillId="12" borderId="0" xfId="0" applyNumberFormat="1" applyFont="1" applyFill="1" applyBorder="1" applyAlignment="1">
      <alignment horizontal="center" vertical="distributed"/>
    </xf>
    <xf numFmtId="2" fontId="8" fillId="2" borderId="25" xfId="0" applyNumberFormat="1" applyFont="1" applyFill="1" applyBorder="1" applyAlignment="1">
      <alignment horizontal="center" vertical="center"/>
    </xf>
    <xf numFmtId="0" fontId="29" fillId="15" borderId="7" xfId="0" applyFont="1" applyFill="1" applyBorder="1" applyAlignment="1">
      <alignment horizontal="center" vertical="center" wrapText="1"/>
    </xf>
    <xf numFmtId="0" fontId="3" fillId="0" borderId="0" xfId="0" applyFont="1" applyAlignment="1">
      <alignment horizontal="right" vertical="center"/>
    </xf>
    <xf numFmtId="1" fontId="51" fillId="0" borderId="7" xfId="0" applyNumberFormat="1" applyFont="1" applyFill="1" applyBorder="1" applyAlignment="1">
      <alignment horizontal="center" vertical="center" wrapText="1"/>
    </xf>
    <xf numFmtId="1" fontId="52" fillId="0" borderId="7" xfId="0" applyNumberFormat="1" applyFont="1" applyFill="1" applyBorder="1" applyAlignment="1">
      <alignment horizontal="center" vertical="center" wrapText="1"/>
    </xf>
    <xf numFmtId="1" fontId="53" fillId="0" borderId="7" xfId="0" applyNumberFormat="1" applyFont="1" applyFill="1" applyBorder="1" applyAlignment="1">
      <alignment horizontal="center" vertical="center" wrapText="1"/>
    </xf>
    <xf numFmtId="0" fontId="16" fillId="0" borderId="16" xfId="0" applyFont="1" applyFill="1" applyBorder="1" applyAlignment="1">
      <alignment horizontal="right" vertical="center" wrapText="1"/>
    </xf>
    <xf numFmtId="1" fontId="16" fillId="0" borderId="14" xfId="0" applyNumberFormat="1" applyFont="1" applyFill="1" applyBorder="1" applyAlignment="1">
      <alignment horizontal="center" vertical="center" wrapText="1"/>
    </xf>
    <xf numFmtId="167" fontId="8" fillId="0" borderId="0" xfId="0" applyNumberFormat="1" applyFont="1"/>
    <xf numFmtId="167" fontId="10" fillId="0" borderId="0" xfId="0" applyNumberFormat="1" applyFont="1"/>
    <xf numFmtId="167" fontId="12" fillId="0" borderId="0" xfId="0" applyNumberFormat="1" applyFont="1"/>
    <xf numFmtId="169" fontId="3" fillId="4" borderId="0" xfId="0" applyNumberFormat="1" applyFont="1" applyFill="1" applyBorder="1"/>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7" fillId="4" borderId="33"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3" fillId="4" borderId="0" xfId="0" applyFont="1" applyFill="1" applyBorder="1" applyAlignment="1">
      <alignment horizontal="lef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176" fontId="3" fillId="4" borderId="0" xfId="0" applyNumberFormat="1" applyFont="1" applyFill="1" applyBorder="1" applyAlignment="1">
      <alignment horizontal="center" vertical="center" wrapText="1"/>
    </xf>
    <xf numFmtId="0" fontId="3" fillId="4" borderId="0" xfId="0" applyFont="1" applyFill="1" applyBorder="1" applyAlignment="1">
      <alignment horizontal="center" vertical="center"/>
    </xf>
    <xf numFmtId="9" fontId="3" fillId="4" borderId="0" xfId="2" applyNumberFormat="1" applyFont="1" applyFill="1" applyAlignment="1">
      <alignment horizontal="center" vertical="center"/>
    </xf>
    <xf numFmtId="164" fontId="8" fillId="2" borderId="7" xfId="0" applyNumberFormat="1" applyFont="1" applyFill="1"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0" fillId="17" borderId="7" xfId="0" applyFill="1" applyBorder="1"/>
    <xf numFmtId="0" fontId="50" fillId="2" borderId="7" xfId="0" applyFont="1" applyFill="1" applyBorder="1" applyAlignment="1">
      <alignment horizontal="center" vertical="center"/>
    </xf>
    <xf numFmtId="0" fontId="50" fillId="0" borderId="0" xfId="0" applyFont="1" applyBorder="1" applyAlignment="1">
      <alignment horizontal="right" vertical="center" wrapText="1"/>
    </xf>
    <xf numFmtId="176" fontId="3" fillId="4" borderId="7" xfId="0" applyNumberFormat="1" applyFont="1" applyFill="1" applyBorder="1" applyAlignment="1">
      <alignment horizontal="center" vertical="center"/>
    </xf>
    <xf numFmtId="2" fontId="8" fillId="0" borderId="9" xfId="0" applyNumberFormat="1" applyFont="1" applyFill="1" applyBorder="1" applyAlignment="1">
      <alignment horizontal="center" vertical="center" wrapText="1"/>
    </xf>
    <xf numFmtId="2" fontId="17" fillId="0" borderId="7" xfId="0" applyNumberFormat="1" applyFont="1" applyFill="1" applyBorder="1" applyAlignment="1">
      <alignment horizontal="center" vertical="center" wrapText="1"/>
    </xf>
    <xf numFmtId="2" fontId="12" fillId="0" borderId="7" xfId="0" applyNumberFormat="1" applyFont="1" applyFill="1" applyBorder="1" applyAlignment="1">
      <alignment horizontal="center" vertical="center" wrapText="1"/>
    </xf>
    <xf numFmtId="0" fontId="58" fillId="0" borderId="0" xfId="0" applyFont="1" applyBorder="1" applyAlignment="1">
      <alignment horizontal="left" vertical="center"/>
    </xf>
    <xf numFmtId="2" fontId="8" fillId="0" borderId="11" xfId="0" applyNumberFormat="1" applyFont="1" applyBorder="1" applyAlignment="1">
      <alignment horizontal="center" vertical="center"/>
    </xf>
    <xf numFmtId="2" fontId="3" fillId="0" borderId="7" xfId="0" applyNumberFormat="1" applyFont="1" applyFill="1" applyBorder="1" applyAlignment="1">
      <alignment horizontal="center" vertical="center"/>
    </xf>
    <xf numFmtId="2" fontId="17" fillId="4" borderId="7" xfId="0" applyNumberFormat="1" applyFont="1" applyFill="1" applyBorder="1" applyAlignment="1">
      <alignment horizontal="center" vertical="center"/>
    </xf>
    <xf numFmtId="2" fontId="8" fillId="4" borderId="7" xfId="0" applyNumberFormat="1" applyFont="1" applyFill="1" applyBorder="1" applyAlignment="1">
      <alignment horizontal="center" vertical="center"/>
    </xf>
    <xf numFmtId="0" fontId="5" fillId="18" borderId="7" xfId="0" applyFont="1" applyFill="1" applyBorder="1" applyAlignment="1">
      <alignment horizontal="center" vertical="center" wrapText="1"/>
    </xf>
    <xf numFmtId="0" fontId="66" fillId="0" borderId="7" xfId="0" applyFont="1" applyBorder="1" applyAlignment="1">
      <alignment horizontal="center" wrapText="1"/>
    </xf>
    <xf numFmtId="0" fontId="67" fillId="0" borderId="7" xfId="0" applyFont="1" applyBorder="1" applyAlignment="1">
      <alignment horizontal="center" wrapText="1"/>
    </xf>
    <xf numFmtId="0" fontId="68" fillId="0" borderId="11" xfId="0" applyFont="1" applyBorder="1" applyAlignment="1">
      <alignment horizontal="center" wrapText="1"/>
    </xf>
    <xf numFmtId="10" fontId="65" fillId="0" borderId="0" xfId="2" applyNumberFormat="1" applyFont="1"/>
    <xf numFmtId="43" fontId="3" fillId="0" borderId="0" xfId="1" applyFont="1" applyAlignment="1">
      <alignment horizontal="center" vertical="center" wrapText="1"/>
    </xf>
    <xf numFmtId="0" fontId="3" fillId="4" borderId="0" xfId="0" applyFont="1" applyFill="1"/>
    <xf numFmtId="2" fontId="62" fillId="4" borderId="0" xfId="0" applyNumberFormat="1" applyFont="1" applyFill="1" applyBorder="1" applyAlignment="1">
      <alignment horizontal="center" vertical="center"/>
    </xf>
    <xf numFmtId="0" fontId="3" fillId="4" borderId="27"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72" fillId="0" borderId="0" xfId="0" applyFont="1" applyBorder="1" applyAlignment="1">
      <alignment horizontal="left" vertical="center"/>
    </xf>
    <xf numFmtId="164" fontId="8" fillId="0" borderId="7" xfId="0" applyNumberFormat="1" applyFont="1" applyBorder="1" applyAlignment="1">
      <alignment vertical="center"/>
    </xf>
    <xf numFmtId="0" fontId="73" fillId="0" borderId="0" xfId="0" applyFont="1" applyAlignment="1">
      <alignment vertical="center"/>
    </xf>
    <xf numFmtId="0" fontId="5" fillId="0" borderId="0" xfId="0" applyFont="1" applyFill="1" applyBorder="1" applyAlignment="1">
      <alignment horizontal="left" vertical="center"/>
    </xf>
    <xf numFmtId="0" fontId="5" fillId="0" borderId="0" xfId="0" applyFont="1" applyAlignment="1">
      <alignment horizontal="right"/>
    </xf>
    <xf numFmtId="0" fontId="5" fillId="0" borderId="0" xfId="0" applyFont="1" applyAlignment="1">
      <alignment horizontal="right" vertical="center"/>
    </xf>
    <xf numFmtId="0" fontId="32" fillId="0" borderId="0" xfId="0" applyFont="1" applyBorder="1" applyAlignment="1">
      <alignment horizontal="right" vertical="center"/>
    </xf>
    <xf numFmtId="0" fontId="75" fillId="0" borderId="0" xfId="0" applyFont="1"/>
    <xf numFmtId="0" fontId="75" fillId="0" borderId="0" xfId="0" applyFont="1" applyAlignment="1">
      <alignment horizontal="center"/>
    </xf>
    <xf numFmtId="0" fontId="5" fillId="0" borderId="0" xfId="0" applyFont="1" applyAlignment="1">
      <alignment horizontal="right" vertical="top" wrapText="1"/>
    </xf>
    <xf numFmtId="0" fontId="19" fillId="0" borderId="0" xfId="0" applyFont="1" applyFill="1" applyAlignment="1">
      <alignment horizontal="right" vertical="center" wrapText="1"/>
    </xf>
    <xf numFmtId="165" fontId="3" fillId="0" borderId="0" xfId="1" applyNumberFormat="1" applyFont="1"/>
    <xf numFmtId="176" fontId="3" fillId="4" borderId="0" xfId="0" applyNumberFormat="1" applyFont="1" applyFill="1" applyBorder="1" applyAlignment="1">
      <alignment horizontal="center" vertical="center"/>
    </xf>
    <xf numFmtId="0" fontId="76" fillId="4" borderId="7" xfId="0" applyFont="1" applyFill="1" applyBorder="1" applyAlignment="1">
      <alignment horizontal="right" vertical="center"/>
    </xf>
    <xf numFmtId="0" fontId="3" fillId="4" borderId="0" xfId="0" applyFont="1" applyFill="1" applyBorder="1" applyAlignment="1">
      <alignment horizontal="center" vertical="center" wrapText="1"/>
    </xf>
    <xf numFmtId="0" fontId="77" fillId="4" borderId="0" xfId="0" applyFont="1" applyFill="1" applyBorder="1" applyAlignment="1">
      <alignment horizontal="center" vertical="center" wrapText="1"/>
    </xf>
    <xf numFmtId="0" fontId="77" fillId="4" borderId="0" xfId="0" applyFont="1" applyFill="1" applyBorder="1" applyAlignment="1">
      <alignment horizontal="left" vertical="center"/>
    </xf>
    <xf numFmtId="0" fontId="77" fillId="4" borderId="0" xfId="0" applyFont="1" applyFill="1" applyBorder="1" applyAlignment="1">
      <alignment vertical="center"/>
    </xf>
    <xf numFmtId="0" fontId="15" fillId="4" borderId="0" xfId="0" applyFont="1" applyFill="1" applyBorder="1" applyAlignment="1">
      <alignment horizontal="left" vertical="center" wrapText="1"/>
    </xf>
    <xf numFmtId="0" fontId="5" fillId="2" borderId="11" xfId="0" applyFont="1" applyFill="1" applyBorder="1" applyAlignment="1">
      <alignment vertical="center"/>
    </xf>
    <xf numFmtId="0" fontId="5" fillId="2" borderId="39" xfId="0" applyFont="1" applyFill="1" applyBorder="1" applyAlignment="1">
      <alignment vertical="center"/>
    </xf>
    <xf numFmtId="0" fontId="5" fillId="2" borderId="30" xfId="0" applyFont="1" applyFill="1" applyBorder="1" applyAlignment="1">
      <alignment vertical="center"/>
    </xf>
    <xf numFmtId="165" fontId="75" fillId="0" borderId="0" xfId="0" applyNumberFormat="1" applyFont="1" applyAlignment="1">
      <alignment horizontal="center"/>
    </xf>
    <xf numFmtId="165" fontId="75" fillId="0" borderId="0" xfId="0" applyNumberFormat="1" applyFont="1" applyFill="1"/>
    <xf numFmtId="0" fontId="15" fillId="0" borderId="0" xfId="0" applyFont="1" applyBorder="1"/>
    <xf numFmtId="169" fontId="3" fillId="0" borderId="0" xfId="0" applyNumberFormat="1" applyFont="1"/>
    <xf numFmtId="0" fontId="7" fillId="4" borderId="41" xfId="0" applyFont="1" applyFill="1" applyBorder="1" applyAlignment="1">
      <alignment horizontal="center" vertical="center" wrapText="1"/>
    </xf>
    <xf numFmtId="0" fontId="7" fillId="4" borderId="38" xfId="0" applyFont="1" applyFill="1" applyBorder="1" applyAlignment="1">
      <alignment horizontal="center" vertical="center" wrapText="1"/>
    </xf>
    <xf numFmtId="176" fontId="8" fillId="0" borderId="0" xfId="0" applyNumberFormat="1" applyFont="1"/>
    <xf numFmtId="176" fontId="10" fillId="0" borderId="0" xfId="0" applyNumberFormat="1" applyFont="1"/>
    <xf numFmtId="0" fontId="7" fillId="4" borderId="40"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6" fillId="4" borderId="16" xfId="0" applyFont="1" applyFill="1" applyBorder="1" applyAlignment="1">
      <alignment vertical="center"/>
    </xf>
    <xf numFmtId="0" fontId="6" fillId="4" borderId="13" xfId="0" applyFont="1" applyFill="1" applyBorder="1" applyAlignment="1">
      <alignment vertical="center"/>
    </xf>
    <xf numFmtId="0" fontId="6" fillId="4" borderId="14" xfId="0" applyFont="1" applyFill="1" applyBorder="1" applyAlignment="1">
      <alignment vertical="center"/>
    </xf>
    <xf numFmtId="164" fontId="55" fillId="4" borderId="7" xfId="0" applyNumberFormat="1" applyFont="1" applyFill="1" applyBorder="1" applyAlignment="1">
      <alignment horizontal="center" vertical="center"/>
    </xf>
    <xf numFmtId="164" fontId="54" fillId="4" borderId="7" xfId="0" applyNumberFormat="1" applyFont="1" applyFill="1" applyBorder="1" applyAlignment="1">
      <alignment horizontal="center" vertical="center"/>
    </xf>
    <xf numFmtId="2" fontId="62" fillId="4" borderId="7" xfId="0" applyNumberFormat="1" applyFont="1" applyFill="1" applyBorder="1" applyAlignment="1">
      <alignment horizontal="center" vertical="center"/>
    </xf>
    <xf numFmtId="176" fontId="63" fillId="4" borderId="7" xfId="0" applyNumberFormat="1" applyFont="1" applyFill="1" applyBorder="1" applyAlignment="1">
      <alignment horizontal="center" vertical="center"/>
    </xf>
    <xf numFmtId="176" fontId="54" fillId="4" borderId="7" xfId="0" applyNumberFormat="1" applyFont="1" applyFill="1" applyBorder="1" applyAlignment="1">
      <alignment horizontal="center" vertical="center"/>
    </xf>
    <xf numFmtId="2" fontId="64" fillId="4" borderId="7" xfId="0" applyNumberFormat="1" applyFont="1" applyFill="1" applyBorder="1" applyAlignment="1">
      <alignment horizontal="center" vertical="center"/>
    </xf>
    <xf numFmtId="0" fontId="48" fillId="4" borderId="7" xfId="0" applyFont="1" applyFill="1" applyBorder="1" applyAlignment="1">
      <alignment horizontal="center" vertical="center"/>
    </xf>
    <xf numFmtId="0" fontId="84" fillId="2" borderId="7" xfId="0" applyFont="1" applyFill="1" applyBorder="1" applyAlignment="1">
      <alignment horizontal="center" vertical="center"/>
    </xf>
    <xf numFmtId="9" fontId="48" fillId="4" borderId="7" xfId="0" applyNumberFormat="1" applyFont="1" applyFill="1" applyBorder="1" applyAlignment="1">
      <alignment horizontal="center" vertical="center"/>
    </xf>
    <xf numFmtId="0" fontId="47" fillId="4" borderId="0" xfId="0" applyFont="1" applyFill="1" applyAlignment="1">
      <alignment horizontal="left" vertical="center"/>
    </xf>
    <xf numFmtId="2" fontId="0" fillId="0" borderId="0" xfId="0" applyNumberFormat="1" applyAlignment="1">
      <alignment horizontal="right"/>
    </xf>
    <xf numFmtId="49" fontId="48" fillId="4" borderId="7" xfId="0" applyNumberFormat="1" applyFont="1" applyFill="1" applyBorder="1" applyAlignment="1">
      <alignment horizontal="center" vertical="center"/>
    </xf>
    <xf numFmtId="0" fontId="48" fillId="0" borderId="7" xfId="0" applyFont="1" applyFill="1" applyBorder="1" applyAlignment="1">
      <alignment horizontal="center" vertical="center"/>
    </xf>
    <xf numFmtId="10" fontId="48" fillId="4" borderId="7" xfId="0" applyNumberFormat="1" applyFont="1" applyFill="1" applyBorder="1" applyAlignment="1">
      <alignment horizontal="center" vertical="center"/>
    </xf>
    <xf numFmtId="0" fontId="7" fillId="4" borderId="40" xfId="0" applyFont="1" applyFill="1" applyBorder="1" applyAlignment="1">
      <alignment horizontal="center" vertical="center" wrapText="1"/>
    </xf>
    <xf numFmtId="0" fontId="0" fillId="0" borderId="0" xfId="0" applyFill="1"/>
    <xf numFmtId="0" fontId="3" fillId="0" borderId="0" xfId="0" applyFont="1" applyFill="1" applyBorder="1" applyAlignment="1">
      <alignment horizontal="left" vertical="center"/>
    </xf>
    <xf numFmtId="164" fontId="64" fillId="4" borderId="7" xfId="0" applyNumberFormat="1" applyFont="1" applyFill="1" applyBorder="1" applyAlignment="1">
      <alignment horizontal="center" vertical="center"/>
    </xf>
    <xf numFmtId="0" fontId="87" fillId="0" borderId="7" xfId="0" applyFont="1" applyFill="1" applyBorder="1" applyAlignment="1">
      <alignment horizontal="center" vertical="center"/>
    </xf>
    <xf numFmtId="0" fontId="48" fillId="4" borderId="0" xfId="0" applyFont="1" applyFill="1" applyBorder="1" applyAlignment="1">
      <alignment horizontal="left" vertical="center" wrapText="1"/>
    </xf>
    <xf numFmtId="0" fontId="48" fillId="4" borderId="0" xfId="0" applyFont="1" applyFill="1" applyBorder="1" applyAlignment="1">
      <alignment horizontal="center" vertical="center"/>
    </xf>
    <xf numFmtId="0" fontId="87" fillId="0" borderId="0" xfId="0" applyFont="1" applyFill="1" applyBorder="1" applyAlignment="1">
      <alignment horizontal="center" vertical="center"/>
    </xf>
    <xf numFmtId="10" fontId="48" fillId="4" borderId="0" xfId="0" applyNumberFormat="1" applyFont="1" applyFill="1" applyBorder="1" applyAlignment="1">
      <alignment horizontal="center" vertical="center"/>
    </xf>
    <xf numFmtId="164" fontId="55" fillId="4" borderId="0" xfId="0" applyNumberFormat="1" applyFont="1" applyFill="1" applyBorder="1" applyAlignment="1">
      <alignment horizontal="center" vertical="center"/>
    </xf>
    <xf numFmtId="164" fontId="54" fillId="4" borderId="0" xfId="0" applyNumberFormat="1" applyFont="1" applyFill="1" applyBorder="1" applyAlignment="1">
      <alignment horizontal="center" vertical="center"/>
    </xf>
    <xf numFmtId="0" fontId="88" fillId="0" borderId="7" xfId="0" applyFont="1" applyFill="1" applyBorder="1" applyAlignment="1">
      <alignment horizontal="right" vertical="center"/>
    </xf>
    <xf numFmtId="9" fontId="76" fillId="4" borderId="7" xfId="0" applyNumberFormat="1" applyFont="1" applyFill="1" applyBorder="1" applyAlignment="1">
      <alignment horizontal="right" vertical="center"/>
    </xf>
    <xf numFmtId="169" fontId="76" fillId="4" borderId="0" xfId="0" applyNumberFormat="1" applyFont="1" applyFill="1" applyBorder="1" applyAlignment="1">
      <alignment horizontal="right"/>
    </xf>
    <xf numFmtId="176" fontId="76" fillId="4" borderId="7" xfId="0" applyNumberFormat="1" applyFont="1" applyFill="1" applyBorder="1" applyAlignment="1">
      <alignment horizontal="right" vertical="center"/>
    </xf>
    <xf numFmtId="0" fontId="76" fillId="4" borderId="0" xfId="0" applyFont="1" applyFill="1" applyAlignment="1">
      <alignment horizontal="right" vertical="center"/>
    </xf>
    <xf numFmtId="9" fontId="76" fillId="4" borderId="0" xfId="2" applyNumberFormat="1" applyFont="1" applyFill="1" applyAlignment="1">
      <alignment horizontal="right" vertical="center"/>
    </xf>
    <xf numFmtId="176" fontId="76" fillId="4" borderId="0" xfId="0" applyNumberFormat="1" applyFont="1" applyFill="1" applyBorder="1" applyAlignment="1">
      <alignment horizontal="right" vertical="center"/>
    </xf>
    <xf numFmtId="166" fontId="76" fillId="4" borderId="7" xfId="0" applyNumberFormat="1" applyFont="1" applyFill="1" applyBorder="1" applyAlignment="1">
      <alignment horizontal="right" vertical="center"/>
    </xf>
    <xf numFmtId="0" fontId="15" fillId="4" borderId="7" xfId="0" applyFont="1" applyFill="1" applyBorder="1" applyAlignment="1">
      <alignment horizontal="left" vertical="center" wrapText="1"/>
    </xf>
    <xf numFmtId="0" fontId="21" fillId="4" borderId="0" xfId="0" applyFont="1" applyFill="1" applyBorder="1" applyAlignment="1">
      <alignment vertical="center"/>
    </xf>
    <xf numFmtId="1" fontId="55" fillId="4" borderId="7" xfId="0" applyNumberFormat="1" applyFont="1" applyFill="1" applyBorder="1" applyAlignment="1">
      <alignment horizontal="center" vertical="center"/>
    </xf>
    <xf numFmtId="1" fontId="54" fillId="4" borderId="7" xfId="0" applyNumberFormat="1" applyFont="1" applyFill="1" applyBorder="1" applyAlignment="1">
      <alignment horizontal="center" vertical="center"/>
    </xf>
    <xf numFmtId="0" fontId="88" fillId="4" borderId="7" xfId="0" applyFont="1" applyFill="1" applyBorder="1" applyAlignment="1">
      <alignment horizontal="right" vertical="center" wrapText="1"/>
    </xf>
    <xf numFmtId="0" fontId="0" fillId="0" borderId="7" xfId="0" applyFont="1" applyFill="1" applyBorder="1" applyAlignment="1">
      <alignment horizontal="center" vertical="center"/>
    </xf>
    <xf numFmtId="0" fontId="47" fillId="4" borderId="7" xfId="0" applyFont="1" applyFill="1" applyBorder="1" applyAlignment="1">
      <alignment horizontal="center" vertical="center"/>
    </xf>
    <xf numFmtId="164" fontId="91" fillId="4" borderId="7" xfId="0" applyNumberFormat="1" applyFont="1" applyFill="1" applyBorder="1" applyAlignment="1">
      <alignment horizontal="right" vertical="center"/>
    </xf>
    <xf numFmtId="1" fontId="64" fillId="4" borderId="7" xfId="0" applyNumberFormat="1" applyFont="1" applyFill="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0" fontId="3" fillId="0" borderId="7" xfId="0" applyFont="1" applyBorder="1" applyAlignment="1">
      <alignment horizontal="left" vertical="center" wrapText="1"/>
    </xf>
    <xf numFmtId="0" fontId="48" fillId="4" borderId="15"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69" fillId="0" borderId="42" xfId="0" applyFont="1" applyBorder="1" applyAlignment="1">
      <alignment horizontal="left" vertical="center" wrapText="1"/>
    </xf>
    <xf numFmtId="0" fontId="69" fillId="0" borderId="43" xfId="0" applyFont="1" applyBorder="1" applyAlignment="1">
      <alignment horizontal="left" vertical="center" wrapText="1"/>
    </xf>
    <xf numFmtId="0" fontId="69" fillId="0" borderId="29" xfId="0" applyFont="1" applyBorder="1" applyAlignment="1">
      <alignment horizontal="left" vertical="center" wrapText="1"/>
    </xf>
    <xf numFmtId="0" fontId="56" fillId="18" borderId="16" xfId="0" applyFont="1" applyFill="1" applyBorder="1" applyAlignment="1">
      <alignment horizontal="left" vertical="center" wrapText="1"/>
    </xf>
    <xf numFmtId="0" fontId="56" fillId="18" borderId="13" xfId="0" applyFont="1" applyFill="1" applyBorder="1" applyAlignment="1">
      <alignment horizontal="left" vertical="center" wrapText="1"/>
    </xf>
    <xf numFmtId="0" fontId="56" fillId="18" borderId="14"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32" xfId="0" applyFont="1" applyBorder="1" applyAlignment="1">
      <alignment horizontal="left" vertical="center" wrapText="1"/>
    </xf>
    <xf numFmtId="0" fontId="7" fillId="4" borderId="40"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59" fillId="4" borderId="18" xfId="0" applyFont="1" applyFill="1" applyBorder="1" applyAlignment="1">
      <alignment horizontal="center" vertical="top" wrapText="1"/>
    </xf>
    <xf numFmtId="0" fontId="59" fillId="4" borderId="0" xfId="0" applyFont="1" applyFill="1" applyBorder="1" applyAlignment="1">
      <alignment horizontal="center" vertical="top" wrapText="1"/>
    </xf>
    <xf numFmtId="0" fontId="59" fillId="4" borderId="34" xfId="0" applyFont="1" applyFill="1" applyBorder="1" applyAlignment="1">
      <alignment horizontal="center" vertical="top" wrapText="1"/>
    </xf>
    <xf numFmtId="0" fontId="7" fillId="4" borderId="36" xfId="0" applyFont="1" applyFill="1" applyBorder="1" applyAlignment="1">
      <alignment horizontal="center" vertical="top" wrapText="1"/>
    </xf>
    <xf numFmtId="0" fontId="7" fillId="4" borderId="37" xfId="0" applyFont="1" applyFill="1" applyBorder="1" applyAlignment="1">
      <alignment horizontal="center" vertical="top" wrapText="1"/>
    </xf>
    <xf numFmtId="0" fontId="7" fillId="4" borderId="38" xfId="0" applyFont="1" applyFill="1" applyBorder="1" applyAlignment="1">
      <alignment horizontal="center" vertical="top" wrapText="1"/>
    </xf>
    <xf numFmtId="0" fontId="3" fillId="0" borderId="11" xfId="0" applyFont="1" applyBorder="1" applyAlignment="1">
      <alignment horizontal="center" vertical="distributed"/>
    </xf>
    <xf numFmtId="0" fontId="3" fillId="0" borderId="9" xfId="0" applyFont="1" applyBorder="1" applyAlignment="1">
      <alignment horizontal="center" vertical="distributed"/>
    </xf>
    <xf numFmtId="0" fontId="60" fillId="4" borderId="17" xfId="0" applyFont="1" applyFill="1" applyBorder="1" applyAlignment="1">
      <alignment horizontal="center" vertical="top" wrapText="1"/>
    </xf>
    <xf numFmtId="0" fontId="60" fillId="4" borderId="20" xfId="0" applyFont="1" applyFill="1" applyBorder="1" applyAlignment="1">
      <alignment horizontal="center" vertical="top" wrapText="1"/>
    </xf>
    <xf numFmtId="0" fontId="60" fillId="4" borderId="24" xfId="0" applyFont="1" applyFill="1" applyBorder="1" applyAlignment="1">
      <alignment horizontal="center" vertical="top" wrapText="1"/>
    </xf>
    <xf numFmtId="0" fontId="61" fillId="4" borderId="28" xfId="0" applyFont="1" applyFill="1" applyBorder="1" applyAlignment="1">
      <alignment horizontal="center" vertical="top" wrapText="1"/>
    </xf>
    <xf numFmtId="0" fontId="61" fillId="4" borderId="35" xfId="0" applyFont="1" applyFill="1" applyBorder="1" applyAlignment="1">
      <alignment horizontal="center" vertical="top" wrapText="1"/>
    </xf>
    <xf numFmtId="0" fontId="61" fillId="4" borderId="32" xfId="0" applyFont="1" applyFill="1" applyBorder="1" applyAlignment="1">
      <alignment horizontal="center" vertical="top" wrapText="1"/>
    </xf>
    <xf numFmtId="0" fontId="7" fillId="18" borderId="16" xfId="0" applyFont="1" applyFill="1" applyBorder="1" applyAlignment="1">
      <alignment horizontal="center" vertical="center" wrapText="1"/>
    </xf>
    <xf numFmtId="0" fontId="7" fillId="18" borderId="14" xfId="0" applyFont="1" applyFill="1" applyBorder="1" applyAlignment="1">
      <alignment horizontal="center" vertical="center" wrapText="1"/>
    </xf>
    <xf numFmtId="176" fontId="3" fillId="4" borderId="28" xfId="0" applyNumberFormat="1" applyFont="1" applyFill="1" applyBorder="1" applyAlignment="1">
      <alignment horizontal="center" vertical="center" wrapText="1"/>
    </xf>
    <xf numFmtId="176" fontId="3" fillId="4" borderId="32" xfId="0" applyNumberFormat="1"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56" fillId="19" borderId="16" xfId="0" applyFont="1" applyFill="1" applyBorder="1" applyAlignment="1">
      <alignment vertical="center" wrapText="1"/>
    </xf>
    <xf numFmtId="0" fontId="56" fillId="19" borderId="13" xfId="0" applyFont="1" applyFill="1" applyBorder="1" applyAlignment="1">
      <alignment vertical="center" wrapText="1"/>
    </xf>
    <xf numFmtId="0" fontId="56" fillId="19" borderId="14" xfId="0" applyFont="1" applyFill="1" applyBorder="1" applyAlignment="1">
      <alignment vertical="center" wrapText="1"/>
    </xf>
    <xf numFmtId="0" fontId="76" fillId="4" borderId="15" xfId="0" applyFont="1" applyFill="1" applyBorder="1" applyAlignment="1">
      <alignment horizontal="right" vertical="center" wrapText="1"/>
    </xf>
    <xf numFmtId="0" fontId="76" fillId="4" borderId="10" xfId="0" applyFont="1" applyFill="1" applyBorder="1" applyAlignment="1">
      <alignment horizontal="right" vertical="center" wrapText="1"/>
    </xf>
    <xf numFmtId="0" fontId="7" fillId="19" borderId="16" xfId="0" applyFont="1" applyFill="1" applyBorder="1" applyAlignment="1">
      <alignment horizontal="center" vertical="center" wrapText="1"/>
    </xf>
    <xf numFmtId="0" fontId="7" fillId="19" borderId="14" xfId="0" applyFont="1" applyFill="1" applyBorder="1" applyAlignment="1">
      <alignment horizontal="center" vertical="center" wrapText="1"/>
    </xf>
    <xf numFmtId="176" fontId="3" fillId="4" borderId="35" xfId="0" applyNumberFormat="1" applyFont="1" applyFill="1" applyBorder="1" applyAlignment="1">
      <alignment horizontal="center" vertical="center" wrapText="1"/>
    </xf>
    <xf numFmtId="0" fontId="78" fillId="0" borderId="7" xfId="0" applyFont="1" applyBorder="1" applyAlignment="1">
      <alignment horizontal="left" vertical="center" wrapText="1"/>
    </xf>
    <xf numFmtId="0" fontId="28" fillId="4" borderId="7" xfId="0" applyFont="1" applyFill="1" applyBorder="1" applyAlignment="1">
      <alignment horizontal="left" vertical="center" wrapText="1"/>
    </xf>
    <xf numFmtId="0" fontId="0" fillId="5" borderId="7" xfId="0" applyFill="1" applyBorder="1" applyAlignment="1">
      <alignment horizontal="center"/>
    </xf>
    <xf numFmtId="0" fontId="15" fillId="0" borderId="0" xfId="0" applyFont="1" applyBorder="1" applyAlignment="1">
      <alignment horizontal="center" vertical="center"/>
    </xf>
    <xf numFmtId="164" fontId="8" fillId="0" borderId="7" xfId="0" applyNumberFormat="1" applyFont="1" applyBorder="1" applyAlignment="1">
      <alignment horizontal="right" vertical="center"/>
    </xf>
    <xf numFmtId="1" fontId="12" fillId="0" borderId="7" xfId="0" applyNumberFormat="1" applyFont="1" applyBorder="1" applyAlignment="1">
      <alignment horizontal="right" vertical="center"/>
    </xf>
    <xf numFmtId="0" fontId="16" fillId="0" borderId="7" xfId="0" applyFont="1" applyBorder="1" applyAlignment="1">
      <alignment horizontal="left" vertical="center" wrapText="1"/>
    </xf>
    <xf numFmtId="0" fontId="0" fillId="6" borderId="11" xfId="0" applyFill="1" applyBorder="1" applyAlignment="1">
      <alignment horizontal="center"/>
    </xf>
    <xf numFmtId="0" fontId="0" fillId="6" borderId="9" xfId="0" applyFill="1" applyBorder="1" applyAlignment="1">
      <alignment horizontal="center"/>
    </xf>
    <xf numFmtId="0" fontId="15" fillId="0" borderId="5" xfId="0" applyFont="1" applyBorder="1" applyAlignment="1">
      <alignment horizontal="center" vertical="center"/>
    </xf>
    <xf numFmtId="0" fontId="0" fillId="5" borderId="11" xfId="0" applyFill="1" applyBorder="1" applyAlignment="1">
      <alignment horizontal="center"/>
    </xf>
    <xf numFmtId="0" fontId="0" fillId="5" borderId="9" xfId="0" applyFill="1" applyBorder="1" applyAlignment="1">
      <alignment horizontal="center"/>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16" fillId="0" borderId="9" xfId="0" applyFont="1" applyBorder="1" applyAlignment="1">
      <alignment horizontal="left" vertical="top" wrapText="1"/>
    </xf>
    <xf numFmtId="0" fontId="0" fillId="17" borderId="11" xfId="0" applyFill="1" applyBorder="1" applyAlignment="1">
      <alignment horizontal="center"/>
    </xf>
    <xf numFmtId="0" fontId="0" fillId="17" borderId="9" xfId="0" applyFill="1" applyBorder="1" applyAlignment="1">
      <alignment horizontal="center"/>
    </xf>
    <xf numFmtId="168" fontId="48" fillId="4" borderId="0" xfId="1" applyNumberFormat="1" applyFont="1" applyFill="1" applyBorder="1" applyAlignment="1">
      <alignment horizontal="left"/>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00CC"/>
      <color rgb="FFFF3300"/>
      <color rgb="FFFFC000"/>
      <color rgb="FF993300"/>
      <color rgb="FF009900"/>
      <color rgb="FF008000"/>
      <color rgb="FFFFFF99"/>
      <color rgb="FFFEF2EC"/>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ES" sz="1100" b="1">
                <a:solidFill>
                  <a:srgbClr val="993300"/>
                </a:solidFill>
              </a:rPr>
              <a:t>Gráfico</a:t>
            </a:r>
            <a:r>
              <a:rPr lang="es-ES" sz="1100" b="1" baseline="0">
                <a:solidFill>
                  <a:srgbClr val="993300"/>
                </a:solidFill>
              </a:rPr>
              <a:t> "Los 3 tiempos biográficos":</a:t>
            </a:r>
            <a:r>
              <a:rPr lang="es-ES" sz="1100" b="1" baseline="0">
                <a:solidFill>
                  <a:srgbClr val="006600"/>
                </a:solidFill>
              </a:rPr>
              <a:t> </a:t>
            </a:r>
            <a:r>
              <a:rPr lang="es-ES" sz="1100" b="1">
                <a:solidFill>
                  <a:srgbClr val="006600"/>
                </a:solidFill>
              </a:rPr>
              <a:t>Prolongación del tiempo medio de Supervivencia Libre de Evento (PtSLEv)</a:t>
            </a:r>
          </a:p>
        </c:rich>
      </c:tx>
      <c:layout>
        <c:manualLayout>
          <c:xMode val="edge"/>
          <c:yMode val="edge"/>
          <c:x val="9.7756780402449686E-2"/>
          <c:y val="2.8788535362484307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20606714785651792"/>
          <c:y val="0.23534156683635096"/>
          <c:w val="0.76337729658792641"/>
          <c:h val="0.5389540266220022"/>
        </c:manualLayout>
      </c:layout>
      <c:barChart>
        <c:barDir val="col"/>
        <c:grouping val="stacked"/>
        <c:varyColors val="0"/>
        <c:ser>
          <c:idx val="0"/>
          <c:order val="0"/>
          <c:tx>
            <c:strRef>
              <c:f>'NNT y PtSLEv'!$R$6</c:f>
              <c:strCache>
                <c:ptCount val="1"/>
                <c:pt idx="0">
                  <c:v>Resto de t sin éxito</c:v>
                </c:pt>
              </c:strCache>
            </c:strRef>
          </c:tx>
          <c:spPr>
            <a:solidFill>
              <a:srgbClr val="FF0000"/>
            </a:solidFill>
            <a:ln>
              <a:noFill/>
            </a:ln>
            <a:effectLst/>
          </c:spPr>
          <c:invertIfNegative val="0"/>
          <c:dPt>
            <c:idx val="0"/>
            <c:invertIfNegative val="0"/>
            <c:bubble3D val="0"/>
            <c:spPr>
              <a:solidFill>
                <a:srgbClr val="FF0000"/>
              </a:solidFill>
              <a:ln>
                <a:solidFill>
                  <a:schemeClr val="tx1"/>
                </a:solidFill>
              </a:ln>
              <a:effectLst/>
            </c:spPr>
            <c:extLst>
              <c:ext xmlns:c16="http://schemas.microsoft.com/office/drawing/2014/chart" uri="{C3380CC4-5D6E-409C-BE32-E72D297353CC}">
                <c16:uniqueId val="{00000007-5DC0-4E47-B2CE-A2343354F22B}"/>
              </c:ext>
            </c:extLst>
          </c:dPt>
          <c:dLbls>
            <c:dLbl>
              <c:idx val="0"/>
              <c:layout>
                <c:manualLayout>
                  <c:x val="-0.27954931112819126"/>
                  <c:y val="3.47740851758038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DC0-4E47-B2CE-A2343354F22B}"/>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'NNT y PtSLEv'!$S$5</c:f>
              <c:strCache>
                <c:ptCount val="1"/>
                <c:pt idx="0">
                  <c:v>meses</c:v>
                </c:pt>
              </c:strCache>
            </c:strRef>
          </c:cat>
          <c:val>
            <c:numRef>
              <c:f>'NNT y PtSLEv'!$S$6</c:f>
              <c:numCache>
                <c:formatCode>0.000</c:formatCode>
                <c:ptCount val="1"/>
                <c:pt idx="0">
                  <c:v>7.4585852241501136E-3</c:v>
                </c:pt>
              </c:numCache>
            </c:numRef>
          </c:val>
          <c:extLst>
            <c:ext xmlns:c16="http://schemas.microsoft.com/office/drawing/2014/chart" uri="{C3380CC4-5D6E-409C-BE32-E72D297353CC}">
              <c16:uniqueId val="{00000000-5DC0-4E47-B2CE-A2343354F22B}"/>
            </c:ext>
          </c:extLst>
        </c:ser>
        <c:ser>
          <c:idx val="1"/>
          <c:order val="1"/>
          <c:tx>
            <c:strRef>
              <c:f>'NNT y PtSLEv'!$R$7</c:f>
              <c:strCache>
                <c:ptCount val="1"/>
                <c:pt idx="0">
                  <c:v>PtSLEv por la intervención</c:v>
                </c:pt>
              </c:strCache>
            </c:strRef>
          </c:tx>
          <c:spPr>
            <a:solidFill>
              <a:srgbClr val="006600"/>
            </a:solidFill>
            <a:ln>
              <a:noFill/>
            </a:ln>
            <a:effectLst/>
          </c:spPr>
          <c:invertIfNegative val="0"/>
          <c:dLbls>
            <c:dLbl>
              <c:idx val="0"/>
              <c:layout>
                <c:manualLayout>
                  <c:x val="-0.27536902706304922"/>
                  <c:y val="-6.09138202019762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DC0-4E47-B2CE-A2343354F22B}"/>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66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'NNT y PtSLEv'!$S$5</c:f>
              <c:strCache>
                <c:ptCount val="1"/>
                <c:pt idx="0">
                  <c:v>meses</c:v>
                </c:pt>
              </c:strCache>
            </c:strRef>
          </c:cat>
          <c:val>
            <c:numRef>
              <c:f>'NNT y PtSLEv'!$S$7</c:f>
              <c:numCache>
                <c:formatCode>0.000</c:formatCode>
                <c:ptCount val="1"/>
                <c:pt idx="0">
                  <c:v>5.4155237751480709E-3</c:v>
                </c:pt>
              </c:numCache>
            </c:numRef>
          </c:val>
          <c:extLst>
            <c:ext xmlns:c16="http://schemas.microsoft.com/office/drawing/2014/chart" uri="{C3380CC4-5D6E-409C-BE32-E72D297353CC}">
              <c16:uniqueId val="{00000001-5DC0-4E47-B2CE-A2343354F22B}"/>
            </c:ext>
          </c:extLst>
        </c:ser>
        <c:ser>
          <c:idx val="2"/>
          <c:order val="2"/>
          <c:tx>
            <c:strRef>
              <c:f>'NNT y PtSLEv'!$R$8</c:f>
              <c:strCache>
                <c:ptCount val="1"/>
                <c:pt idx="0">
                  <c:v>tSLEv sin la intervención</c:v>
                </c:pt>
              </c:strCache>
            </c:strRef>
          </c:tx>
          <c:spPr>
            <a:solidFill>
              <a:srgbClr val="CCFF33"/>
            </a:solidFill>
            <a:ln>
              <a:noFill/>
            </a:ln>
            <a:effectLst/>
          </c:spPr>
          <c:invertIfNegative val="0"/>
          <c:dLbls>
            <c:dLbl>
              <c:idx val="0"/>
              <c:layout>
                <c:manualLayout>
                  <c:x val="-0.23333322397200351"/>
                  <c:y val="-6.8777404907565277E-3"/>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rgbClr val="669900"/>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8.8680446194225715E-2"/>
                      <c:h val="5.9538487366439151E-2"/>
                    </c:manualLayout>
                  </c15:layout>
                </c:ext>
                <c:ext xmlns:c16="http://schemas.microsoft.com/office/drawing/2014/chart" uri="{C3380CC4-5D6E-409C-BE32-E72D297353CC}">
                  <c16:uniqueId val="{00000009-5DC0-4E47-B2CE-A2343354F22B}"/>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6699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'NNT y PtSLEv'!$S$5</c:f>
              <c:strCache>
                <c:ptCount val="1"/>
                <c:pt idx="0">
                  <c:v>meses</c:v>
                </c:pt>
              </c:strCache>
            </c:strRef>
          </c:cat>
          <c:val>
            <c:numRef>
              <c:f>'NNT y PtSLEv'!$S$8</c:f>
              <c:numCache>
                <c:formatCode>0.00</c:formatCode>
                <c:ptCount val="1"/>
                <c:pt idx="0">
                  <c:v>1.9871258910007017</c:v>
                </c:pt>
              </c:numCache>
            </c:numRef>
          </c:val>
          <c:extLst>
            <c:ext xmlns:c16="http://schemas.microsoft.com/office/drawing/2014/chart" uri="{C3380CC4-5D6E-409C-BE32-E72D297353CC}">
              <c16:uniqueId val="{00000002-5DC0-4E47-B2CE-A2343354F22B}"/>
            </c:ext>
          </c:extLst>
        </c:ser>
        <c:dLbls>
          <c:showLegendKey val="0"/>
          <c:showVal val="0"/>
          <c:showCatName val="0"/>
          <c:showSerName val="0"/>
          <c:showPercent val="0"/>
          <c:showBubbleSize val="0"/>
        </c:dLbls>
        <c:gapWidth val="150"/>
        <c:overlap val="100"/>
        <c:axId val="1511965840"/>
        <c:axId val="1511974160"/>
      </c:barChart>
      <c:catAx>
        <c:axId val="151196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511974160"/>
        <c:crosses val="autoZero"/>
        <c:auto val="1"/>
        <c:lblAlgn val="ctr"/>
        <c:lblOffset val="100"/>
        <c:noMultiLvlLbl val="0"/>
      </c:catAx>
      <c:valAx>
        <c:axId val="1511974160"/>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solidFill>
                      <a:sysClr val="windowText" lastClr="000000"/>
                    </a:solidFill>
                  </a:rPr>
                  <a:t>Marco</a:t>
                </a:r>
                <a:r>
                  <a:rPr lang="es-ES" baseline="0">
                    <a:solidFill>
                      <a:sysClr val="windowText" lastClr="000000"/>
                    </a:solidFill>
                  </a:rPr>
                  <a:t> de tiempode seguimieimiento analizado</a:t>
                </a:r>
                <a:endParaRPr lang="es-ES">
                  <a:solidFill>
                    <a:sysClr val="windowText" lastClr="000000"/>
                  </a:solidFill>
                </a:endParaRPr>
              </a:p>
            </c:rich>
          </c:tx>
          <c:layout>
            <c:manualLayout>
              <c:xMode val="edge"/>
              <c:yMode val="edge"/>
              <c:x val="5.5555555555555558E-3"/>
              <c:y val="0.111226338890202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511965840"/>
        <c:crosses val="autoZero"/>
        <c:crossBetween val="between"/>
        <c:majorUnit val="0.5"/>
      </c:valAx>
      <c:spPr>
        <a:noFill/>
        <a:ln>
          <a:noFill/>
        </a:ln>
        <a:effectLst/>
      </c:spPr>
    </c:plotArea>
    <c:legend>
      <c:legendPos val="b"/>
      <c:layout>
        <c:manualLayout>
          <c:xMode val="edge"/>
          <c:yMode val="edge"/>
          <c:x val="7.4999999999999997E-2"/>
          <c:y val="0.88503629675041373"/>
          <c:w val="0.9"/>
          <c:h val="8.808732748112274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22</xdr:col>
      <xdr:colOff>303815</xdr:colOff>
      <xdr:row>1</xdr:row>
      <xdr:rowOff>9853</xdr:rowOff>
    </xdr:from>
    <xdr:to>
      <xdr:col>28</xdr:col>
      <xdr:colOff>428625</xdr:colOff>
      <xdr:row>62</xdr:row>
      <xdr:rowOff>99172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19706</xdr:colOff>
      <xdr:row>20</xdr:row>
      <xdr:rowOff>95954</xdr:rowOff>
    </xdr:from>
    <xdr:to>
      <xdr:col>15</xdr:col>
      <xdr:colOff>19707</xdr:colOff>
      <xdr:row>20</xdr:row>
      <xdr:rowOff>101403</xdr:rowOff>
    </xdr:to>
    <xdr:cxnSp macro="">
      <xdr:nvCxnSpPr>
        <xdr:cNvPr id="39" name="Conector recto de flecha 38"/>
        <xdr:cNvCxnSpPr/>
      </xdr:nvCxnSpPr>
      <xdr:spPr>
        <a:xfrm flipV="1">
          <a:off x="4959568" y="4431471"/>
          <a:ext cx="525518" cy="5449"/>
        </a:xfrm>
        <a:prstGeom prst="straightConnector1">
          <a:avLst/>
        </a:prstGeom>
        <a:noFill/>
        <a:ln w="19050" cap="flat" cmpd="sng" algn="ctr">
          <a:solidFill>
            <a:srgbClr val="7030A0"/>
          </a:solidFill>
          <a:prstDash val="sysDot"/>
          <a:miter lim="800000"/>
          <a:tailEnd type="triangle"/>
        </a:ln>
        <a:effectLst/>
      </xdr:spPr>
    </xdr:cxnSp>
    <xdr:clientData/>
  </xdr:twoCellAnchor>
  <xdr:twoCellAnchor>
    <xdr:from>
      <xdr:col>11</xdr:col>
      <xdr:colOff>19050</xdr:colOff>
      <xdr:row>19</xdr:row>
      <xdr:rowOff>103184</xdr:rowOff>
    </xdr:from>
    <xdr:to>
      <xdr:col>13</xdr:col>
      <xdr:colOff>13138</xdr:colOff>
      <xdr:row>19</xdr:row>
      <xdr:rowOff>105104</xdr:rowOff>
    </xdr:to>
    <xdr:cxnSp macro="">
      <xdr:nvCxnSpPr>
        <xdr:cNvPr id="42" name="Conector recto de flecha 41"/>
        <xdr:cNvCxnSpPr/>
      </xdr:nvCxnSpPr>
      <xdr:spPr>
        <a:xfrm>
          <a:off x="4958912" y="4228494"/>
          <a:ext cx="256847" cy="1920"/>
        </a:xfrm>
        <a:prstGeom prst="straightConnector1">
          <a:avLst/>
        </a:prstGeom>
        <a:noFill/>
        <a:ln w="19050" cap="flat" cmpd="sng" algn="ctr">
          <a:solidFill>
            <a:srgbClr val="FFFF00"/>
          </a:solidFill>
          <a:prstDash val="sysDot"/>
          <a:miter lim="800000"/>
          <a:tailEnd type="triangle"/>
        </a:ln>
        <a:effectLst/>
      </xdr:spPr>
    </xdr:cxnSp>
    <xdr:clientData/>
  </xdr:twoCellAnchor>
  <xdr:twoCellAnchor>
    <xdr:from>
      <xdr:col>6</xdr:col>
      <xdr:colOff>15512</xdr:colOff>
      <xdr:row>18</xdr:row>
      <xdr:rowOff>91267</xdr:rowOff>
    </xdr:from>
    <xdr:to>
      <xdr:col>7</xdr:col>
      <xdr:colOff>19707</xdr:colOff>
      <xdr:row>18</xdr:row>
      <xdr:rowOff>91966</xdr:rowOff>
    </xdr:to>
    <xdr:cxnSp macro="">
      <xdr:nvCxnSpPr>
        <xdr:cNvPr id="46" name="Conector recto de flecha 45"/>
        <xdr:cNvCxnSpPr/>
      </xdr:nvCxnSpPr>
      <xdr:spPr>
        <a:xfrm>
          <a:off x="4180236" y="4026077"/>
          <a:ext cx="135574" cy="699"/>
        </a:xfrm>
        <a:prstGeom prst="straightConnector1">
          <a:avLst/>
        </a:prstGeom>
        <a:noFill/>
        <a:ln w="19050" cap="flat" cmpd="sng" algn="ctr">
          <a:solidFill>
            <a:srgbClr val="7030A0"/>
          </a:solidFill>
          <a:prstDash val="sysDot"/>
          <a:miter lim="800000"/>
          <a:tailEnd type="triangle"/>
        </a:ln>
        <a:effectLst/>
      </xdr:spPr>
    </xdr:cxnSp>
    <xdr:clientData/>
  </xdr:twoCellAnchor>
  <xdr:twoCellAnchor>
    <xdr:from>
      <xdr:col>6</xdr:col>
      <xdr:colOff>22663</xdr:colOff>
      <xdr:row>20</xdr:row>
      <xdr:rowOff>100698</xdr:rowOff>
    </xdr:from>
    <xdr:to>
      <xdr:col>10</xdr:col>
      <xdr:colOff>22663</xdr:colOff>
      <xdr:row>20</xdr:row>
      <xdr:rowOff>104775</xdr:rowOff>
    </xdr:to>
    <xdr:cxnSp macro="">
      <xdr:nvCxnSpPr>
        <xdr:cNvPr id="48" name="Conector recto de flecha 47"/>
        <xdr:cNvCxnSpPr/>
      </xdr:nvCxnSpPr>
      <xdr:spPr>
        <a:xfrm>
          <a:off x="4187387" y="4436215"/>
          <a:ext cx="525517" cy="4077"/>
        </a:xfrm>
        <a:prstGeom prst="straightConnector1">
          <a:avLst/>
        </a:prstGeom>
        <a:noFill/>
        <a:ln w="19050" cap="flat" cmpd="sng" algn="ctr">
          <a:solidFill>
            <a:srgbClr val="7030A0"/>
          </a:solidFill>
          <a:prstDash val="sysDot"/>
          <a:miter lim="800000"/>
          <a:tailEnd type="triangle"/>
        </a:ln>
        <a:effectLst/>
      </xdr:spPr>
    </xdr:cxnSp>
    <xdr:clientData/>
  </xdr:twoCellAnchor>
  <xdr:twoCellAnchor>
    <xdr:from>
      <xdr:col>11</xdr:col>
      <xdr:colOff>9609</xdr:colOff>
      <xdr:row>18</xdr:row>
      <xdr:rowOff>104775</xdr:rowOff>
    </xdr:from>
    <xdr:to>
      <xdr:col>11</xdr:col>
      <xdr:colOff>123825</xdr:colOff>
      <xdr:row>18</xdr:row>
      <xdr:rowOff>106732</xdr:rowOff>
    </xdr:to>
    <xdr:cxnSp macro="">
      <xdr:nvCxnSpPr>
        <xdr:cNvPr id="10" name="Conector recto de flecha 9"/>
        <xdr:cNvCxnSpPr/>
      </xdr:nvCxnSpPr>
      <xdr:spPr>
        <a:xfrm flipV="1">
          <a:off x="5010234" y="4038600"/>
          <a:ext cx="114216" cy="1957"/>
        </a:xfrm>
        <a:prstGeom prst="straightConnector1">
          <a:avLst/>
        </a:prstGeom>
        <a:noFill/>
        <a:ln w="19050" cap="flat" cmpd="sng" algn="ctr">
          <a:solidFill>
            <a:srgbClr val="7030A0"/>
          </a:solidFill>
          <a:prstDash val="sysDot"/>
          <a:miter lim="800000"/>
          <a:tailEnd type="triangle"/>
        </a:ln>
        <a:effectLst/>
      </xdr:spPr>
    </xdr:cxnSp>
    <xdr:clientData/>
  </xdr:twoCellAnchor>
  <xdr:twoCellAnchor>
    <xdr:from>
      <xdr:col>6</xdr:col>
      <xdr:colOff>28575</xdr:colOff>
      <xdr:row>19</xdr:row>
      <xdr:rowOff>91267</xdr:rowOff>
    </xdr:from>
    <xdr:to>
      <xdr:col>10</xdr:col>
      <xdr:colOff>4053</xdr:colOff>
      <xdr:row>19</xdr:row>
      <xdr:rowOff>93472</xdr:rowOff>
    </xdr:to>
    <xdr:cxnSp macro="">
      <xdr:nvCxnSpPr>
        <xdr:cNvPr id="11" name="Conector recto de flecha 10"/>
        <xdr:cNvCxnSpPr/>
      </xdr:nvCxnSpPr>
      <xdr:spPr>
        <a:xfrm flipV="1">
          <a:off x="4193299" y="4216577"/>
          <a:ext cx="500995" cy="2205"/>
        </a:xfrm>
        <a:prstGeom prst="straightConnector1">
          <a:avLst/>
        </a:prstGeom>
        <a:noFill/>
        <a:ln w="19050" cap="flat" cmpd="sng" algn="ctr">
          <a:solidFill>
            <a:srgbClr val="FFFF00"/>
          </a:solidFill>
          <a:prstDash val="sysDot"/>
          <a:miter lim="800000"/>
          <a:tailEnd type="triangle"/>
        </a:ln>
        <a:effectLst/>
      </xdr:spPr>
    </xdr:cxnSp>
    <xdr:clientData/>
  </xdr:twoCellAnchor>
  <xdr:twoCellAnchor editAs="oneCell">
    <xdr:from>
      <xdr:col>19</xdr:col>
      <xdr:colOff>38100</xdr:colOff>
      <xdr:row>17</xdr:row>
      <xdr:rowOff>163033</xdr:rowOff>
    </xdr:from>
    <xdr:to>
      <xdr:col>28</xdr:col>
      <xdr:colOff>628302</xdr:colOff>
      <xdr:row>31</xdr:row>
      <xdr:rowOff>47625</xdr:rowOff>
    </xdr:to>
    <xdr:pic>
      <xdr:nvPicPr>
        <xdr:cNvPr id="4" name="Imagen 3"/>
        <xdr:cNvPicPr>
          <a:picLocks noChangeAspect="1"/>
        </xdr:cNvPicPr>
      </xdr:nvPicPr>
      <xdr:blipFill>
        <a:blip xmlns:r="http://schemas.openxmlformats.org/officeDocument/2006/relationships" r:embed="rId1"/>
        <a:stretch>
          <a:fillRect/>
        </a:stretch>
      </xdr:blipFill>
      <xdr:spPr>
        <a:xfrm>
          <a:off x="6629400" y="3906358"/>
          <a:ext cx="4876452" cy="2580167"/>
        </a:xfrm>
        <a:prstGeom prst="rect">
          <a:avLst/>
        </a:prstGeom>
      </xdr:spPr>
    </xdr:pic>
    <xdr:clientData/>
  </xdr:twoCellAnchor>
  <xdr:twoCellAnchor editAs="oneCell">
    <xdr:from>
      <xdr:col>19</xdr:col>
      <xdr:colOff>38101</xdr:colOff>
      <xdr:row>6</xdr:row>
      <xdr:rowOff>104775</xdr:rowOff>
    </xdr:from>
    <xdr:to>
      <xdr:col>28</xdr:col>
      <xdr:colOff>695325</xdr:colOff>
      <xdr:row>16</xdr:row>
      <xdr:rowOff>116740</xdr:rowOff>
    </xdr:to>
    <xdr:pic>
      <xdr:nvPicPr>
        <xdr:cNvPr id="7" name="Imagen 6"/>
        <xdr:cNvPicPr>
          <a:picLocks noChangeAspect="1"/>
        </xdr:cNvPicPr>
      </xdr:nvPicPr>
      <xdr:blipFill>
        <a:blip xmlns:r="http://schemas.openxmlformats.org/officeDocument/2006/relationships" r:embed="rId2"/>
        <a:stretch>
          <a:fillRect/>
        </a:stretch>
      </xdr:blipFill>
      <xdr:spPr>
        <a:xfrm>
          <a:off x="6629401" y="885825"/>
          <a:ext cx="4943474" cy="27837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19706</xdr:colOff>
      <xdr:row>20</xdr:row>
      <xdr:rowOff>95954</xdr:rowOff>
    </xdr:from>
    <xdr:to>
      <xdr:col>15</xdr:col>
      <xdr:colOff>19707</xdr:colOff>
      <xdr:row>20</xdr:row>
      <xdr:rowOff>101403</xdr:rowOff>
    </xdr:to>
    <xdr:cxnSp macro="">
      <xdr:nvCxnSpPr>
        <xdr:cNvPr id="2" name="Conector recto de flecha 1"/>
        <xdr:cNvCxnSpPr/>
      </xdr:nvCxnSpPr>
      <xdr:spPr>
        <a:xfrm flipV="1">
          <a:off x="4972706" y="4429829"/>
          <a:ext cx="533401" cy="5449"/>
        </a:xfrm>
        <a:prstGeom prst="straightConnector1">
          <a:avLst/>
        </a:prstGeom>
        <a:noFill/>
        <a:ln w="19050" cap="flat" cmpd="sng" algn="ctr">
          <a:solidFill>
            <a:srgbClr val="7030A0"/>
          </a:solidFill>
          <a:prstDash val="sysDot"/>
          <a:miter lim="800000"/>
          <a:tailEnd type="triangle"/>
        </a:ln>
        <a:effectLst/>
      </xdr:spPr>
    </xdr:cxnSp>
    <xdr:clientData/>
  </xdr:twoCellAnchor>
  <xdr:twoCellAnchor>
    <xdr:from>
      <xdr:col>11</xdr:col>
      <xdr:colOff>19050</xdr:colOff>
      <xdr:row>19</xdr:row>
      <xdr:rowOff>103184</xdr:rowOff>
    </xdr:from>
    <xdr:to>
      <xdr:col>13</xdr:col>
      <xdr:colOff>13138</xdr:colOff>
      <xdr:row>19</xdr:row>
      <xdr:rowOff>105104</xdr:rowOff>
    </xdr:to>
    <xdr:cxnSp macro="">
      <xdr:nvCxnSpPr>
        <xdr:cNvPr id="3" name="Conector recto de flecha 2"/>
        <xdr:cNvCxnSpPr/>
      </xdr:nvCxnSpPr>
      <xdr:spPr>
        <a:xfrm>
          <a:off x="4972050" y="4227509"/>
          <a:ext cx="260788" cy="1920"/>
        </a:xfrm>
        <a:prstGeom prst="straightConnector1">
          <a:avLst/>
        </a:prstGeom>
        <a:noFill/>
        <a:ln w="19050" cap="flat" cmpd="sng" algn="ctr">
          <a:solidFill>
            <a:srgbClr val="FFFF00"/>
          </a:solidFill>
          <a:prstDash val="sysDot"/>
          <a:miter lim="800000"/>
          <a:tailEnd type="triangle"/>
        </a:ln>
        <a:effectLst/>
      </xdr:spPr>
    </xdr:cxnSp>
    <xdr:clientData/>
  </xdr:twoCellAnchor>
  <xdr:twoCellAnchor>
    <xdr:from>
      <xdr:col>6</xdr:col>
      <xdr:colOff>15512</xdr:colOff>
      <xdr:row>18</xdr:row>
      <xdr:rowOff>91267</xdr:rowOff>
    </xdr:from>
    <xdr:to>
      <xdr:col>7</xdr:col>
      <xdr:colOff>19707</xdr:colOff>
      <xdr:row>18</xdr:row>
      <xdr:rowOff>91966</xdr:rowOff>
    </xdr:to>
    <xdr:cxnSp macro="">
      <xdr:nvCxnSpPr>
        <xdr:cNvPr id="4" name="Conector recto de flecha 3"/>
        <xdr:cNvCxnSpPr/>
      </xdr:nvCxnSpPr>
      <xdr:spPr>
        <a:xfrm>
          <a:off x="4187462" y="4025092"/>
          <a:ext cx="137545" cy="699"/>
        </a:xfrm>
        <a:prstGeom prst="straightConnector1">
          <a:avLst/>
        </a:prstGeom>
        <a:noFill/>
        <a:ln w="19050" cap="flat" cmpd="sng" algn="ctr">
          <a:solidFill>
            <a:srgbClr val="7030A0"/>
          </a:solidFill>
          <a:prstDash val="sysDot"/>
          <a:miter lim="800000"/>
          <a:tailEnd type="triangle"/>
        </a:ln>
        <a:effectLst/>
      </xdr:spPr>
    </xdr:cxnSp>
    <xdr:clientData/>
  </xdr:twoCellAnchor>
  <xdr:twoCellAnchor>
    <xdr:from>
      <xdr:col>6</xdr:col>
      <xdr:colOff>22663</xdr:colOff>
      <xdr:row>20</xdr:row>
      <xdr:rowOff>100698</xdr:rowOff>
    </xdr:from>
    <xdr:to>
      <xdr:col>10</xdr:col>
      <xdr:colOff>22663</xdr:colOff>
      <xdr:row>20</xdr:row>
      <xdr:rowOff>104775</xdr:rowOff>
    </xdr:to>
    <xdr:cxnSp macro="">
      <xdr:nvCxnSpPr>
        <xdr:cNvPr id="5" name="Conector recto de flecha 4"/>
        <xdr:cNvCxnSpPr/>
      </xdr:nvCxnSpPr>
      <xdr:spPr>
        <a:xfrm>
          <a:off x="4194613" y="4434573"/>
          <a:ext cx="533400" cy="4077"/>
        </a:xfrm>
        <a:prstGeom prst="straightConnector1">
          <a:avLst/>
        </a:prstGeom>
        <a:noFill/>
        <a:ln w="19050" cap="flat" cmpd="sng" algn="ctr">
          <a:solidFill>
            <a:srgbClr val="7030A0"/>
          </a:solidFill>
          <a:prstDash val="sysDot"/>
          <a:miter lim="800000"/>
          <a:tailEnd type="triangle"/>
        </a:ln>
        <a:effectLst/>
      </xdr:spPr>
    </xdr:cxnSp>
    <xdr:clientData/>
  </xdr:twoCellAnchor>
  <xdr:twoCellAnchor>
    <xdr:from>
      <xdr:col>11</xdr:col>
      <xdr:colOff>9609</xdr:colOff>
      <xdr:row>18</xdr:row>
      <xdr:rowOff>104775</xdr:rowOff>
    </xdr:from>
    <xdr:to>
      <xdr:col>11</xdr:col>
      <xdr:colOff>123825</xdr:colOff>
      <xdr:row>18</xdr:row>
      <xdr:rowOff>106732</xdr:rowOff>
    </xdr:to>
    <xdr:cxnSp macro="">
      <xdr:nvCxnSpPr>
        <xdr:cNvPr id="6" name="Conector recto de flecha 5"/>
        <xdr:cNvCxnSpPr/>
      </xdr:nvCxnSpPr>
      <xdr:spPr>
        <a:xfrm flipV="1">
          <a:off x="4962609" y="4038600"/>
          <a:ext cx="114216" cy="1957"/>
        </a:xfrm>
        <a:prstGeom prst="straightConnector1">
          <a:avLst/>
        </a:prstGeom>
        <a:noFill/>
        <a:ln w="19050" cap="flat" cmpd="sng" algn="ctr">
          <a:solidFill>
            <a:srgbClr val="7030A0"/>
          </a:solidFill>
          <a:prstDash val="sysDot"/>
          <a:miter lim="800000"/>
          <a:tailEnd type="triangle"/>
        </a:ln>
        <a:effectLst/>
      </xdr:spPr>
    </xdr:cxnSp>
    <xdr:clientData/>
  </xdr:twoCellAnchor>
  <xdr:twoCellAnchor>
    <xdr:from>
      <xdr:col>6</xdr:col>
      <xdr:colOff>28575</xdr:colOff>
      <xdr:row>19</xdr:row>
      <xdr:rowOff>91267</xdr:rowOff>
    </xdr:from>
    <xdr:to>
      <xdr:col>10</xdr:col>
      <xdr:colOff>4053</xdr:colOff>
      <xdr:row>19</xdr:row>
      <xdr:rowOff>93472</xdr:rowOff>
    </xdr:to>
    <xdr:cxnSp macro="">
      <xdr:nvCxnSpPr>
        <xdr:cNvPr id="7" name="Conector recto de flecha 6"/>
        <xdr:cNvCxnSpPr/>
      </xdr:nvCxnSpPr>
      <xdr:spPr>
        <a:xfrm flipV="1">
          <a:off x="4200525" y="4215592"/>
          <a:ext cx="508878" cy="2205"/>
        </a:xfrm>
        <a:prstGeom prst="straightConnector1">
          <a:avLst/>
        </a:prstGeom>
        <a:noFill/>
        <a:ln w="19050" cap="flat" cmpd="sng" algn="ctr">
          <a:solidFill>
            <a:srgbClr val="FFFF00"/>
          </a:solidFill>
          <a:prstDash val="sysDot"/>
          <a:miter lim="800000"/>
          <a:tailEnd type="triangle"/>
        </a:ln>
        <a:effectLst/>
      </xdr:spPr>
    </xdr:cxnSp>
    <xdr:clientData/>
  </xdr:twoCellAnchor>
  <xdr:twoCellAnchor editAs="oneCell">
    <xdr:from>
      <xdr:col>19</xdr:col>
      <xdr:colOff>0</xdr:colOff>
      <xdr:row>18</xdr:row>
      <xdr:rowOff>0</xdr:rowOff>
    </xdr:from>
    <xdr:to>
      <xdr:col>28</xdr:col>
      <xdr:colOff>426366</xdr:colOff>
      <xdr:row>30</xdr:row>
      <xdr:rowOff>178905</xdr:rowOff>
    </xdr:to>
    <xdr:pic>
      <xdr:nvPicPr>
        <xdr:cNvPr id="10" name="Imagen 9"/>
        <xdr:cNvPicPr>
          <a:picLocks noChangeAspect="1"/>
        </xdr:cNvPicPr>
      </xdr:nvPicPr>
      <xdr:blipFill>
        <a:blip xmlns:r="http://schemas.openxmlformats.org/officeDocument/2006/relationships" r:embed="rId1"/>
        <a:stretch>
          <a:fillRect/>
        </a:stretch>
      </xdr:blipFill>
      <xdr:spPr>
        <a:xfrm>
          <a:off x="6591300" y="3933825"/>
          <a:ext cx="4712616" cy="2493480"/>
        </a:xfrm>
        <a:prstGeom prst="rect">
          <a:avLst/>
        </a:prstGeom>
      </xdr:spPr>
    </xdr:pic>
    <xdr:clientData/>
  </xdr:twoCellAnchor>
  <xdr:twoCellAnchor editAs="oneCell">
    <xdr:from>
      <xdr:col>19</xdr:col>
      <xdr:colOff>1</xdr:colOff>
      <xdr:row>6</xdr:row>
      <xdr:rowOff>0</xdr:rowOff>
    </xdr:from>
    <xdr:to>
      <xdr:col>28</xdr:col>
      <xdr:colOff>449913</xdr:colOff>
      <xdr:row>15</xdr:row>
      <xdr:rowOff>114300</xdr:rowOff>
    </xdr:to>
    <xdr:pic>
      <xdr:nvPicPr>
        <xdr:cNvPr id="11" name="Imagen 10"/>
        <xdr:cNvPicPr>
          <a:picLocks noChangeAspect="1"/>
        </xdr:cNvPicPr>
      </xdr:nvPicPr>
      <xdr:blipFill>
        <a:blip xmlns:r="http://schemas.openxmlformats.org/officeDocument/2006/relationships" r:embed="rId2"/>
        <a:stretch>
          <a:fillRect/>
        </a:stretch>
      </xdr:blipFill>
      <xdr:spPr>
        <a:xfrm>
          <a:off x="6591301" y="781050"/>
          <a:ext cx="4736162" cy="2667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tabSelected="1" zoomScaleNormal="100" workbookViewId="0"/>
  </sheetViews>
  <sheetFormatPr baseColWidth="10" defaultRowHeight="12.75" x14ac:dyDescent="0.2"/>
  <cols>
    <col min="1" max="1" width="30.7109375" style="2" customWidth="1"/>
    <col min="2" max="4" width="20.7109375" style="2" customWidth="1"/>
    <col min="5" max="5" width="17.140625" style="2" customWidth="1"/>
    <col min="6" max="6" width="23.85546875" style="2" customWidth="1"/>
    <col min="7" max="7" width="20" style="2" customWidth="1"/>
    <col min="8" max="8" width="14.140625" style="2" bestFit="1" customWidth="1"/>
    <col min="9" max="9" width="7.5703125" style="2" customWidth="1"/>
    <col min="10" max="10" width="10.42578125" style="2" hidden="1" customWidth="1"/>
    <col min="11" max="11" width="7" style="2" hidden="1" customWidth="1"/>
    <col min="12" max="12" width="14.42578125" style="2" hidden="1" customWidth="1"/>
    <col min="13" max="13" width="13.42578125" style="2" hidden="1" customWidth="1"/>
    <col min="14" max="14" width="4.140625" style="2" hidden="1" customWidth="1"/>
    <col min="15" max="15" width="14.28515625" style="8" bestFit="1" customWidth="1"/>
    <col min="16" max="16" width="14.28515625" style="8" customWidth="1"/>
    <col min="17" max="17" width="2.5703125" style="2" customWidth="1"/>
    <col min="18" max="18" width="15.85546875" style="2" customWidth="1"/>
    <col min="19" max="19" width="16" style="2" customWidth="1"/>
    <col min="20" max="20" width="15" style="2" customWidth="1"/>
    <col min="21" max="21" width="13.5703125" style="8" customWidth="1"/>
    <col min="22" max="22" width="9.5703125" style="8" customWidth="1"/>
    <col min="23" max="257" width="11.42578125" style="2"/>
    <col min="258" max="258" width="20.28515625" style="2" customWidth="1"/>
    <col min="259" max="259" width="21.7109375" style="2" customWidth="1"/>
    <col min="260" max="260" width="22" style="2" customWidth="1"/>
    <col min="261" max="261" width="17.140625" style="2" customWidth="1"/>
    <col min="262" max="262" width="21.42578125" style="2" customWidth="1"/>
    <col min="263" max="263" width="19.5703125" style="2" customWidth="1"/>
    <col min="264" max="264" width="14.140625" style="2" bestFit="1" customWidth="1"/>
    <col min="265" max="265" width="8.42578125" style="2" customWidth="1"/>
    <col min="266" max="266" width="14.42578125" style="2" bestFit="1" customWidth="1"/>
    <col min="267" max="267" width="4.42578125" style="2" customWidth="1"/>
    <col min="268" max="268" width="14.42578125" style="2" bestFit="1" customWidth="1"/>
    <col min="269" max="269" width="13.42578125" style="2" customWidth="1"/>
    <col min="270" max="270" width="14.7109375" style="2" bestFit="1" customWidth="1"/>
    <col min="271" max="271" width="14.28515625" style="2" bestFit="1" customWidth="1"/>
    <col min="272" max="272" width="14.28515625" style="2" customWidth="1"/>
    <col min="273" max="273" width="14" style="2" bestFit="1" customWidth="1"/>
    <col min="274" max="274" width="11.5703125" style="2" bestFit="1" customWidth="1"/>
    <col min="275" max="275" width="13.85546875" style="2" bestFit="1" customWidth="1"/>
    <col min="276" max="513" width="11.42578125" style="2"/>
    <col min="514" max="514" width="20.28515625" style="2" customWidth="1"/>
    <col min="515" max="515" width="21.7109375" style="2" customWidth="1"/>
    <col min="516" max="516" width="22" style="2" customWidth="1"/>
    <col min="517" max="517" width="17.140625" style="2" customWidth="1"/>
    <col min="518" max="518" width="21.42578125" style="2" customWidth="1"/>
    <col min="519" max="519" width="19.5703125" style="2" customWidth="1"/>
    <col min="520" max="520" width="14.140625" style="2" bestFit="1" customWidth="1"/>
    <col min="521" max="521" width="8.42578125" style="2" customWidth="1"/>
    <col min="522" max="522" width="14.42578125" style="2" bestFit="1" customWidth="1"/>
    <col min="523" max="523" width="4.42578125" style="2" customWidth="1"/>
    <col min="524" max="524" width="14.42578125" style="2" bestFit="1" customWidth="1"/>
    <col min="525" max="525" width="13.42578125" style="2" customWidth="1"/>
    <col min="526" max="526" width="14.7109375" style="2" bestFit="1" customWidth="1"/>
    <col min="527" max="527" width="14.28515625" style="2" bestFit="1" customWidth="1"/>
    <col min="528" max="528" width="14.28515625" style="2" customWidth="1"/>
    <col min="529" max="529" width="14" style="2" bestFit="1" customWidth="1"/>
    <col min="530" max="530" width="11.5703125" style="2" bestFit="1" customWidth="1"/>
    <col min="531" max="531" width="13.85546875" style="2" bestFit="1" customWidth="1"/>
    <col min="532" max="769" width="11.42578125" style="2"/>
    <col min="770" max="770" width="20.28515625" style="2" customWidth="1"/>
    <col min="771" max="771" width="21.7109375" style="2" customWidth="1"/>
    <col min="772" max="772" width="22" style="2" customWidth="1"/>
    <col min="773" max="773" width="17.140625" style="2" customWidth="1"/>
    <col min="774" max="774" width="21.42578125" style="2" customWidth="1"/>
    <col min="775" max="775" width="19.5703125" style="2" customWidth="1"/>
    <col min="776" max="776" width="14.140625" style="2" bestFit="1" customWidth="1"/>
    <col min="777" max="777" width="8.42578125" style="2" customWidth="1"/>
    <col min="778" max="778" width="14.42578125" style="2" bestFit="1" customWidth="1"/>
    <col min="779" max="779" width="4.42578125" style="2" customWidth="1"/>
    <col min="780" max="780" width="14.42578125" style="2" bestFit="1" customWidth="1"/>
    <col min="781" max="781" width="13.42578125" style="2" customWidth="1"/>
    <col min="782" max="782" width="14.7109375" style="2" bestFit="1" customWidth="1"/>
    <col min="783" max="783" width="14.28515625" style="2" bestFit="1" customWidth="1"/>
    <col min="784" max="784" width="14.28515625" style="2" customWidth="1"/>
    <col min="785" max="785" width="14" style="2" bestFit="1" customWidth="1"/>
    <col min="786" max="786" width="11.5703125" style="2" bestFit="1" customWidth="1"/>
    <col min="787" max="787" width="13.85546875" style="2" bestFit="1" customWidth="1"/>
    <col min="788" max="1025" width="11.42578125" style="2"/>
    <col min="1026" max="1026" width="20.28515625" style="2" customWidth="1"/>
    <col min="1027" max="1027" width="21.7109375" style="2" customWidth="1"/>
    <col min="1028" max="1028" width="22" style="2" customWidth="1"/>
    <col min="1029" max="1029" width="17.140625" style="2" customWidth="1"/>
    <col min="1030" max="1030" width="21.42578125" style="2" customWidth="1"/>
    <col min="1031" max="1031" width="19.5703125" style="2" customWidth="1"/>
    <col min="1032" max="1032" width="14.140625" style="2" bestFit="1" customWidth="1"/>
    <col min="1033" max="1033" width="8.42578125" style="2" customWidth="1"/>
    <col min="1034" max="1034" width="14.42578125" style="2" bestFit="1" customWidth="1"/>
    <col min="1035" max="1035" width="4.42578125" style="2" customWidth="1"/>
    <col min="1036" max="1036" width="14.42578125" style="2" bestFit="1" customWidth="1"/>
    <col min="1037" max="1037" width="13.42578125" style="2" customWidth="1"/>
    <col min="1038" max="1038" width="14.7109375" style="2" bestFit="1" customWidth="1"/>
    <col min="1039" max="1039" width="14.28515625" style="2" bestFit="1" customWidth="1"/>
    <col min="1040" max="1040" width="14.28515625" style="2" customWidth="1"/>
    <col min="1041" max="1041" width="14" style="2" bestFit="1" customWidth="1"/>
    <col min="1042" max="1042" width="11.5703125" style="2" bestFit="1" customWidth="1"/>
    <col min="1043" max="1043" width="13.85546875" style="2" bestFit="1" customWidth="1"/>
    <col min="1044" max="1281" width="11.42578125" style="2"/>
    <col min="1282" max="1282" width="20.28515625" style="2" customWidth="1"/>
    <col min="1283" max="1283" width="21.7109375" style="2" customWidth="1"/>
    <col min="1284" max="1284" width="22" style="2" customWidth="1"/>
    <col min="1285" max="1285" width="17.140625" style="2" customWidth="1"/>
    <col min="1286" max="1286" width="21.42578125" style="2" customWidth="1"/>
    <col min="1287" max="1287" width="19.5703125" style="2" customWidth="1"/>
    <col min="1288" max="1288" width="14.140625" style="2" bestFit="1" customWidth="1"/>
    <col min="1289" max="1289" width="8.42578125" style="2" customWidth="1"/>
    <col min="1290" max="1290" width="14.42578125" style="2" bestFit="1" customWidth="1"/>
    <col min="1291" max="1291" width="4.42578125" style="2" customWidth="1"/>
    <col min="1292" max="1292" width="14.42578125" style="2" bestFit="1" customWidth="1"/>
    <col min="1293" max="1293" width="13.42578125" style="2" customWidth="1"/>
    <col min="1294" max="1294" width="14.7109375" style="2" bestFit="1" customWidth="1"/>
    <col min="1295" max="1295" width="14.28515625" style="2" bestFit="1" customWidth="1"/>
    <col min="1296" max="1296" width="14.28515625" style="2" customWidth="1"/>
    <col min="1297" max="1297" width="14" style="2" bestFit="1" customWidth="1"/>
    <col min="1298" max="1298" width="11.5703125" style="2" bestFit="1" customWidth="1"/>
    <col min="1299" max="1299" width="13.85546875" style="2" bestFit="1" customWidth="1"/>
    <col min="1300" max="1537" width="11.42578125" style="2"/>
    <col min="1538" max="1538" width="20.28515625" style="2" customWidth="1"/>
    <col min="1539" max="1539" width="21.7109375" style="2" customWidth="1"/>
    <col min="1540" max="1540" width="22" style="2" customWidth="1"/>
    <col min="1541" max="1541" width="17.140625" style="2" customWidth="1"/>
    <col min="1542" max="1542" width="21.42578125" style="2" customWidth="1"/>
    <col min="1543" max="1543" width="19.5703125" style="2" customWidth="1"/>
    <col min="1544" max="1544" width="14.140625" style="2" bestFit="1" customWidth="1"/>
    <col min="1545" max="1545" width="8.42578125" style="2" customWidth="1"/>
    <col min="1546" max="1546" width="14.42578125" style="2" bestFit="1" customWidth="1"/>
    <col min="1547" max="1547" width="4.42578125" style="2" customWidth="1"/>
    <col min="1548" max="1548" width="14.42578125" style="2" bestFit="1" customWidth="1"/>
    <col min="1549" max="1549" width="13.42578125" style="2" customWidth="1"/>
    <col min="1550" max="1550" width="14.7109375" style="2" bestFit="1" customWidth="1"/>
    <col min="1551" max="1551" width="14.28515625" style="2" bestFit="1" customWidth="1"/>
    <col min="1552" max="1552" width="14.28515625" style="2" customWidth="1"/>
    <col min="1553" max="1553" width="14" style="2" bestFit="1" customWidth="1"/>
    <col min="1554" max="1554" width="11.5703125" style="2" bestFit="1" customWidth="1"/>
    <col min="1555" max="1555" width="13.85546875" style="2" bestFit="1" customWidth="1"/>
    <col min="1556" max="1793" width="11.42578125" style="2"/>
    <col min="1794" max="1794" width="20.28515625" style="2" customWidth="1"/>
    <col min="1795" max="1795" width="21.7109375" style="2" customWidth="1"/>
    <col min="1796" max="1796" width="22" style="2" customWidth="1"/>
    <col min="1797" max="1797" width="17.140625" style="2" customWidth="1"/>
    <col min="1798" max="1798" width="21.42578125" style="2" customWidth="1"/>
    <col min="1799" max="1799" width="19.5703125" style="2" customWidth="1"/>
    <col min="1800" max="1800" width="14.140625" style="2" bestFit="1" customWidth="1"/>
    <col min="1801" max="1801" width="8.42578125" style="2" customWidth="1"/>
    <col min="1802" max="1802" width="14.42578125" style="2" bestFit="1" customWidth="1"/>
    <col min="1803" max="1803" width="4.42578125" style="2" customWidth="1"/>
    <col min="1804" max="1804" width="14.42578125" style="2" bestFit="1" customWidth="1"/>
    <col min="1805" max="1805" width="13.42578125" style="2" customWidth="1"/>
    <col min="1806" max="1806" width="14.7109375" style="2" bestFit="1" customWidth="1"/>
    <col min="1807" max="1807" width="14.28515625" style="2" bestFit="1" customWidth="1"/>
    <col min="1808" max="1808" width="14.28515625" style="2" customWidth="1"/>
    <col min="1809" max="1809" width="14" style="2" bestFit="1" customWidth="1"/>
    <col min="1810" max="1810" width="11.5703125" style="2" bestFit="1" customWidth="1"/>
    <col min="1811" max="1811" width="13.85546875" style="2" bestFit="1" customWidth="1"/>
    <col min="1812" max="2049" width="11.42578125" style="2"/>
    <col min="2050" max="2050" width="20.28515625" style="2" customWidth="1"/>
    <col min="2051" max="2051" width="21.7109375" style="2" customWidth="1"/>
    <col min="2052" max="2052" width="22" style="2" customWidth="1"/>
    <col min="2053" max="2053" width="17.140625" style="2" customWidth="1"/>
    <col min="2054" max="2054" width="21.42578125" style="2" customWidth="1"/>
    <col min="2055" max="2055" width="19.5703125" style="2" customWidth="1"/>
    <col min="2056" max="2056" width="14.140625" style="2" bestFit="1" customWidth="1"/>
    <col min="2057" max="2057" width="8.42578125" style="2" customWidth="1"/>
    <col min="2058" max="2058" width="14.42578125" style="2" bestFit="1" customWidth="1"/>
    <col min="2059" max="2059" width="4.42578125" style="2" customWidth="1"/>
    <col min="2060" max="2060" width="14.42578125" style="2" bestFit="1" customWidth="1"/>
    <col min="2061" max="2061" width="13.42578125" style="2" customWidth="1"/>
    <col min="2062" max="2062" width="14.7109375" style="2" bestFit="1" customWidth="1"/>
    <col min="2063" max="2063" width="14.28515625" style="2" bestFit="1" customWidth="1"/>
    <col min="2064" max="2064" width="14.28515625" style="2" customWidth="1"/>
    <col min="2065" max="2065" width="14" style="2" bestFit="1" customWidth="1"/>
    <col min="2066" max="2066" width="11.5703125" style="2" bestFit="1" customWidth="1"/>
    <col min="2067" max="2067" width="13.85546875" style="2" bestFit="1" customWidth="1"/>
    <col min="2068" max="2305" width="11.42578125" style="2"/>
    <col min="2306" max="2306" width="20.28515625" style="2" customWidth="1"/>
    <col min="2307" max="2307" width="21.7109375" style="2" customWidth="1"/>
    <col min="2308" max="2308" width="22" style="2" customWidth="1"/>
    <col min="2309" max="2309" width="17.140625" style="2" customWidth="1"/>
    <col min="2310" max="2310" width="21.42578125" style="2" customWidth="1"/>
    <col min="2311" max="2311" width="19.5703125" style="2" customWidth="1"/>
    <col min="2312" max="2312" width="14.140625" style="2" bestFit="1" customWidth="1"/>
    <col min="2313" max="2313" width="8.42578125" style="2" customWidth="1"/>
    <col min="2314" max="2314" width="14.42578125" style="2" bestFit="1" customWidth="1"/>
    <col min="2315" max="2315" width="4.42578125" style="2" customWidth="1"/>
    <col min="2316" max="2316" width="14.42578125" style="2" bestFit="1" customWidth="1"/>
    <col min="2317" max="2317" width="13.42578125" style="2" customWidth="1"/>
    <col min="2318" max="2318" width="14.7109375" style="2" bestFit="1" customWidth="1"/>
    <col min="2319" max="2319" width="14.28515625" style="2" bestFit="1" customWidth="1"/>
    <col min="2320" max="2320" width="14.28515625" style="2" customWidth="1"/>
    <col min="2321" max="2321" width="14" style="2" bestFit="1" customWidth="1"/>
    <col min="2322" max="2322" width="11.5703125" style="2" bestFit="1" customWidth="1"/>
    <col min="2323" max="2323" width="13.85546875" style="2" bestFit="1" customWidth="1"/>
    <col min="2324" max="2561" width="11.42578125" style="2"/>
    <col min="2562" max="2562" width="20.28515625" style="2" customWidth="1"/>
    <col min="2563" max="2563" width="21.7109375" style="2" customWidth="1"/>
    <col min="2564" max="2564" width="22" style="2" customWidth="1"/>
    <col min="2565" max="2565" width="17.140625" style="2" customWidth="1"/>
    <col min="2566" max="2566" width="21.42578125" style="2" customWidth="1"/>
    <col min="2567" max="2567" width="19.5703125" style="2" customWidth="1"/>
    <col min="2568" max="2568" width="14.140625" style="2" bestFit="1" customWidth="1"/>
    <col min="2569" max="2569" width="8.42578125" style="2" customWidth="1"/>
    <col min="2570" max="2570" width="14.42578125" style="2" bestFit="1" customWidth="1"/>
    <col min="2571" max="2571" width="4.42578125" style="2" customWidth="1"/>
    <col min="2572" max="2572" width="14.42578125" style="2" bestFit="1" customWidth="1"/>
    <col min="2573" max="2573" width="13.42578125" style="2" customWidth="1"/>
    <col min="2574" max="2574" width="14.7109375" style="2" bestFit="1" customWidth="1"/>
    <col min="2575" max="2575" width="14.28515625" style="2" bestFit="1" customWidth="1"/>
    <col min="2576" max="2576" width="14.28515625" style="2" customWidth="1"/>
    <col min="2577" max="2577" width="14" style="2" bestFit="1" customWidth="1"/>
    <col min="2578" max="2578" width="11.5703125" style="2" bestFit="1" customWidth="1"/>
    <col min="2579" max="2579" width="13.85546875" style="2" bestFit="1" customWidth="1"/>
    <col min="2580" max="2817" width="11.42578125" style="2"/>
    <col min="2818" max="2818" width="20.28515625" style="2" customWidth="1"/>
    <col min="2819" max="2819" width="21.7109375" style="2" customWidth="1"/>
    <col min="2820" max="2820" width="22" style="2" customWidth="1"/>
    <col min="2821" max="2821" width="17.140625" style="2" customWidth="1"/>
    <col min="2822" max="2822" width="21.42578125" style="2" customWidth="1"/>
    <col min="2823" max="2823" width="19.5703125" style="2" customWidth="1"/>
    <col min="2824" max="2824" width="14.140625" style="2" bestFit="1" customWidth="1"/>
    <col min="2825" max="2825" width="8.42578125" style="2" customWidth="1"/>
    <col min="2826" max="2826" width="14.42578125" style="2" bestFit="1" customWidth="1"/>
    <col min="2827" max="2827" width="4.42578125" style="2" customWidth="1"/>
    <col min="2828" max="2828" width="14.42578125" style="2" bestFit="1" customWidth="1"/>
    <col min="2829" max="2829" width="13.42578125" style="2" customWidth="1"/>
    <col min="2830" max="2830" width="14.7109375" style="2" bestFit="1" customWidth="1"/>
    <col min="2831" max="2831" width="14.28515625" style="2" bestFit="1" customWidth="1"/>
    <col min="2832" max="2832" width="14.28515625" style="2" customWidth="1"/>
    <col min="2833" max="2833" width="14" style="2" bestFit="1" customWidth="1"/>
    <col min="2834" max="2834" width="11.5703125" style="2" bestFit="1" customWidth="1"/>
    <col min="2835" max="2835" width="13.85546875" style="2" bestFit="1" customWidth="1"/>
    <col min="2836" max="3073" width="11.42578125" style="2"/>
    <col min="3074" max="3074" width="20.28515625" style="2" customWidth="1"/>
    <col min="3075" max="3075" width="21.7109375" style="2" customWidth="1"/>
    <col min="3076" max="3076" width="22" style="2" customWidth="1"/>
    <col min="3077" max="3077" width="17.140625" style="2" customWidth="1"/>
    <col min="3078" max="3078" width="21.42578125" style="2" customWidth="1"/>
    <col min="3079" max="3079" width="19.5703125" style="2" customWidth="1"/>
    <col min="3080" max="3080" width="14.140625" style="2" bestFit="1" customWidth="1"/>
    <col min="3081" max="3081" width="8.42578125" style="2" customWidth="1"/>
    <col min="3082" max="3082" width="14.42578125" style="2" bestFit="1" customWidth="1"/>
    <col min="3083" max="3083" width="4.42578125" style="2" customWidth="1"/>
    <col min="3084" max="3084" width="14.42578125" style="2" bestFit="1" customWidth="1"/>
    <col min="3085" max="3085" width="13.42578125" style="2" customWidth="1"/>
    <col min="3086" max="3086" width="14.7109375" style="2" bestFit="1" customWidth="1"/>
    <col min="3087" max="3087" width="14.28515625" style="2" bestFit="1" customWidth="1"/>
    <col min="3088" max="3088" width="14.28515625" style="2" customWidth="1"/>
    <col min="3089" max="3089" width="14" style="2" bestFit="1" customWidth="1"/>
    <col min="3090" max="3090" width="11.5703125" style="2" bestFit="1" customWidth="1"/>
    <col min="3091" max="3091" width="13.85546875" style="2" bestFit="1" customWidth="1"/>
    <col min="3092" max="3329" width="11.42578125" style="2"/>
    <col min="3330" max="3330" width="20.28515625" style="2" customWidth="1"/>
    <col min="3331" max="3331" width="21.7109375" style="2" customWidth="1"/>
    <col min="3332" max="3332" width="22" style="2" customWidth="1"/>
    <col min="3333" max="3333" width="17.140625" style="2" customWidth="1"/>
    <col min="3334" max="3334" width="21.42578125" style="2" customWidth="1"/>
    <col min="3335" max="3335" width="19.5703125" style="2" customWidth="1"/>
    <col min="3336" max="3336" width="14.140625" style="2" bestFit="1" customWidth="1"/>
    <col min="3337" max="3337" width="8.42578125" style="2" customWidth="1"/>
    <col min="3338" max="3338" width="14.42578125" style="2" bestFit="1" customWidth="1"/>
    <col min="3339" max="3339" width="4.42578125" style="2" customWidth="1"/>
    <col min="3340" max="3340" width="14.42578125" style="2" bestFit="1" customWidth="1"/>
    <col min="3341" max="3341" width="13.42578125" style="2" customWidth="1"/>
    <col min="3342" max="3342" width="14.7109375" style="2" bestFit="1" customWidth="1"/>
    <col min="3343" max="3343" width="14.28515625" style="2" bestFit="1" customWidth="1"/>
    <col min="3344" max="3344" width="14.28515625" style="2" customWidth="1"/>
    <col min="3345" max="3345" width="14" style="2" bestFit="1" customWidth="1"/>
    <col min="3346" max="3346" width="11.5703125" style="2" bestFit="1" customWidth="1"/>
    <col min="3347" max="3347" width="13.85546875" style="2" bestFit="1" customWidth="1"/>
    <col min="3348" max="3585" width="11.42578125" style="2"/>
    <col min="3586" max="3586" width="20.28515625" style="2" customWidth="1"/>
    <col min="3587" max="3587" width="21.7109375" style="2" customWidth="1"/>
    <col min="3588" max="3588" width="22" style="2" customWidth="1"/>
    <col min="3589" max="3589" width="17.140625" style="2" customWidth="1"/>
    <col min="3590" max="3590" width="21.42578125" style="2" customWidth="1"/>
    <col min="3591" max="3591" width="19.5703125" style="2" customWidth="1"/>
    <col min="3592" max="3592" width="14.140625" style="2" bestFit="1" customWidth="1"/>
    <col min="3593" max="3593" width="8.42578125" style="2" customWidth="1"/>
    <col min="3594" max="3594" width="14.42578125" style="2" bestFit="1" customWidth="1"/>
    <col min="3595" max="3595" width="4.42578125" style="2" customWidth="1"/>
    <col min="3596" max="3596" width="14.42578125" style="2" bestFit="1" customWidth="1"/>
    <col min="3597" max="3597" width="13.42578125" style="2" customWidth="1"/>
    <col min="3598" max="3598" width="14.7109375" style="2" bestFit="1" customWidth="1"/>
    <col min="3599" max="3599" width="14.28515625" style="2" bestFit="1" customWidth="1"/>
    <col min="3600" max="3600" width="14.28515625" style="2" customWidth="1"/>
    <col min="3601" max="3601" width="14" style="2" bestFit="1" customWidth="1"/>
    <col min="3602" max="3602" width="11.5703125" style="2" bestFit="1" customWidth="1"/>
    <col min="3603" max="3603" width="13.85546875" style="2" bestFit="1" customWidth="1"/>
    <col min="3604" max="3841" width="11.42578125" style="2"/>
    <col min="3842" max="3842" width="20.28515625" style="2" customWidth="1"/>
    <col min="3843" max="3843" width="21.7109375" style="2" customWidth="1"/>
    <col min="3844" max="3844" width="22" style="2" customWidth="1"/>
    <col min="3845" max="3845" width="17.140625" style="2" customWidth="1"/>
    <col min="3846" max="3846" width="21.42578125" style="2" customWidth="1"/>
    <col min="3847" max="3847" width="19.5703125" style="2" customWidth="1"/>
    <col min="3848" max="3848" width="14.140625" style="2" bestFit="1" customWidth="1"/>
    <col min="3849" max="3849" width="8.42578125" style="2" customWidth="1"/>
    <col min="3850" max="3850" width="14.42578125" style="2" bestFit="1" customWidth="1"/>
    <col min="3851" max="3851" width="4.42578125" style="2" customWidth="1"/>
    <col min="3852" max="3852" width="14.42578125" style="2" bestFit="1" customWidth="1"/>
    <col min="3853" max="3853" width="13.42578125" style="2" customWidth="1"/>
    <col min="3854" max="3854" width="14.7109375" style="2" bestFit="1" customWidth="1"/>
    <col min="3855" max="3855" width="14.28515625" style="2" bestFit="1" customWidth="1"/>
    <col min="3856" max="3856" width="14.28515625" style="2" customWidth="1"/>
    <col min="3857" max="3857" width="14" style="2" bestFit="1" customWidth="1"/>
    <col min="3858" max="3858" width="11.5703125" style="2" bestFit="1" customWidth="1"/>
    <col min="3859" max="3859" width="13.85546875" style="2" bestFit="1" customWidth="1"/>
    <col min="3860" max="4097" width="11.42578125" style="2"/>
    <col min="4098" max="4098" width="20.28515625" style="2" customWidth="1"/>
    <col min="4099" max="4099" width="21.7109375" style="2" customWidth="1"/>
    <col min="4100" max="4100" width="22" style="2" customWidth="1"/>
    <col min="4101" max="4101" width="17.140625" style="2" customWidth="1"/>
    <col min="4102" max="4102" width="21.42578125" style="2" customWidth="1"/>
    <col min="4103" max="4103" width="19.5703125" style="2" customWidth="1"/>
    <col min="4104" max="4104" width="14.140625" style="2" bestFit="1" customWidth="1"/>
    <col min="4105" max="4105" width="8.42578125" style="2" customWidth="1"/>
    <col min="4106" max="4106" width="14.42578125" style="2" bestFit="1" customWidth="1"/>
    <col min="4107" max="4107" width="4.42578125" style="2" customWidth="1"/>
    <col min="4108" max="4108" width="14.42578125" style="2" bestFit="1" customWidth="1"/>
    <col min="4109" max="4109" width="13.42578125" style="2" customWidth="1"/>
    <col min="4110" max="4110" width="14.7109375" style="2" bestFit="1" customWidth="1"/>
    <col min="4111" max="4111" width="14.28515625" style="2" bestFit="1" customWidth="1"/>
    <col min="4112" max="4112" width="14.28515625" style="2" customWidth="1"/>
    <col min="4113" max="4113" width="14" style="2" bestFit="1" customWidth="1"/>
    <col min="4114" max="4114" width="11.5703125" style="2" bestFit="1" customWidth="1"/>
    <col min="4115" max="4115" width="13.85546875" style="2" bestFit="1" customWidth="1"/>
    <col min="4116" max="4353" width="11.42578125" style="2"/>
    <col min="4354" max="4354" width="20.28515625" style="2" customWidth="1"/>
    <col min="4355" max="4355" width="21.7109375" style="2" customWidth="1"/>
    <col min="4356" max="4356" width="22" style="2" customWidth="1"/>
    <col min="4357" max="4357" width="17.140625" style="2" customWidth="1"/>
    <col min="4358" max="4358" width="21.42578125" style="2" customWidth="1"/>
    <col min="4359" max="4359" width="19.5703125" style="2" customWidth="1"/>
    <col min="4360" max="4360" width="14.140625" style="2" bestFit="1" customWidth="1"/>
    <col min="4361" max="4361" width="8.42578125" style="2" customWidth="1"/>
    <col min="4362" max="4362" width="14.42578125" style="2" bestFit="1" customWidth="1"/>
    <col min="4363" max="4363" width="4.42578125" style="2" customWidth="1"/>
    <col min="4364" max="4364" width="14.42578125" style="2" bestFit="1" customWidth="1"/>
    <col min="4365" max="4365" width="13.42578125" style="2" customWidth="1"/>
    <col min="4366" max="4366" width="14.7109375" style="2" bestFit="1" customWidth="1"/>
    <col min="4367" max="4367" width="14.28515625" style="2" bestFit="1" customWidth="1"/>
    <col min="4368" max="4368" width="14.28515625" style="2" customWidth="1"/>
    <col min="4369" max="4369" width="14" style="2" bestFit="1" customWidth="1"/>
    <col min="4370" max="4370" width="11.5703125" style="2" bestFit="1" customWidth="1"/>
    <col min="4371" max="4371" width="13.85546875" style="2" bestFit="1" customWidth="1"/>
    <col min="4372" max="4609" width="11.42578125" style="2"/>
    <col min="4610" max="4610" width="20.28515625" style="2" customWidth="1"/>
    <col min="4611" max="4611" width="21.7109375" style="2" customWidth="1"/>
    <col min="4612" max="4612" width="22" style="2" customWidth="1"/>
    <col min="4613" max="4613" width="17.140625" style="2" customWidth="1"/>
    <col min="4614" max="4614" width="21.42578125" style="2" customWidth="1"/>
    <col min="4615" max="4615" width="19.5703125" style="2" customWidth="1"/>
    <col min="4616" max="4616" width="14.140625" style="2" bestFit="1" customWidth="1"/>
    <col min="4617" max="4617" width="8.42578125" style="2" customWidth="1"/>
    <col min="4618" max="4618" width="14.42578125" style="2" bestFit="1" customWidth="1"/>
    <col min="4619" max="4619" width="4.42578125" style="2" customWidth="1"/>
    <col min="4620" max="4620" width="14.42578125" style="2" bestFit="1" customWidth="1"/>
    <col min="4621" max="4621" width="13.42578125" style="2" customWidth="1"/>
    <col min="4622" max="4622" width="14.7109375" style="2" bestFit="1" customWidth="1"/>
    <col min="4623" max="4623" width="14.28515625" style="2" bestFit="1" customWidth="1"/>
    <col min="4624" max="4624" width="14.28515625" style="2" customWidth="1"/>
    <col min="4625" max="4625" width="14" style="2" bestFit="1" customWidth="1"/>
    <col min="4626" max="4626" width="11.5703125" style="2" bestFit="1" customWidth="1"/>
    <col min="4627" max="4627" width="13.85546875" style="2" bestFit="1" customWidth="1"/>
    <col min="4628" max="4865" width="11.42578125" style="2"/>
    <col min="4866" max="4866" width="20.28515625" style="2" customWidth="1"/>
    <col min="4867" max="4867" width="21.7109375" style="2" customWidth="1"/>
    <col min="4868" max="4868" width="22" style="2" customWidth="1"/>
    <col min="4869" max="4869" width="17.140625" style="2" customWidth="1"/>
    <col min="4870" max="4870" width="21.42578125" style="2" customWidth="1"/>
    <col min="4871" max="4871" width="19.5703125" style="2" customWidth="1"/>
    <col min="4872" max="4872" width="14.140625" style="2" bestFit="1" customWidth="1"/>
    <col min="4873" max="4873" width="8.42578125" style="2" customWidth="1"/>
    <col min="4874" max="4874" width="14.42578125" style="2" bestFit="1" customWidth="1"/>
    <col min="4875" max="4875" width="4.42578125" style="2" customWidth="1"/>
    <col min="4876" max="4876" width="14.42578125" style="2" bestFit="1" customWidth="1"/>
    <col min="4877" max="4877" width="13.42578125" style="2" customWidth="1"/>
    <col min="4878" max="4878" width="14.7109375" style="2" bestFit="1" customWidth="1"/>
    <col min="4879" max="4879" width="14.28515625" style="2" bestFit="1" customWidth="1"/>
    <col min="4880" max="4880" width="14.28515625" style="2" customWidth="1"/>
    <col min="4881" max="4881" width="14" style="2" bestFit="1" customWidth="1"/>
    <col min="4882" max="4882" width="11.5703125" style="2" bestFit="1" customWidth="1"/>
    <col min="4883" max="4883" width="13.85546875" style="2" bestFit="1" customWidth="1"/>
    <col min="4884" max="5121" width="11.42578125" style="2"/>
    <col min="5122" max="5122" width="20.28515625" style="2" customWidth="1"/>
    <col min="5123" max="5123" width="21.7109375" style="2" customWidth="1"/>
    <col min="5124" max="5124" width="22" style="2" customWidth="1"/>
    <col min="5125" max="5125" width="17.140625" style="2" customWidth="1"/>
    <col min="5126" max="5126" width="21.42578125" style="2" customWidth="1"/>
    <col min="5127" max="5127" width="19.5703125" style="2" customWidth="1"/>
    <col min="5128" max="5128" width="14.140625" style="2" bestFit="1" customWidth="1"/>
    <col min="5129" max="5129" width="8.42578125" style="2" customWidth="1"/>
    <col min="5130" max="5130" width="14.42578125" style="2" bestFit="1" customWidth="1"/>
    <col min="5131" max="5131" width="4.42578125" style="2" customWidth="1"/>
    <col min="5132" max="5132" width="14.42578125" style="2" bestFit="1" customWidth="1"/>
    <col min="5133" max="5133" width="13.42578125" style="2" customWidth="1"/>
    <col min="5134" max="5134" width="14.7109375" style="2" bestFit="1" customWidth="1"/>
    <col min="5135" max="5135" width="14.28515625" style="2" bestFit="1" customWidth="1"/>
    <col min="5136" max="5136" width="14.28515625" style="2" customWidth="1"/>
    <col min="5137" max="5137" width="14" style="2" bestFit="1" customWidth="1"/>
    <col min="5138" max="5138" width="11.5703125" style="2" bestFit="1" customWidth="1"/>
    <col min="5139" max="5139" width="13.85546875" style="2" bestFit="1" customWidth="1"/>
    <col min="5140" max="5377" width="11.42578125" style="2"/>
    <col min="5378" max="5378" width="20.28515625" style="2" customWidth="1"/>
    <col min="5379" max="5379" width="21.7109375" style="2" customWidth="1"/>
    <col min="5380" max="5380" width="22" style="2" customWidth="1"/>
    <col min="5381" max="5381" width="17.140625" style="2" customWidth="1"/>
    <col min="5382" max="5382" width="21.42578125" style="2" customWidth="1"/>
    <col min="5383" max="5383" width="19.5703125" style="2" customWidth="1"/>
    <col min="5384" max="5384" width="14.140625" style="2" bestFit="1" customWidth="1"/>
    <col min="5385" max="5385" width="8.42578125" style="2" customWidth="1"/>
    <col min="5386" max="5386" width="14.42578125" style="2" bestFit="1" customWidth="1"/>
    <col min="5387" max="5387" width="4.42578125" style="2" customWidth="1"/>
    <col min="5388" max="5388" width="14.42578125" style="2" bestFit="1" customWidth="1"/>
    <col min="5389" max="5389" width="13.42578125" style="2" customWidth="1"/>
    <col min="5390" max="5390" width="14.7109375" style="2" bestFit="1" customWidth="1"/>
    <col min="5391" max="5391" width="14.28515625" style="2" bestFit="1" customWidth="1"/>
    <col min="5392" max="5392" width="14.28515625" style="2" customWidth="1"/>
    <col min="5393" max="5393" width="14" style="2" bestFit="1" customWidth="1"/>
    <col min="5394" max="5394" width="11.5703125" style="2" bestFit="1" customWidth="1"/>
    <col min="5395" max="5395" width="13.85546875" style="2" bestFit="1" customWidth="1"/>
    <col min="5396" max="5633" width="11.42578125" style="2"/>
    <col min="5634" max="5634" width="20.28515625" style="2" customWidth="1"/>
    <col min="5635" max="5635" width="21.7109375" style="2" customWidth="1"/>
    <col min="5636" max="5636" width="22" style="2" customWidth="1"/>
    <col min="5637" max="5637" width="17.140625" style="2" customWidth="1"/>
    <col min="5638" max="5638" width="21.42578125" style="2" customWidth="1"/>
    <col min="5639" max="5639" width="19.5703125" style="2" customWidth="1"/>
    <col min="5640" max="5640" width="14.140625" style="2" bestFit="1" customWidth="1"/>
    <col min="5641" max="5641" width="8.42578125" style="2" customWidth="1"/>
    <col min="5642" max="5642" width="14.42578125" style="2" bestFit="1" customWidth="1"/>
    <col min="5643" max="5643" width="4.42578125" style="2" customWidth="1"/>
    <col min="5644" max="5644" width="14.42578125" style="2" bestFit="1" customWidth="1"/>
    <col min="5645" max="5645" width="13.42578125" style="2" customWidth="1"/>
    <col min="5646" max="5646" width="14.7109375" style="2" bestFit="1" customWidth="1"/>
    <col min="5647" max="5647" width="14.28515625" style="2" bestFit="1" customWidth="1"/>
    <col min="5648" max="5648" width="14.28515625" style="2" customWidth="1"/>
    <col min="5649" max="5649" width="14" style="2" bestFit="1" customWidth="1"/>
    <col min="5650" max="5650" width="11.5703125" style="2" bestFit="1" customWidth="1"/>
    <col min="5651" max="5651" width="13.85546875" style="2" bestFit="1" customWidth="1"/>
    <col min="5652" max="5889" width="11.42578125" style="2"/>
    <col min="5890" max="5890" width="20.28515625" style="2" customWidth="1"/>
    <col min="5891" max="5891" width="21.7109375" style="2" customWidth="1"/>
    <col min="5892" max="5892" width="22" style="2" customWidth="1"/>
    <col min="5893" max="5893" width="17.140625" style="2" customWidth="1"/>
    <col min="5894" max="5894" width="21.42578125" style="2" customWidth="1"/>
    <col min="5895" max="5895" width="19.5703125" style="2" customWidth="1"/>
    <col min="5896" max="5896" width="14.140625" style="2" bestFit="1" customWidth="1"/>
    <col min="5897" max="5897" width="8.42578125" style="2" customWidth="1"/>
    <col min="5898" max="5898" width="14.42578125" style="2" bestFit="1" customWidth="1"/>
    <col min="5899" max="5899" width="4.42578125" style="2" customWidth="1"/>
    <col min="5900" max="5900" width="14.42578125" style="2" bestFit="1" customWidth="1"/>
    <col min="5901" max="5901" width="13.42578125" style="2" customWidth="1"/>
    <col min="5902" max="5902" width="14.7109375" style="2" bestFit="1" customWidth="1"/>
    <col min="5903" max="5903" width="14.28515625" style="2" bestFit="1" customWidth="1"/>
    <col min="5904" max="5904" width="14.28515625" style="2" customWidth="1"/>
    <col min="5905" max="5905" width="14" style="2" bestFit="1" customWidth="1"/>
    <col min="5906" max="5906" width="11.5703125" style="2" bestFit="1" customWidth="1"/>
    <col min="5907" max="5907" width="13.85546875" style="2" bestFit="1" customWidth="1"/>
    <col min="5908" max="6145" width="11.42578125" style="2"/>
    <col min="6146" max="6146" width="20.28515625" style="2" customWidth="1"/>
    <col min="6147" max="6147" width="21.7109375" style="2" customWidth="1"/>
    <col min="6148" max="6148" width="22" style="2" customWidth="1"/>
    <col min="6149" max="6149" width="17.140625" style="2" customWidth="1"/>
    <col min="6150" max="6150" width="21.42578125" style="2" customWidth="1"/>
    <col min="6151" max="6151" width="19.5703125" style="2" customWidth="1"/>
    <col min="6152" max="6152" width="14.140625" style="2" bestFit="1" customWidth="1"/>
    <col min="6153" max="6153" width="8.42578125" style="2" customWidth="1"/>
    <col min="6154" max="6154" width="14.42578125" style="2" bestFit="1" customWidth="1"/>
    <col min="6155" max="6155" width="4.42578125" style="2" customWidth="1"/>
    <col min="6156" max="6156" width="14.42578125" style="2" bestFit="1" customWidth="1"/>
    <col min="6157" max="6157" width="13.42578125" style="2" customWidth="1"/>
    <col min="6158" max="6158" width="14.7109375" style="2" bestFit="1" customWidth="1"/>
    <col min="6159" max="6159" width="14.28515625" style="2" bestFit="1" customWidth="1"/>
    <col min="6160" max="6160" width="14.28515625" style="2" customWidth="1"/>
    <col min="6161" max="6161" width="14" style="2" bestFit="1" customWidth="1"/>
    <col min="6162" max="6162" width="11.5703125" style="2" bestFit="1" customWidth="1"/>
    <col min="6163" max="6163" width="13.85546875" style="2" bestFit="1" customWidth="1"/>
    <col min="6164" max="6401" width="11.42578125" style="2"/>
    <col min="6402" max="6402" width="20.28515625" style="2" customWidth="1"/>
    <col min="6403" max="6403" width="21.7109375" style="2" customWidth="1"/>
    <col min="6404" max="6404" width="22" style="2" customWidth="1"/>
    <col min="6405" max="6405" width="17.140625" style="2" customWidth="1"/>
    <col min="6406" max="6406" width="21.42578125" style="2" customWidth="1"/>
    <col min="6407" max="6407" width="19.5703125" style="2" customWidth="1"/>
    <col min="6408" max="6408" width="14.140625" style="2" bestFit="1" customWidth="1"/>
    <col min="6409" max="6409" width="8.42578125" style="2" customWidth="1"/>
    <col min="6410" max="6410" width="14.42578125" style="2" bestFit="1" customWidth="1"/>
    <col min="6411" max="6411" width="4.42578125" style="2" customWidth="1"/>
    <col min="6412" max="6412" width="14.42578125" style="2" bestFit="1" customWidth="1"/>
    <col min="6413" max="6413" width="13.42578125" style="2" customWidth="1"/>
    <col min="6414" max="6414" width="14.7109375" style="2" bestFit="1" customWidth="1"/>
    <col min="6415" max="6415" width="14.28515625" style="2" bestFit="1" customWidth="1"/>
    <col min="6416" max="6416" width="14.28515625" style="2" customWidth="1"/>
    <col min="6417" max="6417" width="14" style="2" bestFit="1" customWidth="1"/>
    <col min="6418" max="6418" width="11.5703125" style="2" bestFit="1" customWidth="1"/>
    <col min="6419" max="6419" width="13.85546875" style="2" bestFit="1" customWidth="1"/>
    <col min="6420" max="6657" width="11.42578125" style="2"/>
    <col min="6658" max="6658" width="20.28515625" style="2" customWidth="1"/>
    <col min="6659" max="6659" width="21.7109375" style="2" customWidth="1"/>
    <col min="6660" max="6660" width="22" style="2" customWidth="1"/>
    <col min="6661" max="6661" width="17.140625" style="2" customWidth="1"/>
    <col min="6662" max="6662" width="21.42578125" style="2" customWidth="1"/>
    <col min="6663" max="6663" width="19.5703125" style="2" customWidth="1"/>
    <col min="6664" max="6664" width="14.140625" style="2" bestFit="1" customWidth="1"/>
    <col min="6665" max="6665" width="8.42578125" style="2" customWidth="1"/>
    <col min="6666" max="6666" width="14.42578125" style="2" bestFit="1" customWidth="1"/>
    <col min="6667" max="6667" width="4.42578125" style="2" customWidth="1"/>
    <col min="6668" max="6668" width="14.42578125" style="2" bestFit="1" customWidth="1"/>
    <col min="6669" max="6669" width="13.42578125" style="2" customWidth="1"/>
    <col min="6670" max="6670" width="14.7109375" style="2" bestFit="1" customWidth="1"/>
    <col min="6671" max="6671" width="14.28515625" style="2" bestFit="1" customWidth="1"/>
    <col min="6672" max="6672" width="14.28515625" style="2" customWidth="1"/>
    <col min="6673" max="6673" width="14" style="2" bestFit="1" customWidth="1"/>
    <col min="6674" max="6674" width="11.5703125" style="2" bestFit="1" customWidth="1"/>
    <col min="6675" max="6675" width="13.85546875" style="2" bestFit="1" customWidth="1"/>
    <col min="6676" max="6913" width="11.42578125" style="2"/>
    <col min="6914" max="6914" width="20.28515625" style="2" customWidth="1"/>
    <col min="6915" max="6915" width="21.7109375" style="2" customWidth="1"/>
    <col min="6916" max="6916" width="22" style="2" customWidth="1"/>
    <col min="6917" max="6917" width="17.140625" style="2" customWidth="1"/>
    <col min="6918" max="6918" width="21.42578125" style="2" customWidth="1"/>
    <col min="6919" max="6919" width="19.5703125" style="2" customWidth="1"/>
    <col min="6920" max="6920" width="14.140625" style="2" bestFit="1" customWidth="1"/>
    <col min="6921" max="6921" width="8.42578125" style="2" customWidth="1"/>
    <col min="6922" max="6922" width="14.42578125" style="2" bestFit="1" customWidth="1"/>
    <col min="6923" max="6923" width="4.42578125" style="2" customWidth="1"/>
    <col min="6924" max="6924" width="14.42578125" style="2" bestFit="1" customWidth="1"/>
    <col min="6925" max="6925" width="13.42578125" style="2" customWidth="1"/>
    <col min="6926" max="6926" width="14.7109375" style="2" bestFit="1" customWidth="1"/>
    <col min="6927" max="6927" width="14.28515625" style="2" bestFit="1" customWidth="1"/>
    <col min="6928" max="6928" width="14.28515625" style="2" customWidth="1"/>
    <col min="6929" max="6929" width="14" style="2" bestFit="1" customWidth="1"/>
    <col min="6930" max="6930" width="11.5703125" style="2" bestFit="1" customWidth="1"/>
    <col min="6931" max="6931" width="13.85546875" style="2" bestFit="1" customWidth="1"/>
    <col min="6932" max="7169" width="11.42578125" style="2"/>
    <col min="7170" max="7170" width="20.28515625" style="2" customWidth="1"/>
    <col min="7171" max="7171" width="21.7109375" style="2" customWidth="1"/>
    <col min="7172" max="7172" width="22" style="2" customWidth="1"/>
    <col min="7173" max="7173" width="17.140625" style="2" customWidth="1"/>
    <col min="7174" max="7174" width="21.42578125" style="2" customWidth="1"/>
    <col min="7175" max="7175" width="19.5703125" style="2" customWidth="1"/>
    <col min="7176" max="7176" width="14.140625" style="2" bestFit="1" customWidth="1"/>
    <col min="7177" max="7177" width="8.42578125" style="2" customWidth="1"/>
    <col min="7178" max="7178" width="14.42578125" style="2" bestFit="1" customWidth="1"/>
    <col min="7179" max="7179" width="4.42578125" style="2" customWidth="1"/>
    <col min="7180" max="7180" width="14.42578125" style="2" bestFit="1" customWidth="1"/>
    <col min="7181" max="7181" width="13.42578125" style="2" customWidth="1"/>
    <col min="7182" max="7182" width="14.7109375" style="2" bestFit="1" customWidth="1"/>
    <col min="7183" max="7183" width="14.28515625" style="2" bestFit="1" customWidth="1"/>
    <col min="7184" max="7184" width="14.28515625" style="2" customWidth="1"/>
    <col min="7185" max="7185" width="14" style="2" bestFit="1" customWidth="1"/>
    <col min="7186" max="7186" width="11.5703125" style="2" bestFit="1" customWidth="1"/>
    <col min="7187" max="7187" width="13.85546875" style="2" bestFit="1" customWidth="1"/>
    <col min="7188" max="7425" width="11.42578125" style="2"/>
    <col min="7426" max="7426" width="20.28515625" style="2" customWidth="1"/>
    <col min="7427" max="7427" width="21.7109375" style="2" customWidth="1"/>
    <col min="7428" max="7428" width="22" style="2" customWidth="1"/>
    <col min="7429" max="7429" width="17.140625" style="2" customWidth="1"/>
    <col min="7430" max="7430" width="21.42578125" style="2" customWidth="1"/>
    <col min="7431" max="7431" width="19.5703125" style="2" customWidth="1"/>
    <col min="7432" max="7432" width="14.140625" style="2" bestFit="1" customWidth="1"/>
    <col min="7433" max="7433" width="8.42578125" style="2" customWidth="1"/>
    <col min="7434" max="7434" width="14.42578125" style="2" bestFit="1" customWidth="1"/>
    <col min="7435" max="7435" width="4.42578125" style="2" customWidth="1"/>
    <col min="7436" max="7436" width="14.42578125" style="2" bestFit="1" customWidth="1"/>
    <col min="7437" max="7437" width="13.42578125" style="2" customWidth="1"/>
    <col min="7438" max="7438" width="14.7109375" style="2" bestFit="1" customWidth="1"/>
    <col min="7439" max="7439" width="14.28515625" style="2" bestFit="1" customWidth="1"/>
    <col min="7440" max="7440" width="14.28515625" style="2" customWidth="1"/>
    <col min="7441" max="7441" width="14" style="2" bestFit="1" customWidth="1"/>
    <col min="7442" max="7442" width="11.5703125" style="2" bestFit="1" customWidth="1"/>
    <col min="7443" max="7443" width="13.85546875" style="2" bestFit="1" customWidth="1"/>
    <col min="7444" max="7681" width="11.42578125" style="2"/>
    <col min="7682" max="7682" width="20.28515625" style="2" customWidth="1"/>
    <col min="7683" max="7683" width="21.7109375" style="2" customWidth="1"/>
    <col min="7684" max="7684" width="22" style="2" customWidth="1"/>
    <col min="7685" max="7685" width="17.140625" style="2" customWidth="1"/>
    <col min="7686" max="7686" width="21.42578125" style="2" customWidth="1"/>
    <col min="7687" max="7687" width="19.5703125" style="2" customWidth="1"/>
    <col min="7688" max="7688" width="14.140625" style="2" bestFit="1" customWidth="1"/>
    <col min="7689" max="7689" width="8.42578125" style="2" customWidth="1"/>
    <col min="7690" max="7690" width="14.42578125" style="2" bestFit="1" customWidth="1"/>
    <col min="7691" max="7691" width="4.42578125" style="2" customWidth="1"/>
    <col min="7692" max="7692" width="14.42578125" style="2" bestFit="1" customWidth="1"/>
    <col min="7693" max="7693" width="13.42578125" style="2" customWidth="1"/>
    <col min="7694" max="7694" width="14.7109375" style="2" bestFit="1" customWidth="1"/>
    <col min="7695" max="7695" width="14.28515625" style="2" bestFit="1" customWidth="1"/>
    <col min="7696" max="7696" width="14.28515625" style="2" customWidth="1"/>
    <col min="7697" max="7697" width="14" style="2" bestFit="1" customWidth="1"/>
    <col min="7698" max="7698" width="11.5703125" style="2" bestFit="1" customWidth="1"/>
    <col min="7699" max="7699" width="13.85546875" style="2" bestFit="1" customWidth="1"/>
    <col min="7700" max="7937" width="11.42578125" style="2"/>
    <col min="7938" max="7938" width="20.28515625" style="2" customWidth="1"/>
    <col min="7939" max="7939" width="21.7109375" style="2" customWidth="1"/>
    <col min="7940" max="7940" width="22" style="2" customWidth="1"/>
    <col min="7941" max="7941" width="17.140625" style="2" customWidth="1"/>
    <col min="7942" max="7942" width="21.42578125" style="2" customWidth="1"/>
    <col min="7943" max="7943" width="19.5703125" style="2" customWidth="1"/>
    <col min="7944" max="7944" width="14.140625" style="2" bestFit="1" customWidth="1"/>
    <col min="7945" max="7945" width="8.42578125" style="2" customWidth="1"/>
    <col min="7946" max="7946" width="14.42578125" style="2" bestFit="1" customWidth="1"/>
    <col min="7947" max="7947" width="4.42578125" style="2" customWidth="1"/>
    <col min="7948" max="7948" width="14.42578125" style="2" bestFit="1" customWidth="1"/>
    <col min="7949" max="7949" width="13.42578125" style="2" customWidth="1"/>
    <col min="7950" max="7950" width="14.7109375" style="2" bestFit="1" customWidth="1"/>
    <col min="7951" max="7951" width="14.28515625" style="2" bestFit="1" customWidth="1"/>
    <col min="7952" max="7952" width="14.28515625" style="2" customWidth="1"/>
    <col min="7953" max="7953" width="14" style="2" bestFit="1" customWidth="1"/>
    <col min="7954" max="7954" width="11.5703125" style="2" bestFit="1" customWidth="1"/>
    <col min="7955" max="7955" width="13.85546875" style="2" bestFit="1" customWidth="1"/>
    <col min="7956" max="8193" width="11.42578125" style="2"/>
    <col min="8194" max="8194" width="20.28515625" style="2" customWidth="1"/>
    <col min="8195" max="8195" width="21.7109375" style="2" customWidth="1"/>
    <col min="8196" max="8196" width="22" style="2" customWidth="1"/>
    <col min="8197" max="8197" width="17.140625" style="2" customWidth="1"/>
    <col min="8198" max="8198" width="21.42578125" style="2" customWidth="1"/>
    <col min="8199" max="8199" width="19.5703125" style="2" customWidth="1"/>
    <col min="8200" max="8200" width="14.140625" style="2" bestFit="1" customWidth="1"/>
    <col min="8201" max="8201" width="8.42578125" style="2" customWidth="1"/>
    <col min="8202" max="8202" width="14.42578125" style="2" bestFit="1" customWidth="1"/>
    <col min="8203" max="8203" width="4.42578125" style="2" customWidth="1"/>
    <col min="8204" max="8204" width="14.42578125" style="2" bestFit="1" customWidth="1"/>
    <col min="8205" max="8205" width="13.42578125" style="2" customWidth="1"/>
    <col min="8206" max="8206" width="14.7109375" style="2" bestFit="1" customWidth="1"/>
    <col min="8207" max="8207" width="14.28515625" style="2" bestFit="1" customWidth="1"/>
    <col min="8208" max="8208" width="14.28515625" style="2" customWidth="1"/>
    <col min="8209" max="8209" width="14" style="2" bestFit="1" customWidth="1"/>
    <col min="8210" max="8210" width="11.5703125" style="2" bestFit="1" customWidth="1"/>
    <col min="8211" max="8211" width="13.85546875" style="2" bestFit="1" customWidth="1"/>
    <col min="8212" max="8449" width="11.42578125" style="2"/>
    <col min="8450" max="8450" width="20.28515625" style="2" customWidth="1"/>
    <col min="8451" max="8451" width="21.7109375" style="2" customWidth="1"/>
    <col min="8452" max="8452" width="22" style="2" customWidth="1"/>
    <col min="8453" max="8453" width="17.140625" style="2" customWidth="1"/>
    <col min="8454" max="8454" width="21.42578125" style="2" customWidth="1"/>
    <col min="8455" max="8455" width="19.5703125" style="2" customWidth="1"/>
    <col min="8456" max="8456" width="14.140625" style="2" bestFit="1" customWidth="1"/>
    <col min="8457" max="8457" width="8.42578125" style="2" customWidth="1"/>
    <col min="8458" max="8458" width="14.42578125" style="2" bestFit="1" customWidth="1"/>
    <col min="8459" max="8459" width="4.42578125" style="2" customWidth="1"/>
    <col min="8460" max="8460" width="14.42578125" style="2" bestFit="1" customWidth="1"/>
    <col min="8461" max="8461" width="13.42578125" style="2" customWidth="1"/>
    <col min="8462" max="8462" width="14.7109375" style="2" bestFit="1" customWidth="1"/>
    <col min="8463" max="8463" width="14.28515625" style="2" bestFit="1" customWidth="1"/>
    <col min="8464" max="8464" width="14.28515625" style="2" customWidth="1"/>
    <col min="8465" max="8465" width="14" style="2" bestFit="1" customWidth="1"/>
    <col min="8466" max="8466" width="11.5703125" style="2" bestFit="1" customWidth="1"/>
    <col min="8467" max="8467" width="13.85546875" style="2" bestFit="1" customWidth="1"/>
    <col min="8468" max="8705" width="11.42578125" style="2"/>
    <col min="8706" max="8706" width="20.28515625" style="2" customWidth="1"/>
    <col min="8707" max="8707" width="21.7109375" style="2" customWidth="1"/>
    <col min="8708" max="8708" width="22" style="2" customWidth="1"/>
    <col min="8709" max="8709" width="17.140625" style="2" customWidth="1"/>
    <col min="8710" max="8710" width="21.42578125" style="2" customWidth="1"/>
    <col min="8711" max="8711" width="19.5703125" style="2" customWidth="1"/>
    <col min="8712" max="8712" width="14.140625" style="2" bestFit="1" customWidth="1"/>
    <col min="8713" max="8713" width="8.42578125" style="2" customWidth="1"/>
    <col min="8714" max="8714" width="14.42578125" style="2" bestFit="1" customWidth="1"/>
    <col min="8715" max="8715" width="4.42578125" style="2" customWidth="1"/>
    <col min="8716" max="8716" width="14.42578125" style="2" bestFit="1" customWidth="1"/>
    <col min="8717" max="8717" width="13.42578125" style="2" customWidth="1"/>
    <col min="8718" max="8718" width="14.7109375" style="2" bestFit="1" customWidth="1"/>
    <col min="8719" max="8719" width="14.28515625" style="2" bestFit="1" customWidth="1"/>
    <col min="8720" max="8720" width="14.28515625" style="2" customWidth="1"/>
    <col min="8721" max="8721" width="14" style="2" bestFit="1" customWidth="1"/>
    <col min="8722" max="8722" width="11.5703125" style="2" bestFit="1" customWidth="1"/>
    <col min="8723" max="8723" width="13.85546875" style="2" bestFit="1" customWidth="1"/>
    <col min="8724" max="8961" width="11.42578125" style="2"/>
    <col min="8962" max="8962" width="20.28515625" style="2" customWidth="1"/>
    <col min="8963" max="8963" width="21.7109375" style="2" customWidth="1"/>
    <col min="8964" max="8964" width="22" style="2" customWidth="1"/>
    <col min="8965" max="8965" width="17.140625" style="2" customWidth="1"/>
    <col min="8966" max="8966" width="21.42578125" style="2" customWidth="1"/>
    <col min="8967" max="8967" width="19.5703125" style="2" customWidth="1"/>
    <col min="8968" max="8968" width="14.140625" style="2" bestFit="1" customWidth="1"/>
    <col min="8969" max="8969" width="8.42578125" style="2" customWidth="1"/>
    <col min="8970" max="8970" width="14.42578125" style="2" bestFit="1" customWidth="1"/>
    <col min="8971" max="8971" width="4.42578125" style="2" customWidth="1"/>
    <col min="8972" max="8972" width="14.42578125" style="2" bestFit="1" customWidth="1"/>
    <col min="8973" max="8973" width="13.42578125" style="2" customWidth="1"/>
    <col min="8974" max="8974" width="14.7109375" style="2" bestFit="1" customWidth="1"/>
    <col min="8975" max="8975" width="14.28515625" style="2" bestFit="1" customWidth="1"/>
    <col min="8976" max="8976" width="14.28515625" style="2" customWidth="1"/>
    <col min="8977" max="8977" width="14" style="2" bestFit="1" customWidth="1"/>
    <col min="8978" max="8978" width="11.5703125" style="2" bestFit="1" customWidth="1"/>
    <col min="8979" max="8979" width="13.85546875" style="2" bestFit="1" customWidth="1"/>
    <col min="8980" max="9217" width="11.42578125" style="2"/>
    <col min="9218" max="9218" width="20.28515625" style="2" customWidth="1"/>
    <col min="9219" max="9219" width="21.7109375" style="2" customWidth="1"/>
    <col min="9220" max="9220" width="22" style="2" customWidth="1"/>
    <col min="9221" max="9221" width="17.140625" style="2" customWidth="1"/>
    <col min="9222" max="9222" width="21.42578125" style="2" customWidth="1"/>
    <col min="9223" max="9223" width="19.5703125" style="2" customWidth="1"/>
    <col min="9224" max="9224" width="14.140625" style="2" bestFit="1" customWidth="1"/>
    <col min="9225" max="9225" width="8.42578125" style="2" customWidth="1"/>
    <col min="9226" max="9226" width="14.42578125" style="2" bestFit="1" customWidth="1"/>
    <col min="9227" max="9227" width="4.42578125" style="2" customWidth="1"/>
    <col min="9228" max="9228" width="14.42578125" style="2" bestFit="1" customWidth="1"/>
    <col min="9229" max="9229" width="13.42578125" style="2" customWidth="1"/>
    <col min="9230" max="9230" width="14.7109375" style="2" bestFit="1" customWidth="1"/>
    <col min="9231" max="9231" width="14.28515625" style="2" bestFit="1" customWidth="1"/>
    <col min="9232" max="9232" width="14.28515625" style="2" customWidth="1"/>
    <col min="9233" max="9233" width="14" style="2" bestFit="1" customWidth="1"/>
    <col min="9234" max="9234" width="11.5703125" style="2" bestFit="1" customWidth="1"/>
    <col min="9235" max="9235" width="13.85546875" style="2" bestFit="1" customWidth="1"/>
    <col min="9236" max="9473" width="11.42578125" style="2"/>
    <col min="9474" max="9474" width="20.28515625" style="2" customWidth="1"/>
    <col min="9475" max="9475" width="21.7109375" style="2" customWidth="1"/>
    <col min="9476" max="9476" width="22" style="2" customWidth="1"/>
    <col min="9477" max="9477" width="17.140625" style="2" customWidth="1"/>
    <col min="9478" max="9478" width="21.42578125" style="2" customWidth="1"/>
    <col min="9479" max="9479" width="19.5703125" style="2" customWidth="1"/>
    <col min="9480" max="9480" width="14.140625" style="2" bestFit="1" customWidth="1"/>
    <col min="9481" max="9481" width="8.42578125" style="2" customWidth="1"/>
    <col min="9482" max="9482" width="14.42578125" style="2" bestFit="1" customWidth="1"/>
    <col min="9483" max="9483" width="4.42578125" style="2" customWidth="1"/>
    <col min="9484" max="9484" width="14.42578125" style="2" bestFit="1" customWidth="1"/>
    <col min="9485" max="9485" width="13.42578125" style="2" customWidth="1"/>
    <col min="9486" max="9486" width="14.7109375" style="2" bestFit="1" customWidth="1"/>
    <col min="9487" max="9487" width="14.28515625" style="2" bestFit="1" customWidth="1"/>
    <col min="9488" max="9488" width="14.28515625" style="2" customWidth="1"/>
    <col min="9489" max="9489" width="14" style="2" bestFit="1" customWidth="1"/>
    <col min="9490" max="9490" width="11.5703125" style="2" bestFit="1" customWidth="1"/>
    <col min="9491" max="9491" width="13.85546875" style="2" bestFit="1" customWidth="1"/>
    <col min="9492" max="9729" width="11.42578125" style="2"/>
    <col min="9730" max="9730" width="20.28515625" style="2" customWidth="1"/>
    <col min="9731" max="9731" width="21.7109375" style="2" customWidth="1"/>
    <col min="9732" max="9732" width="22" style="2" customWidth="1"/>
    <col min="9733" max="9733" width="17.140625" style="2" customWidth="1"/>
    <col min="9734" max="9734" width="21.42578125" style="2" customWidth="1"/>
    <col min="9735" max="9735" width="19.5703125" style="2" customWidth="1"/>
    <col min="9736" max="9736" width="14.140625" style="2" bestFit="1" customWidth="1"/>
    <col min="9737" max="9737" width="8.42578125" style="2" customWidth="1"/>
    <col min="9738" max="9738" width="14.42578125" style="2" bestFit="1" customWidth="1"/>
    <col min="9739" max="9739" width="4.42578125" style="2" customWidth="1"/>
    <col min="9740" max="9740" width="14.42578125" style="2" bestFit="1" customWidth="1"/>
    <col min="9741" max="9741" width="13.42578125" style="2" customWidth="1"/>
    <col min="9742" max="9742" width="14.7109375" style="2" bestFit="1" customWidth="1"/>
    <col min="9743" max="9743" width="14.28515625" style="2" bestFit="1" customWidth="1"/>
    <col min="9744" max="9744" width="14.28515625" style="2" customWidth="1"/>
    <col min="9745" max="9745" width="14" style="2" bestFit="1" customWidth="1"/>
    <col min="9746" max="9746" width="11.5703125" style="2" bestFit="1" customWidth="1"/>
    <col min="9747" max="9747" width="13.85546875" style="2" bestFit="1" customWidth="1"/>
    <col min="9748" max="9985" width="11.42578125" style="2"/>
    <col min="9986" max="9986" width="20.28515625" style="2" customWidth="1"/>
    <col min="9987" max="9987" width="21.7109375" style="2" customWidth="1"/>
    <col min="9988" max="9988" width="22" style="2" customWidth="1"/>
    <col min="9989" max="9989" width="17.140625" style="2" customWidth="1"/>
    <col min="9990" max="9990" width="21.42578125" style="2" customWidth="1"/>
    <col min="9991" max="9991" width="19.5703125" style="2" customWidth="1"/>
    <col min="9992" max="9992" width="14.140625" style="2" bestFit="1" customWidth="1"/>
    <col min="9993" max="9993" width="8.42578125" style="2" customWidth="1"/>
    <col min="9994" max="9994" width="14.42578125" style="2" bestFit="1" customWidth="1"/>
    <col min="9995" max="9995" width="4.42578125" style="2" customWidth="1"/>
    <col min="9996" max="9996" width="14.42578125" style="2" bestFit="1" customWidth="1"/>
    <col min="9997" max="9997" width="13.42578125" style="2" customWidth="1"/>
    <col min="9998" max="9998" width="14.7109375" style="2" bestFit="1" customWidth="1"/>
    <col min="9999" max="9999" width="14.28515625" style="2" bestFit="1" customWidth="1"/>
    <col min="10000" max="10000" width="14.28515625" style="2" customWidth="1"/>
    <col min="10001" max="10001" width="14" style="2" bestFit="1" customWidth="1"/>
    <col min="10002" max="10002" width="11.5703125" style="2" bestFit="1" customWidth="1"/>
    <col min="10003" max="10003" width="13.85546875" style="2" bestFit="1" customWidth="1"/>
    <col min="10004" max="10241" width="11.42578125" style="2"/>
    <col min="10242" max="10242" width="20.28515625" style="2" customWidth="1"/>
    <col min="10243" max="10243" width="21.7109375" style="2" customWidth="1"/>
    <col min="10244" max="10244" width="22" style="2" customWidth="1"/>
    <col min="10245" max="10245" width="17.140625" style="2" customWidth="1"/>
    <col min="10246" max="10246" width="21.42578125" style="2" customWidth="1"/>
    <col min="10247" max="10247" width="19.5703125" style="2" customWidth="1"/>
    <col min="10248" max="10248" width="14.140625" style="2" bestFit="1" customWidth="1"/>
    <col min="10249" max="10249" width="8.42578125" style="2" customWidth="1"/>
    <col min="10250" max="10250" width="14.42578125" style="2" bestFit="1" customWidth="1"/>
    <col min="10251" max="10251" width="4.42578125" style="2" customWidth="1"/>
    <col min="10252" max="10252" width="14.42578125" style="2" bestFit="1" customWidth="1"/>
    <col min="10253" max="10253" width="13.42578125" style="2" customWidth="1"/>
    <col min="10254" max="10254" width="14.7109375" style="2" bestFit="1" customWidth="1"/>
    <col min="10255" max="10255" width="14.28515625" style="2" bestFit="1" customWidth="1"/>
    <col min="10256" max="10256" width="14.28515625" style="2" customWidth="1"/>
    <col min="10257" max="10257" width="14" style="2" bestFit="1" customWidth="1"/>
    <col min="10258" max="10258" width="11.5703125" style="2" bestFit="1" customWidth="1"/>
    <col min="10259" max="10259" width="13.85546875" style="2" bestFit="1" customWidth="1"/>
    <col min="10260" max="10497" width="11.42578125" style="2"/>
    <col min="10498" max="10498" width="20.28515625" style="2" customWidth="1"/>
    <col min="10499" max="10499" width="21.7109375" style="2" customWidth="1"/>
    <col min="10500" max="10500" width="22" style="2" customWidth="1"/>
    <col min="10501" max="10501" width="17.140625" style="2" customWidth="1"/>
    <col min="10502" max="10502" width="21.42578125" style="2" customWidth="1"/>
    <col min="10503" max="10503" width="19.5703125" style="2" customWidth="1"/>
    <col min="10504" max="10504" width="14.140625" style="2" bestFit="1" customWidth="1"/>
    <col min="10505" max="10505" width="8.42578125" style="2" customWidth="1"/>
    <col min="10506" max="10506" width="14.42578125" style="2" bestFit="1" customWidth="1"/>
    <col min="10507" max="10507" width="4.42578125" style="2" customWidth="1"/>
    <col min="10508" max="10508" width="14.42578125" style="2" bestFit="1" customWidth="1"/>
    <col min="10509" max="10509" width="13.42578125" style="2" customWidth="1"/>
    <col min="10510" max="10510" width="14.7109375" style="2" bestFit="1" customWidth="1"/>
    <col min="10511" max="10511" width="14.28515625" style="2" bestFit="1" customWidth="1"/>
    <col min="10512" max="10512" width="14.28515625" style="2" customWidth="1"/>
    <col min="10513" max="10513" width="14" style="2" bestFit="1" customWidth="1"/>
    <col min="10514" max="10514" width="11.5703125" style="2" bestFit="1" customWidth="1"/>
    <col min="10515" max="10515" width="13.85546875" style="2" bestFit="1" customWidth="1"/>
    <col min="10516" max="10753" width="11.42578125" style="2"/>
    <col min="10754" max="10754" width="20.28515625" style="2" customWidth="1"/>
    <col min="10755" max="10755" width="21.7109375" style="2" customWidth="1"/>
    <col min="10756" max="10756" width="22" style="2" customWidth="1"/>
    <col min="10757" max="10757" width="17.140625" style="2" customWidth="1"/>
    <col min="10758" max="10758" width="21.42578125" style="2" customWidth="1"/>
    <col min="10759" max="10759" width="19.5703125" style="2" customWidth="1"/>
    <col min="10760" max="10760" width="14.140625" style="2" bestFit="1" customWidth="1"/>
    <col min="10761" max="10761" width="8.42578125" style="2" customWidth="1"/>
    <col min="10762" max="10762" width="14.42578125" style="2" bestFit="1" customWidth="1"/>
    <col min="10763" max="10763" width="4.42578125" style="2" customWidth="1"/>
    <col min="10764" max="10764" width="14.42578125" style="2" bestFit="1" customWidth="1"/>
    <col min="10765" max="10765" width="13.42578125" style="2" customWidth="1"/>
    <col min="10766" max="10766" width="14.7109375" style="2" bestFit="1" customWidth="1"/>
    <col min="10767" max="10767" width="14.28515625" style="2" bestFit="1" customWidth="1"/>
    <col min="10768" max="10768" width="14.28515625" style="2" customWidth="1"/>
    <col min="10769" max="10769" width="14" style="2" bestFit="1" customWidth="1"/>
    <col min="10770" max="10770" width="11.5703125" style="2" bestFit="1" customWidth="1"/>
    <col min="10771" max="10771" width="13.85546875" style="2" bestFit="1" customWidth="1"/>
    <col min="10772" max="11009" width="11.42578125" style="2"/>
    <col min="11010" max="11010" width="20.28515625" style="2" customWidth="1"/>
    <col min="11011" max="11011" width="21.7109375" style="2" customWidth="1"/>
    <col min="11012" max="11012" width="22" style="2" customWidth="1"/>
    <col min="11013" max="11013" width="17.140625" style="2" customWidth="1"/>
    <col min="11014" max="11014" width="21.42578125" style="2" customWidth="1"/>
    <col min="11015" max="11015" width="19.5703125" style="2" customWidth="1"/>
    <col min="11016" max="11016" width="14.140625" style="2" bestFit="1" customWidth="1"/>
    <col min="11017" max="11017" width="8.42578125" style="2" customWidth="1"/>
    <col min="11018" max="11018" width="14.42578125" style="2" bestFit="1" customWidth="1"/>
    <col min="11019" max="11019" width="4.42578125" style="2" customWidth="1"/>
    <col min="11020" max="11020" width="14.42578125" style="2" bestFit="1" customWidth="1"/>
    <col min="11021" max="11021" width="13.42578125" style="2" customWidth="1"/>
    <col min="11022" max="11022" width="14.7109375" style="2" bestFit="1" customWidth="1"/>
    <col min="11023" max="11023" width="14.28515625" style="2" bestFit="1" customWidth="1"/>
    <col min="11024" max="11024" width="14.28515625" style="2" customWidth="1"/>
    <col min="11025" max="11025" width="14" style="2" bestFit="1" customWidth="1"/>
    <col min="11026" max="11026" width="11.5703125" style="2" bestFit="1" customWidth="1"/>
    <col min="11027" max="11027" width="13.85546875" style="2" bestFit="1" customWidth="1"/>
    <col min="11028" max="11265" width="11.42578125" style="2"/>
    <col min="11266" max="11266" width="20.28515625" style="2" customWidth="1"/>
    <col min="11267" max="11267" width="21.7109375" style="2" customWidth="1"/>
    <col min="11268" max="11268" width="22" style="2" customWidth="1"/>
    <col min="11269" max="11269" width="17.140625" style="2" customWidth="1"/>
    <col min="11270" max="11270" width="21.42578125" style="2" customWidth="1"/>
    <col min="11271" max="11271" width="19.5703125" style="2" customWidth="1"/>
    <col min="11272" max="11272" width="14.140625" style="2" bestFit="1" customWidth="1"/>
    <col min="11273" max="11273" width="8.42578125" style="2" customWidth="1"/>
    <col min="11274" max="11274" width="14.42578125" style="2" bestFit="1" customWidth="1"/>
    <col min="11275" max="11275" width="4.42578125" style="2" customWidth="1"/>
    <col min="11276" max="11276" width="14.42578125" style="2" bestFit="1" customWidth="1"/>
    <col min="11277" max="11277" width="13.42578125" style="2" customWidth="1"/>
    <col min="11278" max="11278" width="14.7109375" style="2" bestFit="1" customWidth="1"/>
    <col min="11279" max="11279" width="14.28515625" style="2" bestFit="1" customWidth="1"/>
    <col min="11280" max="11280" width="14.28515625" style="2" customWidth="1"/>
    <col min="11281" max="11281" width="14" style="2" bestFit="1" customWidth="1"/>
    <col min="11282" max="11282" width="11.5703125" style="2" bestFit="1" customWidth="1"/>
    <col min="11283" max="11283" width="13.85546875" style="2" bestFit="1" customWidth="1"/>
    <col min="11284" max="11521" width="11.42578125" style="2"/>
    <col min="11522" max="11522" width="20.28515625" style="2" customWidth="1"/>
    <col min="11523" max="11523" width="21.7109375" style="2" customWidth="1"/>
    <col min="11524" max="11524" width="22" style="2" customWidth="1"/>
    <col min="11525" max="11525" width="17.140625" style="2" customWidth="1"/>
    <col min="11526" max="11526" width="21.42578125" style="2" customWidth="1"/>
    <col min="11527" max="11527" width="19.5703125" style="2" customWidth="1"/>
    <col min="11528" max="11528" width="14.140625" style="2" bestFit="1" customWidth="1"/>
    <col min="11529" max="11529" width="8.42578125" style="2" customWidth="1"/>
    <col min="11530" max="11530" width="14.42578125" style="2" bestFit="1" customWidth="1"/>
    <col min="11531" max="11531" width="4.42578125" style="2" customWidth="1"/>
    <col min="11532" max="11532" width="14.42578125" style="2" bestFit="1" customWidth="1"/>
    <col min="11533" max="11533" width="13.42578125" style="2" customWidth="1"/>
    <col min="11534" max="11534" width="14.7109375" style="2" bestFit="1" customWidth="1"/>
    <col min="11535" max="11535" width="14.28515625" style="2" bestFit="1" customWidth="1"/>
    <col min="11536" max="11536" width="14.28515625" style="2" customWidth="1"/>
    <col min="11537" max="11537" width="14" style="2" bestFit="1" customWidth="1"/>
    <col min="11538" max="11538" width="11.5703125" style="2" bestFit="1" customWidth="1"/>
    <col min="11539" max="11539" width="13.85546875" style="2" bestFit="1" customWidth="1"/>
    <col min="11540" max="11777" width="11.42578125" style="2"/>
    <col min="11778" max="11778" width="20.28515625" style="2" customWidth="1"/>
    <col min="11779" max="11779" width="21.7109375" style="2" customWidth="1"/>
    <col min="11780" max="11780" width="22" style="2" customWidth="1"/>
    <col min="11781" max="11781" width="17.140625" style="2" customWidth="1"/>
    <col min="11782" max="11782" width="21.42578125" style="2" customWidth="1"/>
    <col min="11783" max="11783" width="19.5703125" style="2" customWidth="1"/>
    <col min="11784" max="11784" width="14.140625" style="2" bestFit="1" customWidth="1"/>
    <col min="11785" max="11785" width="8.42578125" style="2" customWidth="1"/>
    <col min="11786" max="11786" width="14.42578125" style="2" bestFit="1" customWidth="1"/>
    <col min="11787" max="11787" width="4.42578125" style="2" customWidth="1"/>
    <col min="11788" max="11788" width="14.42578125" style="2" bestFit="1" customWidth="1"/>
    <col min="11789" max="11789" width="13.42578125" style="2" customWidth="1"/>
    <col min="11790" max="11790" width="14.7109375" style="2" bestFit="1" customWidth="1"/>
    <col min="11791" max="11791" width="14.28515625" style="2" bestFit="1" customWidth="1"/>
    <col min="11792" max="11792" width="14.28515625" style="2" customWidth="1"/>
    <col min="11793" max="11793" width="14" style="2" bestFit="1" customWidth="1"/>
    <col min="11794" max="11794" width="11.5703125" style="2" bestFit="1" customWidth="1"/>
    <col min="11795" max="11795" width="13.85546875" style="2" bestFit="1" customWidth="1"/>
    <col min="11796" max="12033" width="11.42578125" style="2"/>
    <col min="12034" max="12034" width="20.28515625" style="2" customWidth="1"/>
    <col min="12035" max="12035" width="21.7109375" style="2" customWidth="1"/>
    <col min="12036" max="12036" width="22" style="2" customWidth="1"/>
    <col min="12037" max="12037" width="17.140625" style="2" customWidth="1"/>
    <col min="12038" max="12038" width="21.42578125" style="2" customWidth="1"/>
    <col min="12039" max="12039" width="19.5703125" style="2" customWidth="1"/>
    <col min="12040" max="12040" width="14.140625" style="2" bestFit="1" customWidth="1"/>
    <col min="12041" max="12041" width="8.42578125" style="2" customWidth="1"/>
    <col min="12042" max="12042" width="14.42578125" style="2" bestFit="1" customWidth="1"/>
    <col min="12043" max="12043" width="4.42578125" style="2" customWidth="1"/>
    <col min="12044" max="12044" width="14.42578125" style="2" bestFit="1" customWidth="1"/>
    <col min="12045" max="12045" width="13.42578125" style="2" customWidth="1"/>
    <col min="12046" max="12046" width="14.7109375" style="2" bestFit="1" customWidth="1"/>
    <col min="12047" max="12047" width="14.28515625" style="2" bestFit="1" customWidth="1"/>
    <col min="12048" max="12048" width="14.28515625" style="2" customWidth="1"/>
    <col min="12049" max="12049" width="14" style="2" bestFit="1" customWidth="1"/>
    <col min="12050" max="12050" width="11.5703125" style="2" bestFit="1" customWidth="1"/>
    <col min="12051" max="12051" width="13.85546875" style="2" bestFit="1" customWidth="1"/>
    <col min="12052" max="12289" width="11.42578125" style="2"/>
    <col min="12290" max="12290" width="20.28515625" style="2" customWidth="1"/>
    <col min="12291" max="12291" width="21.7109375" style="2" customWidth="1"/>
    <col min="12292" max="12292" width="22" style="2" customWidth="1"/>
    <col min="12293" max="12293" width="17.140625" style="2" customWidth="1"/>
    <col min="12294" max="12294" width="21.42578125" style="2" customWidth="1"/>
    <col min="12295" max="12295" width="19.5703125" style="2" customWidth="1"/>
    <col min="12296" max="12296" width="14.140625" style="2" bestFit="1" customWidth="1"/>
    <col min="12297" max="12297" width="8.42578125" style="2" customWidth="1"/>
    <col min="12298" max="12298" width="14.42578125" style="2" bestFit="1" customWidth="1"/>
    <col min="12299" max="12299" width="4.42578125" style="2" customWidth="1"/>
    <col min="12300" max="12300" width="14.42578125" style="2" bestFit="1" customWidth="1"/>
    <col min="12301" max="12301" width="13.42578125" style="2" customWidth="1"/>
    <col min="12302" max="12302" width="14.7109375" style="2" bestFit="1" customWidth="1"/>
    <col min="12303" max="12303" width="14.28515625" style="2" bestFit="1" customWidth="1"/>
    <col min="12304" max="12304" width="14.28515625" style="2" customWidth="1"/>
    <col min="12305" max="12305" width="14" style="2" bestFit="1" customWidth="1"/>
    <col min="12306" max="12306" width="11.5703125" style="2" bestFit="1" customWidth="1"/>
    <col min="12307" max="12307" width="13.85546875" style="2" bestFit="1" customWidth="1"/>
    <col min="12308" max="12545" width="11.42578125" style="2"/>
    <col min="12546" max="12546" width="20.28515625" style="2" customWidth="1"/>
    <col min="12547" max="12547" width="21.7109375" style="2" customWidth="1"/>
    <col min="12548" max="12548" width="22" style="2" customWidth="1"/>
    <col min="12549" max="12549" width="17.140625" style="2" customWidth="1"/>
    <col min="12550" max="12550" width="21.42578125" style="2" customWidth="1"/>
    <col min="12551" max="12551" width="19.5703125" style="2" customWidth="1"/>
    <col min="12552" max="12552" width="14.140625" style="2" bestFit="1" customWidth="1"/>
    <col min="12553" max="12553" width="8.42578125" style="2" customWidth="1"/>
    <col min="12554" max="12554" width="14.42578125" style="2" bestFit="1" customWidth="1"/>
    <col min="12555" max="12555" width="4.42578125" style="2" customWidth="1"/>
    <col min="12556" max="12556" width="14.42578125" style="2" bestFit="1" customWidth="1"/>
    <col min="12557" max="12557" width="13.42578125" style="2" customWidth="1"/>
    <col min="12558" max="12558" width="14.7109375" style="2" bestFit="1" customWidth="1"/>
    <col min="12559" max="12559" width="14.28515625" style="2" bestFit="1" customWidth="1"/>
    <col min="12560" max="12560" width="14.28515625" style="2" customWidth="1"/>
    <col min="12561" max="12561" width="14" style="2" bestFit="1" customWidth="1"/>
    <col min="12562" max="12562" width="11.5703125" style="2" bestFit="1" customWidth="1"/>
    <col min="12563" max="12563" width="13.85546875" style="2" bestFit="1" customWidth="1"/>
    <col min="12564" max="12801" width="11.42578125" style="2"/>
    <col min="12802" max="12802" width="20.28515625" style="2" customWidth="1"/>
    <col min="12803" max="12803" width="21.7109375" style="2" customWidth="1"/>
    <col min="12804" max="12804" width="22" style="2" customWidth="1"/>
    <col min="12805" max="12805" width="17.140625" style="2" customWidth="1"/>
    <col min="12806" max="12806" width="21.42578125" style="2" customWidth="1"/>
    <col min="12807" max="12807" width="19.5703125" style="2" customWidth="1"/>
    <col min="12808" max="12808" width="14.140625" style="2" bestFit="1" customWidth="1"/>
    <col min="12809" max="12809" width="8.42578125" style="2" customWidth="1"/>
    <col min="12810" max="12810" width="14.42578125" style="2" bestFit="1" customWidth="1"/>
    <col min="12811" max="12811" width="4.42578125" style="2" customWidth="1"/>
    <col min="12812" max="12812" width="14.42578125" style="2" bestFit="1" customWidth="1"/>
    <col min="12813" max="12813" width="13.42578125" style="2" customWidth="1"/>
    <col min="12814" max="12814" width="14.7109375" style="2" bestFit="1" customWidth="1"/>
    <col min="12815" max="12815" width="14.28515625" style="2" bestFit="1" customWidth="1"/>
    <col min="12816" max="12816" width="14.28515625" style="2" customWidth="1"/>
    <col min="12817" max="12817" width="14" style="2" bestFit="1" customWidth="1"/>
    <col min="12818" max="12818" width="11.5703125" style="2" bestFit="1" customWidth="1"/>
    <col min="12819" max="12819" width="13.85546875" style="2" bestFit="1" customWidth="1"/>
    <col min="12820" max="13057" width="11.42578125" style="2"/>
    <col min="13058" max="13058" width="20.28515625" style="2" customWidth="1"/>
    <col min="13059" max="13059" width="21.7109375" style="2" customWidth="1"/>
    <col min="13060" max="13060" width="22" style="2" customWidth="1"/>
    <col min="13061" max="13061" width="17.140625" style="2" customWidth="1"/>
    <col min="13062" max="13062" width="21.42578125" style="2" customWidth="1"/>
    <col min="13063" max="13063" width="19.5703125" style="2" customWidth="1"/>
    <col min="13064" max="13064" width="14.140625" style="2" bestFit="1" customWidth="1"/>
    <col min="13065" max="13065" width="8.42578125" style="2" customWidth="1"/>
    <col min="13066" max="13066" width="14.42578125" style="2" bestFit="1" customWidth="1"/>
    <col min="13067" max="13067" width="4.42578125" style="2" customWidth="1"/>
    <col min="13068" max="13068" width="14.42578125" style="2" bestFit="1" customWidth="1"/>
    <col min="13069" max="13069" width="13.42578125" style="2" customWidth="1"/>
    <col min="13070" max="13070" width="14.7109375" style="2" bestFit="1" customWidth="1"/>
    <col min="13071" max="13071" width="14.28515625" style="2" bestFit="1" customWidth="1"/>
    <col min="13072" max="13072" width="14.28515625" style="2" customWidth="1"/>
    <col min="13073" max="13073" width="14" style="2" bestFit="1" customWidth="1"/>
    <col min="13074" max="13074" width="11.5703125" style="2" bestFit="1" customWidth="1"/>
    <col min="13075" max="13075" width="13.85546875" style="2" bestFit="1" customWidth="1"/>
    <col min="13076" max="13313" width="11.42578125" style="2"/>
    <col min="13314" max="13314" width="20.28515625" style="2" customWidth="1"/>
    <col min="13315" max="13315" width="21.7109375" style="2" customWidth="1"/>
    <col min="13316" max="13316" width="22" style="2" customWidth="1"/>
    <col min="13317" max="13317" width="17.140625" style="2" customWidth="1"/>
    <col min="13318" max="13318" width="21.42578125" style="2" customWidth="1"/>
    <col min="13319" max="13319" width="19.5703125" style="2" customWidth="1"/>
    <col min="13320" max="13320" width="14.140625" style="2" bestFit="1" customWidth="1"/>
    <col min="13321" max="13321" width="8.42578125" style="2" customWidth="1"/>
    <col min="13322" max="13322" width="14.42578125" style="2" bestFit="1" customWidth="1"/>
    <col min="13323" max="13323" width="4.42578125" style="2" customWidth="1"/>
    <col min="13324" max="13324" width="14.42578125" style="2" bestFit="1" customWidth="1"/>
    <col min="13325" max="13325" width="13.42578125" style="2" customWidth="1"/>
    <col min="13326" max="13326" width="14.7109375" style="2" bestFit="1" customWidth="1"/>
    <col min="13327" max="13327" width="14.28515625" style="2" bestFit="1" customWidth="1"/>
    <col min="13328" max="13328" width="14.28515625" style="2" customWidth="1"/>
    <col min="13329" max="13329" width="14" style="2" bestFit="1" customWidth="1"/>
    <col min="13330" max="13330" width="11.5703125" style="2" bestFit="1" customWidth="1"/>
    <col min="13331" max="13331" width="13.85546875" style="2" bestFit="1" customWidth="1"/>
    <col min="13332" max="13569" width="11.42578125" style="2"/>
    <col min="13570" max="13570" width="20.28515625" style="2" customWidth="1"/>
    <col min="13571" max="13571" width="21.7109375" style="2" customWidth="1"/>
    <col min="13572" max="13572" width="22" style="2" customWidth="1"/>
    <col min="13573" max="13573" width="17.140625" style="2" customWidth="1"/>
    <col min="13574" max="13574" width="21.42578125" style="2" customWidth="1"/>
    <col min="13575" max="13575" width="19.5703125" style="2" customWidth="1"/>
    <col min="13576" max="13576" width="14.140625" style="2" bestFit="1" customWidth="1"/>
    <col min="13577" max="13577" width="8.42578125" style="2" customWidth="1"/>
    <col min="13578" max="13578" width="14.42578125" style="2" bestFit="1" customWidth="1"/>
    <col min="13579" max="13579" width="4.42578125" style="2" customWidth="1"/>
    <col min="13580" max="13580" width="14.42578125" style="2" bestFit="1" customWidth="1"/>
    <col min="13581" max="13581" width="13.42578125" style="2" customWidth="1"/>
    <col min="13582" max="13582" width="14.7109375" style="2" bestFit="1" customWidth="1"/>
    <col min="13583" max="13583" width="14.28515625" style="2" bestFit="1" customWidth="1"/>
    <col min="13584" max="13584" width="14.28515625" style="2" customWidth="1"/>
    <col min="13585" max="13585" width="14" style="2" bestFit="1" customWidth="1"/>
    <col min="13586" max="13586" width="11.5703125" style="2" bestFit="1" customWidth="1"/>
    <col min="13587" max="13587" width="13.85546875" style="2" bestFit="1" customWidth="1"/>
    <col min="13588" max="13825" width="11.42578125" style="2"/>
    <col min="13826" max="13826" width="20.28515625" style="2" customWidth="1"/>
    <col min="13827" max="13827" width="21.7109375" style="2" customWidth="1"/>
    <col min="13828" max="13828" width="22" style="2" customWidth="1"/>
    <col min="13829" max="13829" width="17.140625" style="2" customWidth="1"/>
    <col min="13830" max="13830" width="21.42578125" style="2" customWidth="1"/>
    <col min="13831" max="13831" width="19.5703125" style="2" customWidth="1"/>
    <col min="13832" max="13832" width="14.140625" style="2" bestFit="1" customWidth="1"/>
    <col min="13833" max="13833" width="8.42578125" style="2" customWidth="1"/>
    <col min="13834" max="13834" width="14.42578125" style="2" bestFit="1" customWidth="1"/>
    <col min="13835" max="13835" width="4.42578125" style="2" customWidth="1"/>
    <col min="13836" max="13836" width="14.42578125" style="2" bestFit="1" customWidth="1"/>
    <col min="13837" max="13837" width="13.42578125" style="2" customWidth="1"/>
    <col min="13838" max="13838" width="14.7109375" style="2" bestFit="1" customWidth="1"/>
    <col min="13839" max="13839" width="14.28515625" style="2" bestFit="1" customWidth="1"/>
    <col min="13840" max="13840" width="14.28515625" style="2" customWidth="1"/>
    <col min="13841" max="13841" width="14" style="2" bestFit="1" customWidth="1"/>
    <col min="13842" max="13842" width="11.5703125" style="2" bestFit="1" customWidth="1"/>
    <col min="13843" max="13843" width="13.85546875" style="2" bestFit="1" customWidth="1"/>
    <col min="13844" max="14081" width="11.42578125" style="2"/>
    <col min="14082" max="14082" width="20.28515625" style="2" customWidth="1"/>
    <col min="14083" max="14083" width="21.7109375" style="2" customWidth="1"/>
    <col min="14084" max="14084" width="22" style="2" customWidth="1"/>
    <col min="14085" max="14085" width="17.140625" style="2" customWidth="1"/>
    <col min="14086" max="14086" width="21.42578125" style="2" customWidth="1"/>
    <col min="14087" max="14087" width="19.5703125" style="2" customWidth="1"/>
    <col min="14088" max="14088" width="14.140625" style="2" bestFit="1" customWidth="1"/>
    <col min="14089" max="14089" width="8.42578125" style="2" customWidth="1"/>
    <col min="14090" max="14090" width="14.42578125" style="2" bestFit="1" customWidth="1"/>
    <col min="14091" max="14091" width="4.42578125" style="2" customWidth="1"/>
    <col min="14092" max="14092" width="14.42578125" style="2" bestFit="1" customWidth="1"/>
    <col min="14093" max="14093" width="13.42578125" style="2" customWidth="1"/>
    <col min="14094" max="14094" width="14.7109375" style="2" bestFit="1" customWidth="1"/>
    <col min="14095" max="14095" width="14.28515625" style="2" bestFit="1" customWidth="1"/>
    <col min="14096" max="14096" width="14.28515625" style="2" customWidth="1"/>
    <col min="14097" max="14097" width="14" style="2" bestFit="1" customWidth="1"/>
    <col min="14098" max="14098" width="11.5703125" style="2" bestFit="1" customWidth="1"/>
    <col min="14099" max="14099" width="13.85546875" style="2" bestFit="1" customWidth="1"/>
    <col min="14100" max="14337" width="11.42578125" style="2"/>
    <col min="14338" max="14338" width="20.28515625" style="2" customWidth="1"/>
    <col min="14339" max="14339" width="21.7109375" style="2" customWidth="1"/>
    <col min="14340" max="14340" width="22" style="2" customWidth="1"/>
    <col min="14341" max="14341" width="17.140625" style="2" customWidth="1"/>
    <col min="14342" max="14342" width="21.42578125" style="2" customWidth="1"/>
    <col min="14343" max="14343" width="19.5703125" style="2" customWidth="1"/>
    <col min="14344" max="14344" width="14.140625" style="2" bestFit="1" customWidth="1"/>
    <col min="14345" max="14345" width="8.42578125" style="2" customWidth="1"/>
    <col min="14346" max="14346" width="14.42578125" style="2" bestFit="1" customWidth="1"/>
    <col min="14347" max="14347" width="4.42578125" style="2" customWidth="1"/>
    <col min="14348" max="14348" width="14.42578125" style="2" bestFit="1" customWidth="1"/>
    <col min="14349" max="14349" width="13.42578125" style="2" customWidth="1"/>
    <col min="14350" max="14350" width="14.7109375" style="2" bestFit="1" customWidth="1"/>
    <col min="14351" max="14351" width="14.28515625" style="2" bestFit="1" customWidth="1"/>
    <col min="14352" max="14352" width="14.28515625" style="2" customWidth="1"/>
    <col min="14353" max="14353" width="14" style="2" bestFit="1" customWidth="1"/>
    <col min="14354" max="14354" width="11.5703125" style="2" bestFit="1" customWidth="1"/>
    <col min="14355" max="14355" width="13.85546875" style="2" bestFit="1" customWidth="1"/>
    <col min="14356" max="14593" width="11.42578125" style="2"/>
    <col min="14594" max="14594" width="20.28515625" style="2" customWidth="1"/>
    <col min="14595" max="14595" width="21.7109375" style="2" customWidth="1"/>
    <col min="14596" max="14596" width="22" style="2" customWidth="1"/>
    <col min="14597" max="14597" width="17.140625" style="2" customWidth="1"/>
    <col min="14598" max="14598" width="21.42578125" style="2" customWidth="1"/>
    <col min="14599" max="14599" width="19.5703125" style="2" customWidth="1"/>
    <col min="14600" max="14600" width="14.140625" style="2" bestFit="1" customWidth="1"/>
    <col min="14601" max="14601" width="8.42578125" style="2" customWidth="1"/>
    <col min="14602" max="14602" width="14.42578125" style="2" bestFit="1" customWidth="1"/>
    <col min="14603" max="14603" width="4.42578125" style="2" customWidth="1"/>
    <col min="14604" max="14604" width="14.42578125" style="2" bestFit="1" customWidth="1"/>
    <col min="14605" max="14605" width="13.42578125" style="2" customWidth="1"/>
    <col min="14606" max="14606" width="14.7109375" style="2" bestFit="1" customWidth="1"/>
    <col min="14607" max="14607" width="14.28515625" style="2" bestFit="1" customWidth="1"/>
    <col min="14608" max="14608" width="14.28515625" style="2" customWidth="1"/>
    <col min="14609" max="14609" width="14" style="2" bestFit="1" customWidth="1"/>
    <col min="14610" max="14610" width="11.5703125" style="2" bestFit="1" customWidth="1"/>
    <col min="14611" max="14611" width="13.85546875" style="2" bestFit="1" customWidth="1"/>
    <col min="14612" max="14849" width="11.42578125" style="2"/>
    <col min="14850" max="14850" width="20.28515625" style="2" customWidth="1"/>
    <col min="14851" max="14851" width="21.7109375" style="2" customWidth="1"/>
    <col min="14852" max="14852" width="22" style="2" customWidth="1"/>
    <col min="14853" max="14853" width="17.140625" style="2" customWidth="1"/>
    <col min="14854" max="14854" width="21.42578125" style="2" customWidth="1"/>
    <col min="14855" max="14855" width="19.5703125" style="2" customWidth="1"/>
    <col min="14856" max="14856" width="14.140625" style="2" bestFit="1" customWidth="1"/>
    <col min="14857" max="14857" width="8.42578125" style="2" customWidth="1"/>
    <col min="14858" max="14858" width="14.42578125" style="2" bestFit="1" customWidth="1"/>
    <col min="14859" max="14859" width="4.42578125" style="2" customWidth="1"/>
    <col min="14860" max="14860" width="14.42578125" style="2" bestFit="1" customWidth="1"/>
    <col min="14861" max="14861" width="13.42578125" style="2" customWidth="1"/>
    <col min="14862" max="14862" width="14.7109375" style="2" bestFit="1" customWidth="1"/>
    <col min="14863" max="14863" width="14.28515625" style="2" bestFit="1" customWidth="1"/>
    <col min="14864" max="14864" width="14.28515625" style="2" customWidth="1"/>
    <col min="14865" max="14865" width="14" style="2" bestFit="1" customWidth="1"/>
    <col min="14866" max="14866" width="11.5703125" style="2" bestFit="1" customWidth="1"/>
    <col min="14867" max="14867" width="13.85546875" style="2" bestFit="1" customWidth="1"/>
    <col min="14868" max="15105" width="11.42578125" style="2"/>
    <col min="15106" max="15106" width="20.28515625" style="2" customWidth="1"/>
    <col min="15107" max="15107" width="21.7109375" style="2" customWidth="1"/>
    <col min="15108" max="15108" width="22" style="2" customWidth="1"/>
    <col min="15109" max="15109" width="17.140625" style="2" customWidth="1"/>
    <col min="15110" max="15110" width="21.42578125" style="2" customWidth="1"/>
    <col min="15111" max="15111" width="19.5703125" style="2" customWidth="1"/>
    <col min="15112" max="15112" width="14.140625" style="2" bestFit="1" customWidth="1"/>
    <col min="15113" max="15113" width="8.42578125" style="2" customWidth="1"/>
    <col min="15114" max="15114" width="14.42578125" style="2" bestFit="1" customWidth="1"/>
    <col min="15115" max="15115" width="4.42578125" style="2" customWidth="1"/>
    <col min="15116" max="15116" width="14.42578125" style="2" bestFit="1" customWidth="1"/>
    <col min="15117" max="15117" width="13.42578125" style="2" customWidth="1"/>
    <col min="15118" max="15118" width="14.7109375" style="2" bestFit="1" customWidth="1"/>
    <col min="15119" max="15119" width="14.28515625" style="2" bestFit="1" customWidth="1"/>
    <col min="15120" max="15120" width="14.28515625" style="2" customWidth="1"/>
    <col min="15121" max="15121" width="14" style="2" bestFit="1" customWidth="1"/>
    <col min="15122" max="15122" width="11.5703125" style="2" bestFit="1" customWidth="1"/>
    <col min="15123" max="15123" width="13.85546875" style="2" bestFit="1" customWidth="1"/>
    <col min="15124" max="15361" width="11.42578125" style="2"/>
    <col min="15362" max="15362" width="20.28515625" style="2" customWidth="1"/>
    <col min="15363" max="15363" width="21.7109375" style="2" customWidth="1"/>
    <col min="15364" max="15364" width="22" style="2" customWidth="1"/>
    <col min="15365" max="15365" width="17.140625" style="2" customWidth="1"/>
    <col min="15366" max="15366" width="21.42578125" style="2" customWidth="1"/>
    <col min="15367" max="15367" width="19.5703125" style="2" customWidth="1"/>
    <col min="15368" max="15368" width="14.140625" style="2" bestFit="1" customWidth="1"/>
    <col min="15369" max="15369" width="8.42578125" style="2" customWidth="1"/>
    <col min="15370" max="15370" width="14.42578125" style="2" bestFit="1" customWidth="1"/>
    <col min="15371" max="15371" width="4.42578125" style="2" customWidth="1"/>
    <col min="15372" max="15372" width="14.42578125" style="2" bestFit="1" customWidth="1"/>
    <col min="15373" max="15373" width="13.42578125" style="2" customWidth="1"/>
    <col min="15374" max="15374" width="14.7109375" style="2" bestFit="1" customWidth="1"/>
    <col min="15375" max="15375" width="14.28515625" style="2" bestFit="1" customWidth="1"/>
    <col min="15376" max="15376" width="14.28515625" style="2" customWidth="1"/>
    <col min="15377" max="15377" width="14" style="2" bestFit="1" customWidth="1"/>
    <col min="15378" max="15378" width="11.5703125" style="2" bestFit="1" customWidth="1"/>
    <col min="15379" max="15379" width="13.85546875" style="2" bestFit="1" customWidth="1"/>
    <col min="15380" max="15617" width="11.42578125" style="2"/>
    <col min="15618" max="15618" width="20.28515625" style="2" customWidth="1"/>
    <col min="15619" max="15619" width="21.7109375" style="2" customWidth="1"/>
    <col min="15620" max="15620" width="22" style="2" customWidth="1"/>
    <col min="15621" max="15621" width="17.140625" style="2" customWidth="1"/>
    <col min="15622" max="15622" width="21.42578125" style="2" customWidth="1"/>
    <col min="15623" max="15623" width="19.5703125" style="2" customWidth="1"/>
    <col min="15624" max="15624" width="14.140625" style="2" bestFit="1" customWidth="1"/>
    <col min="15625" max="15625" width="8.42578125" style="2" customWidth="1"/>
    <col min="15626" max="15626" width="14.42578125" style="2" bestFit="1" customWidth="1"/>
    <col min="15627" max="15627" width="4.42578125" style="2" customWidth="1"/>
    <col min="15628" max="15628" width="14.42578125" style="2" bestFit="1" customWidth="1"/>
    <col min="15629" max="15629" width="13.42578125" style="2" customWidth="1"/>
    <col min="15630" max="15630" width="14.7109375" style="2" bestFit="1" customWidth="1"/>
    <col min="15631" max="15631" width="14.28515625" style="2" bestFit="1" customWidth="1"/>
    <col min="15632" max="15632" width="14.28515625" style="2" customWidth="1"/>
    <col min="15633" max="15633" width="14" style="2" bestFit="1" customWidth="1"/>
    <col min="15634" max="15634" width="11.5703125" style="2" bestFit="1" customWidth="1"/>
    <col min="15635" max="15635" width="13.85546875" style="2" bestFit="1" customWidth="1"/>
    <col min="15636" max="15873" width="11.42578125" style="2"/>
    <col min="15874" max="15874" width="20.28515625" style="2" customWidth="1"/>
    <col min="15875" max="15875" width="21.7109375" style="2" customWidth="1"/>
    <col min="15876" max="15876" width="22" style="2" customWidth="1"/>
    <col min="15877" max="15877" width="17.140625" style="2" customWidth="1"/>
    <col min="15878" max="15878" width="21.42578125" style="2" customWidth="1"/>
    <col min="15879" max="15879" width="19.5703125" style="2" customWidth="1"/>
    <col min="15880" max="15880" width="14.140625" style="2" bestFit="1" customWidth="1"/>
    <col min="15881" max="15881" width="8.42578125" style="2" customWidth="1"/>
    <col min="15882" max="15882" width="14.42578125" style="2" bestFit="1" customWidth="1"/>
    <col min="15883" max="15883" width="4.42578125" style="2" customWidth="1"/>
    <col min="15884" max="15884" width="14.42578125" style="2" bestFit="1" customWidth="1"/>
    <col min="15885" max="15885" width="13.42578125" style="2" customWidth="1"/>
    <col min="15886" max="15886" width="14.7109375" style="2" bestFit="1" customWidth="1"/>
    <col min="15887" max="15887" width="14.28515625" style="2" bestFit="1" customWidth="1"/>
    <col min="15888" max="15888" width="14.28515625" style="2" customWidth="1"/>
    <col min="15889" max="15889" width="14" style="2" bestFit="1" customWidth="1"/>
    <col min="15890" max="15890" width="11.5703125" style="2" bestFit="1" customWidth="1"/>
    <col min="15891" max="15891" width="13.85546875" style="2" bestFit="1" customWidth="1"/>
    <col min="15892" max="16129" width="11.42578125" style="2"/>
    <col min="16130" max="16130" width="20.28515625" style="2" customWidth="1"/>
    <col min="16131" max="16131" width="21.7109375" style="2" customWidth="1"/>
    <col min="16132" max="16132" width="22" style="2" customWidth="1"/>
    <col min="16133" max="16133" width="17.140625" style="2" customWidth="1"/>
    <col min="16134" max="16134" width="21.42578125" style="2" customWidth="1"/>
    <col min="16135" max="16135" width="19.5703125" style="2" customWidth="1"/>
    <col min="16136" max="16136" width="14.140625" style="2" bestFit="1" customWidth="1"/>
    <col min="16137" max="16137" width="8.42578125" style="2" customWidth="1"/>
    <col min="16138" max="16138" width="14.42578125" style="2" bestFit="1" customWidth="1"/>
    <col min="16139" max="16139" width="4.42578125" style="2" customWidth="1"/>
    <col min="16140" max="16140" width="14.42578125" style="2" bestFit="1" customWidth="1"/>
    <col min="16141" max="16141" width="13.42578125" style="2" customWidth="1"/>
    <col min="16142" max="16142" width="14.7109375" style="2" bestFit="1" customWidth="1"/>
    <col min="16143" max="16143" width="14.28515625" style="2" bestFit="1" customWidth="1"/>
    <col min="16144" max="16144" width="14.28515625" style="2" customWidth="1"/>
    <col min="16145" max="16145" width="14" style="2" bestFit="1" customWidth="1"/>
    <col min="16146" max="16146" width="11.5703125" style="2" bestFit="1" customWidth="1"/>
    <col min="16147" max="16147" width="13.85546875" style="2" bestFit="1" customWidth="1"/>
    <col min="16148" max="16384" width="11.42578125" style="2"/>
  </cols>
  <sheetData>
    <row r="1" spans="1:30" s="9" customFormat="1" ht="8.25" customHeight="1" thickBot="1" x14ac:dyDescent="0.25">
      <c r="B1" s="60"/>
      <c r="C1" s="61"/>
      <c r="D1" s="60"/>
      <c r="E1" s="62"/>
      <c r="F1" s="2"/>
      <c r="G1" s="2"/>
      <c r="H1" s="63"/>
      <c r="I1" s="63"/>
      <c r="J1" s="63"/>
      <c r="K1" s="63"/>
      <c r="L1" s="64"/>
      <c r="M1" s="65"/>
      <c r="N1" s="65"/>
      <c r="O1" s="6"/>
      <c r="P1" s="6"/>
      <c r="Q1" s="66"/>
      <c r="X1" s="67"/>
      <c r="Y1" s="67"/>
      <c r="Z1" s="67"/>
      <c r="AA1" s="67"/>
      <c r="AB1" s="67"/>
      <c r="AC1" s="67"/>
    </row>
    <row r="2" spans="1:30" ht="21.75" customHeight="1" thickBot="1" x14ac:dyDescent="0.25">
      <c r="A2" s="418" t="s">
        <v>131</v>
      </c>
      <c r="B2" s="419"/>
      <c r="C2" s="419"/>
      <c r="D2" s="419"/>
      <c r="E2" s="420"/>
      <c r="G2" s="68"/>
      <c r="H2" s="310" t="s">
        <v>15</v>
      </c>
      <c r="I2" s="70">
        <v>0.95</v>
      </c>
      <c r="J2" s="68"/>
      <c r="K2" s="71"/>
      <c r="L2" s="64"/>
      <c r="M2" s="72"/>
      <c r="N2" s="72"/>
      <c r="O2" s="6"/>
      <c r="P2" s="6"/>
      <c r="Q2" s="74"/>
      <c r="R2" s="389" t="s">
        <v>152</v>
      </c>
      <c r="S2" s="6"/>
      <c r="T2" s="341" t="s">
        <v>135</v>
      </c>
      <c r="U2" s="340" t="s">
        <v>133</v>
      </c>
      <c r="V2" s="339" t="s">
        <v>134</v>
      </c>
      <c r="W2" s="67"/>
      <c r="X2" s="8"/>
      <c r="Y2" s="8"/>
      <c r="Z2" s="8"/>
      <c r="AA2" s="8"/>
      <c r="AB2" s="8"/>
      <c r="AC2" s="8"/>
      <c r="AD2" s="8"/>
    </row>
    <row r="3" spans="1:30" ht="27.75" customHeight="1" thickBot="1" x14ac:dyDescent="0.25">
      <c r="A3" s="469" t="s">
        <v>151</v>
      </c>
      <c r="B3" s="470"/>
      <c r="C3" s="470"/>
      <c r="D3" s="470"/>
      <c r="E3" s="471"/>
      <c r="G3" s="75"/>
      <c r="K3" s="71"/>
      <c r="L3" s="64"/>
      <c r="M3" s="72"/>
      <c r="N3" s="72"/>
      <c r="O3" s="6"/>
      <c r="P3" s="6"/>
      <c r="Q3" s="74"/>
      <c r="R3" s="342" t="s">
        <v>11</v>
      </c>
      <c r="S3" s="343">
        <f>V3+U3+T3</f>
        <v>184.65434582505515</v>
      </c>
      <c r="T3" s="366">
        <f>J32</f>
        <v>0.37726017534586148</v>
      </c>
      <c r="U3" s="367">
        <f>J31</f>
        <v>1</v>
      </c>
      <c r="V3" s="368">
        <f>J30</f>
        <v>183.27708564970928</v>
      </c>
      <c r="W3" s="73"/>
      <c r="X3" s="8"/>
      <c r="Y3" s="8"/>
      <c r="Z3" s="8"/>
      <c r="AA3" s="8"/>
      <c r="AB3" s="8"/>
      <c r="AC3" s="8"/>
      <c r="AD3" s="8"/>
    </row>
    <row r="4" spans="1:30" ht="14.25" customHeight="1" x14ac:dyDescent="0.2">
      <c r="B4" s="81"/>
      <c r="C4" s="81"/>
      <c r="D4" s="65"/>
      <c r="E4" s="65"/>
      <c r="F4" s="7"/>
      <c r="G4" s="364" t="s">
        <v>125</v>
      </c>
      <c r="H4" s="312">
        <v>2</v>
      </c>
      <c r="I4" s="363" t="s">
        <v>124</v>
      </c>
      <c r="K4" s="76"/>
      <c r="L4" s="77"/>
      <c r="O4" s="6"/>
      <c r="P4" s="6"/>
      <c r="Q4" s="78"/>
      <c r="R4" s="73"/>
      <c r="S4" s="73"/>
      <c r="T4" s="73"/>
      <c r="U4" s="73"/>
      <c r="V4" s="73"/>
      <c r="W4" s="73"/>
      <c r="X4" s="8"/>
      <c r="Y4" s="79"/>
      <c r="Z4" s="80"/>
      <c r="AA4" s="8"/>
      <c r="AB4" s="8"/>
      <c r="AC4" s="8"/>
      <c r="AD4" s="8"/>
    </row>
    <row r="5" spans="1:30" x14ac:dyDescent="0.2">
      <c r="B5" s="81"/>
      <c r="C5" s="81"/>
      <c r="D5" s="82" t="s">
        <v>16</v>
      </c>
      <c r="E5" s="82" t="s">
        <v>17</v>
      </c>
      <c r="F5" s="83"/>
      <c r="K5" s="84"/>
      <c r="L5" s="85"/>
      <c r="M5" s="85"/>
      <c r="N5" s="85"/>
      <c r="O5" s="6"/>
      <c r="P5" s="6"/>
      <c r="Q5" s="73"/>
      <c r="R5" s="390" t="s">
        <v>153</v>
      </c>
      <c r="S5" s="338" t="str">
        <f>I4</f>
        <v>meses</v>
      </c>
      <c r="V5" s="4" t="s">
        <v>0</v>
      </c>
      <c r="W5" s="79"/>
      <c r="X5" s="8"/>
      <c r="Y5" s="79"/>
      <c r="Z5" s="80"/>
      <c r="AA5" s="8"/>
      <c r="AB5" s="8"/>
      <c r="AC5" s="8"/>
      <c r="AD5" s="8"/>
    </row>
    <row r="6" spans="1:30" x14ac:dyDescent="0.2">
      <c r="B6" s="411"/>
      <c r="C6" s="81"/>
      <c r="D6" s="87" t="s">
        <v>18</v>
      </c>
      <c r="E6" s="87" t="s">
        <v>19</v>
      </c>
      <c r="F6" s="88" t="s">
        <v>20</v>
      </c>
      <c r="G6" s="393"/>
      <c r="H6" s="394" t="s">
        <v>154</v>
      </c>
      <c r="I6" s="394" t="s">
        <v>0</v>
      </c>
      <c r="K6" s="84"/>
      <c r="L6" s="85"/>
      <c r="M6" s="85"/>
      <c r="N6" s="85"/>
      <c r="O6" s="6"/>
      <c r="P6" s="6"/>
      <c r="Q6" s="73"/>
      <c r="R6" s="13" t="s">
        <v>1</v>
      </c>
      <c r="S6" s="414">
        <f>S14</f>
        <v>7.4585852241501136E-3</v>
      </c>
      <c r="T6" s="14">
        <f>S6/S9</f>
        <v>3.7292926120750572E-3</v>
      </c>
      <c r="V6" s="344">
        <f>S6*30.43</f>
        <v>0.22696474837088795</v>
      </c>
      <c r="W6" s="79"/>
      <c r="X6" s="8"/>
      <c r="Y6" s="79"/>
      <c r="Z6" s="8"/>
      <c r="AA6" s="8"/>
      <c r="AB6" s="8"/>
      <c r="AC6" s="8"/>
      <c r="AD6" s="8"/>
    </row>
    <row r="7" spans="1:30" ht="12.75" customHeight="1" x14ac:dyDescent="0.2">
      <c r="B7" s="81"/>
      <c r="C7" s="391" t="s">
        <v>189</v>
      </c>
      <c r="D7" s="89">
        <v>26</v>
      </c>
      <c r="E7" s="90">
        <f>F7-D7</f>
        <v>12700</v>
      </c>
      <c r="F7" s="91">
        <v>12726</v>
      </c>
      <c r="G7" s="393"/>
      <c r="H7" s="408">
        <v>2140.1999999999998</v>
      </c>
      <c r="I7" s="408">
        <f>(H7/F7)*365.25</f>
        <v>61.426060820367752</v>
      </c>
      <c r="K7" s="84"/>
      <c r="L7" s="85"/>
      <c r="M7" s="85"/>
      <c r="N7" s="85"/>
      <c r="O7" s="6"/>
      <c r="P7" s="408"/>
      <c r="Q7" s="73"/>
      <c r="R7" s="15" t="s">
        <v>3</v>
      </c>
      <c r="S7" s="415">
        <f>R14</f>
        <v>5.4155237751480709E-3</v>
      </c>
      <c r="T7" s="16">
        <f>S7/S9</f>
        <v>2.7077618875740359E-3</v>
      </c>
      <c r="V7" s="345">
        <f>S7*30.43</f>
        <v>0.16479438847775579</v>
      </c>
      <c r="W7" s="79"/>
      <c r="X7" s="8"/>
      <c r="Y7" s="79"/>
      <c r="Z7" s="8"/>
      <c r="AA7" s="8"/>
      <c r="AB7" s="8"/>
      <c r="AC7" s="8"/>
      <c r="AD7" s="8"/>
    </row>
    <row r="8" spans="1:30" ht="12.75" customHeight="1" x14ac:dyDescent="0.2">
      <c r="B8" s="81"/>
      <c r="C8" s="391" t="s">
        <v>160</v>
      </c>
      <c r="D8" s="89">
        <v>95</v>
      </c>
      <c r="E8" s="90">
        <f>F8-D8</f>
        <v>12642</v>
      </c>
      <c r="F8" s="91">
        <v>12737</v>
      </c>
      <c r="G8" s="393"/>
      <c r="H8" s="408">
        <v>2125.6</v>
      </c>
      <c r="I8" s="408">
        <f>(H8/F8)*365.25</f>
        <v>60.954337756143516</v>
      </c>
      <c r="K8" s="84"/>
      <c r="L8" s="85"/>
      <c r="M8" s="92"/>
      <c r="N8" s="85"/>
      <c r="O8" s="6"/>
      <c r="P8" s="408"/>
      <c r="Q8" s="73"/>
      <c r="R8" s="17" t="s">
        <v>2</v>
      </c>
      <c r="S8" s="18">
        <f>Q14</f>
        <v>1.9871258910007017</v>
      </c>
      <c r="T8" s="19">
        <f>S8/S9</f>
        <v>0.99356294550035096</v>
      </c>
      <c r="V8" s="346">
        <f>S8*30.43</f>
        <v>60.468240863151351</v>
      </c>
      <c r="W8" s="79"/>
      <c r="X8" s="8"/>
      <c r="Y8" s="79"/>
      <c r="Z8" s="8"/>
      <c r="AA8" s="8"/>
      <c r="AB8" s="8"/>
      <c r="AC8" s="8"/>
      <c r="AD8" s="8"/>
    </row>
    <row r="9" spans="1:30" x14ac:dyDescent="0.2">
      <c r="B9" s="411"/>
      <c r="C9" s="392" t="s">
        <v>20</v>
      </c>
      <c r="D9" s="93">
        <f>SUM(D7:D8)</f>
        <v>121</v>
      </c>
      <c r="E9" s="94">
        <f>SUM(E7:E8)</f>
        <v>25342</v>
      </c>
      <c r="F9" s="95">
        <f>SUM(F7:F8)</f>
        <v>25463</v>
      </c>
      <c r="G9" s="378"/>
      <c r="H9" s="409">
        <f>SUM(H7:H8)</f>
        <v>4265.7999999999993</v>
      </c>
      <c r="I9" s="408">
        <f>(H9/F9)*365.25</f>
        <v>61.190097396221965</v>
      </c>
      <c r="K9" s="84"/>
      <c r="L9" s="85"/>
      <c r="M9" s="92"/>
      <c r="N9" s="85"/>
      <c r="O9" s="6"/>
      <c r="P9" s="408"/>
      <c r="Q9" s="97"/>
      <c r="S9" s="11">
        <f>SUM(S6:S8)</f>
        <v>1.9999999999999998</v>
      </c>
      <c r="V9" s="20">
        <f>S9*30.43</f>
        <v>60.859999999999992</v>
      </c>
      <c r="W9" s="79"/>
      <c r="X9" s="8"/>
      <c r="Y9" s="79"/>
      <c r="Z9" s="8"/>
      <c r="AA9" s="8"/>
      <c r="AB9" s="8"/>
      <c r="AC9" s="8"/>
      <c r="AD9" s="8"/>
    </row>
    <row r="10" spans="1:30" ht="12.75" hidden="1" customHeight="1" x14ac:dyDescent="0.2">
      <c r="B10" s="81"/>
      <c r="C10" s="86"/>
      <c r="D10" s="86"/>
      <c r="E10" s="98"/>
      <c r="F10" s="98"/>
      <c r="G10" s="379"/>
      <c r="H10" s="85"/>
      <c r="I10" s="84"/>
      <c r="J10" s="84"/>
      <c r="K10" s="84"/>
      <c r="L10" s="85"/>
      <c r="M10" s="92"/>
      <c r="N10" s="85"/>
      <c r="P10" s="96"/>
      <c r="Q10" s="97"/>
      <c r="R10" s="97"/>
      <c r="S10" s="97"/>
      <c r="T10" s="79"/>
      <c r="V10" s="79"/>
      <c r="W10" s="79"/>
      <c r="X10" s="8"/>
      <c r="Y10" s="79"/>
      <c r="Z10" s="8"/>
      <c r="AA10" s="8"/>
      <c r="AB10" s="8"/>
      <c r="AC10" s="8"/>
      <c r="AD10" s="8"/>
    </row>
    <row r="11" spans="1:30" s="9" customFormat="1" ht="14.25" hidden="1" customHeight="1" x14ac:dyDescent="0.2">
      <c r="B11" s="81" t="s">
        <v>21</v>
      </c>
      <c r="C11" s="99"/>
      <c r="D11" s="100"/>
      <c r="E11" s="6"/>
      <c r="F11" s="101"/>
      <c r="G11" s="102"/>
      <c r="H11" s="92"/>
      <c r="I11" s="102"/>
      <c r="J11" s="92"/>
      <c r="K11" s="103"/>
      <c r="L11" s="103"/>
      <c r="M11" s="102"/>
      <c r="N11" s="103"/>
      <c r="P11" s="6"/>
      <c r="Q11" s="104"/>
      <c r="R11" s="104"/>
      <c r="S11" s="104"/>
      <c r="T11" s="6"/>
      <c r="U11" s="6"/>
      <c r="V11" s="6"/>
      <c r="W11" s="6"/>
    </row>
    <row r="12" spans="1:30" s="9" customFormat="1" ht="12.75" hidden="1" customHeight="1" x14ac:dyDescent="0.2">
      <c r="B12" s="411" t="s">
        <v>22</v>
      </c>
      <c r="C12" s="99"/>
      <c r="D12" s="100"/>
      <c r="E12" s="6"/>
      <c r="F12" s="101"/>
      <c r="G12" s="102"/>
      <c r="H12" s="92"/>
      <c r="I12" s="102"/>
      <c r="J12" s="92"/>
      <c r="K12" s="105"/>
      <c r="L12" s="103"/>
      <c r="M12" s="103"/>
      <c r="N12" s="103"/>
      <c r="O12" s="9" t="s">
        <v>121</v>
      </c>
      <c r="P12" s="6"/>
      <c r="Q12" s="104"/>
      <c r="R12" s="66"/>
      <c r="S12" s="66"/>
      <c r="T12" s="6"/>
      <c r="U12" s="6"/>
      <c r="V12" s="6"/>
      <c r="W12" s="6"/>
    </row>
    <row r="13" spans="1:30" s="9" customFormat="1" ht="45" hidden="1" customHeight="1" x14ac:dyDescent="0.2">
      <c r="B13" s="81" t="s">
        <v>23</v>
      </c>
      <c r="C13" s="106" t="s">
        <v>24</v>
      </c>
      <c r="D13" s="106" t="s">
        <v>25</v>
      </c>
      <c r="E13" s="106" t="s">
        <v>26</v>
      </c>
      <c r="F13" s="106" t="s">
        <v>27</v>
      </c>
      <c r="G13" s="106" t="s">
        <v>28</v>
      </c>
      <c r="H13" s="106" t="s">
        <v>29</v>
      </c>
      <c r="I13" s="106" t="s">
        <v>30</v>
      </c>
      <c r="J13" s="92"/>
      <c r="K13" s="107" t="s">
        <v>31</v>
      </c>
      <c r="L13" s="108" t="s">
        <v>32</v>
      </c>
      <c r="M13" s="108" t="s">
        <v>33</v>
      </c>
      <c r="N13" s="103"/>
      <c r="O13" s="311" t="s">
        <v>122</v>
      </c>
      <c r="P13" s="311" t="s">
        <v>123</v>
      </c>
      <c r="Q13" s="315" t="s">
        <v>2</v>
      </c>
      <c r="R13" s="316" t="s">
        <v>3</v>
      </c>
      <c r="S13" s="317" t="s">
        <v>1</v>
      </c>
      <c r="T13" s="6"/>
      <c r="W13" s="6"/>
    </row>
    <row r="14" spans="1:30" s="9" customFormat="1" ht="12.75" hidden="1" customHeight="1" x14ac:dyDescent="0.2">
      <c r="B14" s="81">
        <f>LN((D7/F7)/(D8/F8))</f>
        <v>-1.2949163547820366</v>
      </c>
      <c r="C14" s="109">
        <f>SQRT((E7/(D7*F7)+(E8/(D8*F8))))</f>
        <v>0.22097683937711651</v>
      </c>
      <c r="D14" s="110">
        <f>-NORMSINV((1-I2)/2)</f>
        <v>1.9599639845400536</v>
      </c>
      <c r="E14" s="111">
        <f>B14-(D14*C14)</f>
        <v>-1.7280230013786773</v>
      </c>
      <c r="F14" s="112">
        <f>B14+(D14*C14)</f>
        <v>-0.86180970818539593</v>
      </c>
      <c r="G14" s="113">
        <f>(D7/F7)/(D8/F8)</f>
        <v>0.27392077553620026</v>
      </c>
      <c r="H14" s="113">
        <f>EXP(E14)</f>
        <v>0.17763524769254582</v>
      </c>
      <c r="I14" s="113">
        <f>EXP(F14)</f>
        <v>0.4223969749529729</v>
      </c>
      <c r="J14" s="92"/>
      <c r="K14" s="114">
        <f>1-G14</f>
        <v>0.72607922446379969</v>
      </c>
      <c r="L14" s="113">
        <f>1-H14</f>
        <v>0.82236475230745421</v>
      </c>
      <c r="M14" s="113">
        <f>1-I14</f>
        <v>0.5776030250470271</v>
      </c>
      <c r="N14" s="115"/>
      <c r="O14" s="313">
        <f>(D7/F7)*H4/2</f>
        <v>2.0430614490020431E-3</v>
      </c>
      <c r="P14" s="314">
        <f>(D8/F8)*H4/2</f>
        <v>7.4585852241501136E-3</v>
      </c>
      <c r="Q14" s="318">
        <f>H4-R14-S14</f>
        <v>1.9871258910007017</v>
      </c>
      <c r="R14" s="318">
        <f>P14-O14</f>
        <v>5.4155237751480709E-3</v>
      </c>
      <c r="S14" s="318">
        <f>P14</f>
        <v>7.4585852241501136E-3</v>
      </c>
      <c r="T14" s="6" t="str">
        <f>I4</f>
        <v>meses</v>
      </c>
      <c r="W14" s="6"/>
    </row>
    <row r="15" spans="1:30" s="9" customFormat="1" ht="12.75" hidden="1" customHeight="1" x14ac:dyDescent="0.2">
      <c r="B15" s="411"/>
      <c r="C15" s="99"/>
      <c r="D15" s="99"/>
      <c r="E15" s="99"/>
      <c r="F15" s="116"/>
      <c r="G15" s="117"/>
      <c r="H15" s="92"/>
      <c r="I15" s="102"/>
      <c r="J15" s="92"/>
      <c r="K15" s="102"/>
      <c r="L15" s="102"/>
      <c r="M15" s="102"/>
      <c r="N15" s="103"/>
      <c r="P15" s="6"/>
      <c r="Q15" s="6"/>
      <c r="R15" s="6"/>
      <c r="S15" s="6"/>
      <c r="T15" s="6"/>
      <c r="U15" s="6"/>
      <c r="V15" s="6"/>
      <c r="W15" s="6"/>
    </row>
    <row r="16" spans="1:30" s="8" customFormat="1" ht="12.75" hidden="1" customHeight="1" x14ac:dyDescent="0.2">
      <c r="B16" s="81"/>
      <c r="C16" s="118"/>
      <c r="D16" s="119"/>
      <c r="E16" s="120"/>
      <c r="F16" s="121"/>
      <c r="G16" s="122"/>
      <c r="H16" s="123"/>
      <c r="I16" s="124"/>
      <c r="J16" s="124"/>
      <c r="K16" s="125"/>
      <c r="L16" s="125"/>
      <c r="M16" s="126"/>
      <c r="N16" s="126"/>
    </row>
    <row r="17" spans="2:30" ht="15.75" hidden="1" customHeight="1" x14ac:dyDescent="0.2">
      <c r="B17" s="81" t="s">
        <v>34</v>
      </c>
      <c r="C17" s="6"/>
      <c r="D17" s="128"/>
      <c r="E17" s="128"/>
      <c r="F17" s="65"/>
      <c r="G17" s="65"/>
      <c r="H17" s="129"/>
      <c r="I17" s="130"/>
      <c r="J17" s="131"/>
      <c r="K17" s="131"/>
      <c r="L17" s="9"/>
      <c r="M17" s="103"/>
      <c r="N17" s="92"/>
      <c r="O17" s="130"/>
      <c r="P17" s="6"/>
      <c r="Q17" s="6"/>
      <c r="R17" s="132"/>
      <c r="S17" s="130"/>
      <c r="T17" s="133"/>
      <c r="U17" s="133"/>
      <c r="V17" s="133"/>
      <c r="W17" s="8"/>
      <c r="X17" s="8"/>
      <c r="Y17" s="8"/>
      <c r="Z17" s="8"/>
      <c r="AA17" s="8"/>
      <c r="AB17" s="8"/>
      <c r="AC17" s="8"/>
    </row>
    <row r="18" spans="2:30" ht="12.75" hidden="1" customHeight="1" x14ac:dyDescent="0.2">
      <c r="B18" s="411" t="s">
        <v>35</v>
      </c>
      <c r="C18" s="6"/>
      <c r="D18" s="130"/>
      <c r="E18" s="130"/>
      <c r="F18" s="6"/>
      <c r="G18" s="6"/>
      <c r="H18" s="132"/>
      <c r="I18" s="130"/>
      <c r="J18" s="133"/>
      <c r="K18" s="133"/>
      <c r="L18" s="133"/>
      <c r="M18" s="103"/>
      <c r="N18" s="92"/>
      <c r="O18" s="6"/>
      <c r="P18" s="6"/>
      <c r="Q18" s="132"/>
      <c r="R18" s="130"/>
      <c r="S18" s="133"/>
      <c r="T18" s="133"/>
      <c r="U18" s="133"/>
      <c r="W18" s="8" t="s">
        <v>36</v>
      </c>
      <c r="X18" s="8"/>
      <c r="Y18" s="8"/>
      <c r="Z18" s="8"/>
      <c r="AA18" s="8"/>
      <c r="AB18" s="8"/>
    </row>
    <row r="19" spans="2:30" ht="25.5" hidden="1" customHeight="1" x14ac:dyDescent="0.2">
      <c r="B19" s="81" t="s">
        <v>37</v>
      </c>
      <c r="C19" s="2" t="s">
        <v>38</v>
      </c>
      <c r="D19" s="9"/>
      <c r="E19" s="2" t="s">
        <v>39</v>
      </c>
      <c r="G19" s="2" t="s">
        <v>40</v>
      </c>
      <c r="I19" s="2" t="s">
        <v>41</v>
      </c>
      <c r="J19" s="133"/>
      <c r="K19" s="133"/>
      <c r="L19" s="133"/>
      <c r="M19" s="103"/>
      <c r="N19" s="125"/>
      <c r="P19" s="2"/>
      <c r="T19" s="8"/>
      <c r="V19" s="2"/>
      <c r="W19" s="2" t="s">
        <v>42</v>
      </c>
      <c r="Y19" s="8"/>
      <c r="Z19" s="8"/>
      <c r="AA19" s="8"/>
      <c r="AB19" s="8"/>
      <c r="AC19" s="8"/>
      <c r="AD19" s="8"/>
    </row>
    <row r="20" spans="2:30" ht="38.25" hidden="1" customHeight="1" x14ac:dyDescent="0.25">
      <c r="B20" s="81" t="s">
        <v>43</v>
      </c>
      <c r="C20" s="106" t="s">
        <v>44</v>
      </c>
      <c r="D20" s="135" t="s">
        <v>45</v>
      </c>
      <c r="E20" s="135" t="s">
        <v>38</v>
      </c>
      <c r="F20" s="135" t="s">
        <v>46</v>
      </c>
      <c r="G20" s="135" t="s">
        <v>40</v>
      </c>
      <c r="H20" s="135" t="s">
        <v>41</v>
      </c>
      <c r="I20" s="136" t="s">
        <v>47</v>
      </c>
      <c r="J20" s="135" t="s">
        <v>48</v>
      </c>
      <c r="K20" s="135" t="s">
        <v>32</v>
      </c>
      <c r="L20" s="135" t="s">
        <v>33</v>
      </c>
      <c r="M20" s="137"/>
      <c r="N20" s="138"/>
      <c r="O20" s="139" t="s">
        <v>49</v>
      </c>
      <c r="P20" s="140" t="s">
        <v>50</v>
      </c>
      <c r="Q20" s="141"/>
      <c r="R20" s="142"/>
      <c r="S20" s="143"/>
      <c r="T20" s="143"/>
      <c r="U20" s="144"/>
      <c r="W20" s="145"/>
      <c r="X20" s="139" t="s">
        <v>51</v>
      </c>
      <c r="Y20" s="140" t="s">
        <v>52</v>
      </c>
      <c r="Z20" s="146"/>
      <c r="AA20" s="146"/>
      <c r="AB20" s="146" t="s">
        <v>53</v>
      </c>
      <c r="AC20" s="146"/>
      <c r="AD20" s="147"/>
    </row>
    <row r="21" spans="2:30" ht="12.75" hidden="1" customHeight="1" x14ac:dyDescent="0.2">
      <c r="B21" s="411">
        <f>D7</f>
        <v>26</v>
      </c>
      <c r="C21" s="148">
        <f>F7</f>
        <v>12726</v>
      </c>
      <c r="D21" s="149">
        <f>B21/C21</f>
        <v>2.0430614490020431E-3</v>
      </c>
      <c r="E21" s="150">
        <f>2*B21+I21^2</f>
        <v>55.841458820694122</v>
      </c>
      <c r="F21" s="150">
        <f>I21*SQRT((I21^2)+(4*B21*(1-D21)))</f>
        <v>20.333526409236811</v>
      </c>
      <c r="G21" s="151">
        <f>2*(C21+I21^2)</f>
        <v>25459.682917641388</v>
      </c>
      <c r="H21" s="152" t="s">
        <v>54</v>
      </c>
      <c r="I21" s="110">
        <f>-NORMSINV((1-I2)/2)</f>
        <v>1.9599639845400536</v>
      </c>
      <c r="J21" s="153">
        <f>D21</f>
        <v>2.0430614490020431E-3</v>
      </c>
      <c r="K21" s="153">
        <f>(E21-F21)/G21</f>
        <v>1.3946730022648217E-3</v>
      </c>
      <c r="L21" s="153">
        <f>(E21+F21)/G21</f>
        <v>2.9919848364312572E-3</v>
      </c>
      <c r="M21" s="137"/>
      <c r="N21" s="154">
        <f>F9/2</f>
        <v>12731.5</v>
      </c>
      <c r="O21" s="10" t="s">
        <v>55</v>
      </c>
      <c r="P21" s="6"/>
      <c r="Q21" s="132"/>
      <c r="R21" s="130"/>
      <c r="S21" s="133"/>
      <c r="T21" s="133"/>
      <c r="U21" s="155"/>
      <c r="W21" s="156">
        <f>ABS(D21-D22)</f>
        <v>5.4155237751480709E-3</v>
      </c>
      <c r="X21" s="10" t="s">
        <v>56</v>
      </c>
      <c r="Y21" s="6"/>
      <c r="Z21" s="10"/>
      <c r="AA21" s="10"/>
      <c r="AB21" s="10" t="s">
        <v>57</v>
      </c>
      <c r="AC21" s="10"/>
      <c r="AD21" s="157"/>
    </row>
    <row r="22" spans="2:30" ht="14.25" hidden="1" customHeight="1" x14ac:dyDescent="0.25">
      <c r="B22" s="81">
        <f>D8</f>
        <v>95</v>
      </c>
      <c r="C22" s="148">
        <f>F8</f>
        <v>12737</v>
      </c>
      <c r="D22" s="149">
        <f>B22/C22</f>
        <v>7.4585852241501136E-3</v>
      </c>
      <c r="E22" s="150">
        <f>2*B22+I22^2</f>
        <v>193.84145882069413</v>
      </c>
      <c r="F22" s="150">
        <f>I22*SQRT((I22^2)+(4*B22*(1-D22)))</f>
        <v>38.257332048839423</v>
      </c>
      <c r="G22" s="151">
        <f>2*(C22+I22^2)</f>
        <v>25481.682917641388</v>
      </c>
      <c r="H22" s="152" t="s">
        <v>54</v>
      </c>
      <c r="I22" s="110">
        <f>-NORMSINV((1-I2)/2)</f>
        <v>1.9599639845400536</v>
      </c>
      <c r="J22" s="153">
        <f>D22</f>
        <v>7.4585852241501136E-3</v>
      </c>
      <c r="K22" s="153">
        <f>(E22-F22)/G22</f>
        <v>6.1057241499595481E-3</v>
      </c>
      <c r="L22" s="153">
        <f>(E22+F22)/G22</f>
        <v>9.1084561259039826E-3</v>
      </c>
      <c r="M22" s="137"/>
      <c r="N22" s="158">
        <f>J26</f>
        <v>5.4155237751480709E-3</v>
      </c>
      <c r="O22" s="10" t="s">
        <v>58</v>
      </c>
      <c r="P22" s="10"/>
      <c r="Q22" s="10"/>
      <c r="R22" s="10"/>
      <c r="S22" s="10"/>
      <c r="T22" s="10"/>
      <c r="U22" s="159"/>
      <c r="W22" s="160">
        <f>SQRT((D23*(1-D23)/C21)+(D23*(1-D23)/C22))</f>
        <v>8.6194352107233567E-4</v>
      </c>
      <c r="X22" s="134" t="s">
        <v>59</v>
      </c>
      <c r="Y22" s="10"/>
      <c r="Z22" s="10"/>
      <c r="AA22" s="10"/>
      <c r="AB22" s="10"/>
      <c r="AC22" s="10"/>
      <c r="AD22" s="157"/>
    </row>
    <row r="23" spans="2:30" ht="12.75" hidden="1" customHeight="1" x14ac:dyDescent="0.2">
      <c r="B23" s="81">
        <f>D9</f>
        <v>121</v>
      </c>
      <c r="C23" s="148">
        <f>F9</f>
        <v>25463</v>
      </c>
      <c r="D23" s="149">
        <f>B23/C23</f>
        <v>4.7519930880100536E-3</v>
      </c>
      <c r="E23" s="150">
        <f>2*B23+I23^2</f>
        <v>245.84145882069413</v>
      </c>
      <c r="F23" s="150">
        <f>I23*SQRT((I23^2)+(4*B23*(1-D23)))</f>
        <v>43.1878183701997</v>
      </c>
      <c r="G23" s="151">
        <f>2*(C23+I23^2)</f>
        <v>50933.682917641388</v>
      </c>
      <c r="H23" s="152" t="s">
        <v>54</v>
      </c>
      <c r="I23" s="110">
        <f>-NORMSINV((1-I2)/2)</f>
        <v>1.9599639845400536</v>
      </c>
      <c r="J23" s="153">
        <f>D23</f>
        <v>4.7519930880100536E-3</v>
      </c>
      <c r="K23" s="153">
        <f>(E23-F23)/G23</f>
        <v>3.9787745327228893E-3</v>
      </c>
      <c r="L23" s="153">
        <f>(E23+F23)/G23</f>
        <v>5.6746196354629927E-3</v>
      </c>
      <c r="M23" s="137"/>
      <c r="N23" s="161">
        <f>(B21+B22)/(C21+C22)</f>
        <v>4.7519930880100536E-3</v>
      </c>
      <c r="O23" s="10" t="s">
        <v>60</v>
      </c>
      <c r="P23" s="6"/>
      <c r="Q23" s="132"/>
      <c r="R23" s="130"/>
      <c r="S23" s="133"/>
      <c r="T23" s="133"/>
      <c r="U23" s="157"/>
      <c r="W23" s="162">
        <f>W21/W22</f>
        <v>6.2829218420374806</v>
      </c>
      <c r="X23" s="10" t="s">
        <v>61</v>
      </c>
      <c r="Y23" s="6"/>
      <c r="Z23" s="10"/>
      <c r="AA23" s="10"/>
      <c r="AB23" s="10"/>
      <c r="AC23" s="10"/>
      <c r="AD23" s="157"/>
    </row>
    <row r="24" spans="2:30" ht="15" hidden="1" customHeight="1" x14ac:dyDescent="0.2">
      <c r="B24" s="411"/>
      <c r="C24" s="163" t="s">
        <v>62</v>
      </c>
      <c r="F24" s="164"/>
      <c r="G24" s="124"/>
      <c r="H24" s="124"/>
      <c r="I24" s="124"/>
      <c r="J24" s="124"/>
      <c r="K24" s="125"/>
      <c r="L24" s="85"/>
      <c r="M24" s="137"/>
      <c r="N24" s="165">
        <f>SQRT(N21*N22^2/(2*N23*(1-N23)))-I21</f>
        <v>4.3229584437678064</v>
      </c>
      <c r="O24" s="10" t="s">
        <v>63</v>
      </c>
      <c r="P24" s="10"/>
      <c r="Q24" s="10"/>
      <c r="R24" s="10"/>
      <c r="S24" s="10"/>
      <c r="T24" s="9"/>
      <c r="U24" s="155"/>
      <c r="W24" s="166">
        <f>NORMSDIST(-W23)</f>
        <v>1.6613406572662447E-10</v>
      </c>
      <c r="X24" s="127" t="s">
        <v>64</v>
      </c>
      <c r="Y24" s="10"/>
      <c r="Z24" s="9"/>
      <c r="AA24" s="9"/>
      <c r="AB24" s="9"/>
      <c r="AC24" s="9"/>
      <c r="AD24" s="159"/>
    </row>
    <row r="25" spans="2:30" ht="13.5" hidden="1" customHeight="1" x14ac:dyDescent="0.2">
      <c r="B25" s="81"/>
      <c r="C25" s="163" t="s">
        <v>65</v>
      </c>
      <c r="D25" s="4"/>
      <c r="E25" s="167"/>
      <c r="F25" s="164"/>
      <c r="G25" s="124"/>
      <c r="H25" s="85"/>
      <c r="I25" s="85"/>
      <c r="J25" s="168"/>
      <c r="K25" s="168"/>
      <c r="L25" s="168"/>
      <c r="M25" s="137"/>
      <c r="N25" s="169">
        <f>NORMSDIST(N24)</f>
        <v>0.99999230246299031</v>
      </c>
      <c r="O25" s="127" t="s">
        <v>66</v>
      </c>
      <c r="P25" s="170"/>
      <c r="Q25" s="10"/>
      <c r="R25" s="10"/>
      <c r="S25" s="10"/>
      <c r="T25" s="10"/>
      <c r="U25" s="157"/>
      <c r="W25" s="171">
        <f>1-W24</f>
        <v>0.99999999983386589</v>
      </c>
      <c r="X25" s="172" t="s">
        <v>67</v>
      </c>
      <c r="Y25" s="170"/>
      <c r="Z25" s="9"/>
      <c r="AA25" s="9"/>
      <c r="AB25" s="9"/>
      <c r="AC25" s="9"/>
      <c r="AD25" s="159"/>
    </row>
    <row r="26" spans="2:30" ht="15" hidden="1" customHeight="1" x14ac:dyDescent="0.25">
      <c r="B26" s="81"/>
      <c r="F26" s="173"/>
      <c r="G26" s="85"/>
      <c r="H26" s="85"/>
      <c r="I26" s="69" t="s">
        <v>68</v>
      </c>
      <c r="J26" s="174">
        <f>D22-D21</f>
        <v>5.4155237751480709E-3</v>
      </c>
      <c r="K26" s="175">
        <f>J26+SQRT((D22-K22)^2+(L21-D21)^2)</f>
        <v>7.0680033306252891E-3</v>
      </c>
      <c r="L26" s="176">
        <f>J26-SQRT((D21-K21)^2+(L22-D22)^2)</f>
        <v>3.6428191831992512E-3</v>
      </c>
      <c r="M26" s="84"/>
      <c r="N26" s="177">
        <f>1-N25</f>
        <v>7.6975370096876716E-6</v>
      </c>
      <c r="O26" s="178" t="s">
        <v>69</v>
      </c>
      <c r="P26" s="179"/>
      <c r="Q26" s="180"/>
      <c r="R26" s="179"/>
      <c r="S26" s="179"/>
      <c r="T26" s="179"/>
      <c r="U26" s="181"/>
      <c r="W26" s="182"/>
      <c r="X26" s="183"/>
      <c r="Y26" s="179"/>
      <c r="Z26" s="183"/>
      <c r="AA26" s="183"/>
      <c r="AB26" s="183"/>
      <c r="AC26" s="183"/>
      <c r="AD26" s="184"/>
    </row>
    <row r="27" spans="2:30" ht="13.5" hidden="1" customHeight="1" x14ac:dyDescent="0.2">
      <c r="B27" s="411"/>
      <c r="F27" s="185"/>
      <c r="G27" s="85"/>
      <c r="H27" s="85"/>
      <c r="I27" s="69" t="s">
        <v>70</v>
      </c>
      <c r="J27" s="186">
        <f>1/J26</f>
        <v>184.65434582505515</v>
      </c>
      <c r="K27" s="187">
        <f>1/K26</f>
        <v>141.48267243551686</v>
      </c>
      <c r="L27" s="188">
        <f>1/L26</f>
        <v>274.5126644254039</v>
      </c>
      <c r="M27" s="84"/>
      <c r="N27" s="85"/>
      <c r="O27" s="2"/>
      <c r="P27" s="2"/>
      <c r="U27" s="2"/>
      <c r="V27" s="2"/>
      <c r="W27" s="8"/>
      <c r="X27" s="8"/>
      <c r="Y27" s="8"/>
      <c r="Z27" s="8"/>
      <c r="AA27" s="8"/>
      <c r="AB27" s="8"/>
      <c r="AC27" s="8"/>
    </row>
    <row r="28" spans="2:30" ht="14.25" hidden="1" customHeight="1" x14ac:dyDescent="0.25">
      <c r="B28" s="81"/>
      <c r="G28" s="85"/>
      <c r="H28" s="85"/>
      <c r="K28" s="189"/>
      <c r="L28" s="189"/>
      <c r="M28" s="190"/>
      <c r="N28" s="138"/>
      <c r="O28" s="191"/>
      <c r="P28" s="191" t="s">
        <v>59</v>
      </c>
      <c r="Q28" s="192">
        <f>SQRT((D23*(1-D23)/C21)+(D23*(1-D23)/C22))</f>
        <v>8.6194352107233567E-4</v>
      </c>
      <c r="R28" s="193"/>
      <c r="S28" s="193"/>
      <c r="T28" s="193"/>
      <c r="U28" s="147"/>
      <c r="V28" s="2"/>
    </row>
    <row r="29" spans="2:30" ht="31.5" hidden="1" customHeight="1" x14ac:dyDescent="0.25">
      <c r="B29" s="81"/>
      <c r="F29" s="194"/>
      <c r="G29" s="195"/>
      <c r="H29" s="196" t="s">
        <v>71</v>
      </c>
      <c r="I29" s="197" t="s">
        <v>11</v>
      </c>
      <c r="J29" s="198">
        <f>J27</f>
        <v>184.65434582505515</v>
      </c>
      <c r="K29" s="198">
        <f>K27</f>
        <v>141.48267243551686</v>
      </c>
      <c r="L29" s="198">
        <f>L27</f>
        <v>274.5126644254039</v>
      </c>
      <c r="M29" s="85"/>
      <c r="N29" s="199" t="s">
        <v>72</v>
      </c>
      <c r="O29" s="200"/>
      <c r="P29" s="10" t="s">
        <v>73</v>
      </c>
      <c r="Q29" s="10"/>
      <c r="R29" s="132"/>
      <c r="S29" s="201" t="s">
        <v>74</v>
      </c>
      <c r="T29" s="10"/>
      <c r="U29" s="157"/>
      <c r="V29" s="2"/>
    </row>
    <row r="30" spans="2:30" s="9" customFormat="1" ht="14.25" hidden="1" customHeight="1" x14ac:dyDescent="0.25">
      <c r="B30" s="411"/>
      <c r="F30" s="202"/>
      <c r="G30" s="203"/>
      <c r="H30" s="204"/>
      <c r="I30" s="205" t="s">
        <v>75</v>
      </c>
      <c r="J30" s="335">
        <f>(1-D22)*J27</f>
        <v>183.27708564970928</v>
      </c>
      <c r="K30" s="206">
        <f>(1-D22)*K27</f>
        <v>140.42741186541605</v>
      </c>
      <c r="L30" s="206">
        <f>(1-D22)*L27</f>
        <v>272.4651883226785</v>
      </c>
      <c r="M30" s="85"/>
      <c r="N30" s="207"/>
      <c r="O30" s="208" t="s">
        <v>76</v>
      </c>
      <c r="Q30" s="209" t="s">
        <v>77</v>
      </c>
      <c r="R30" s="208" t="s">
        <v>78</v>
      </c>
      <c r="S30" s="10"/>
      <c r="T30" s="10"/>
      <c r="U30" s="159"/>
    </row>
    <row r="31" spans="2:30" s="9" customFormat="1" ht="14.25" hidden="1" customHeight="1" x14ac:dyDescent="0.25">
      <c r="B31" s="81"/>
      <c r="F31" s="210"/>
      <c r="G31" s="211"/>
      <c r="H31" s="212"/>
      <c r="I31" s="213" t="s">
        <v>79</v>
      </c>
      <c r="J31" s="214">
        <f>J27*J26</f>
        <v>1</v>
      </c>
      <c r="K31" s="214">
        <f>K27*K26</f>
        <v>1</v>
      </c>
      <c r="L31" s="214">
        <f>L27*L26</f>
        <v>1</v>
      </c>
      <c r="M31" s="103"/>
      <c r="N31" s="165">
        <f>ABS((J26/Q28))-I21</f>
        <v>4.3229578574974266</v>
      </c>
      <c r="O31" s="208" t="s">
        <v>80</v>
      </c>
      <c r="P31" s="10"/>
      <c r="Q31" s="10"/>
      <c r="R31" s="130"/>
      <c r="S31" s="133"/>
      <c r="T31" s="133"/>
      <c r="U31" s="155"/>
    </row>
    <row r="32" spans="2:30" s="9" customFormat="1" ht="12.75" hidden="1" customHeight="1" x14ac:dyDescent="0.2">
      <c r="B32" s="81"/>
      <c r="C32" s="215"/>
      <c r="E32" s="216"/>
      <c r="G32" s="217"/>
      <c r="H32" s="218"/>
      <c r="I32" s="219" t="s">
        <v>81</v>
      </c>
      <c r="J32" s="334">
        <f>(D22-J26)*J27</f>
        <v>0.37726017534586148</v>
      </c>
      <c r="K32" s="220">
        <f>(D22-K26)*K27</f>
        <v>5.5260570100816676E-2</v>
      </c>
      <c r="L32" s="220">
        <f>(D22-L26)*L27</f>
        <v>1.047476102725396</v>
      </c>
      <c r="M32" s="103"/>
      <c r="N32" s="169">
        <f>NORMSDIST(N31)</f>
        <v>0.99999230244252746</v>
      </c>
      <c r="O32" s="134" t="s">
        <v>82</v>
      </c>
      <c r="P32" s="170"/>
      <c r="Q32" s="10"/>
      <c r="R32" s="10"/>
      <c r="S32" s="10"/>
      <c r="T32" s="10"/>
      <c r="U32" s="159"/>
    </row>
    <row r="33" spans="2:22" s="9" customFormat="1" ht="12.75" hidden="1" customHeight="1" x14ac:dyDescent="0.2">
      <c r="B33" s="411"/>
      <c r="G33" s="221"/>
      <c r="H33" s="222"/>
      <c r="I33" s="222"/>
      <c r="J33" s="223"/>
      <c r="K33" s="223"/>
      <c r="L33" s="223"/>
      <c r="M33" s="103"/>
      <c r="N33" s="177">
        <f>1-N32</f>
        <v>7.6975574725413054E-6</v>
      </c>
      <c r="O33" s="179" t="s">
        <v>83</v>
      </c>
      <c r="P33" s="179"/>
      <c r="Q33" s="180"/>
      <c r="R33" s="224"/>
      <c r="S33" s="225"/>
      <c r="T33" s="225"/>
      <c r="U33" s="181"/>
    </row>
    <row r="34" spans="2:22" s="9" customFormat="1" ht="31.5" hidden="1" customHeight="1" x14ac:dyDescent="0.2">
      <c r="B34" s="81"/>
      <c r="F34" s="100"/>
      <c r="G34" s="226"/>
      <c r="H34" s="196" t="s">
        <v>84</v>
      </c>
      <c r="I34" s="227" t="s">
        <v>85</v>
      </c>
      <c r="J34" s="228">
        <f>ABS(J27)</f>
        <v>184.65434582505515</v>
      </c>
      <c r="K34" s="228">
        <f>ABS(L27)</f>
        <v>274.5126644254039</v>
      </c>
      <c r="L34" s="228">
        <f>ABS(K27)</f>
        <v>141.48267243551686</v>
      </c>
      <c r="M34" s="103"/>
      <c r="N34" s="84"/>
      <c r="O34" s="10"/>
      <c r="P34" s="10"/>
      <c r="Q34" s="10"/>
      <c r="R34" s="10"/>
      <c r="S34" s="10"/>
      <c r="T34" s="10"/>
      <c r="U34" s="10"/>
      <c r="V34" s="10"/>
    </row>
    <row r="35" spans="2:22" s="9" customFormat="1" ht="13.5" hidden="1" customHeight="1" x14ac:dyDescent="0.2">
      <c r="B35" s="81"/>
      <c r="G35" s="203"/>
      <c r="H35" s="204"/>
      <c r="I35" s="205" t="s">
        <v>75</v>
      </c>
      <c r="J35" s="206">
        <f>ABS((1-(D22-J26))*J27)</f>
        <v>184.27708564970928</v>
      </c>
      <c r="K35" s="206">
        <f>ABS((1-(D22-L26))*L27)</f>
        <v>273.4651883226785</v>
      </c>
      <c r="L35" s="206">
        <f>ABS((1-(D22-K26))*K27)</f>
        <v>141.42741186541605</v>
      </c>
      <c r="M35" s="103"/>
      <c r="N35" s="84"/>
      <c r="O35" s="10"/>
      <c r="P35" s="10"/>
      <c r="Q35" s="10"/>
      <c r="R35" s="10"/>
      <c r="S35" s="10"/>
      <c r="T35" s="10"/>
      <c r="U35" s="10"/>
      <c r="V35" s="10"/>
    </row>
    <row r="36" spans="2:22" s="9" customFormat="1" ht="12.75" hidden="1" customHeight="1" x14ac:dyDescent="0.2">
      <c r="B36" s="411"/>
      <c r="F36" s="229"/>
      <c r="G36" s="230"/>
      <c r="H36" s="231"/>
      <c r="I36" s="232" t="s">
        <v>86</v>
      </c>
      <c r="J36" s="233">
        <f>J27*J26</f>
        <v>1</v>
      </c>
      <c r="K36" s="233">
        <f>L27*L26</f>
        <v>1</v>
      </c>
      <c r="L36" s="233">
        <f>K27*K26</f>
        <v>1</v>
      </c>
      <c r="M36" s="103"/>
      <c r="N36" s="84"/>
      <c r="O36" s="10"/>
      <c r="P36" s="10"/>
      <c r="Q36" s="10"/>
      <c r="R36" s="10"/>
      <c r="S36" s="10"/>
      <c r="T36" s="10"/>
      <c r="U36" s="10"/>
      <c r="V36" s="10"/>
    </row>
    <row r="37" spans="2:22" ht="15.75" hidden="1" customHeight="1" x14ac:dyDescent="0.25">
      <c r="B37" s="81" t="s">
        <v>87</v>
      </c>
      <c r="C37" s="234"/>
      <c r="D37" s="234"/>
      <c r="E37" s="234"/>
      <c r="F37" s="235"/>
      <c r="G37" s="217"/>
      <c r="H37" s="218"/>
      <c r="I37" s="219" t="s">
        <v>88</v>
      </c>
      <c r="J37" s="220">
        <f>ABS(D22*J27)</f>
        <v>1.3772601753458615</v>
      </c>
      <c r="K37" s="220">
        <f>ABS(D22*L27)</f>
        <v>2.0474761027253963</v>
      </c>
      <c r="L37" s="220">
        <f>ABS(D22*K27)</f>
        <v>1.0552605701008166</v>
      </c>
      <c r="M37" s="85"/>
      <c r="N37" s="84"/>
      <c r="O37" s="10"/>
      <c r="P37" s="10"/>
      <c r="Q37" s="10"/>
      <c r="R37" s="10"/>
      <c r="S37" s="10"/>
      <c r="T37" s="10"/>
      <c r="U37" s="10"/>
      <c r="V37" s="10"/>
    </row>
    <row r="38" spans="2:22" s="8" customFormat="1" ht="12.75" hidden="1" customHeight="1" x14ac:dyDescent="0.2">
      <c r="B38" s="81"/>
      <c r="C38" s="236" t="s">
        <v>16</v>
      </c>
      <c r="D38" s="237" t="s">
        <v>17</v>
      </c>
      <c r="E38" s="10"/>
      <c r="F38" s="235"/>
      <c r="G38" s="238"/>
      <c r="H38" s="239"/>
      <c r="I38" s="240"/>
      <c r="J38" s="241"/>
      <c r="K38" s="241"/>
      <c r="L38" s="241"/>
      <c r="M38" s="125"/>
      <c r="N38" s="103"/>
      <c r="O38" s="9"/>
      <c r="P38" s="9"/>
      <c r="Q38" s="9"/>
      <c r="R38" s="9"/>
    </row>
    <row r="39" spans="2:22" ht="12.75" hidden="1" customHeight="1" x14ac:dyDescent="0.2">
      <c r="B39" s="411" t="s">
        <v>89</v>
      </c>
      <c r="C39" s="242" t="s">
        <v>18</v>
      </c>
      <c r="D39" s="243" t="s">
        <v>19</v>
      </c>
      <c r="E39" s="5" t="s">
        <v>20</v>
      </c>
      <c r="G39" s="85"/>
      <c r="H39" s="85"/>
      <c r="I39" s="85"/>
      <c r="J39" s="85"/>
      <c r="K39" s="85"/>
      <c r="L39" s="85"/>
      <c r="M39" s="85"/>
      <c r="N39" s="103"/>
      <c r="O39" s="9"/>
      <c r="P39" s="9"/>
      <c r="Q39" s="9"/>
      <c r="R39" s="9"/>
      <c r="U39" s="2"/>
      <c r="V39" s="2"/>
    </row>
    <row r="40" spans="2:22" ht="12.75" hidden="1" customHeight="1" x14ac:dyDescent="0.2">
      <c r="B40" s="81" t="s">
        <v>90</v>
      </c>
      <c r="C40" s="244">
        <f>F7*D9/F9</f>
        <v>60.473864038015947</v>
      </c>
      <c r="D40" s="244">
        <f>F7*E9/F9</f>
        <v>12665.526135961984</v>
      </c>
      <c r="E40" s="244">
        <f>F7</f>
        <v>12726</v>
      </c>
      <c r="G40" s="12"/>
      <c r="H40" s="245" t="s">
        <v>91</v>
      </c>
      <c r="I40" s="246">
        <f>CHIINV(0.05,K41)</f>
        <v>3.8414588206941236</v>
      </c>
      <c r="J40" s="85"/>
      <c r="K40" s="85"/>
      <c r="L40" s="85"/>
      <c r="M40" s="85"/>
      <c r="N40" s="103"/>
      <c r="O40" s="247"/>
      <c r="P40" s="247"/>
      <c r="Q40" s="247"/>
      <c r="R40" s="9"/>
      <c r="U40" s="2"/>
      <c r="V40" s="2"/>
    </row>
    <row r="41" spans="2:22" ht="12.75" hidden="1" customHeight="1" x14ac:dyDescent="0.2">
      <c r="B41" s="81" t="s">
        <v>92</v>
      </c>
      <c r="C41" s="244">
        <f>F8*D9/F9</f>
        <v>60.526135961984053</v>
      </c>
      <c r="D41" s="244">
        <f>F8*E9/F9</f>
        <v>12676.473864038016</v>
      </c>
      <c r="E41" s="244">
        <f>F8</f>
        <v>12737</v>
      </c>
      <c r="F41" s="8"/>
      <c r="G41" s="248"/>
      <c r="H41" s="248"/>
      <c r="I41" s="249"/>
      <c r="J41" s="250" t="s">
        <v>93</v>
      </c>
      <c r="K41" s="251">
        <f>(COUNT(C40:D40)-1)*(COUNT(C40:C41)-1)</f>
        <v>1</v>
      </c>
      <c r="L41" s="85"/>
      <c r="M41" s="85"/>
      <c r="N41" s="85"/>
      <c r="O41" s="247"/>
      <c r="P41" s="247"/>
      <c r="Q41" s="247"/>
      <c r="R41" s="9"/>
      <c r="U41" s="2"/>
      <c r="V41" s="2"/>
    </row>
    <row r="42" spans="2:22" ht="12.75" hidden="1" customHeight="1" x14ac:dyDescent="0.2">
      <c r="B42" s="411" t="s">
        <v>94</v>
      </c>
      <c r="C42" s="244">
        <f>SUM(C40:C41)</f>
        <v>121</v>
      </c>
      <c r="D42" s="244">
        <f>SUM(D40:D41)</f>
        <v>25342</v>
      </c>
      <c r="E42" s="252">
        <f>SUM(E40:E41)</f>
        <v>25463</v>
      </c>
      <c r="F42" s="8"/>
      <c r="G42" s="125"/>
      <c r="H42" s="253" t="s">
        <v>95</v>
      </c>
      <c r="I42" s="254" t="s">
        <v>96</v>
      </c>
      <c r="J42" s="85"/>
      <c r="K42" s="85"/>
      <c r="L42" s="85"/>
      <c r="M42" s="85"/>
      <c r="N42" s="85"/>
      <c r="O42" s="247"/>
      <c r="P42" s="255"/>
      <c r="Q42" s="247"/>
      <c r="R42" s="9"/>
      <c r="U42" s="2"/>
      <c r="V42" s="2"/>
    </row>
    <row r="43" spans="2:22" ht="12.75" hidden="1" customHeight="1" x14ac:dyDescent="0.2">
      <c r="B43" s="81"/>
      <c r="C43" s="256"/>
      <c r="D43" s="256"/>
      <c r="E43" s="257"/>
      <c r="F43" s="8"/>
      <c r="G43" s="125"/>
      <c r="H43" s="253" t="s">
        <v>97</v>
      </c>
      <c r="I43" s="254" t="s">
        <v>98</v>
      </c>
      <c r="J43" s="85"/>
      <c r="K43" s="85"/>
      <c r="L43" s="85"/>
      <c r="M43" s="85"/>
      <c r="N43" s="85"/>
      <c r="O43" s="258"/>
      <c r="P43" s="258"/>
      <c r="Q43" s="258"/>
      <c r="R43" s="9"/>
      <c r="U43" s="2"/>
      <c r="V43" s="2"/>
    </row>
    <row r="44" spans="2:22" ht="26.25" hidden="1" customHeight="1" x14ac:dyDescent="0.2">
      <c r="B44" s="81"/>
      <c r="C44" s="486" t="s">
        <v>99</v>
      </c>
      <c r="D44" s="487"/>
      <c r="G44" s="85"/>
      <c r="H44" s="259"/>
      <c r="I44" s="85"/>
      <c r="J44" s="85"/>
      <c r="K44" s="85"/>
      <c r="L44" s="85"/>
      <c r="M44" s="85"/>
      <c r="N44" s="85"/>
      <c r="O44" s="2"/>
      <c r="P44" s="2"/>
      <c r="U44" s="2"/>
      <c r="V44" s="2"/>
    </row>
    <row r="45" spans="2:22" ht="12.75" hidden="1" customHeight="1" x14ac:dyDescent="0.2">
      <c r="B45" s="411"/>
      <c r="C45" s="260">
        <f>(D7-C40)^2/C40</f>
        <v>19.652246811358214</v>
      </c>
      <c r="D45" s="260">
        <f>(E7-D40)^2/D40</f>
        <v>9.3833235899866502E-2</v>
      </c>
      <c r="F45" s="261"/>
      <c r="G45" s="262"/>
      <c r="H45" s="85"/>
      <c r="I45" s="85"/>
      <c r="J45" s="103"/>
      <c r="K45" s="103"/>
      <c r="L45" s="263"/>
      <c r="M45" s="85"/>
      <c r="N45" s="85"/>
      <c r="O45" s="2"/>
      <c r="P45" s="2"/>
      <c r="U45" s="2"/>
      <c r="V45" s="2"/>
    </row>
    <row r="46" spans="2:22" ht="12.75" hidden="1" customHeight="1" x14ac:dyDescent="0.2">
      <c r="B46" s="81"/>
      <c r="C46" s="260">
        <f>(D8-C41)^2/C41</f>
        <v>19.635274626783751</v>
      </c>
      <c r="D46" s="260">
        <f>(E8-D41)^2/D41</f>
        <v>9.3752199109814E-2</v>
      </c>
      <c r="E46" s="77"/>
      <c r="F46" s="264" t="s">
        <v>100</v>
      </c>
      <c r="G46" s="265">
        <f>C48-I40</f>
        <v>35.633648052457524</v>
      </c>
      <c r="H46" s="85"/>
      <c r="I46" s="85"/>
      <c r="J46" s="103"/>
      <c r="K46" s="103"/>
      <c r="L46" s="85"/>
      <c r="M46" s="85"/>
      <c r="N46" s="85"/>
      <c r="O46" s="2"/>
      <c r="P46" s="2"/>
      <c r="U46" s="2"/>
      <c r="V46" s="2"/>
    </row>
    <row r="47" spans="2:22" ht="12.75" hidden="1" customHeight="1" x14ac:dyDescent="0.2">
      <c r="B47" s="81" t="s">
        <v>101</v>
      </c>
      <c r="D47" s="266"/>
      <c r="G47" s="267" t="s">
        <v>102</v>
      </c>
      <c r="H47" s="85"/>
      <c r="I47" s="85"/>
      <c r="J47" s="103"/>
      <c r="K47" s="103"/>
      <c r="L47" s="85"/>
      <c r="M47" s="85"/>
      <c r="N47" s="85"/>
      <c r="O47" s="2"/>
      <c r="P47" s="2"/>
      <c r="U47" s="2"/>
      <c r="V47" s="2"/>
    </row>
    <row r="48" spans="2:22" ht="13.5" hidden="1" customHeight="1" x14ac:dyDescent="0.2">
      <c r="B48" s="411" t="s">
        <v>103</v>
      </c>
      <c r="C48" s="268">
        <f>SUM(C45:D46)</f>
        <v>39.475106873151645</v>
      </c>
      <c r="D48" s="10"/>
      <c r="G48" s="267" t="s">
        <v>104</v>
      </c>
      <c r="H48" s="85"/>
      <c r="I48" s="269"/>
      <c r="J48" s="103"/>
      <c r="K48" s="103"/>
      <c r="L48" s="270"/>
      <c r="M48" s="85"/>
      <c r="N48" s="85"/>
      <c r="O48" s="2"/>
      <c r="P48" s="2"/>
      <c r="U48" s="2"/>
      <c r="V48" s="2"/>
    </row>
    <row r="49" spans="1:22" ht="12.75" hidden="1" customHeight="1" x14ac:dyDescent="0.2">
      <c r="B49" s="81" t="s">
        <v>105</v>
      </c>
      <c r="C49" s="271">
        <f>CHIDIST(C48,1)</f>
        <v>3.3226813145325265E-10</v>
      </c>
      <c r="E49" s="10"/>
      <c r="F49" s="10"/>
      <c r="G49" s="84"/>
      <c r="H49" s="272"/>
      <c r="I49" s="84"/>
      <c r="J49" s="103"/>
      <c r="K49" s="103"/>
      <c r="L49" s="84"/>
      <c r="M49" s="85"/>
      <c r="N49" s="85"/>
      <c r="O49" s="2"/>
      <c r="P49" s="2"/>
      <c r="U49" s="2"/>
      <c r="V49" s="2"/>
    </row>
    <row r="50" spans="1:22" s="9" customFormat="1" ht="12.75" hidden="1" customHeight="1" x14ac:dyDescent="0.2">
      <c r="B50" s="81"/>
      <c r="E50" s="273"/>
      <c r="F50" s="273"/>
      <c r="G50" s="103"/>
      <c r="H50" s="103"/>
      <c r="I50" s="274"/>
      <c r="J50" s="103"/>
      <c r="K50" s="103"/>
      <c r="L50" s="103"/>
      <c r="M50" s="103"/>
      <c r="N50" s="103"/>
    </row>
    <row r="51" spans="1:22" ht="13.5" hidden="1" customHeight="1" x14ac:dyDescent="0.2">
      <c r="B51" s="411"/>
      <c r="G51" s="85"/>
      <c r="H51" s="85"/>
      <c r="I51" s="85"/>
      <c r="J51" s="103"/>
      <c r="K51" s="103"/>
      <c r="L51" s="85"/>
      <c r="M51" s="85"/>
      <c r="N51" s="85"/>
      <c r="O51" s="2"/>
      <c r="P51" s="2"/>
      <c r="U51" s="2"/>
      <c r="V51" s="2"/>
    </row>
    <row r="52" spans="1:22" ht="12.75" hidden="1" customHeight="1" x14ac:dyDescent="0.2">
      <c r="B52" s="81" t="s">
        <v>106</v>
      </c>
      <c r="C52" s="275"/>
      <c r="D52" s="275"/>
      <c r="E52" s="275"/>
      <c r="F52" s="275"/>
      <c r="G52" s="275"/>
      <c r="H52" s="276"/>
      <c r="I52" s="85"/>
      <c r="J52" s="277" t="s">
        <v>107</v>
      </c>
      <c r="K52" s="278"/>
      <c r="L52" s="279"/>
      <c r="M52" s="279"/>
      <c r="N52" s="279"/>
      <c r="O52" s="147"/>
      <c r="P52" s="2"/>
      <c r="U52" s="2"/>
      <c r="V52" s="2"/>
    </row>
    <row r="53" spans="1:22" ht="12.75" hidden="1" customHeight="1" x14ac:dyDescent="0.2">
      <c r="B53" s="81">
        <f>I2*100</f>
        <v>95</v>
      </c>
      <c r="C53" s="235"/>
      <c r="D53" s="235"/>
      <c r="E53" s="9"/>
      <c r="F53" s="9"/>
      <c r="G53" s="9"/>
      <c r="H53" s="159"/>
      <c r="I53" s="85"/>
      <c r="J53" s="280"/>
      <c r="K53" s="103"/>
      <c r="L53" s="84"/>
      <c r="M53" s="84"/>
      <c r="N53" s="84"/>
      <c r="O53" s="157"/>
      <c r="P53" s="2"/>
      <c r="U53" s="2"/>
      <c r="V53" s="2"/>
    </row>
    <row r="54" spans="1:22" ht="12.75" hidden="1" customHeight="1" x14ac:dyDescent="0.2">
      <c r="B54" s="411" t="s">
        <v>108</v>
      </c>
      <c r="C54" s="281"/>
      <c r="D54" s="281"/>
      <c r="E54" s="282">
        <f>ROUND(G14,2)</f>
        <v>0.27</v>
      </c>
      <c r="F54" s="283">
        <f>ROUND(J26,4)</f>
        <v>5.4000000000000003E-3</v>
      </c>
      <c r="G54" s="284">
        <f>ROUND(J27,0)</f>
        <v>185</v>
      </c>
      <c r="H54" s="285"/>
      <c r="I54" s="85"/>
      <c r="J54" s="286" t="s">
        <v>108</v>
      </c>
      <c r="K54" s="9"/>
      <c r="L54" s="9"/>
      <c r="M54" s="9"/>
      <c r="N54" s="84"/>
      <c r="O54" s="157"/>
      <c r="P54" s="2"/>
      <c r="U54" s="2"/>
      <c r="V54" s="2"/>
    </row>
    <row r="55" spans="1:22" ht="12.75" hidden="1" customHeight="1" x14ac:dyDescent="0.2">
      <c r="B55" s="81" t="s">
        <v>109</v>
      </c>
      <c r="C55" s="10"/>
      <c r="D55" s="10"/>
      <c r="E55" s="282">
        <f>ROUND(H14,2)</f>
        <v>0.18</v>
      </c>
      <c r="F55" s="283">
        <f>ROUND(L26,4)</f>
        <v>3.5999999999999999E-3</v>
      </c>
      <c r="G55" s="284">
        <f>ROUND(L27,0)</f>
        <v>275</v>
      </c>
      <c r="H55" s="285"/>
      <c r="I55" s="85"/>
      <c r="J55" s="286" t="s">
        <v>109</v>
      </c>
      <c r="K55" s="287" t="str">
        <f>ROUND(J21,4)*100&amp;J57</f>
        <v>0,2%</v>
      </c>
      <c r="L55" s="287" t="str">
        <f>ROUND(K21,4)*100&amp;J57</f>
        <v>0,14%</v>
      </c>
      <c r="M55" s="287" t="str">
        <f>ROUND(L21,4)*100&amp;J57</f>
        <v>0,3%</v>
      </c>
      <c r="N55" s="288" t="str">
        <f>CONCATENATE(K55," ",J54,L55," ",J58," ",M55,J56)</f>
        <v>0,2% (0,14% a 0,3%)</v>
      </c>
      <c r="O55" s="157"/>
      <c r="P55" s="2"/>
      <c r="U55" s="2"/>
      <c r="V55" s="2"/>
    </row>
    <row r="56" spans="1:22" s="8" customFormat="1" ht="12.75" hidden="1" customHeight="1" x14ac:dyDescent="0.2">
      <c r="B56" s="81" t="s">
        <v>110</v>
      </c>
      <c r="C56" s="281">
        <f>ROUND(D7,0)</f>
        <v>26</v>
      </c>
      <c r="D56" s="281">
        <f>ROUND(D8,0)</f>
        <v>95</v>
      </c>
      <c r="E56" s="282">
        <f>ROUND(I14,2)</f>
        <v>0.42</v>
      </c>
      <c r="F56" s="283">
        <f>ROUND(K26,4)</f>
        <v>7.1000000000000004E-3</v>
      </c>
      <c r="G56" s="284">
        <f>ROUND(K27,0)</f>
        <v>141</v>
      </c>
      <c r="H56" s="289">
        <f>ROUND(N32,4)</f>
        <v>1</v>
      </c>
      <c r="I56" s="125"/>
      <c r="J56" s="286" t="s">
        <v>110</v>
      </c>
      <c r="K56" s="290" t="str">
        <f>ROUND(J22,4)*100&amp;J57</f>
        <v>0,75%</v>
      </c>
      <c r="L56" s="290" t="str">
        <f>ROUND(K22,4)*100&amp;J57</f>
        <v>0,61%</v>
      </c>
      <c r="M56" s="290" t="str">
        <f>ROUND(L22,4)*100&amp;J57</f>
        <v>0,91%</v>
      </c>
      <c r="N56" s="288" t="str">
        <f>CONCATENATE(K56," ",J54,L56," ",J58," ",M56,J56)</f>
        <v>0,75% (0,61% a 0,91%)</v>
      </c>
      <c r="O56" s="159"/>
    </row>
    <row r="57" spans="1:22" ht="12.75" hidden="1" customHeight="1" x14ac:dyDescent="0.2">
      <c r="B57" s="411" t="s">
        <v>111</v>
      </c>
      <c r="C57" s="291" t="s">
        <v>112</v>
      </c>
      <c r="D57" s="291" t="s">
        <v>113</v>
      </c>
      <c r="E57" s="291" t="s">
        <v>28</v>
      </c>
      <c r="F57" s="291" t="s">
        <v>114</v>
      </c>
      <c r="G57" s="292" t="s">
        <v>11</v>
      </c>
      <c r="H57" s="12" t="s">
        <v>115</v>
      </c>
      <c r="I57" s="85"/>
      <c r="J57" s="286" t="s">
        <v>111</v>
      </c>
      <c r="K57" s="290" t="str">
        <f>ROUND(J23,4)*100&amp;J57</f>
        <v>0,48%</v>
      </c>
      <c r="L57" s="290" t="str">
        <f>ROUND(K23,4)*100&amp;J57</f>
        <v>0,4%</v>
      </c>
      <c r="M57" s="290" t="str">
        <f>ROUND(L23,4)*100&amp;J57</f>
        <v>0,57%</v>
      </c>
      <c r="N57" s="288" t="str">
        <f>CONCATENATE(K57," ",J54,L57," ",J58," ",M57,J56)</f>
        <v>0,48% (0,4% a 0,57%)</v>
      </c>
      <c r="O57" s="159"/>
    </row>
    <row r="58" spans="1:22" ht="12.75" hidden="1" customHeight="1" x14ac:dyDescent="0.2">
      <c r="B58" s="81" t="s">
        <v>116</v>
      </c>
      <c r="C58" s="293" t="str">
        <f>CONCATENATE(C56,B59,C21," ",B54,K55,B56)</f>
        <v>26/12726 (0,2%)</v>
      </c>
      <c r="D58" s="69" t="str">
        <f>CONCATENATE(D56,B59,C22," ",B54,K56,B56)</f>
        <v>95/12737 (0,75%)</v>
      </c>
      <c r="E58" s="293" t="str">
        <f>CONCATENATE(E54," ",B54,E55,B55,E56,B56)</f>
        <v>0,27 (0,18-0,42)</v>
      </c>
      <c r="F58" s="293" t="str">
        <f>CONCATENATE(F54*100,B57," ",B54,F55*100,B57," ",B58," ",F56*100,B57,B56)</f>
        <v>0,54% (0,36% a 0,71%)</v>
      </c>
      <c r="G58" s="12" t="str">
        <f>CONCATENATE(G54," ",B54,G56," ",B58," ",G55,B56)</f>
        <v>185 (141 a 275)</v>
      </c>
      <c r="H58" s="12" t="str">
        <f>CONCATENATE(H56*100,B57)</f>
        <v>100%</v>
      </c>
      <c r="I58" s="85"/>
      <c r="J58" s="294" t="s">
        <v>116</v>
      </c>
      <c r="K58" s="10"/>
      <c r="L58" s="10"/>
      <c r="M58" s="10"/>
      <c r="N58" s="84"/>
      <c r="O58" s="157"/>
      <c r="P58" s="2"/>
      <c r="U58" s="2"/>
      <c r="V58" s="2"/>
    </row>
    <row r="59" spans="1:22" ht="13.5" hidden="1" customHeight="1" x14ac:dyDescent="0.2">
      <c r="B59" s="81" t="s">
        <v>117</v>
      </c>
      <c r="C59" s="183"/>
      <c r="D59" s="183"/>
      <c r="E59" s="183"/>
      <c r="F59" s="183"/>
      <c r="G59" s="295"/>
      <c r="H59" s="296"/>
      <c r="I59" s="85"/>
      <c r="J59" s="297" t="s">
        <v>117</v>
      </c>
      <c r="K59" s="183"/>
      <c r="L59" s="183"/>
      <c r="M59" s="183"/>
      <c r="N59" s="298"/>
      <c r="O59" s="181"/>
      <c r="P59" s="2"/>
      <c r="U59" s="2"/>
      <c r="V59" s="2"/>
    </row>
    <row r="60" spans="1:22" x14ac:dyDescent="0.2">
      <c r="B60" s="411"/>
      <c r="G60" s="85"/>
      <c r="H60" s="85"/>
      <c r="I60" s="85"/>
      <c r="J60" s="85" t="e">
        <f t="shared" ref="J60:N60" si="0">1/J9</f>
        <v>#DIV/0!</v>
      </c>
      <c r="K60" s="85" t="e">
        <f t="shared" si="0"/>
        <v>#DIV/0!</v>
      </c>
      <c r="L60" s="85" t="e">
        <f t="shared" si="0"/>
        <v>#DIV/0!</v>
      </c>
      <c r="M60" s="85" t="e">
        <f t="shared" si="0"/>
        <v>#DIV/0!</v>
      </c>
      <c r="N60" s="85" t="e">
        <f t="shared" si="0"/>
        <v>#DIV/0!</v>
      </c>
      <c r="O60" s="85"/>
      <c r="P60" s="2"/>
      <c r="U60" s="2"/>
      <c r="V60" s="2"/>
    </row>
    <row r="61" spans="1:22" ht="27" customHeight="1" x14ac:dyDescent="0.2">
      <c r="B61" s="81"/>
      <c r="C61" s="299" t="s">
        <v>112</v>
      </c>
      <c r="D61" s="299" t="s">
        <v>113</v>
      </c>
      <c r="E61" s="300" t="str">
        <f>CONCATENATE(E57," ",B54,H2," ",B53,B57,B56)</f>
        <v>RR (IC 95%)</v>
      </c>
      <c r="F61" s="300" t="str">
        <f>CONCATENATE(F57," ",B54,H2," ",B53,B57,B56)</f>
        <v>RAR (IC 95%)</v>
      </c>
      <c r="G61" s="300" t="str">
        <f>CONCATENATE(G57," ",B54,H2," ",B53,B57,B56)</f>
        <v>NNT (IC 95%)</v>
      </c>
      <c r="H61" s="300" t="s">
        <v>72</v>
      </c>
      <c r="I61" s="301"/>
      <c r="J61" s="337" t="s">
        <v>130</v>
      </c>
      <c r="L61" s="309" t="s">
        <v>119</v>
      </c>
      <c r="M61" s="309" t="s">
        <v>120</v>
      </c>
      <c r="O61" s="374" t="s">
        <v>150</v>
      </c>
      <c r="P61" s="374" t="s">
        <v>120</v>
      </c>
      <c r="R61" s="375" t="s">
        <v>2</v>
      </c>
      <c r="S61" s="376" t="s">
        <v>3</v>
      </c>
      <c r="T61" s="377" t="s">
        <v>1</v>
      </c>
      <c r="U61" s="135" t="s">
        <v>147</v>
      </c>
      <c r="V61" s="2"/>
    </row>
    <row r="62" spans="1:22" ht="21" customHeight="1" x14ac:dyDescent="0.2">
      <c r="B62" s="81"/>
      <c r="C62" s="69" t="str">
        <f t="shared" ref="C62:H62" si="1">C58</f>
        <v>26/12726 (0,2%)</v>
      </c>
      <c r="D62" s="69" t="str">
        <f t="shared" si="1"/>
        <v>95/12737 (0,75%)</v>
      </c>
      <c r="E62" s="69" t="str">
        <f t="shared" si="1"/>
        <v>0,27 (0,18-0,42)</v>
      </c>
      <c r="F62" s="69" t="str">
        <f t="shared" si="1"/>
        <v>0,54% (0,36% a 0,71%)</v>
      </c>
      <c r="G62" s="69" t="str">
        <f t="shared" si="1"/>
        <v>185 (141 a 275)</v>
      </c>
      <c r="H62" s="69" t="str">
        <f t="shared" si="1"/>
        <v>100%</v>
      </c>
      <c r="I62" s="302"/>
      <c r="J62" s="303">
        <f>C49</f>
        <v>3.3226813145325265E-10</v>
      </c>
      <c r="L62" s="304">
        <f>IF((K26*L26&lt;0),J23,J21)</f>
        <v>2.0430614490020431E-3</v>
      </c>
      <c r="M62" s="304">
        <f>IF((K26*L26&lt;0),J23,J22)</f>
        <v>7.4585852241501136E-3</v>
      </c>
      <c r="O62" s="372">
        <f>L62*100</f>
        <v>0.20430614490020432</v>
      </c>
      <c r="P62" s="373">
        <f>M62*100</f>
        <v>0.74585852241501138</v>
      </c>
      <c r="R62" s="319">
        <f>Q14</f>
        <v>1.9871258910007017</v>
      </c>
      <c r="S62" s="320">
        <f>R14</f>
        <v>5.4155237751480709E-3</v>
      </c>
      <c r="T62" s="370">
        <f>S14</f>
        <v>7.4585852241501136E-3</v>
      </c>
      <c r="U62" s="371">
        <f>R62+S62+T62</f>
        <v>2</v>
      </c>
      <c r="V62" s="267" t="str">
        <f>I4</f>
        <v>meses</v>
      </c>
    </row>
    <row r="63" spans="1:22" x14ac:dyDescent="0.2">
      <c r="B63" s="86"/>
      <c r="C63" s="267"/>
      <c r="D63" s="267"/>
      <c r="E63" s="267"/>
      <c r="F63" s="267"/>
      <c r="G63" s="267"/>
      <c r="H63" s="267"/>
      <c r="I63" s="267"/>
      <c r="J63" s="267"/>
      <c r="K63" s="267"/>
      <c r="L63" s="267"/>
      <c r="M63" s="267"/>
      <c r="N63" s="267"/>
      <c r="O63" s="305"/>
    </row>
    <row r="64" spans="1:22" x14ac:dyDescent="0.2">
      <c r="A64" s="369" t="s">
        <v>157</v>
      </c>
      <c r="C64" s="306"/>
      <c r="D64" s="306"/>
      <c r="E64" s="254"/>
      <c r="F64" s="306"/>
      <c r="G64" s="306"/>
      <c r="H64" s="306"/>
      <c r="I64" s="307"/>
      <c r="J64" s="308"/>
      <c r="K64" s="267"/>
      <c r="L64" s="267"/>
      <c r="M64" s="267"/>
      <c r="N64" s="267"/>
      <c r="O64" s="305"/>
    </row>
    <row r="65" spans="1:25" x14ac:dyDescent="0.2">
      <c r="A65" s="386" t="s">
        <v>158</v>
      </c>
      <c r="C65" s="306"/>
      <c r="D65" s="306"/>
      <c r="E65" s="254"/>
      <c r="F65" s="306"/>
      <c r="G65" s="306"/>
      <c r="H65" s="306"/>
      <c r="I65" s="307"/>
      <c r="J65" s="308"/>
      <c r="K65" s="267"/>
      <c r="L65" s="267"/>
      <c r="M65" s="267"/>
      <c r="N65" s="267"/>
      <c r="O65" s="305"/>
      <c r="Y65" s="397"/>
    </row>
    <row r="66" spans="1:25" ht="13.5" thickBot="1" x14ac:dyDescent="0.25">
      <c r="B66" s="254"/>
      <c r="C66" s="306"/>
      <c r="D66" s="306"/>
      <c r="E66" s="306"/>
      <c r="F66" s="306"/>
      <c r="G66" s="306"/>
      <c r="H66" s="306"/>
      <c r="I66" s="347"/>
      <c r="J66" s="308"/>
      <c r="K66" s="267"/>
      <c r="L66" s="267"/>
      <c r="M66" s="267"/>
      <c r="N66" s="267"/>
      <c r="O66" s="305"/>
    </row>
    <row r="67" spans="1:25" ht="52.5" customHeight="1" thickBot="1" x14ac:dyDescent="0.25">
      <c r="A67" s="472" t="s">
        <v>205</v>
      </c>
      <c r="B67" s="473"/>
      <c r="C67" s="473"/>
      <c r="D67" s="473"/>
      <c r="E67" s="473"/>
      <c r="F67" s="473"/>
      <c r="G67" s="473"/>
      <c r="H67" s="474"/>
      <c r="I67" s="347"/>
      <c r="J67" s="308"/>
      <c r="K67" s="267"/>
      <c r="L67" s="267"/>
      <c r="M67" s="267"/>
      <c r="N67" s="267"/>
      <c r="O67" s="494" t="s">
        <v>140</v>
      </c>
      <c r="P67" s="495"/>
      <c r="Q67" s="380"/>
      <c r="R67" s="488" t="s">
        <v>144</v>
      </c>
      <c r="S67" s="491" t="s">
        <v>145</v>
      </c>
      <c r="T67" s="480" t="s">
        <v>146</v>
      </c>
      <c r="U67" s="483" t="s">
        <v>148</v>
      </c>
      <c r="V67" s="380"/>
    </row>
    <row r="68" spans="1:25" ht="42.75" customHeight="1" x14ac:dyDescent="0.2">
      <c r="A68" s="475" t="s">
        <v>204</v>
      </c>
      <c r="B68" s="416" t="s">
        <v>190</v>
      </c>
      <c r="C68" s="416" t="s">
        <v>191</v>
      </c>
      <c r="D68" s="417" t="s">
        <v>245</v>
      </c>
      <c r="E68" s="477" t="s">
        <v>143</v>
      </c>
      <c r="F68" s="478"/>
      <c r="G68" s="478"/>
      <c r="H68" s="479"/>
      <c r="I68" s="347"/>
      <c r="J68" s="496" t="s">
        <v>141</v>
      </c>
      <c r="K68" s="348"/>
      <c r="L68" s="349" t="s">
        <v>119</v>
      </c>
      <c r="M68" s="349" t="s">
        <v>120</v>
      </c>
      <c r="N68" s="348"/>
      <c r="O68" s="498" t="s">
        <v>149</v>
      </c>
      <c r="P68" s="499"/>
      <c r="Q68" s="380"/>
      <c r="R68" s="489"/>
      <c r="S68" s="492"/>
      <c r="T68" s="481"/>
      <c r="U68" s="484"/>
      <c r="V68" s="380"/>
    </row>
    <row r="69" spans="1:25" ht="39.75" customHeight="1" thickBot="1" x14ac:dyDescent="0.25">
      <c r="A69" s="476"/>
      <c r="B69" s="412" t="s">
        <v>142</v>
      </c>
      <c r="C69" s="412" t="s">
        <v>142</v>
      </c>
      <c r="D69" s="413" t="s">
        <v>142</v>
      </c>
      <c r="E69" s="350" t="s">
        <v>136</v>
      </c>
      <c r="F69" s="351" t="s">
        <v>137</v>
      </c>
      <c r="G69" s="351" t="s">
        <v>138</v>
      </c>
      <c r="H69" s="352" t="s">
        <v>118</v>
      </c>
      <c r="I69" s="347"/>
      <c r="J69" s="497"/>
      <c r="K69" s="348"/>
      <c r="L69" s="348"/>
      <c r="M69" s="348"/>
      <c r="N69" s="348"/>
      <c r="O69" s="382" t="s">
        <v>188</v>
      </c>
      <c r="P69" s="383" t="s">
        <v>201</v>
      </c>
      <c r="Q69" s="380"/>
      <c r="R69" s="490"/>
      <c r="S69" s="493"/>
      <c r="T69" s="482"/>
      <c r="U69" s="485"/>
      <c r="V69" s="380"/>
    </row>
    <row r="70" spans="1:25" ht="9.9499999999999993" customHeight="1" x14ac:dyDescent="0.2">
      <c r="B70" s="353"/>
      <c r="C70" s="354"/>
      <c r="D70" s="354"/>
      <c r="E70" s="355"/>
      <c r="F70" s="355"/>
      <c r="G70" s="355"/>
      <c r="H70" s="355"/>
      <c r="I70" s="347"/>
      <c r="J70" s="356"/>
      <c r="K70" s="357"/>
      <c r="L70" s="357"/>
      <c r="M70" s="357"/>
      <c r="N70" s="357"/>
      <c r="O70" s="357"/>
      <c r="P70" s="357"/>
      <c r="Q70" s="380"/>
      <c r="R70" s="380"/>
      <c r="S70" s="380"/>
      <c r="T70" s="380"/>
      <c r="U70" s="380"/>
      <c r="V70" s="380"/>
    </row>
    <row r="71" spans="1:25" ht="44.25" customHeight="1" x14ac:dyDescent="0.2">
      <c r="A71" s="467" t="s">
        <v>197</v>
      </c>
      <c r="B71" s="427" t="s">
        <v>166</v>
      </c>
      <c r="C71" s="427"/>
      <c r="D71" s="427" t="s">
        <v>161</v>
      </c>
      <c r="E71" s="427" t="s">
        <v>162</v>
      </c>
      <c r="F71" s="427" t="s">
        <v>163</v>
      </c>
      <c r="G71" s="428" t="s">
        <v>164</v>
      </c>
      <c r="H71" s="429">
        <v>1</v>
      </c>
      <c r="I71" s="347"/>
      <c r="J71" s="365">
        <v>0</v>
      </c>
      <c r="K71" s="348"/>
      <c r="L71" s="358">
        <v>2.0403358706740956E-3</v>
      </c>
      <c r="M71" s="358">
        <v>7.4585852241501136E-3</v>
      </c>
      <c r="N71" s="348"/>
      <c r="O71" s="421">
        <v>0.20403358706740957</v>
      </c>
      <c r="P71" s="422">
        <v>0.74585852241501138</v>
      </c>
      <c r="Q71" s="380"/>
      <c r="R71" s="423">
        <v>1.9871231654223738</v>
      </c>
      <c r="S71" s="424">
        <v>5.4182493534760175E-3</v>
      </c>
      <c r="T71" s="425">
        <v>7.4585852241501136E-3</v>
      </c>
      <c r="U71" s="426">
        <v>2</v>
      </c>
      <c r="V71" s="430" t="s">
        <v>124</v>
      </c>
    </row>
    <row r="72" spans="1:25" ht="44.25" customHeight="1" x14ac:dyDescent="0.2">
      <c r="A72" s="468"/>
      <c r="B72" s="427"/>
      <c r="C72" s="427" t="s">
        <v>168</v>
      </c>
      <c r="D72" s="427" t="s">
        <v>161</v>
      </c>
      <c r="E72" s="427" t="s">
        <v>169</v>
      </c>
      <c r="F72" s="427" t="s">
        <v>170</v>
      </c>
      <c r="G72" s="428" t="s">
        <v>171</v>
      </c>
      <c r="H72" s="429" t="s">
        <v>165</v>
      </c>
      <c r="I72" s="347"/>
      <c r="J72" s="398">
        <v>0</v>
      </c>
      <c r="K72" s="348"/>
      <c r="L72" s="358">
        <v>1.6501650165016502E-3</v>
      </c>
      <c r="M72" s="358">
        <v>7.4585852241501136E-3</v>
      </c>
      <c r="N72" s="348"/>
      <c r="O72" s="421">
        <v>0.16501650165016502</v>
      </c>
      <c r="P72" s="422">
        <v>0.74585852241501138</v>
      </c>
      <c r="Q72" s="380"/>
      <c r="R72" s="423">
        <v>1.9867329945682013</v>
      </c>
      <c r="S72" s="424">
        <v>5.8084202076484634E-3</v>
      </c>
      <c r="T72" s="425">
        <v>7.4585852241501136E-3</v>
      </c>
      <c r="U72" s="426">
        <v>2</v>
      </c>
      <c r="V72" s="430" t="s">
        <v>124</v>
      </c>
    </row>
    <row r="73" spans="1:25" ht="9.9499999999999993" customHeight="1" x14ac:dyDescent="0.2">
      <c r="B73" s="353"/>
      <c r="C73" s="354"/>
      <c r="D73" s="354"/>
      <c r="E73" s="355"/>
      <c r="F73" s="355"/>
      <c r="G73" s="355"/>
      <c r="H73" s="355"/>
      <c r="I73" s="347"/>
      <c r="J73" s="356"/>
      <c r="K73" s="357"/>
      <c r="L73" s="357"/>
      <c r="M73" s="357"/>
      <c r="N73" s="357"/>
      <c r="O73" s="357"/>
      <c r="P73" s="357"/>
      <c r="Q73" s="380"/>
      <c r="R73" s="380"/>
      <c r="S73" s="380"/>
      <c r="T73" s="380"/>
      <c r="U73" s="380"/>
      <c r="V73" s="380"/>
    </row>
    <row r="74" spans="1:25" ht="35.25" customHeight="1" x14ac:dyDescent="0.2">
      <c r="A74" s="467" t="s">
        <v>199</v>
      </c>
      <c r="B74" s="427" t="s">
        <v>179</v>
      </c>
      <c r="C74" s="427"/>
      <c r="D74" s="427" t="s">
        <v>173</v>
      </c>
      <c r="E74" s="432" t="s">
        <v>180</v>
      </c>
      <c r="F74" s="427" t="s">
        <v>174</v>
      </c>
      <c r="G74" s="433" t="s">
        <v>177</v>
      </c>
      <c r="H74" s="429" t="s">
        <v>178</v>
      </c>
      <c r="I74" s="347"/>
      <c r="J74" s="365">
        <v>0</v>
      </c>
      <c r="K74" s="348"/>
      <c r="L74" s="358">
        <v>7.8492935635792781E-5</v>
      </c>
      <c r="M74" s="358">
        <v>7.8492935635792781E-5</v>
      </c>
      <c r="N74" s="348"/>
      <c r="O74" s="426">
        <v>7.8492935635792772E-3</v>
      </c>
      <c r="P74" s="426">
        <v>7.8492935635792772E-3</v>
      </c>
      <c r="Q74" s="380"/>
      <c r="R74" s="381"/>
      <c r="S74" s="381"/>
      <c r="T74" s="381"/>
      <c r="U74" s="381"/>
      <c r="V74" s="381"/>
    </row>
    <row r="75" spans="1:25" ht="35.25" customHeight="1" x14ac:dyDescent="0.2">
      <c r="A75" s="468"/>
      <c r="B75" s="427"/>
      <c r="C75" s="427" t="s">
        <v>172</v>
      </c>
      <c r="D75" s="427" t="s">
        <v>173</v>
      </c>
      <c r="E75" s="432" t="s">
        <v>180</v>
      </c>
      <c r="F75" s="427" t="s">
        <v>174</v>
      </c>
      <c r="G75" s="433" t="s">
        <v>175</v>
      </c>
      <c r="H75" s="429" t="s">
        <v>176</v>
      </c>
      <c r="I75" s="347"/>
      <c r="J75" s="398">
        <v>0</v>
      </c>
      <c r="K75" s="348"/>
      <c r="L75" s="358">
        <v>7.854534029768684E-5</v>
      </c>
      <c r="M75" s="358">
        <v>7.854534029768684E-5</v>
      </c>
      <c r="N75" s="348"/>
      <c r="O75" s="426">
        <v>7.8545340297686839E-3</v>
      </c>
      <c r="P75" s="426">
        <v>7.8545340297686839E-3</v>
      </c>
      <c r="Q75" s="380"/>
      <c r="R75" s="381"/>
      <c r="S75" s="381"/>
      <c r="T75" s="381"/>
      <c r="U75" s="381"/>
      <c r="V75" s="381"/>
    </row>
    <row r="76" spans="1:25" ht="9.9499999999999993" customHeight="1" x14ac:dyDescent="0.2">
      <c r="B76" s="353"/>
      <c r="C76" s="354"/>
      <c r="D76" s="354"/>
      <c r="E76" s="355"/>
      <c r="F76" s="355"/>
      <c r="G76" s="355"/>
      <c r="H76" s="355"/>
      <c r="I76" s="347"/>
      <c r="J76" s="356"/>
      <c r="K76" s="357"/>
      <c r="L76" s="357"/>
      <c r="M76" s="357"/>
      <c r="N76" s="357"/>
      <c r="O76" s="357"/>
      <c r="P76" s="357"/>
      <c r="Q76" s="380"/>
      <c r="R76" s="380"/>
      <c r="S76" s="380"/>
      <c r="T76" s="380"/>
      <c r="U76" s="380"/>
      <c r="V76" s="380"/>
    </row>
    <row r="77" spans="1:25" ht="35.25" customHeight="1" x14ac:dyDescent="0.2">
      <c r="A77" s="467" t="s">
        <v>198</v>
      </c>
      <c r="B77" s="427" t="s">
        <v>184</v>
      </c>
      <c r="C77" s="427"/>
      <c r="D77" s="427" t="s">
        <v>181</v>
      </c>
      <c r="E77" s="427" t="s">
        <v>194</v>
      </c>
      <c r="F77" s="427" t="s">
        <v>182</v>
      </c>
      <c r="G77" s="433" t="s">
        <v>183</v>
      </c>
      <c r="H77" s="434" t="s">
        <v>195</v>
      </c>
      <c r="I77" s="347"/>
      <c r="J77" s="365">
        <v>0.41005939774627653</v>
      </c>
      <c r="K77" s="348"/>
      <c r="L77" s="358">
        <v>1.4538881684938504E-3</v>
      </c>
      <c r="M77" s="358">
        <v>1.4538881684938504E-3</v>
      </c>
      <c r="N77" s="348"/>
      <c r="O77" s="438">
        <v>0.14538881684938504</v>
      </c>
      <c r="P77" s="438">
        <v>0.14538881684938504</v>
      </c>
      <c r="Q77" s="380"/>
      <c r="R77" s="381"/>
      <c r="S77" s="381"/>
      <c r="T77" s="381"/>
      <c r="U77" s="381"/>
      <c r="V77" s="381"/>
    </row>
    <row r="78" spans="1:25" ht="35.25" customHeight="1" x14ac:dyDescent="0.2">
      <c r="A78" s="468"/>
      <c r="B78" s="427"/>
      <c r="C78" s="427" t="s">
        <v>185</v>
      </c>
      <c r="D78" s="427" t="s">
        <v>181</v>
      </c>
      <c r="E78" s="427" t="s">
        <v>192</v>
      </c>
      <c r="F78" s="427" t="s">
        <v>186</v>
      </c>
      <c r="G78" s="433" t="s">
        <v>187</v>
      </c>
      <c r="H78" s="434" t="s">
        <v>193</v>
      </c>
      <c r="I78" s="347"/>
      <c r="J78" s="398">
        <v>4.8280383894288792E-2</v>
      </c>
      <c r="K78" s="348"/>
      <c r="L78" s="358">
        <v>1.2187930017692155E-3</v>
      </c>
      <c r="M78" s="358">
        <v>1.2187930017692155E-3</v>
      </c>
      <c r="N78" s="348"/>
      <c r="O78" s="438">
        <v>0.12187930017692156</v>
      </c>
      <c r="P78" s="438">
        <v>0.12187930017692156</v>
      </c>
      <c r="Q78" s="380"/>
      <c r="R78" s="381"/>
      <c r="S78" s="381"/>
      <c r="T78" s="381"/>
      <c r="U78" s="381"/>
      <c r="V78" s="381"/>
    </row>
    <row r="79" spans="1:25" ht="6.75" customHeight="1" x14ac:dyDescent="0.2">
      <c r="B79" s="380"/>
      <c r="C79" s="380"/>
      <c r="D79" s="380"/>
      <c r="E79" s="380"/>
      <c r="F79" s="380"/>
      <c r="G79" s="380"/>
      <c r="H79" s="380"/>
      <c r="I79" s="380"/>
      <c r="J79" s="380"/>
      <c r="K79" s="380"/>
      <c r="L79" s="380"/>
      <c r="M79" s="380"/>
      <c r="N79" s="380"/>
      <c r="O79" s="380"/>
      <c r="P79" s="380"/>
      <c r="Q79" s="380"/>
      <c r="R79" s="380"/>
      <c r="S79" s="380"/>
      <c r="T79" s="380"/>
      <c r="U79" s="380"/>
      <c r="V79" s="380"/>
    </row>
    <row r="80" spans="1:25" ht="48" customHeight="1" x14ac:dyDescent="0.2">
      <c r="A80" s="463" t="s">
        <v>196</v>
      </c>
      <c r="B80" s="464"/>
      <c r="C80" s="464"/>
      <c r="D80" s="464"/>
      <c r="E80" s="464"/>
      <c r="F80" s="464"/>
      <c r="G80" s="464"/>
      <c r="H80" s="465"/>
      <c r="I80" s="380"/>
      <c r="J80" s="380"/>
      <c r="K80" s="380"/>
      <c r="L80" s="380"/>
      <c r="M80" s="380"/>
      <c r="N80" s="380"/>
      <c r="O80" s="380"/>
      <c r="P80" s="380"/>
      <c r="Q80" s="380"/>
      <c r="R80" s="380"/>
      <c r="S80" s="380"/>
      <c r="T80" s="380"/>
      <c r="U80" s="380"/>
      <c r="V80" s="380"/>
    </row>
    <row r="81" spans="1:22" ht="72" customHeight="1" x14ac:dyDescent="0.2">
      <c r="A81" s="466" t="s">
        <v>200</v>
      </c>
      <c r="B81" s="466"/>
      <c r="C81" s="466"/>
      <c r="D81" s="466"/>
      <c r="E81" s="466"/>
      <c r="F81" s="466"/>
      <c r="G81" s="466"/>
      <c r="H81" s="466"/>
      <c r="I81" s="380"/>
      <c r="J81" s="380"/>
      <c r="K81" s="380"/>
      <c r="L81" s="380"/>
      <c r="M81" s="380"/>
      <c r="N81" s="380"/>
      <c r="O81" s="380"/>
      <c r="P81" s="380"/>
      <c r="Q81" s="380"/>
      <c r="R81" s="380"/>
      <c r="S81" s="380"/>
      <c r="T81" s="380"/>
      <c r="U81" s="380"/>
      <c r="V81" s="380"/>
    </row>
    <row r="82" spans="1:22" ht="15.75" x14ac:dyDescent="0.25">
      <c r="A82" s="525"/>
      <c r="B82" s="525"/>
      <c r="C82" s="525"/>
      <c r="D82" s="525"/>
      <c r="E82" s="525"/>
      <c r="F82" s="525"/>
      <c r="G82" s="525"/>
      <c r="H82" s="525"/>
      <c r="I82" s="380"/>
      <c r="O82" s="380"/>
      <c r="P82" s="380"/>
      <c r="Q82" s="380"/>
      <c r="R82" s="380"/>
      <c r="S82" s="380"/>
      <c r="T82" s="380"/>
      <c r="U82" s="380"/>
      <c r="V82" s="380"/>
    </row>
    <row r="83" spans="1:22" ht="13.5" thickBot="1" x14ac:dyDescent="0.25">
      <c r="A83" s="380"/>
      <c r="B83" s="380"/>
      <c r="C83" s="380"/>
      <c r="D83" s="380"/>
      <c r="E83" s="380"/>
      <c r="F83" s="380"/>
      <c r="G83" s="380"/>
      <c r="H83" s="380"/>
      <c r="I83" s="380"/>
      <c r="O83" s="380"/>
      <c r="P83" s="380"/>
      <c r="Q83" s="380"/>
      <c r="R83" s="380"/>
      <c r="S83" s="380"/>
      <c r="T83" s="380"/>
      <c r="U83" s="380"/>
      <c r="V83" s="380"/>
    </row>
    <row r="84" spans="1:22" ht="53.25" customHeight="1" thickBot="1" x14ac:dyDescent="0.25">
      <c r="A84" s="500" t="s">
        <v>240</v>
      </c>
      <c r="B84" s="501"/>
      <c r="C84" s="501"/>
      <c r="D84" s="501"/>
      <c r="E84" s="501"/>
      <c r="F84" s="501"/>
      <c r="G84" s="501"/>
      <c r="H84" s="502"/>
      <c r="I84" s="307"/>
      <c r="J84" s="308"/>
      <c r="K84" s="267"/>
      <c r="L84" s="267"/>
      <c r="M84" s="267"/>
      <c r="N84" s="267"/>
      <c r="O84" s="505" t="s">
        <v>140</v>
      </c>
      <c r="P84" s="506"/>
      <c r="Q84" s="380"/>
      <c r="R84" s="380"/>
      <c r="S84" s="380"/>
      <c r="T84" s="380"/>
      <c r="U84" s="380"/>
      <c r="V84" s="380"/>
    </row>
    <row r="85" spans="1:22" ht="46.5" customHeight="1" x14ac:dyDescent="0.2">
      <c r="A85" s="475" t="s">
        <v>206</v>
      </c>
      <c r="B85" s="435" t="s">
        <v>202</v>
      </c>
      <c r="C85" s="435" t="s">
        <v>203</v>
      </c>
      <c r="D85" s="417" t="s">
        <v>246</v>
      </c>
      <c r="E85" s="477" t="s">
        <v>143</v>
      </c>
      <c r="F85" s="478"/>
      <c r="G85" s="478"/>
      <c r="H85" s="479"/>
      <c r="I85" s="347"/>
      <c r="J85" s="496" t="s">
        <v>141</v>
      </c>
      <c r="K85" s="348"/>
      <c r="L85" s="349" t="s">
        <v>119</v>
      </c>
      <c r="M85" s="349" t="s">
        <v>120</v>
      </c>
      <c r="N85" s="348"/>
      <c r="O85" s="498" t="s">
        <v>149</v>
      </c>
      <c r="P85" s="499"/>
      <c r="Q85" s="380"/>
      <c r="R85" s="380"/>
      <c r="S85" s="380"/>
      <c r="T85" s="380"/>
      <c r="U85" s="380"/>
      <c r="V85" s="380"/>
    </row>
    <row r="86" spans="1:22" ht="39" customHeight="1" thickBot="1" x14ac:dyDescent="0.25">
      <c r="A86" s="476"/>
      <c r="B86" s="412" t="s">
        <v>142</v>
      </c>
      <c r="C86" s="412" t="s">
        <v>142</v>
      </c>
      <c r="D86" s="413" t="s">
        <v>142</v>
      </c>
      <c r="E86" s="350" t="s">
        <v>136</v>
      </c>
      <c r="F86" s="351" t="s">
        <v>137</v>
      </c>
      <c r="G86" s="351" t="s">
        <v>138</v>
      </c>
      <c r="H86" s="352" t="s">
        <v>118</v>
      </c>
      <c r="I86" s="347"/>
      <c r="J86" s="507"/>
      <c r="K86" s="348"/>
      <c r="L86" s="348"/>
      <c r="M86" s="348"/>
      <c r="N86" s="348"/>
      <c r="O86" s="382" t="s">
        <v>188</v>
      </c>
      <c r="P86" s="383" t="s">
        <v>201</v>
      </c>
      <c r="Q86" s="380"/>
      <c r="R86" s="380"/>
      <c r="S86" s="380"/>
      <c r="T86" s="380"/>
      <c r="U86" s="380"/>
      <c r="V86" s="380"/>
    </row>
    <row r="87" spans="1:22" ht="7.5" customHeight="1" x14ac:dyDescent="0.2">
      <c r="B87" s="402"/>
      <c r="C87" s="401"/>
      <c r="D87" s="384"/>
      <c r="E87" s="385"/>
      <c r="F87" s="385"/>
      <c r="G87" s="385"/>
      <c r="H87" s="385"/>
      <c r="I87" s="347"/>
      <c r="J87" s="356"/>
      <c r="K87" s="348"/>
      <c r="L87" s="348"/>
      <c r="M87" s="348"/>
      <c r="N87" s="348"/>
      <c r="O87" s="400"/>
      <c r="P87" s="400"/>
      <c r="Q87" s="380"/>
      <c r="R87" s="380"/>
      <c r="S87" s="380"/>
      <c r="T87" s="380"/>
      <c r="U87" s="380"/>
      <c r="V87" s="380"/>
    </row>
    <row r="88" spans="1:22" ht="15.75" x14ac:dyDescent="0.2">
      <c r="A88" s="403" t="s">
        <v>207</v>
      </c>
      <c r="B88" s="403"/>
      <c r="C88" s="401"/>
      <c r="D88" s="384"/>
      <c r="E88" s="385"/>
      <c r="F88" s="385"/>
      <c r="G88" s="385"/>
      <c r="H88" s="385"/>
      <c r="I88" s="347"/>
      <c r="J88" s="356"/>
      <c r="K88" s="348"/>
      <c r="L88" s="348"/>
      <c r="M88" s="348"/>
      <c r="N88" s="348"/>
      <c r="O88" s="400"/>
      <c r="P88" s="400"/>
      <c r="Q88" s="380"/>
      <c r="R88" s="380"/>
      <c r="S88" s="380"/>
      <c r="T88" s="380"/>
      <c r="U88" s="380"/>
      <c r="V88" s="380"/>
    </row>
    <row r="89" spans="1:22" s="404" customFormat="1" ht="25.5" customHeight="1" x14ac:dyDescent="0.2">
      <c r="A89" s="467" t="s">
        <v>251</v>
      </c>
      <c r="B89" s="427" t="s">
        <v>228</v>
      </c>
      <c r="C89" s="454"/>
      <c r="D89" s="427" t="s">
        <v>224</v>
      </c>
      <c r="E89" s="427" t="s">
        <v>229</v>
      </c>
      <c r="F89" s="427" t="s">
        <v>230</v>
      </c>
      <c r="G89" s="439" t="s">
        <v>231</v>
      </c>
      <c r="H89" s="429">
        <v>0.94710000000000005</v>
      </c>
      <c r="I89" s="347"/>
      <c r="J89" s="365">
        <v>3.4712593625879461E-4</v>
      </c>
      <c r="K89" s="348"/>
      <c r="L89" s="358">
        <v>0.48314022578728461</v>
      </c>
      <c r="M89" s="358">
        <v>0.50494313536014268</v>
      </c>
      <c r="N89" s="348"/>
      <c r="O89" s="456">
        <v>48.314022578728462</v>
      </c>
      <c r="P89" s="457">
        <v>50.494313536014268</v>
      </c>
      <c r="Q89" s="380"/>
    </row>
    <row r="90" spans="1:22" s="404" customFormat="1" ht="24.75" customHeight="1" x14ac:dyDescent="0.2">
      <c r="A90" s="468"/>
      <c r="B90" s="427"/>
      <c r="C90" s="427" t="s">
        <v>218</v>
      </c>
      <c r="D90" s="427" t="s">
        <v>224</v>
      </c>
      <c r="E90" s="427" t="s">
        <v>225</v>
      </c>
      <c r="F90" s="427" t="s">
        <v>226</v>
      </c>
      <c r="G90" s="439" t="s">
        <v>227</v>
      </c>
      <c r="H90" s="429">
        <v>1</v>
      </c>
      <c r="I90" s="347"/>
      <c r="J90" s="398">
        <v>4.0814379814719453E-13</v>
      </c>
      <c r="K90" s="348"/>
      <c r="L90" s="358">
        <v>0.46076757479029024</v>
      </c>
      <c r="M90" s="358">
        <v>0.50494313536014268</v>
      </c>
      <c r="N90" s="348"/>
      <c r="O90" s="456">
        <v>46.076757479029027</v>
      </c>
      <c r="P90" s="457">
        <v>50.494313536014268</v>
      </c>
      <c r="Q90" s="380"/>
    </row>
    <row r="91" spans="1:22" s="404" customFormat="1" ht="17.25" customHeight="1" x14ac:dyDescent="0.25">
      <c r="A91" s="503" t="s">
        <v>250</v>
      </c>
      <c r="B91" s="399" t="s">
        <v>241</v>
      </c>
      <c r="C91" s="458"/>
      <c r="D91" s="399" t="s">
        <v>220</v>
      </c>
      <c r="E91" s="399" t="s">
        <v>242</v>
      </c>
      <c r="F91" s="399" t="s">
        <v>243</v>
      </c>
      <c r="G91" s="446" t="s">
        <v>244</v>
      </c>
      <c r="H91" s="453">
        <v>2.8899999999999999E-2</v>
      </c>
      <c r="I91" s="448"/>
      <c r="J91" s="449">
        <v>0.94992289192780477</v>
      </c>
      <c r="K91" s="450"/>
      <c r="L91" s="451">
        <v>7.9132146970316165E-3</v>
      </c>
      <c r="M91" s="451">
        <v>7.9132146970316165E-3</v>
      </c>
      <c r="N91" s="450"/>
      <c r="O91" s="461">
        <v>0.79132146970316164</v>
      </c>
      <c r="P91" s="461">
        <v>0.79132146970316164</v>
      </c>
      <c r="Q91" s="380"/>
    </row>
    <row r="92" spans="1:22" s="404" customFormat="1" ht="17.25" customHeight="1" x14ac:dyDescent="0.25">
      <c r="A92" s="504"/>
      <c r="B92" s="399"/>
      <c r="C92" s="399" t="s">
        <v>219</v>
      </c>
      <c r="D92" s="399" t="s">
        <v>220</v>
      </c>
      <c r="E92" s="399" t="s">
        <v>221</v>
      </c>
      <c r="F92" s="399" t="s">
        <v>222</v>
      </c>
      <c r="G92" s="446" t="s">
        <v>223</v>
      </c>
      <c r="H92" s="447">
        <v>0.1067</v>
      </c>
      <c r="I92" s="448"/>
      <c r="J92" s="452">
        <v>0.4741211755809504</v>
      </c>
      <c r="K92" s="450"/>
      <c r="L92" s="451">
        <v>7.5025999108601993E-3</v>
      </c>
      <c r="M92" s="451">
        <v>7.5025999108601993E-3</v>
      </c>
      <c r="N92" s="450"/>
      <c r="O92" s="461">
        <v>0.75025999108601993</v>
      </c>
      <c r="P92" s="461">
        <v>0.75025999108601993</v>
      </c>
      <c r="Q92" s="380"/>
    </row>
    <row r="93" spans="1:22" s="404" customFormat="1" ht="6" customHeight="1" x14ac:dyDescent="0.2">
      <c r="A93" s="440"/>
      <c r="B93" s="441"/>
      <c r="C93" s="441"/>
      <c r="D93" s="441"/>
      <c r="E93" s="441"/>
      <c r="F93" s="441"/>
      <c r="G93" s="442"/>
      <c r="H93" s="443"/>
      <c r="I93" s="347"/>
      <c r="J93" s="398"/>
      <c r="K93" s="348"/>
      <c r="L93" s="358"/>
      <c r="M93" s="358"/>
      <c r="N93" s="348"/>
      <c r="O93" s="444"/>
      <c r="P93" s="445"/>
      <c r="Q93" s="380"/>
    </row>
    <row r="94" spans="1:22" s="404" customFormat="1" ht="25.5" customHeight="1" x14ac:dyDescent="0.2">
      <c r="A94" s="467" t="s">
        <v>208</v>
      </c>
      <c r="B94" s="427" t="s">
        <v>213</v>
      </c>
      <c r="C94" s="427"/>
      <c r="D94" s="427" t="s">
        <v>209</v>
      </c>
      <c r="E94" s="427" t="s">
        <v>210</v>
      </c>
      <c r="F94" s="427" t="s">
        <v>211</v>
      </c>
      <c r="G94" s="439" t="s">
        <v>212</v>
      </c>
      <c r="H94" s="429">
        <v>0.2185</v>
      </c>
      <c r="I94" s="347"/>
      <c r="J94" s="365">
        <v>0.23686940961651132</v>
      </c>
      <c r="K94" s="348"/>
      <c r="L94" s="358">
        <v>5.2754764646877434E-3</v>
      </c>
      <c r="M94" s="358">
        <v>5.2754764646877434E-3</v>
      </c>
      <c r="N94" s="348"/>
      <c r="O94" s="438">
        <v>0.52754764646877439</v>
      </c>
      <c r="P94" s="438">
        <v>0.52754764646877439</v>
      </c>
      <c r="Q94" s="380"/>
    </row>
    <row r="95" spans="1:22" s="404" customFormat="1" ht="24.75" customHeight="1" x14ac:dyDescent="0.2">
      <c r="A95" s="468"/>
      <c r="B95" s="427"/>
      <c r="C95" s="427" t="s">
        <v>214</v>
      </c>
      <c r="D95" s="427" t="s">
        <v>209</v>
      </c>
      <c r="E95" s="427" t="s">
        <v>215</v>
      </c>
      <c r="F95" s="427" t="s">
        <v>216</v>
      </c>
      <c r="G95" s="439" t="s">
        <v>217</v>
      </c>
      <c r="H95" s="429">
        <v>0.37269999999999998</v>
      </c>
      <c r="I95" s="347"/>
      <c r="J95" s="398">
        <v>0.10199228496383483</v>
      </c>
      <c r="K95" s="348"/>
      <c r="L95" s="358">
        <v>5.088396969246769E-3</v>
      </c>
      <c r="M95" s="358">
        <v>5.088396969246769E-3</v>
      </c>
      <c r="N95" s="348"/>
      <c r="O95" s="438">
        <v>0.5088396969246769</v>
      </c>
      <c r="P95" s="438">
        <v>0.5088396969246769</v>
      </c>
      <c r="Q95" s="380"/>
    </row>
    <row r="96" spans="1:22" s="404" customFormat="1" ht="24.75" customHeight="1" x14ac:dyDescent="0.2">
      <c r="A96" s="455" t="s">
        <v>232</v>
      </c>
      <c r="B96" s="403"/>
      <c r="C96" s="401"/>
      <c r="D96" s="384"/>
      <c r="E96" s="385"/>
      <c r="F96" s="385"/>
      <c r="G96" s="385"/>
      <c r="H96" s="385"/>
      <c r="I96" s="347"/>
      <c r="J96" s="356"/>
      <c r="K96" s="348"/>
      <c r="L96" s="348"/>
      <c r="M96" s="348"/>
      <c r="N96" s="348"/>
      <c r="O96" s="400"/>
      <c r="P96" s="400"/>
      <c r="Q96" s="380"/>
    </row>
    <row r="97" spans="1:22" s="404" customFormat="1" ht="25.5" customHeight="1" x14ac:dyDescent="0.2">
      <c r="A97" s="467" t="s">
        <v>233</v>
      </c>
      <c r="B97" s="427" t="s">
        <v>234</v>
      </c>
      <c r="C97" s="427"/>
      <c r="D97" s="427" t="s">
        <v>235</v>
      </c>
      <c r="E97" s="427" t="s">
        <v>180</v>
      </c>
      <c r="F97" s="427" t="s">
        <v>236</v>
      </c>
      <c r="G97" s="427" t="s">
        <v>180</v>
      </c>
      <c r="H97" s="427" t="s">
        <v>180</v>
      </c>
      <c r="I97" s="347"/>
      <c r="J97" s="365" t="e">
        <v>#DIV/0!</v>
      </c>
      <c r="K97" s="348"/>
      <c r="L97" s="358">
        <v>0</v>
      </c>
      <c r="M97" s="358">
        <v>0</v>
      </c>
      <c r="N97" s="348"/>
      <c r="O97" s="462">
        <v>0</v>
      </c>
      <c r="P97" s="462">
        <v>0</v>
      </c>
      <c r="Q97" s="380"/>
    </row>
    <row r="98" spans="1:22" s="404" customFormat="1" ht="24.75" customHeight="1" x14ac:dyDescent="0.2">
      <c r="A98" s="468"/>
      <c r="B98" s="427"/>
      <c r="C98" s="427" t="s">
        <v>237</v>
      </c>
      <c r="D98" s="427" t="s">
        <v>235</v>
      </c>
      <c r="E98" s="427" t="s">
        <v>180</v>
      </c>
      <c r="F98" s="460" t="s">
        <v>238</v>
      </c>
      <c r="G98" s="459" t="s">
        <v>239</v>
      </c>
      <c r="H98" s="429">
        <v>0.2923</v>
      </c>
      <c r="I98" s="347"/>
      <c r="J98" s="398">
        <v>0.15756139096054253</v>
      </c>
      <c r="K98" s="348"/>
      <c r="L98" s="358">
        <v>7.4283167434259403E-5</v>
      </c>
      <c r="M98" s="358">
        <v>7.4283167434259403E-5</v>
      </c>
      <c r="N98" s="348"/>
      <c r="O98" s="426">
        <v>7.4283167434259405E-3</v>
      </c>
      <c r="P98" s="438">
        <v>7.4283167434259405E-3</v>
      </c>
      <c r="Q98" s="380"/>
    </row>
    <row r="99" spans="1:22" ht="47.25" customHeight="1" x14ac:dyDescent="0.2">
      <c r="A99" s="508" t="s">
        <v>156</v>
      </c>
      <c r="B99" s="508"/>
      <c r="C99" s="508"/>
      <c r="D99" s="508"/>
      <c r="E99" s="508"/>
      <c r="F99" s="508"/>
      <c r="G99" s="508"/>
      <c r="H99" s="508"/>
      <c r="I99" s="380"/>
      <c r="J99" s="380"/>
      <c r="K99" s="380"/>
      <c r="L99" s="380"/>
      <c r="M99" s="380"/>
      <c r="N99" s="380"/>
      <c r="O99" s="380"/>
      <c r="P99" s="380"/>
      <c r="Q99" s="380"/>
      <c r="R99" s="380"/>
      <c r="S99" s="380"/>
      <c r="T99" s="380"/>
      <c r="U99" s="380"/>
      <c r="V99" s="380"/>
    </row>
    <row r="100" spans="1:22" ht="49.5" customHeight="1" x14ac:dyDescent="0.2">
      <c r="A100" s="509" t="s">
        <v>155</v>
      </c>
      <c r="B100" s="509"/>
      <c r="C100" s="509"/>
      <c r="D100" s="509"/>
      <c r="E100" s="509"/>
      <c r="F100" s="509"/>
      <c r="G100" s="509"/>
      <c r="H100" s="509"/>
      <c r="I100" s="380"/>
      <c r="J100" s="380"/>
      <c r="K100" s="380"/>
      <c r="L100" s="380"/>
      <c r="M100" s="380"/>
      <c r="N100" s="380"/>
      <c r="O100" s="380"/>
      <c r="P100" s="380"/>
      <c r="Q100" s="380"/>
      <c r="R100" s="380"/>
      <c r="S100" s="380"/>
      <c r="T100" s="380"/>
      <c r="U100" s="380"/>
      <c r="V100" s="380"/>
    </row>
    <row r="101" spans="1:22" x14ac:dyDescent="0.2">
      <c r="I101" s="8"/>
      <c r="J101" s="8"/>
      <c r="K101" s="8"/>
      <c r="L101" s="8"/>
      <c r="M101" s="8"/>
      <c r="N101" s="8"/>
      <c r="O101" s="2"/>
      <c r="P101" s="2"/>
      <c r="Q101" s="380"/>
      <c r="U101" s="2"/>
      <c r="V101" s="2"/>
    </row>
    <row r="117" spans="15:22" x14ac:dyDescent="0.2">
      <c r="O117" s="2"/>
      <c r="P117" s="2"/>
      <c r="U117" s="2"/>
      <c r="V117" s="2"/>
    </row>
    <row r="118" spans="15:22" x14ac:dyDescent="0.2">
      <c r="O118" s="2"/>
      <c r="P118" s="2"/>
      <c r="U118" s="2"/>
      <c r="V118" s="2"/>
    </row>
    <row r="119" spans="15:22" x14ac:dyDescent="0.2">
      <c r="O119" s="2"/>
      <c r="P119" s="2"/>
      <c r="U119" s="2"/>
      <c r="V119" s="2"/>
    </row>
    <row r="120" spans="15:22" x14ac:dyDescent="0.2">
      <c r="O120" s="2"/>
      <c r="P120" s="2"/>
      <c r="U120" s="2"/>
      <c r="V120" s="2"/>
    </row>
    <row r="121" spans="15:22" x14ac:dyDescent="0.2">
      <c r="O121" s="2"/>
      <c r="P121" s="2"/>
      <c r="U121" s="2"/>
      <c r="V121" s="2"/>
    </row>
    <row r="122" spans="15:22" x14ac:dyDescent="0.2">
      <c r="O122" s="2"/>
      <c r="P122" s="2"/>
      <c r="U122" s="2"/>
      <c r="V122" s="2"/>
    </row>
    <row r="123" spans="15:22" x14ac:dyDescent="0.2">
      <c r="O123" s="2"/>
      <c r="P123" s="2"/>
      <c r="U123" s="2"/>
      <c r="V123" s="2"/>
    </row>
    <row r="124" spans="15:22" x14ac:dyDescent="0.2">
      <c r="O124" s="2"/>
      <c r="P124" s="2"/>
      <c r="U124" s="2"/>
      <c r="V124" s="2"/>
    </row>
    <row r="125" spans="15:22" x14ac:dyDescent="0.2">
      <c r="O125" s="2"/>
      <c r="P125" s="2"/>
      <c r="U125" s="2"/>
      <c r="V125" s="2"/>
    </row>
    <row r="126" spans="15:22" x14ac:dyDescent="0.2">
      <c r="O126" s="2"/>
      <c r="P126" s="2"/>
      <c r="U126" s="2"/>
      <c r="V126" s="2"/>
    </row>
    <row r="127" spans="15:22" x14ac:dyDescent="0.2">
      <c r="O127" s="2"/>
      <c r="P127" s="2"/>
      <c r="U127" s="2"/>
      <c r="V127" s="2"/>
    </row>
    <row r="128" spans="15:22" x14ac:dyDescent="0.2">
      <c r="O128" s="2"/>
      <c r="P128" s="2"/>
      <c r="U128" s="2"/>
      <c r="V128" s="2"/>
    </row>
    <row r="129" spans="15:22" x14ac:dyDescent="0.2">
      <c r="O129" s="2"/>
      <c r="P129" s="2"/>
      <c r="U129" s="2"/>
      <c r="V129" s="2"/>
    </row>
  </sheetData>
  <mergeCells count="29">
    <mergeCell ref="A99:H99"/>
    <mergeCell ref="A100:H100"/>
    <mergeCell ref="A97:A98"/>
    <mergeCell ref="A85:A86"/>
    <mergeCell ref="A89:A90"/>
    <mergeCell ref="A84:H84"/>
    <mergeCell ref="A94:A95"/>
    <mergeCell ref="A91:A92"/>
    <mergeCell ref="O85:P85"/>
    <mergeCell ref="O84:P84"/>
    <mergeCell ref="E85:H85"/>
    <mergeCell ref="J85:J86"/>
    <mergeCell ref="T67:T69"/>
    <mergeCell ref="U67:U69"/>
    <mergeCell ref="C44:D44"/>
    <mergeCell ref="R67:R69"/>
    <mergeCell ref="S67:S69"/>
    <mergeCell ref="O67:P67"/>
    <mergeCell ref="J68:J69"/>
    <mergeCell ref="O68:P68"/>
    <mergeCell ref="A80:H80"/>
    <mergeCell ref="A81:H81"/>
    <mergeCell ref="A74:A75"/>
    <mergeCell ref="A77:A78"/>
    <mergeCell ref="A3:E3"/>
    <mergeCell ref="A67:H67"/>
    <mergeCell ref="A68:A69"/>
    <mergeCell ref="E68:H68"/>
    <mergeCell ref="A71:A72"/>
  </mergeCells>
  <pageMargins left="0.7" right="0.7" top="0.75" bottom="0.75" header="0.3" footer="0.3"/>
  <pageSetup paperSize="9" orientation="portrait" horizontalDpi="300" verticalDpi="300" r:id="rId1"/>
  <ignoredErrors>
    <ignoredError sqref="H72 H74:H75 H77:H7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6"/>
  <sheetViews>
    <sheetView topLeftCell="A3" zoomScaleNormal="100" workbookViewId="0">
      <selection activeCell="H7" sqref="H7"/>
    </sheetView>
  </sheetViews>
  <sheetFormatPr baseColWidth="10" defaultRowHeight="15" x14ac:dyDescent="0.25"/>
  <cols>
    <col min="1" max="1" width="19" customWidth="1"/>
    <col min="3" max="3" width="10.5703125" customWidth="1"/>
    <col min="4" max="4" width="12.140625" customWidth="1"/>
    <col min="5" max="5" width="4.28515625" customWidth="1"/>
    <col min="6" max="6" width="5.140625" customWidth="1"/>
    <col min="7" max="7" width="2.28515625" customWidth="1"/>
    <col min="8" max="8" width="1.7109375" customWidth="1"/>
    <col min="9" max="10" width="2" customWidth="1"/>
    <col min="11" max="11" width="3.7109375" customWidth="1"/>
    <col min="12" max="12" width="2.28515625" customWidth="1"/>
    <col min="13" max="13" width="1.7109375" customWidth="1"/>
    <col min="14" max="15" width="2" customWidth="1"/>
    <col min="16" max="16" width="5.42578125" style="23" customWidth="1"/>
    <col min="17" max="24" width="3.7109375" style="23" customWidth="1"/>
  </cols>
  <sheetData>
    <row r="1" spans="1:21" hidden="1" x14ac:dyDescent="0.25">
      <c r="A1" s="22" t="str">
        <f>B7</f>
        <v>meses</v>
      </c>
      <c r="B1" s="22" t="s">
        <v>4</v>
      </c>
      <c r="C1" s="22" t="s">
        <v>5</v>
      </c>
      <c r="D1" s="22" t="s">
        <v>6</v>
      </c>
      <c r="E1" s="22"/>
      <c r="F1" s="22"/>
      <c r="P1"/>
      <c r="Q1"/>
      <c r="R1"/>
      <c r="S1"/>
      <c r="T1"/>
    </row>
    <row r="2" spans="1:21" hidden="1" x14ac:dyDescent="0.25">
      <c r="A2" s="22" t="s">
        <v>7</v>
      </c>
      <c r="B2" s="22" t="s">
        <v>8</v>
      </c>
      <c r="C2" s="22" t="s">
        <v>9</v>
      </c>
      <c r="D2" s="22" t="s">
        <v>10</v>
      </c>
      <c r="E2" s="22" t="str">
        <f>CONCATENATE(B2," ",B5," ",C2," ",B11," ",B7)</f>
        <v>puede representarse llegando los 185 pacientes, a los 2 meses</v>
      </c>
      <c r="F2" s="22"/>
      <c r="G2" s="24" t="str">
        <f>CONCATENATE(A2," ",E2,D2)</f>
        <v>NO puede representarse llegando los 185 pacientes, a los 2 meses, pues habría que recortar o ampliar los tiempos respectivos de uno o más pacientes "libres de evento" o "con evento"</v>
      </c>
      <c r="H2" s="24"/>
      <c r="I2" s="24"/>
      <c r="P2"/>
      <c r="Q2"/>
      <c r="R2"/>
      <c r="S2"/>
      <c r="T2"/>
    </row>
    <row r="3" spans="1:21" ht="8.25" customHeight="1" x14ac:dyDescent="0.25">
      <c r="A3" s="25"/>
      <c r="C3" s="25"/>
      <c r="D3" s="25"/>
      <c r="E3" s="25"/>
      <c r="F3" s="25"/>
      <c r="G3" s="25"/>
      <c r="H3" s="25"/>
      <c r="I3" s="25"/>
      <c r="J3" s="25"/>
      <c r="K3" s="26"/>
      <c r="P3"/>
      <c r="Q3"/>
      <c r="R3"/>
      <c r="S3"/>
      <c r="T3"/>
    </row>
    <row r="4" spans="1:21" ht="24" customHeight="1" x14ac:dyDescent="0.25">
      <c r="A4" s="388" t="s">
        <v>247</v>
      </c>
      <c r="D4" s="25"/>
      <c r="E4" s="25"/>
      <c r="F4" s="25"/>
      <c r="G4" s="25"/>
      <c r="H4" s="25"/>
      <c r="I4" s="25"/>
      <c r="J4" s="1"/>
      <c r="K4" s="26"/>
      <c r="O4" s="369"/>
      <c r="P4" s="369"/>
      <c r="Q4"/>
      <c r="S4"/>
      <c r="T4"/>
    </row>
    <row r="5" spans="1:21" x14ac:dyDescent="0.25">
      <c r="A5" s="396" t="s">
        <v>152</v>
      </c>
      <c r="B5" s="27">
        <f>C5+D5+E5</f>
        <v>185</v>
      </c>
      <c r="C5" s="359">
        <v>1</v>
      </c>
      <c r="D5" s="28">
        <v>1</v>
      </c>
      <c r="E5" s="29">
        <v>183</v>
      </c>
      <c r="G5" s="25"/>
      <c r="H5" s="25"/>
      <c r="I5" s="25"/>
      <c r="J5" s="3"/>
      <c r="K5" s="25"/>
      <c r="O5" s="386"/>
      <c r="P5" s="386"/>
      <c r="Q5"/>
      <c r="R5" s="369" t="s">
        <v>157</v>
      </c>
      <c r="S5"/>
      <c r="T5"/>
    </row>
    <row r="6" spans="1:21" ht="14.25" customHeight="1" x14ac:dyDescent="0.25">
      <c r="A6" s="25"/>
      <c r="C6" s="30"/>
      <c r="D6" s="31"/>
      <c r="E6" s="32"/>
      <c r="F6" s="25"/>
      <c r="G6" s="25"/>
      <c r="H6" s="25"/>
      <c r="I6" s="25"/>
      <c r="J6" s="25"/>
      <c r="K6" s="25"/>
      <c r="P6"/>
      <c r="Q6"/>
      <c r="R6" s="386" t="s">
        <v>158</v>
      </c>
      <c r="S6"/>
      <c r="T6"/>
    </row>
    <row r="7" spans="1:21" ht="39.75" customHeight="1" x14ac:dyDescent="0.25">
      <c r="A7" s="395" t="s">
        <v>153</v>
      </c>
      <c r="B7" s="33" t="s">
        <v>124</v>
      </c>
      <c r="C7" s="34" t="str">
        <f>CONCATENATE(A1," ",B1," ",B5," ",C1)</f>
        <v>meses de los 185 del grupo Interv</v>
      </c>
      <c r="D7" s="34" t="str">
        <f>CONCATENATE(A1," ",B1," ",B5," ",D1)</f>
        <v>meses de los 185 del grupo Contr</v>
      </c>
      <c r="E7" s="25"/>
      <c r="F7" s="25"/>
      <c r="G7" s="25"/>
      <c r="H7" s="25"/>
      <c r="I7" s="25"/>
      <c r="J7" s="25"/>
      <c r="K7" s="25"/>
      <c r="P7"/>
      <c r="Q7"/>
      <c r="R7"/>
      <c r="S7"/>
      <c r="T7"/>
    </row>
    <row r="8" spans="1:21" x14ac:dyDescent="0.25">
      <c r="A8" s="35" t="s">
        <v>1</v>
      </c>
      <c r="B8" s="36">
        <v>7.4585852241501136E-3</v>
      </c>
      <c r="C8" s="387">
        <f>B8*B5</f>
        <v>1.3798382664677711</v>
      </c>
      <c r="D8" s="512">
        <f>(B8+B9)*B5</f>
        <v>2.3822143968608342</v>
      </c>
      <c r="E8" s="37"/>
      <c r="F8" s="37"/>
      <c r="G8" s="38"/>
      <c r="H8" s="38"/>
      <c r="I8" s="38"/>
      <c r="J8" s="25"/>
      <c r="K8" s="25"/>
      <c r="P8"/>
      <c r="Q8"/>
      <c r="R8"/>
      <c r="S8"/>
      <c r="T8"/>
    </row>
    <row r="9" spans="1:21" ht="26.25" x14ac:dyDescent="0.25">
      <c r="A9" s="39" t="s">
        <v>3</v>
      </c>
      <c r="B9" s="40">
        <v>5.4182493534760175E-3</v>
      </c>
      <c r="C9" s="513">
        <f>(B10+B9)*B5</f>
        <v>368.6201617335322</v>
      </c>
      <c r="D9" s="512"/>
      <c r="E9" s="31"/>
      <c r="F9" s="41"/>
      <c r="G9" s="38"/>
      <c r="H9" s="38"/>
      <c r="I9" s="38"/>
      <c r="J9" s="25"/>
      <c r="K9" s="25"/>
      <c r="P9"/>
      <c r="Q9"/>
      <c r="R9"/>
      <c r="S9"/>
      <c r="T9"/>
    </row>
    <row r="10" spans="1:21" ht="26.25" x14ac:dyDescent="0.25">
      <c r="A10" s="42" t="s">
        <v>2</v>
      </c>
      <c r="B10" s="43">
        <v>1.9871231654223738</v>
      </c>
      <c r="C10" s="513"/>
      <c r="D10" s="44">
        <f>B10*B5</f>
        <v>367.61778560313917</v>
      </c>
      <c r="E10" s="30"/>
      <c r="F10" s="41"/>
      <c r="G10" s="45"/>
      <c r="H10" s="45"/>
      <c r="I10" s="45"/>
      <c r="J10" s="25"/>
      <c r="K10" s="25"/>
      <c r="P10"/>
      <c r="Q10"/>
      <c r="R10"/>
      <c r="S10"/>
      <c r="T10"/>
    </row>
    <row r="11" spans="1:21" x14ac:dyDescent="0.25">
      <c r="A11" s="4"/>
      <c r="B11" s="46">
        <v>2</v>
      </c>
      <c r="C11" s="47">
        <f>C8+C9</f>
        <v>369.99999999999994</v>
      </c>
      <c r="D11" s="47">
        <f>D8+D10</f>
        <v>370</v>
      </c>
      <c r="E11" s="48"/>
      <c r="F11" s="48"/>
      <c r="G11" s="48"/>
      <c r="H11" s="48"/>
      <c r="I11" s="48"/>
      <c r="J11" s="25"/>
      <c r="K11" s="25"/>
      <c r="P11"/>
      <c r="Q11"/>
      <c r="R11"/>
      <c r="S11"/>
      <c r="T11"/>
    </row>
    <row r="12" spans="1:21" ht="9" customHeight="1" x14ac:dyDescent="0.25">
      <c r="A12" s="25"/>
      <c r="B12" s="25"/>
      <c r="C12" s="25"/>
      <c r="D12" s="25"/>
      <c r="E12" s="25"/>
      <c r="F12" s="25"/>
      <c r="G12" s="25"/>
      <c r="H12" s="25"/>
      <c r="I12" s="25"/>
      <c r="J12" s="25"/>
      <c r="K12" s="25"/>
      <c r="P12"/>
      <c r="Q12"/>
      <c r="R12"/>
      <c r="S12"/>
      <c r="T12"/>
    </row>
    <row r="13" spans="1:21" x14ac:dyDescent="0.25">
      <c r="A13" s="25"/>
      <c r="B13" s="25"/>
      <c r="C13" s="21">
        <f>(E5+D5)*B11</f>
        <v>368</v>
      </c>
      <c r="D13" s="21">
        <f>E5*B11</f>
        <v>366</v>
      </c>
      <c r="E13" s="25"/>
      <c r="F13" s="49" t="s">
        <v>12</v>
      </c>
      <c r="G13" s="25"/>
      <c r="H13" s="25"/>
      <c r="I13" s="25"/>
      <c r="J13" s="25"/>
      <c r="K13" s="25"/>
      <c r="P13"/>
      <c r="Q13"/>
      <c r="R13"/>
      <c r="S13"/>
      <c r="T13"/>
      <c r="U13"/>
    </row>
    <row r="14" spans="1:21" ht="36" customHeight="1" x14ac:dyDescent="0.25">
      <c r="A14" s="514" t="s">
        <v>13</v>
      </c>
      <c r="B14" s="514"/>
      <c r="C14" s="50">
        <f>C9-C13</f>
        <v>0.62016173353219983</v>
      </c>
      <c r="D14" s="50">
        <f>D10-D13</f>
        <v>1.6177856031391684</v>
      </c>
      <c r="F14" s="520" t="str">
        <f>IF((AND(((B9+B10)/B11)&gt;((D5+E5)/B5),(B10/B11)&gt;(E5/B5))),E2,G2)</f>
        <v>puede representarse llegando los 185 pacientes, a los 2 meses</v>
      </c>
      <c r="G14" s="521"/>
      <c r="H14" s="521"/>
      <c r="I14" s="521"/>
      <c r="J14" s="521"/>
      <c r="K14" s="521"/>
      <c r="L14" s="521"/>
      <c r="M14" s="521"/>
      <c r="N14" s="521"/>
      <c r="O14" s="521"/>
      <c r="P14" s="521"/>
      <c r="Q14" s="521"/>
      <c r="R14" s="522"/>
      <c r="S14"/>
      <c r="T14"/>
      <c r="U14"/>
    </row>
    <row r="15" spans="1:21" ht="18.75" customHeight="1" x14ac:dyDescent="0.25">
      <c r="A15" s="51"/>
      <c r="B15" s="51"/>
      <c r="C15" s="51"/>
      <c r="D15" s="51"/>
      <c r="F15" s="52"/>
      <c r="G15" s="52"/>
      <c r="H15" s="52"/>
      <c r="I15" s="52"/>
      <c r="J15" s="52"/>
      <c r="K15" s="52"/>
      <c r="L15" s="52"/>
      <c r="M15" s="52"/>
      <c r="N15" s="52"/>
      <c r="O15" s="52"/>
      <c r="P15" s="52"/>
      <c r="Q15" s="52"/>
      <c r="R15" s="52"/>
      <c r="S15" s="52"/>
      <c r="T15" s="52"/>
    </row>
    <row r="16" spans="1:21" ht="17.25" customHeight="1" x14ac:dyDescent="0.25">
      <c r="A16" s="405" t="s">
        <v>167</v>
      </c>
      <c r="B16" s="406"/>
      <c r="C16" s="406"/>
      <c r="D16" s="407"/>
      <c r="G16" s="53" t="s">
        <v>139</v>
      </c>
      <c r="H16" s="53"/>
      <c r="I16" s="53"/>
      <c r="J16" s="52"/>
      <c r="K16" s="52"/>
      <c r="L16" s="53" t="s">
        <v>249</v>
      </c>
      <c r="M16" s="53"/>
      <c r="N16" s="53"/>
      <c r="O16" s="52"/>
      <c r="P16" s="52"/>
      <c r="Q16" s="52"/>
      <c r="R16" s="52"/>
      <c r="S16" s="52"/>
      <c r="T16" s="52"/>
    </row>
    <row r="17" spans="1:24" x14ac:dyDescent="0.25">
      <c r="A17" s="437" t="s">
        <v>190</v>
      </c>
      <c r="B17" s="436"/>
      <c r="C17" s="436"/>
      <c r="D17" s="436"/>
      <c r="G17" s="53" t="s">
        <v>126</v>
      </c>
      <c r="H17" s="53"/>
      <c r="I17" s="53"/>
      <c r="J17" s="53"/>
      <c r="L17" s="53" t="s">
        <v>126</v>
      </c>
      <c r="M17" s="53"/>
      <c r="N17" s="53"/>
    </row>
    <row r="18" spans="1:24" x14ac:dyDescent="0.25">
      <c r="A18" s="437" t="s">
        <v>159</v>
      </c>
      <c r="B18" s="436"/>
      <c r="C18" s="436"/>
      <c r="D18" s="436"/>
      <c r="F18" s="23"/>
      <c r="G18" s="517">
        <v>1</v>
      </c>
      <c r="H18" s="517"/>
      <c r="I18" s="517">
        <v>2</v>
      </c>
      <c r="J18" s="517"/>
      <c r="K18" s="410"/>
      <c r="L18" s="517">
        <v>1</v>
      </c>
      <c r="M18" s="517"/>
      <c r="N18" s="517">
        <v>2</v>
      </c>
      <c r="O18" s="517"/>
    </row>
    <row r="19" spans="1:24" x14ac:dyDescent="0.25">
      <c r="E19" s="54" t="s">
        <v>14</v>
      </c>
      <c r="F19" s="59">
        <v>185</v>
      </c>
      <c r="G19" s="57"/>
      <c r="H19" s="362"/>
      <c r="I19" s="523"/>
      <c r="J19" s="524"/>
      <c r="K19" s="23"/>
      <c r="L19" s="57"/>
      <c r="M19" s="362"/>
      <c r="N19" s="523"/>
      <c r="O19" s="524"/>
      <c r="P19" s="59">
        <v>185</v>
      </c>
      <c r="Q19" s="55" t="s">
        <v>14</v>
      </c>
      <c r="R19" s="56"/>
      <c r="S19" s="56"/>
      <c r="T19" s="56"/>
      <c r="U19" s="56"/>
      <c r="V19" s="56"/>
      <c r="W19" s="56"/>
      <c r="X19" s="56"/>
    </row>
    <row r="20" spans="1:24" ht="16.5" thickBot="1" x14ac:dyDescent="0.3">
      <c r="F20" s="360">
        <v>184</v>
      </c>
      <c r="G20" s="515"/>
      <c r="H20" s="516"/>
      <c r="I20" s="515"/>
      <c r="J20" s="516"/>
      <c r="K20" s="23"/>
      <c r="L20" s="515"/>
      <c r="M20" s="516"/>
      <c r="N20" s="523"/>
      <c r="O20" s="524"/>
      <c r="P20" s="361">
        <v>184</v>
      </c>
      <c r="Q20" s="56"/>
      <c r="R20" s="56"/>
      <c r="S20" s="56"/>
      <c r="T20" s="56"/>
      <c r="U20" s="56"/>
      <c r="V20" s="56"/>
      <c r="W20" s="56"/>
      <c r="X20" s="56"/>
    </row>
    <row r="21" spans="1:24" x14ac:dyDescent="0.25">
      <c r="A21" s="321" t="s">
        <v>132</v>
      </c>
      <c r="B21" s="322"/>
      <c r="C21" s="322"/>
      <c r="D21" s="323"/>
      <c r="F21" s="58">
        <v>183</v>
      </c>
      <c r="G21" s="518"/>
      <c r="H21" s="519"/>
      <c r="I21" s="518"/>
      <c r="J21" s="519"/>
      <c r="K21" s="23"/>
      <c r="L21" s="518"/>
      <c r="M21" s="519"/>
      <c r="N21" s="518"/>
      <c r="O21" s="519"/>
      <c r="P21" s="58">
        <v>183</v>
      </c>
      <c r="Q21" s="56"/>
      <c r="R21" s="56"/>
      <c r="S21" s="56"/>
      <c r="T21" s="56"/>
      <c r="U21" s="56"/>
      <c r="V21" s="56"/>
      <c r="W21" s="56"/>
      <c r="X21" s="56"/>
    </row>
    <row r="22" spans="1:24" x14ac:dyDescent="0.25">
      <c r="A22" s="324" t="s">
        <v>127</v>
      </c>
      <c r="B22" s="325" t="s">
        <v>128</v>
      </c>
      <c r="C22" s="325" t="s">
        <v>114</v>
      </c>
      <c r="D22" s="326" t="s">
        <v>11</v>
      </c>
      <c r="F22" s="58">
        <v>182</v>
      </c>
      <c r="G22" s="518"/>
      <c r="H22" s="519"/>
      <c r="I22" s="518"/>
      <c r="J22" s="519"/>
      <c r="K22" s="23"/>
      <c r="L22" s="518"/>
      <c r="M22" s="519"/>
      <c r="N22" s="518"/>
      <c r="O22" s="519"/>
      <c r="P22" s="58">
        <v>182</v>
      </c>
      <c r="Q22" s="56"/>
      <c r="R22" s="56"/>
      <c r="S22" s="56"/>
      <c r="T22" s="56"/>
      <c r="U22" s="56"/>
      <c r="V22" s="56"/>
      <c r="W22" s="56"/>
      <c r="X22" s="56"/>
    </row>
    <row r="23" spans="1:24" x14ac:dyDescent="0.25">
      <c r="A23" s="327">
        <v>2.0403358706740956E-3</v>
      </c>
      <c r="B23" s="328">
        <v>7.4585852241501136E-3</v>
      </c>
      <c r="C23" s="329">
        <f>B23-A23</f>
        <v>5.4182493534760175E-3</v>
      </c>
      <c r="D23" s="330">
        <f>1/C23</f>
        <v>184.56145791047086</v>
      </c>
      <c r="F23" s="58">
        <v>181</v>
      </c>
      <c r="G23" s="518"/>
      <c r="H23" s="519"/>
      <c r="I23" s="518"/>
      <c r="J23" s="519"/>
      <c r="K23" s="23"/>
      <c r="L23" s="518"/>
      <c r="M23" s="519"/>
      <c r="N23" s="518"/>
      <c r="O23" s="519"/>
      <c r="P23" s="58">
        <v>181</v>
      </c>
      <c r="Q23" s="56"/>
      <c r="R23" s="56"/>
      <c r="S23" s="56"/>
      <c r="T23" s="56"/>
      <c r="U23" s="56"/>
      <c r="V23" s="56"/>
      <c r="W23" s="56"/>
      <c r="X23" s="56"/>
    </row>
    <row r="24" spans="1:24" ht="15.75" thickBot="1" x14ac:dyDescent="0.3">
      <c r="A24" s="331" t="s">
        <v>129</v>
      </c>
      <c r="B24" s="336">
        <f>A23*D23</f>
        <v>0.37656736291864101</v>
      </c>
      <c r="C24" s="332">
        <f>C23*D23</f>
        <v>1</v>
      </c>
      <c r="D24" s="333">
        <f>(1-B23)*D23</f>
        <v>183.18489054755221</v>
      </c>
      <c r="F24" s="58">
        <v>180</v>
      </c>
      <c r="G24" s="518"/>
      <c r="H24" s="519"/>
      <c r="I24" s="518"/>
      <c r="J24" s="519"/>
      <c r="K24" s="23"/>
      <c r="L24" s="518"/>
      <c r="M24" s="519"/>
      <c r="N24" s="518"/>
      <c r="O24" s="519"/>
      <c r="P24" s="58">
        <v>180</v>
      </c>
      <c r="Q24" s="56"/>
      <c r="R24" s="56"/>
      <c r="S24" s="56"/>
      <c r="T24" s="56"/>
      <c r="U24" s="56"/>
      <c r="V24" s="56"/>
      <c r="W24" s="56"/>
      <c r="X24" s="56"/>
    </row>
    <row r="25" spans="1:24" x14ac:dyDescent="0.25">
      <c r="F25" s="58">
        <v>179</v>
      </c>
      <c r="G25" s="518"/>
      <c r="H25" s="519"/>
      <c r="I25" s="518"/>
      <c r="J25" s="519"/>
      <c r="K25" s="23"/>
      <c r="L25" s="518"/>
      <c r="M25" s="519"/>
      <c r="N25" s="518"/>
      <c r="O25" s="519"/>
      <c r="P25" s="58">
        <v>179</v>
      </c>
      <c r="Q25" s="56"/>
      <c r="R25" s="56"/>
      <c r="S25" s="56"/>
      <c r="T25" s="56"/>
      <c r="U25" s="56"/>
      <c r="V25" s="56"/>
      <c r="W25" s="56"/>
      <c r="X25" s="56"/>
    </row>
    <row r="26" spans="1:24" x14ac:dyDescent="0.25">
      <c r="B26" s="431"/>
      <c r="F26" s="58">
        <v>178</v>
      </c>
      <c r="G26" s="518"/>
      <c r="H26" s="519"/>
      <c r="I26" s="518"/>
      <c r="J26" s="519"/>
      <c r="K26" s="23"/>
      <c r="L26" s="518"/>
      <c r="M26" s="519"/>
      <c r="N26" s="518"/>
      <c r="O26" s="519"/>
      <c r="P26" s="58">
        <v>178</v>
      </c>
      <c r="Q26" s="56"/>
      <c r="R26" s="56"/>
      <c r="S26" s="56"/>
      <c r="T26" s="56"/>
      <c r="U26" s="56"/>
      <c r="V26" s="56"/>
      <c r="W26" s="56"/>
      <c r="X26" s="56"/>
    </row>
    <row r="27" spans="1:24" x14ac:dyDescent="0.25">
      <c r="B27" s="431"/>
      <c r="F27" s="58">
        <v>177</v>
      </c>
      <c r="G27" s="518"/>
      <c r="H27" s="519"/>
      <c r="I27" s="518"/>
      <c r="J27" s="519"/>
      <c r="K27" s="23"/>
      <c r="L27" s="518"/>
      <c r="M27" s="519"/>
      <c r="N27" s="518"/>
      <c r="O27" s="519"/>
      <c r="P27" s="58">
        <v>177</v>
      </c>
      <c r="Q27" s="56"/>
      <c r="R27" s="56"/>
      <c r="S27" s="56"/>
      <c r="T27" s="56"/>
      <c r="U27" s="56"/>
      <c r="V27" s="56"/>
      <c r="W27" s="56"/>
      <c r="X27" s="56"/>
    </row>
    <row r="28" spans="1:24" x14ac:dyDescent="0.25">
      <c r="F28" s="58">
        <v>176</v>
      </c>
      <c r="G28" s="518"/>
      <c r="H28" s="519"/>
      <c r="I28" s="518"/>
      <c r="J28" s="519"/>
      <c r="K28" s="23"/>
      <c r="L28" s="518"/>
      <c r="M28" s="519"/>
      <c r="N28" s="518"/>
      <c r="O28" s="519"/>
      <c r="P28" s="58">
        <v>176</v>
      </c>
    </row>
    <row r="29" spans="1:24" x14ac:dyDescent="0.25">
      <c r="F29" s="58">
        <v>175</v>
      </c>
      <c r="G29" s="518"/>
      <c r="H29" s="519"/>
      <c r="I29" s="518"/>
      <c r="J29" s="519"/>
      <c r="K29" s="23"/>
      <c r="L29" s="518"/>
      <c r="M29" s="519"/>
      <c r="N29" s="518"/>
      <c r="O29" s="519"/>
      <c r="P29" s="58">
        <v>175</v>
      </c>
    </row>
    <row r="30" spans="1:24" x14ac:dyDescent="0.25">
      <c r="F30" s="58">
        <v>174</v>
      </c>
      <c r="G30" s="518"/>
      <c r="H30" s="519"/>
      <c r="I30" s="518"/>
      <c r="J30" s="519"/>
      <c r="K30" s="23"/>
      <c r="L30" s="518"/>
      <c r="M30" s="519"/>
      <c r="N30" s="518"/>
      <c r="O30" s="519"/>
      <c r="P30" s="58">
        <v>174</v>
      </c>
    </row>
    <row r="31" spans="1:24" x14ac:dyDescent="0.25">
      <c r="F31" s="58">
        <v>173</v>
      </c>
      <c r="G31" s="518"/>
      <c r="H31" s="519"/>
      <c r="I31" s="518"/>
      <c r="J31" s="519"/>
      <c r="K31" s="23"/>
      <c r="L31" s="518"/>
      <c r="M31" s="519"/>
      <c r="N31" s="518"/>
      <c r="O31" s="519"/>
      <c r="P31" s="58">
        <v>173</v>
      </c>
    </row>
    <row r="32" spans="1:24" x14ac:dyDescent="0.25">
      <c r="F32" s="58">
        <v>172</v>
      </c>
      <c r="G32" s="518"/>
      <c r="H32" s="519"/>
      <c r="I32" s="518"/>
      <c r="J32" s="519"/>
      <c r="K32" s="23"/>
      <c r="L32" s="518"/>
      <c r="M32" s="519"/>
      <c r="N32" s="518"/>
      <c r="O32" s="519"/>
      <c r="P32" s="58">
        <v>172</v>
      </c>
    </row>
    <row r="33" spans="6:16" x14ac:dyDescent="0.25">
      <c r="F33" s="58">
        <v>171</v>
      </c>
      <c r="G33" s="518"/>
      <c r="H33" s="519"/>
      <c r="I33" s="518"/>
      <c r="J33" s="519"/>
      <c r="K33" s="23"/>
      <c r="L33" s="518"/>
      <c r="M33" s="519"/>
      <c r="N33" s="518"/>
      <c r="O33" s="519"/>
      <c r="P33" s="58">
        <v>171</v>
      </c>
    </row>
    <row r="34" spans="6:16" x14ac:dyDescent="0.25">
      <c r="F34" s="58">
        <v>170</v>
      </c>
      <c r="G34" s="518"/>
      <c r="H34" s="519"/>
      <c r="I34" s="518"/>
      <c r="J34" s="519"/>
      <c r="K34" s="23"/>
      <c r="L34" s="518"/>
      <c r="M34" s="519"/>
      <c r="N34" s="518"/>
      <c r="O34" s="519"/>
      <c r="P34" s="58">
        <v>170</v>
      </c>
    </row>
    <row r="35" spans="6:16" x14ac:dyDescent="0.25">
      <c r="F35" s="58">
        <v>169</v>
      </c>
      <c r="G35" s="518"/>
      <c r="H35" s="519"/>
      <c r="I35" s="518"/>
      <c r="J35" s="519"/>
      <c r="K35" s="23"/>
      <c r="L35" s="518"/>
      <c r="M35" s="519"/>
      <c r="N35" s="518"/>
      <c r="O35" s="519"/>
      <c r="P35" s="58">
        <v>169</v>
      </c>
    </row>
    <row r="36" spans="6:16" x14ac:dyDescent="0.25">
      <c r="F36" s="58">
        <v>168</v>
      </c>
      <c r="G36" s="518"/>
      <c r="H36" s="519"/>
      <c r="I36" s="518"/>
      <c r="J36" s="519"/>
      <c r="K36" s="23"/>
      <c r="L36" s="518"/>
      <c r="M36" s="519"/>
      <c r="N36" s="518"/>
      <c r="O36" s="519"/>
      <c r="P36" s="58">
        <v>168</v>
      </c>
    </row>
    <row r="37" spans="6:16" x14ac:dyDescent="0.25">
      <c r="F37" s="58">
        <v>167</v>
      </c>
      <c r="G37" s="518"/>
      <c r="H37" s="519"/>
      <c r="I37" s="518"/>
      <c r="J37" s="519"/>
      <c r="K37" s="23"/>
      <c r="L37" s="518"/>
      <c r="M37" s="519"/>
      <c r="N37" s="518"/>
      <c r="O37" s="519"/>
      <c r="P37" s="58">
        <v>167</v>
      </c>
    </row>
    <row r="38" spans="6:16" x14ac:dyDescent="0.25">
      <c r="F38" s="58">
        <v>166</v>
      </c>
      <c r="G38" s="518"/>
      <c r="H38" s="519"/>
      <c r="I38" s="518"/>
      <c r="J38" s="519"/>
      <c r="K38" s="23"/>
      <c r="L38" s="518"/>
      <c r="M38" s="519"/>
      <c r="N38" s="518"/>
      <c r="O38" s="519"/>
      <c r="P38" s="58">
        <v>166</v>
      </c>
    </row>
    <row r="39" spans="6:16" x14ac:dyDescent="0.25">
      <c r="F39" s="58">
        <v>165</v>
      </c>
      <c r="G39" s="518"/>
      <c r="H39" s="519"/>
      <c r="I39" s="518"/>
      <c r="J39" s="519"/>
      <c r="K39" s="23"/>
      <c r="L39" s="518"/>
      <c r="M39" s="519"/>
      <c r="N39" s="518"/>
      <c r="O39" s="519"/>
      <c r="P39" s="58">
        <v>165</v>
      </c>
    </row>
    <row r="40" spans="6:16" x14ac:dyDescent="0.25">
      <c r="F40" s="58">
        <v>164</v>
      </c>
      <c r="G40" s="518"/>
      <c r="H40" s="519"/>
      <c r="I40" s="518"/>
      <c r="J40" s="519"/>
      <c r="K40" s="23"/>
      <c r="L40" s="518"/>
      <c r="M40" s="519"/>
      <c r="N40" s="518"/>
      <c r="O40" s="519"/>
      <c r="P40" s="58">
        <v>164</v>
      </c>
    </row>
    <row r="41" spans="6:16" x14ac:dyDescent="0.25">
      <c r="F41" s="58">
        <v>163</v>
      </c>
      <c r="G41" s="518"/>
      <c r="H41" s="519"/>
      <c r="I41" s="518"/>
      <c r="J41" s="519"/>
      <c r="K41" s="23"/>
      <c r="L41" s="518"/>
      <c r="M41" s="519"/>
      <c r="N41" s="518"/>
      <c r="O41" s="519"/>
      <c r="P41" s="58">
        <v>163</v>
      </c>
    </row>
    <row r="42" spans="6:16" x14ac:dyDescent="0.25">
      <c r="F42" s="58">
        <v>162</v>
      </c>
      <c r="G42" s="518"/>
      <c r="H42" s="519"/>
      <c r="I42" s="518"/>
      <c r="J42" s="519"/>
      <c r="K42" s="23"/>
      <c r="L42" s="518"/>
      <c r="M42" s="519"/>
      <c r="N42" s="518"/>
      <c r="O42" s="519"/>
      <c r="P42" s="58">
        <v>162</v>
      </c>
    </row>
    <row r="43" spans="6:16" x14ac:dyDescent="0.25">
      <c r="F43" s="58">
        <v>161</v>
      </c>
      <c r="G43" s="518"/>
      <c r="H43" s="519"/>
      <c r="I43" s="518"/>
      <c r="J43" s="519"/>
      <c r="K43" s="23"/>
      <c r="L43" s="518"/>
      <c r="M43" s="519"/>
      <c r="N43" s="518"/>
      <c r="O43" s="519"/>
      <c r="P43" s="58">
        <v>161</v>
      </c>
    </row>
    <row r="44" spans="6:16" x14ac:dyDescent="0.25">
      <c r="F44" s="58">
        <v>160</v>
      </c>
      <c r="G44" s="518"/>
      <c r="H44" s="519"/>
      <c r="I44" s="518"/>
      <c r="J44" s="519"/>
      <c r="K44" s="23"/>
      <c r="L44" s="518"/>
      <c r="M44" s="519"/>
      <c r="N44" s="518"/>
      <c r="O44" s="519"/>
      <c r="P44" s="58">
        <v>160</v>
      </c>
    </row>
    <row r="45" spans="6:16" x14ac:dyDescent="0.25">
      <c r="F45" s="58">
        <v>159</v>
      </c>
      <c r="G45" s="518"/>
      <c r="H45" s="519"/>
      <c r="I45" s="518"/>
      <c r="J45" s="519"/>
      <c r="K45" s="23"/>
      <c r="L45" s="518"/>
      <c r="M45" s="519"/>
      <c r="N45" s="518"/>
      <c r="O45" s="519"/>
      <c r="P45" s="58">
        <v>159</v>
      </c>
    </row>
    <row r="46" spans="6:16" x14ac:dyDescent="0.25">
      <c r="F46" s="58">
        <v>158</v>
      </c>
      <c r="G46" s="518"/>
      <c r="H46" s="519"/>
      <c r="I46" s="518"/>
      <c r="J46" s="519"/>
      <c r="K46" s="23"/>
      <c r="L46" s="518"/>
      <c r="M46" s="519"/>
      <c r="N46" s="518"/>
      <c r="O46" s="519"/>
      <c r="P46" s="58">
        <v>158</v>
      </c>
    </row>
    <row r="47" spans="6:16" x14ac:dyDescent="0.25">
      <c r="F47" s="58">
        <v>157</v>
      </c>
      <c r="G47" s="518"/>
      <c r="H47" s="519"/>
      <c r="I47" s="518"/>
      <c r="J47" s="519"/>
      <c r="K47" s="23"/>
      <c r="L47" s="518"/>
      <c r="M47" s="519"/>
      <c r="N47" s="518"/>
      <c r="O47" s="519"/>
      <c r="P47" s="58">
        <v>157</v>
      </c>
    </row>
    <row r="48" spans="6:16" x14ac:dyDescent="0.25">
      <c r="F48" s="58">
        <v>156</v>
      </c>
      <c r="G48" s="518"/>
      <c r="H48" s="519"/>
      <c r="I48" s="518"/>
      <c r="J48" s="519"/>
      <c r="K48" s="23"/>
      <c r="L48" s="518"/>
      <c r="M48" s="519"/>
      <c r="N48" s="518"/>
      <c r="O48" s="519"/>
      <c r="P48" s="58">
        <v>156</v>
      </c>
    </row>
    <row r="49" spans="6:16" x14ac:dyDescent="0.25">
      <c r="F49" s="58">
        <v>155</v>
      </c>
      <c r="G49" s="518"/>
      <c r="H49" s="519"/>
      <c r="I49" s="518"/>
      <c r="J49" s="519"/>
      <c r="K49" s="23"/>
      <c r="L49" s="518"/>
      <c r="M49" s="519"/>
      <c r="N49" s="518"/>
      <c r="O49" s="519"/>
      <c r="P49" s="58">
        <v>155</v>
      </c>
    </row>
    <row r="50" spans="6:16" x14ac:dyDescent="0.25">
      <c r="F50" s="58">
        <v>154</v>
      </c>
      <c r="G50" s="518"/>
      <c r="H50" s="519"/>
      <c r="I50" s="518"/>
      <c r="J50" s="519"/>
      <c r="K50" s="23"/>
      <c r="L50" s="518"/>
      <c r="M50" s="519"/>
      <c r="N50" s="518"/>
      <c r="O50" s="519"/>
      <c r="P50" s="58">
        <v>154</v>
      </c>
    </row>
    <row r="51" spans="6:16" x14ac:dyDescent="0.25">
      <c r="F51" s="58">
        <v>153</v>
      </c>
      <c r="G51" s="518"/>
      <c r="H51" s="519"/>
      <c r="I51" s="518"/>
      <c r="J51" s="519"/>
      <c r="K51" s="23"/>
      <c r="L51" s="518"/>
      <c r="M51" s="519"/>
      <c r="N51" s="518"/>
      <c r="O51" s="519"/>
      <c r="P51" s="58">
        <v>153</v>
      </c>
    </row>
    <row r="52" spans="6:16" x14ac:dyDescent="0.25">
      <c r="F52" s="58">
        <v>152</v>
      </c>
      <c r="G52" s="518"/>
      <c r="H52" s="519"/>
      <c r="I52" s="518"/>
      <c r="J52" s="519"/>
      <c r="K52" s="23"/>
      <c r="L52" s="518"/>
      <c r="M52" s="519"/>
      <c r="N52" s="518"/>
      <c r="O52" s="519"/>
      <c r="P52" s="58">
        <v>152</v>
      </c>
    </row>
    <row r="53" spans="6:16" x14ac:dyDescent="0.25">
      <c r="F53" s="58">
        <v>151</v>
      </c>
      <c r="G53" s="518"/>
      <c r="H53" s="519"/>
      <c r="I53" s="518"/>
      <c r="J53" s="519"/>
      <c r="K53" s="23"/>
      <c r="L53" s="518"/>
      <c r="M53" s="519"/>
      <c r="N53" s="518"/>
      <c r="O53" s="519"/>
      <c r="P53" s="58">
        <v>151</v>
      </c>
    </row>
    <row r="54" spans="6:16" x14ac:dyDescent="0.25">
      <c r="F54" s="58">
        <v>150</v>
      </c>
      <c r="G54" s="518"/>
      <c r="H54" s="519"/>
      <c r="I54" s="518"/>
      <c r="J54" s="519"/>
      <c r="K54" s="23"/>
      <c r="L54" s="518"/>
      <c r="M54" s="519"/>
      <c r="N54" s="518"/>
      <c r="O54" s="519"/>
      <c r="P54" s="58">
        <v>150</v>
      </c>
    </row>
    <row r="55" spans="6:16" x14ac:dyDescent="0.25">
      <c r="F55" s="58">
        <v>149</v>
      </c>
      <c r="G55" s="518"/>
      <c r="H55" s="519"/>
      <c r="I55" s="518"/>
      <c r="J55" s="519"/>
      <c r="K55" s="23"/>
      <c r="L55" s="518"/>
      <c r="M55" s="519"/>
      <c r="N55" s="518"/>
      <c r="O55" s="519"/>
      <c r="P55" s="58">
        <v>149</v>
      </c>
    </row>
    <row r="56" spans="6:16" x14ac:dyDescent="0.25">
      <c r="F56" s="58">
        <v>148</v>
      </c>
      <c r="G56" s="518"/>
      <c r="H56" s="519"/>
      <c r="I56" s="518"/>
      <c r="J56" s="519"/>
      <c r="K56" s="23"/>
      <c r="L56" s="518"/>
      <c r="M56" s="519"/>
      <c r="N56" s="518"/>
      <c r="O56" s="519"/>
      <c r="P56" s="58">
        <v>148</v>
      </c>
    </row>
    <row r="57" spans="6:16" x14ac:dyDescent="0.25">
      <c r="F57" s="58">
        <v>147</v>
      </c>
      <c r="G57" s="518"/>
      <c r="H57" s="519"/>
      <c r="I57" s="518"/>
      <c r="J57" s="519"/>
      <c r="K57" s="23"/>
      <c r="L57" s="518"/>
      <c r="M57" s="519"/>
      <c r="N57" s="518"/>
      <c r="O57" s="519"/>
      <c r="P57" s="58">
        <v>147</v>
      </c>
    </row>
    <row r="58" spans="6:16" x14ac:dyDescent="0.25">
      <c r="F58" s="58">
        <v>146</v>
      </c>
      <c r="G58" s="518"/>
      <c r="H58" s="519"/>
      <c r="I58" s="518"/>
      <c r="J58" s="519"/>
      <c r="K58" s="23"/>
      <c r="L58" s="518"/>
      <c r="M58" s="519"/>
      <c r="N58" s="518"/>
      <c r="O58" s="519"/>
      <c r="P58" s="58">
        <v>146</v>
      </c>
    </row>
    <row r="59" spans="6:16" x14ac:dyDescent="0.25">
      <c r="F59" s="58">
        <v>145</v>
      </c>
      <c r="G59" s="518"/>
      <c r="H59" s="519"/>
      <c r="I59" s="518"/>
      <c r="J59" s="519"/>
      <c r="K59" s="23"/>
      <c r="L59" s="518"/>
      <c r="M59" s="519"/>
      <c r="N59" s="518"/>
      <c r="O59" s="519"/>
      <c r="P59" s="58">
        <v>145</v>
      </c>
    </row>
    <row r="60" spans="6:16" x14ac:dyDescent="0.25">
      <c r="F60" s="58">
        <v>144</v>
      </c>
      <c r="G60" s="518"/>
      <c r="H60" s="519"/>
      <c r="I60" s="518"/>
      <c r="J60" s="519"/>
      <c r="K60" s="23"/>
      <c r="L60" s="518"/>
      <c r="M60" s="519"/>
      <c r="N60" s="518"/>
      <c r="O60" s="519"/>
      <c r="P60" s="58">
        <v>144</v>
      </c>
    </row>
    <row r="61" spans="6:16" x14ac:dyDescent="0.25">
      <c r="F61" s="58">
        <v>143</v>
      </c>
      <c r="G61" s="518"/>
      <c r="H61" s="519"/>
      <c r="I61" s="518"/>
      <c r="J61" s="519"/>
      <c r="K61" s="23"/>
      <c r="L61" s="518"/>
      <c r="M61" s="519"/>
      <c r="N61" s="518"/>
      <c r="O61" s="519"/>
      <c r="P61" s="58">
        <v>143</v>
      </c>
    </row>
    <row r="62" spans="6:16" x14ac:dyDescent="0.25">
      <c r="F62" s="58">
        <v>142</v>
      </c>
      <c r="G62" s="518"/>
      <c r="H62" s="519"/>
      <c r="I62" s="518"/>
      <c r="J62" s="519"/>
      <c r="K62" s="23"/>
      <c r="L62" s="518"/>
      <c r="M62" s="519"/>
      <c r="N62" s="518"/>
      <c r="O62" s="519"/>
      <c r="P62" s="58">
        <v>142</v>
      </c>
    </row>
    <row r="63" spans="6:16" x14ac:dyDescent="0.25">
      <c r="F63" s="58">
        <v>141</v>
      </c>
      <c r="G63" s="518"/>
      <c r="H63" s="519"/>
      <c r="I63" s="518"/>
      <c r="J63" s="519"/>
      <c r="K63" s="23"/>
      <c r="L63" s="518"/>
      <c r="M63" s="519"/>
      <c r="N63" s="518"/>
      <c r="O63" s="519"/>
      <c r="P63" s="58">
        <v>141</v>
      </c>
    </row>
    <row r="64" spans="6:16" x14ac:dyDescent="0.25">
      <c r="F64" s="58">
        <v>140</v>
      </c>
      <c r="G64" s="518"/>
      <c r="H64" s="519"/>
      <c r="I64" s="518"/>
      <c r="J64" s="519"/>
      <c r="K64" s="23"/>
      <c r="L64" s="518"/>
      <c r="M64" s="519"/>
      <c r="N64" s="518"/>
      <c r="O64" s="519"/>
      <c r="P64" s="58">
        <v>140</v>
      </c>
    </row>
    <row r="65" spans="6:16" x14ac:dyDescent="0.25">
      <c r="F65" s="58">
        <v>139</v>
      </c>
      <c r="G65" s="518"/>
      <c r="H65" s="519"/>
      <c r="I65" s="518"/>
      <c r="J65" s="519"/>
      <c r="K65" s="23"/>
      <c r="L65" s="518"/>
      <c r="M65" s="519"/>
      <c r="N65" s="518"/>
      <c r="O65" s="519"/>
      <c r="P65" s="58">
        <v>139</v>
      </c>
    </row>
    <row r="66" spans="6:16" x14ac:dyDescent="0.25">
      <c r="F66" s="58">
        <v>138</v>
      </c>
      <c r="G66" s="518"/>
      <c r="H66" s="519"/>
      <c r="I66" s="518"/>
      <c r="J66" s="519"/>
      <c r="K66" s="23"/>
      <c r="L66" s="518"/>
      <c r="M66" s="519"/>
      <c r="N66" s="518"/>
      <c r="O66" s="519"/>
      <c r="P66" s="58">
        <v>138</v>
      </c>
    </row>
    <row r="67" spans="6:16" x14ac:dyDescent="0.25">
      <c r="F67" s="58">
        <v>137</v>
      </c>
      <c r="G67" s="518"/>
      <c r="H67" s="519"/>
      <c r="I67" s="518"/>
      <c r="J67" s="519"/>
      <c r="K67" s="23"/>
      <c r="L67" s="518"/>
      <c r="M67" s="519"/>
      <c r="N67" s="518"/>
      <c r="O67" s="519"/>
      <c r="P67" s="58">
        <v>137</v>
      </c>
    </row>
    <row r="68" spans="6:16" x14ac:dyDescent="0.25">
      <c r="F68" s="58">
        <v>136</v>
      </c>
      <c r="G68" s="518"/>
      <c r="H68" s="519"/>
      <c r="I68" s="518"/>
      <c r="J68" s="519"/>
      <c r="K68" s="23"/>
      <c r="L68" s="518"/>
      <c r="M68" s="519"/>
      <c r="N68" s="518"/>
      <c r="O68" s="519"/>
      <c r="P68" s="58">
        <v>136</v>
      </c>
    </row>
    <row r="69" spans="6:16" x14ac:dyDescent="0.25">
      <c r="F69" s="58">
        <v>135</v>
      </c>
      <c r="G69" s="518"/>
      <c r="H69" s="519"/>
      <c r="I69" s="518"/>
      <c r="J69" s="519"/>
      <c r="K69" s="23"/>
      <c r="L69" s="518"/>
      <c r="M69" s="519"/>
      <c r="N69" s="518"/>
      <c r="O69" s="519"/>
      <c r="P69" s="58">
        <v>135</v>
      </c>
    </row>
    <row r="70" spans="6:16" x14ac:dyDescent="0.25">
      <c r="F70" s="58">
        <v>134</v>
      </c>
      <c r="G70" s="518"/>
      <c r="H70" s="519"/>
      <c r="I70" s="518"/>
      <c r="J70" s="519"/>
      <c r="K70" s="23"/>
      <c r="L70" s="518"/>
      <c r="M70" s="519"/>
      <c r="N70" s="518"/>
      <c r="O70" s="519"/>
      <c r="P70" s="58">
        <v>134</v>
      </c>
    </row>
    <row r="71" spans="6:16" x14ac:dyDescent="0.25">
      <c r="F71" s="58">
        <v>133</v>
      </c>
      <c r="G71" s="518"/>
      <c r="H71" s="519"/>
      <c r="I71" s="518"/>
      <c r="J71" s="519"/>
      <c r="K71" s="23"/>
      <c r="L71" s="518"/>
      <c r="M71" s="519"/>
      <c r="N71" s="518"/>
      <c r="O71" s="519"/>
      <c r="P71" s="58">
        <v>133</v>
      </c>
    </row>
    <row r="72" spans="6:16" x14ac:dyDescent="0.25">
      <c r="F72" s="58">
        <v>132</v>
      </c>
      <c r="G72" s="518"/>
      <c r="H72" s="519"/>
      <c r="I72" s="518"/>
      <c r="J72" s="519"/>
      <c r="K72" s="23"/>
      <c r="L72" s="518"/>
      <c r="M72" s="519"/>
      <c r="N72" s="518"/>
      <c r="O72" s="519"/>
      <c r="P72" s="58">
        <v>132</v>
      </c>
    </row>
    <row r="73" spans="6:16" x14ac:dyDescent="0.25">
      <c r="F73" s="58">
        <v>131</v>
      </c>
      <c r="G73" s="518"/>
      <c r="H73" s="519"/>
      <c r="I73" s="518"/>
      <c r="J73" s="519"/>
      <c r="K73" s="23"/>
      <c r="L73" s="518"/>
      <c r="M73" s="519"/>
      <c r="N73" s="518"/>
      <c r="O73" s="519"/>
      <c r="P73" s="58">
        <v>131</v>
      </c>
    </row>
    <row r="74" spans="6:16" x14ac:dyDescent="0.25">
      <c r="F74" s="58">
        <v>130</v>
      </c>
      <c r="G74" s="518"/>
      <c r="H74" s="519"/>
      <c r="I74" s="518"/>
      <c r="J74" s="519"/>
      <c r="K74" s="23"/>
      <c r="L74" s="518"/>
      <c r="M74" s="519"/>
      <c r="N74" s="518"/>
      <c r="O74" s="519"/>
      <c r="P74" s="58">
        <v>130</v>
      </c>
    </row>
    <row r="75" spans="6:16" x14ac:dyDescent="0.25">
      <c r="F75" s="58">
        <v>129</v>
      </c>
      <c r="G75" s="518"/>
      <c r="H75" s="519"/>
      <c r="I75" s="518"/>
      <c r="J75" s="519"/>
      <c r="K75" s="23"/>
      <c r="L75" s="518"/>
      <c r="M75" s="519"/>
      <c r="N75" s="518"/>
      <c r="O75" s="519"/>
      <c r="P75" s="58">
        <v>129</v>
      </c>
    </row>
    <row r="76" spans="6:16" x14ac:dyDescent="0.25">
      <c r="F76" s="58">
        <v>128</v>
      </c>
      <c r="G76" s="518"/>
      <c r="H76" s="519"/>
      <c r="I76" s="518"/>
      <c r="J76" s="519"/>
      <c r="K76" s="23"/>
      <c r="L76" s="518"/>
      <c r="M76" s="519"/>
      <c r="N76" s="518"/>
      <c r="O76" s="519"/>
      <c r="P76" s="58">
        <v>128</v>
      </c>
    </row>
    <row r="77" spans="6:16" x14ac:dyDescent="0.25">
      <c r="F77" s="58">
        <v>127</v>
      </c>
      <c r="G77" s="518"/>
      <c r="H77" s="519"/>
      <c r="I77" s="518"/>
      <c r="J77" s="519"/>
      <c r="K77" s="23"/>
      <c r="L77" s="518"/>
      <c r="M77" s="519"/>
      <c r="N77" s="518"/>
      <c r="O77" s="519"/>
      <c r="P77" s="58">
        <v>127</v>
      </c>
    </row>
    <row r="78" spans="6:16" x14ac:dyDescent="0.25">
      <c r="F78" s="58">
        <v>126</v>
      </c>
      <c r="G78" s="518"/>
      <c r="H78" s="519"/>
      <c r="I78" s="518"/>
      <c r="J78" s="519"/>
      <c r="K78" s="23"/>
      <c r="L78" s="518"/>
      <c r="M78" s="519"/>
      <c r="N78" s="518"/>
      <c r="O78" s="519"/>
      <c r="P78" s="58">
        <v>126</v>
      </c>
    </row>
    <row r="79" spans="6:16" x14ac:dyDescent="0.25">
      <c r="F79" s="58">
        <v>125</v>
      </c>
      <c r="G79" s="518"/>
      <c r="H79" s="519"/>
      <c r="I79" s="518"/>
      <c r="J79" s="519"/>
      <c r="K79" s="23"/>
      <c r="L79" s="518"/>
      <c r="M79" s="519"/>
      <c r="N79" s="518"/>
      <c r="O79" s="519"/>
      <c r="P79" s="58">
        <v>125</v>
      </c>
    </row>
    <row r="80" spans="6:16" x14ac:dyDescent="0.25">
      <c r="F80" s="58">
        <v>124</v>
      </c>
      <c r="G80" s="518"/>
      <c r="H80" s="519"/>
      <c r="I80" s="518"/>
      <c r="J80" s="519"/>
      <c r="K80" s="23"/>
      <c r="L80" s="518"/>
      <c r="M80" s="519"/>
      <c r="N80" s="518"/>
      <c r="O80" s="519"/>
      <c r="P80" s="58">
        <v>124</v>
      </c>
    </row>
    <row r="81" spans="6:16" x14ac:dyDescent="0.25">
      <c r="F81" s="58">
        <v>123</v>
      </c>
      <c r="G81" s="518"/>
      <c r="H81" s="519"/>
      <c r="I81" s="518"/>
      <c r="J81" s="519"/>
      <c r="K81" s="23"/>
      <c r="L81" s="518"/>
      <c r="M81" s="519"/>
      <c r="N81" s="518"/>
      <c r="O81" s="519"/>
      <c r="P81" s="58">
        <v>123</v>
      </c>
    </row>
    <row r="82" spans="6:16" x14ac:dyDescent="0.25">
      <c r="F82" s="58">
        <v>122</v>
      </c>
      <c r="G82" s="518"/>
      <c r="H82" s="519"/>
      <c r="I82" s="518"/>
      <c r="J82" s="519"/>
      <c r="K82" s="23"/>
      <c r="L82" s="518"/>
      <c r="M82" s="519"/>
      <c r="N82" s="518"/>
      <c r="O82" s="519"/>
      <c r="P82" s="58">
        <v>122</v>
      </c>
    </row>
    <row r="83" spans="6:16" x14ac:dyDescent="0.25">
      <c r="F83" s="58">
        <v>121</v>
      </c>
      <c r="G83" s="518"/>
      <c r="H83" s="519"/>
      <c r="I83" s="518"/>
      <c r="J83" s="519"/>
      <c r="K83" s="23"/>
      <c r="L83" s="518"/>
      <c r="M83" s="519"/>
      <c r="N83" s="518"/>
      <c r="O83" s="519"/>
      <c r="P83" s="58">
        <v>121</v>
      </c>
    </row>
    <row r="84" spans="6:16" x14ac:dyDescent="0.25">
      <c r="F84" s="58">
        <v>120</v>
      </c>
      <c r="G84" s="518"/>
      <c r="H84" s="519"/>
      <c r="I84" s="518"/>
      <c r="J84" s="519"/>
      <c r="K84" s="23"/>
      <c r="L84" s="518"/>
      <c r="M84" s="519"/>
      <c r="N84" s="518"/>
      <c r="O84" s="519"/>
      <c r="P84" s="58">
        <v>120</v>
      </c>
    </row>
    <row r="85" spans="6:16" x14ac:dyDescent="0.25">
      <c r="F85" s="58">
        <v>119</v>
      </c>
      <c r="G85" s="518"/>
      <c r="H85" s="519"/>
      <c r="I85" s="518"/>
      <c r="J85" s="519"/>
      <c r="K85" s="23"/>
      <c r="L85" s="518"/>
      <c r="M85" s="519"/>
      <c r="N85" s="518"/>
      <c r="O85" s="519"/>
      <c r="P85" s="58">
        <v>119</v>
      </c>
    </row>
    <row r="86" spans="6:16" x14ac:dyDescent="0.25">
      <c r="F86" s="58">
        <v>118</v>
      </c>
      <c r="G86" s="518"/>
      <c r="H86" s="519"/>
      <c r="I86" s="518"/>
      <c r="J86" s="519"/>
      <c r="K86" s="23"/>
      <c r="L86" s="518"/>
      <c r="M86" s="519"/>
      <c r="N86" s="518"/>
      <c r="O86" s="519"/>
      <c r="P86" s="58">
        <v>118</v>
      </c>
    </row>
    <row r="87" spans="6:16" x14ac:dyDescent="0.25">
      <c r="F87" s="58">
        <v>117</v>
      </c>
      <c r="G87" s="518"/>
      <c r="H87" s="519"/>
      <c r="I87" s="518"/>
      <c r="J87" s="519"/>
      <c r="K87" s="23"/>
      <c r="L87" s="518"/>
      <c r="M87" s="519"/>
      <c r="N87" s="518"/>
      <c r="O87" s="519"/>
      <c r="P87" s="58">
        <v>117</v>
      </c>
    </row>
    <row r="88" spans="6:16" x14ac:dyDescent="0.25">
      <c r="F88" s="58">
        <v>116</v>
      </c>
      <c r="G88" s="518"/>
      <c r="H88" s="519"/>
      <c r="I88" s="518"/>
      <c r="J88" s="519"/>
      <c r="K88" s="23"/>
      <c r="L88" s="518"/>
      <c r="M88" s="519"/>
      <c r="N88" s="518"/>
      <c r="O88" s="519"/>
      <c r="P88" s="58">
        <v>116</v>
      </c>
    </row>
    <row r="89" spans="6:16" x14ac:dyDescent="0.25">
      <c r="F89" s="58">
        <v>115</v>
      </c>
      <c r="G89" s="518"/>
      <c r="H89" s="519"/>
      <c r="I89" s="518"/>
      <c r="J89" s="519"/>
      <c r="K89" s="23"/>
      <c r="L89" s="518"/>
      <c r="M89" s="519"/>
      <c r="N89" s="518"/>
      <c r="O89" s="519"/>
      <c r="P89" s="58">
        <v>115</v>
      </c>
    </row>
    <row r="90" spans="6:16" x14ac:dyDescent="0.25">
      <c r="F90" s="58">
        <v>114</v>
      </c>
      <c r="G90" s="518"/>
      <c r="H90" s="519"/>
      <c r="I90" s="518"/>
      <c r="J90" s="519"/>
      <c r="K90" s="23"/>
      <c r="L90" s="518"/>
      <c r="M90" s="519"/>
      <c r="N90" s="518"/>
      <c r="O90" s="519"/>
      <c r="P90" s="58">
        <v>114</v>
      </c>
    </row>
    <row r="91" spans="6:16" x14ac:dyDescent="0.25">
      <c r="F91" s="58">
        <v>113</v>
      </c>
      <c r="G91" s="518"/>
      <c r="H91" s="519"/>
      <c r="I91" s="518"/>
      <c r="J91" s="519"/>
      <c r="K91" s="23"/>
      <c r="L91" s="518"/>
      <c r="M91" s="519"/>
      <c r="N91" s="518"/>
      <c r="O91" s="519"/>
      <c r="P91" s="58">
        <v>113</v>
      </c>
    </row>
    <row r="92" spans="6:16" x14ac:dyDescent="0.25">
      <c r="F92" s="58">
        <v>112</v>
      </c>
      <c r="G92" s="518"/>
      <c r="H92" s="519"/>
      <c r="I92" s="518"/>
      <c r="J92" s="519"/>
      <c r="K92" s="23"/>
      <c r="L92" s="518"/>
      <c r="M92" s="519"/>
      <c r="N92" s="518"/>
      <c r="O92" s="519"/>
      <c r="P92" s="58">
        <v>112</v>
      </c>
    </row>
    <row r="93" spans="6:16" x14ac:dyDescent="0.25">
      <c r="F93" s="58">
        <v>111</v>
      </c>
      <c r="G93" s="518"/>
      <c r="H93" s="519"/>
      <c r="I93" s="518"/>
      <c r="J93" s="519"/>
      <c r="K93" s="23"/>
      <c r="L93" s="518"/>
      <c r="M93" s="519"/>
      <c r="N93" s="518"/>
      <c r="O93" s="519"/>
      <c r="P93" s="58">
        <v>111</v>
      </c>
    </row>
    <row r="94" spans="6:16" x14ac:dyDescent="0.25">
      <c r="F94" s="58">
        <v>110</v>
      </c>
      <c r="G94" s="518"/>
      <c r="H94" s="519"/>
      <c r="I94" s="518"/>
      <c r="J94" s="519"/>
      <c r="K94" s="23"/>
      <c r="L94" s="518"/>
      <c r="M94" s="519"/>
      <c r="N94" s="518"/>
      <c r="O94" s="519"/>
      <c r="P94" s="58">
        <v>110</v>
      </c>
    </row>
    <row r="95" spans="6:16" x14ac:dyDescent="0.25">
      <c r="F95" s="58">
        <v>109</v>
      </c>
      <c r="G95" s="518"/>
      <c r="H95" s="519"/>
      <c r="I95" s="518"/>
      <c r="J95" s="519"/>
      <c r="K95" s="23"/>
      <c r="L95" s="518"/>
      <c r="M95" s="519"/>
      <c r="N95" s="518"/>
      <c r="O95" s="519"/>
      <c r="P95" s="58">
        <v>109</v>
      </c>
    </row>
    <row r="96" spans="6:16" x14ac:dyDescent="0.25">
      <c r="F96" s="58">
        <v>108</v>
      </c>
      <c r="G96" s="518"/>
      <c r="H96" s="519"/>
      <c r="I96" s="518"/>
      <c r="J96" s="519"/>
      <c r="K96" s="23"/>
      <c r="L96" s="518"/>
      <c r="M96" s="519"/>
      <c r="N96" s="518"/>
      <c r="O96" s="519"/>
      <c r="P96" s="58">
        <v>108</v>
      </c>
    </row>
    <row r="97" spans="6:16" x14ac:dyDescent="0.25">
      <c r="F97" s="58">
        <v>107</v>
      </c>
      <c r="G97" s="518"/>
      <c r="H97" s="519"/>
      <c r="I97" s="518"/>
      <c r="J97" s="519"/>
      <c r="K97" s="23"/>
      <c r="L97" s="518"/>
      <c r="M97" s="519"/>
      <c r="N97" s="518"/>
      <c r="O97" s="519"/>
      <c r="P97" s="58">
        <v>107</v>
      </c>
    </row>
    <row r="98" spans="6:16" x14ac:dyDescent="0.25">
      <c r="F98" s="58">
        <v>106</v>
      </c>
      <c r="G98" s="518"/>
      <c r="H98" s="519"/>
      <c r="I98" s="518"/>
      <c r="J98" s="519"/>
      <c r="K98" s="23"/>
      <c r="L98" s="518"/>
      <c r="M98" s="519"/>
      <c r="N98" s="518"/>
      <c r="O98" s="519"/>
      <c r="P98" s="58">
        <v>106</v>
      </c>
    </row>
    <row r="99" spans="6:16" x14ac:dyDescent="0.25">
      <c r="F99" s="58">
        <v>105</v>
      </c>
      <c r="G99" s="518"/>
      <c r="H99" s="519"/>
      <c r="I99" s="518"/>
      <c r="J99" s="519"/>
      <c r="K99" s="23"/>
      <c r="L99" s="518"/>
      <c r="M99" s="519"/>
      <c r="N99" s="518"/>
      <c r="O99" s="519"/>
      <c r="P99" s="58">
        <v>105</v>
      </c>
    </row>
    <row r="100" spans="6:16" x14ac:dyDescent="0.25">
      <c r="F100" s="58">
        <v>104</v>
      </c>
      <c r="G100" s="518"/>
      <c r="H100" s="519"/>
      <c r="I100" s="518"/>
      <c r="J100" s="519"/>
      <c r="K100" s="23"/>
      <c r="L100" s="518"/>
      <c r="M100" s="519"/>
      <c r="N100" s="518"/>
      <c r="O100" s="519"/>
      <c r="P100" s="58">
        <v>104</v>
      </c>
    </row>
    <row r="101" spans="6:16" x14ac:dyDescent="0.25">
      <c r="F101" s="58">
        <v>103</v>
      </c>
      <c r="G101" s="518"/>
      <c r="H101" s="519"/>
      <c r="I101" s="518"/>
      <c r="J101" s="519"/>
      <c r="K101" s="23"/>
      <c r="L101" s="518"/>
      <c r="M101" s="519"/>
      <c r="N101" s="518"/>
      <c r="O101" s="519"/>
      <c r="P101" s="58">
        <v>103</v>
      </c>
    </row>
    <row r="102" spans="6:16" x14ac:dyDescent="0.25">
      <c r="F102" s="58">
        <v>102</v>
      </c>
      <c r="G102" s="510"/>
      <c r="H102" s="510"/>
      <c r="I102" s="510"/>
      <c r="J102" s="510"/>
      <c r="K102" s="23"/>
      <c r="L102" s="510"/>
      <c r="M102" s="510"/>
      <c r="N102" s="510"/>
      <c r="O102" s="510"/>
      <c r="P102" s="58">
        <v>102</v>
      </c>
    </row>
    <row r="103" spans="6:16" x14ac:dyDescent="0.25">
      <c r="F103" s="58">
        <v>101</v>
      </c>
      <c r="G103" s="510"/>
      <c r="H103" s="510"/>
      <c r="I103" s="510"/>
      <c r="J103" s="510"/>
      <c r="K103" s="410"/>
      <c r="L103" s="510"/>
      <c r="M103" s="510"/>
      <c r="N103" s="510"/>
      <c r="O103" s="510"/>
      <c r="P103" s="58">
        <v>101</v>
      </c>
    </row>
    <row r="104" spans="6:16" x14ac:dyDescent="0.25">
      <c r="F104" s="58">
        <v>100</v>
      </c>
      <c r="G104" s="510"/>
      <c r="H104" s="510"/>
      <c r="I104" s="510"/>
      <c r="J104" s="510"/>
      <c r="K104" s="53"/>
      <c r="L104" s="510"/>
      <c r="M104" s="510"/>
      <c r="N104" s="510"/>
      <c r="O104" s="510"/>
      <c r="P104" s="58">
        <v>100</v>
      </c>
    </row>
    <row r="105" spans="6:16" x14ac:dyDescent="0.25">
      <c r="F105" s="58">
        <v>99</v>
      </c>
      <c r="G105" s="510"/>
      <c r="H105" s="510"/>
      <c r="I105" s="510"/>
      <c r="J105" s="510"/>
      <c r="K105" s="52"/>
      <c r="L105" s="510"/>
      <c r="M105" s="510"/>
      <c r="N105" s="510"/>
      <c r="O105" s="510"/>
      <c r="P105" s="58">
        <v>99</v>
      </c>
    </row>
    <row r="106" spans="6:16" x14ac:dyDescent="0.25">
      <c r="F106" s="58">
        <v>98</v>
      </c>
      <c r="G106" s="510"/>
      <c r="H106" s="510"/>
      <c r="I106" s="510"/>
      <c r="J106" s="510"/>
      <c r="L106" s="510"/>
      <c r="M106" s="510"/>
      <c r="N106" s="510"/>
      <c r="O106" s="510"/>
      <c r="P106" s="58">
        <v>98</v>
      </c>
    </row>
    <row r="107" spans="6:16" x14ac:dyDescent="0.25">
      <c r="F107" s="58">
        <v>97</v>
      </c>
      <c r="G107" s="510"/>
      <c r="H107" s="510"/>
      <c r="I107" s="510"/>
      <c r="J107" s="510"/>
      <c r="L107" s="510"/>
      <c r="M107" s="510"/>
      <c r="N107" s="510"/>
      <c r="O107" s="510"/>
      <c r="P107" s="58">
        <v>97</v>
      </c>
    </row>
    <row r="108" spans="6:16" x14ac:dyDescent="0.25">
      <c r="F108" s="58">
        <v>96</v>
      </c>
      <c r="G108" s="510"/>
      <c r="H108" s="510"/>
      <c r="I108" s="510"/>
      <c r="J108" s="510"/>
      <c r="L108" s="510"/>
      <c r="M108" s="510"/>
      <c r="N108" s="510"/>
      <c r="O108" s="510"/>
      <c r="P108" s="58">
        <v>96</v>
      </c>
    </row>
    <row r="109" spans="6:16" x14ac:dyDescent="0.25">
      <c r="F109" s="58">
        <v>95</v>
      </c>
      <c r="G109" s="510"/>
      <c r="H109" s="510"/>
      <c r="I109" s="510"/>
      <c r="J109" s="510"/>
      <c r="L109" s="510"/>
      <c r="M109" s="510"/>
      <c r="N109" s="510"/>
      <c r="O109" s="510"/>
      <c r="P109" s="58">
        <v>95</v>
      </c>
    </row>
    <row r="110" spans="6:16" x14ac:dyDescent="0.25">
      <c r="F110" s="58">
        <v>94</v>
      </c>
      <c r="G110" s="510"/>
      <c r="H110" s="510"/>
      <c r="I110" s="510"/>
      <c r="J110" s="510"/>
      <c r="L110" s="510"/>
      <c r="M110" s="510"/>
      <c r="N110" s="510"/>
      <c r="O110" s="510"/>
      <c r="P110" s="58">
        <v>94</v>
      </c>
    </row>
    <row r="111" spans="6:16" x14ac:dyDescent="0.25">
      <c r="F111" s="58">
        <v>93</v>
      </c>
      <c r="G111" s="510"/>
      <c r="H111" s="510"/>
      <c r="I111" s="510"/>
      <c r="J111" s="510"/>
      <c r="L111" s="510"/>
      <c r="M111" s="510"/>
      <c r="N111" s="510"/>
      <c r="O111" s="510"/>
      <c r="P111" s="58">
        <v>93</v>
      </c>
    </row>
    <row r="112" spans="6:16" x14ac:dyDescent="0.25">
      <c r="F112" s="58">
        <v>92</v>
      </c>
      <c r="G112" s="510"/>
      <c r="H112" s="510"/>
      <c r="I112" s="510"/>
      <c r="J112" s="510"/>
      <c r="L112" s="510"/>
      <c r="M112" s="510"/>
      <c r="N112" s="510"/>
      <c r="O112" s="510"/>
      <c r="P112" s="58">
        <v>92</v>
      </c>
    </row>
    <row r="113" spans="6:16" x14ac:dyDescent="0.25">
      <c r="F113" s="58">
        <v>91</v>
      </c>
      <c r="G113" s="510"/>
      <c r="H113" s="510"/>
      <c r="I113" s="510"/>
      <c r="J113" s="510"/>
      <c r="L113" s="510"/>
      <c r="M113" s="510"/>
      <c r="N113" s="510"/>
      <c r="O113" s="510"/>
      <c r="P113" s="58">
        <v>91</v>
      </c>
    </row>
    <row r="114" spans="6:16" x14ac:dyDescent="0.25">
      <c r="F114" s="58">
        <v>90</v>
      </c>
      <c r="G114" s="510"/>
      <c r="H114" s="510"/>
      <c r="I114" s="510"/>
      <c r="J114" s="510"/>
      <c r="L114" s="510"/>
      <c r="M114" s="510"/>
      <c r="N114" s="510"/>
      <c r="O114" s="510"/>
      <c r="P114" s="58">
        <v>90</v>
      </c>
    </row>
    <row r="115" spans="6:16" x14ac:dyDescent="0.25">
      <c r="F115" s="58">
        <v>89</v>
      </c>
      <c r="G115" s="510"/>
      <c r="H115" s="510"/>
      <c r="I115" s="510"/>
      <c r="J115" s="510"/>
      <c r="L115" s="510"/>
      <c r="M115" s="510"/>
      <c r="N115" s="510"/>
      <c r="O115" s="510"/>
      <c r="P115" s="58">
        <v>89</v>
      </c>
    </row>
    <row r="116" spans="6:16" x14ac:dyDescent="0.25">
      <c r="F116" s="58">
        <v>88</v>
      </c>
      <c r="G116" s="510"/>
      <c r="H116" s="510"/>
      <c r="I116" s="510"/>
      <c r="J116" s="510"/>
      <c r="L116" s="510"/>
      <c r="M116" s="510"/>
      <c r="N116" s="510"/>
      <c r="O116" s="510"/>
      <c r="P116" s="58">
        <v>88</v>
      </c>
    </row>
    <row r="117" spans="6:16" x14ac:dyDescent="0.25">
      <c r="F117" s="58">
        <v>87</v>
      </c>
      <c r="G117" s="510"/>
      <c r="H117" s="510"/>
      <c r="I117" s="510"/>
      <c r="J117" s="510"/>
      <c r="L117" s="510"/>
      <c r="M117" s="510"/>
      <c r="N117" s="510"/>
      <c r="O117" s="510"/>
      <c r="P117" s="58">
        <v>87</v>
      </c>
    </row>
    <row r="118" spans="6:16" x14ac:dyDescent="0.25">
      <c r="F118" s="58">
        <v>86</v>
      </c>
      <c r="G118" s="510"/>
      <c r="H118" s="510"/>
      <c r="I118" s="510"/>
      <c r="J118" s="510"/>
      <c r="L118" s="510"/>
      <c r="M118" s="510"/>
      <c r="N118" s="510"/>
      <c r="O118" s="510"/>
      <c r="P118" s="58">
        <v>86</v>
      </c>
    </row>
    <row r="119" spans="6:16" x14ac:dyDescent="0.25">
      <c r="F119" s="58">
        <v>85</v>
      </c>
      <c r="G119" s="510"/>
      <c r="H119" s="510"/>
      <c r="I119" s="510"/>
      <c r="J119" s="510"/>
      <c r="L119" s="510"/>
      <c r="M119" s="510"/>
      <c r="N119" s="510"/>
      <c r="O119" s="510"/>
      <c r="P119" s="58">
        <v>85</v>
      </c>
    </row>
    <row r="120" spans="6:16" x14ac:dyDescent="0.25">
      <c r="F120" s="58">
        <v>84</v>
      </c>
      <c r="G120" s="510"/>
      <c r="H120" s="510"/>
      <c r="I120" s="510"/>
      <c r="J120" s="510"/>
      <c r="L120" s="510"/>
      <c r="M120" s="510"/>
      <c r="N120" s="510"/>
      <c r="O120" s="510"/>
      <c r="P120" s="58">
        <v>84</v>
      </c>
    </row>
    <row r="121" spans="6:16" x14ac:dyDescent="0.25">
      <c r="F121" s="58">
        <v>83</v>
      </c>
      <c r="G121" s="510"/>
      <c r="H121" s="510"/>
      <c r="I121" s="510"/>
      <c r="J121" s="510"/>
      <c r="L121" s="510"/>
      <c r="M121" s="510"/>
      <c r="N121" s="510"/>
      <c r="O121" s="510"/>
      <c r="P121" s="58">
        <v>83</v>
      </c>
    </row>
    <row r="122" spans="6:16" x14ac:dyDescent="0.25">
      <c r="F122" s="58">
        <v>82</v>
      </c>
      <c r="G122" s="510"/>
      <c r="H122" s="510"/>
      <c r="I122" s="510"/>
      <c r="J122" s="510"/>
      <c r="L122" s="510"/>
      <c r="M122" s="510"/>
      <c r="N122" s="510"/>
      <c r="O122" s="510"/>
      <c r="P122" s="58">
        <v>82</v>
      </c>
    </row>
    <row r="123" spans="6:16" x14ac:dyDescent="0.25">
      <c r="F123" s="58">
        <v>81</v>
      </c>
      <c r="G123" s="510"/>
      <c r="H123" s="510"/>
      <c r="I123" s="510"/>
      <c r="J123" s="510"/>
      <c r="L123" s="510"/>
      <c r="M123" s="510"/>
      <c r="N123" s="510"/>
      <c r="O123" s="510"/>
      <c r="P123" s="58">
        <v>81</v>
      </c>
    </row>
    <row r="124" spans="6:16" x14ac:dyDescent="0.25">
      <c r="F124" s="58">
        <v>80</v>
      </c>
      <c r="G124" s="510"/>
      <c r="H124" s="510"/>
      <c r="I124" s="510"/>
      <c r="J124" s="510"/>
      <c r="L124" s="510"/>
      <c r="M124" s="510"/>
      <c r="N124" s="510"/>
      <c r="O124" s="510"/>
      <c r="P124" s="58">
        <v>80</v>
      </c>
    </row>
    <row r="125" spans="6:16" x14ac:dyDescent="0.25">
      <c r="F125" s="58">
        <v>79</v>
      </c>
      <c r="G125" s="510"/>
      <c r="H125" s="510"/>
      <c r="I125" s="510"/>
      <c r="J125" s="510"/>
      <c r="L125" s="510"/>
      <c r="M125" s="510"/>
      <c r="N125" s="510"/>
      <c r="O125" s="510"/>
      <c r="P125" s="58">
        <v>79</v>
      </c>
    </row>
    <row r="126" spans="6:16" x14ac:dyDescent="0.25">
      <c r="F126" s="58">
        <v>78</v>
      </c>
      <c r="G126" s="510"/>
      <c r="H126" s="510"/>
      <c r="I126" s="510"/>
      <c r="J126" s="510"/>
      <c r="L126" s="510"/>
      <c r="M126" s="510"/>
      <c r="N126" s="510"/>
      <c r="O126" s="510"/>
      <c r="P126" s="58">
        <v>78</v>
      </c>
    </row>
    <row r="127" spans="6:16" x14ac:dyDescent="0.25">
      <c r="F127" s="58">
        <v>77</v>
      </c>
      <c r="G127" s="510"/>
      <c r="H127" s="510"/>
      <c r="I127" s="510"/>
      <c r="J127" s="510"/>
      <c r="L127" s="510"/>
      <c r="M127" s="510"/>
      <c r="N127" s="510"/>
      <c r="O127" s="510"/>
      <c r="P127" s="58">
        <v>77</v>
      </c>
    </row>
    <row r="128" spans="6:16" x14ac:dyDescent="0.25">
      <c r="F128" s="58">
        <v>76</v>
      </c>
      <c r="G128" s="510"/>
      <c r="H128" s="510"/>
      <c r="I128" s="510"/>
      <c r="J128" s="510"/>
      <c r="L128" s="510"/>
      <c r="M128" s="510"/>
      <c r="N128" s="510"/>
      <c r="O128" s="510"/>
      <c r="P128" s="58">
        <v>76</v>
      </c>
    </row>
    <row r="129" spans="6:16" x14ac:dyDescent="0.25">
      <c r="F129" s="58">
        <v>75</v>
      </c>
      <c r="G129" s="510"/>
      <c r="H129" s="510"/>
      <c r="I129" s="510"/>
      <c r="J129" s="510"/>
      <c r="L129" s="510"/>
      <c r="M129" s="510"/>
      <c r="N129" s="510"/>
      <c r="O129" s="510"/>
      <c r="P129" s="58">
        <v>75</v>
      </c>
    </row>
    <row r="130" spans="6:16" x14ac:dyDescent="0.25">
      <c r="F130" s="58">
        <v>74</v>
      </c>
      <c r="G130" s="510"/>
      <c r="H130" s="510"/>
      <c r="I130" s="510"/>
      <c r="J130" s="510"/>
      <c r="L130" s="510"/>
      <c r="M130" s="510"/>
      <c r="N130" s="510"/>
      <c r="O130" s="510"/>
      <c r="P130" s="58">
        <v>74</v>
      </c>
    </row>
    <row r="131" spans="6:16" x14ac:dyDescent="0.25">
      <c r="F131" s="58">
        <v>73</v>
      </c>
      <c r="G131" s="510"/>
      <c r="H131" s="510"/>
      <c r="I131" s="510"/>
      <c r="J131" s="510"/>
      <c r="L131" s="510"/>
      <c r="M131" s="510"/>
      <c r="N131" s="510"/>
      <c r="O131" s="510"/>
      <c r="P131" s="58">
        <v>73</v>
      </c>
    </row>
    <row r="132" spans="6:16" x14ac:dyDescent="0.25">
      <c r="F132" s="58">
        <v>72</v>
      </c>
      <c r="G132" s="510"/>
      <c r="H132" s="510"/>
      <c r="I132" s="510"/>
      <c r="J132" s="510"/>
      <c r="L132" s="510"/>
      <c r="M132" s="510"/>
      <c r="N132" s="510"/>
      <c r="O132" s="510"/>
      <c r="P132" s="58">
        <v>72</v>
      </c>
    </row>
    <row r="133" spans="6:16" x14ac:dyDescent="0.25">
      <c r="F133" s="58">
        <v>71</v>
      </c>
      <c r="G133" s="510"/>
      <c r="H133" s="510"/>
      <c r="I133" s="510"/>
      <c r="J133" s="510"/>
      <c r="L133" s="510"/>
      <c r="M133" s="510"/>
      <c r="N133" s="510"/>
      <c r="O133" s="510"/>
      <c r="P133" s="58">
        <v>71</v>
      </c>
    </row>
    <row r="134" spans="6:16" x14ac:dyDescent="0.25">
      <c r="F134" s="58">
        <v>70</v>
      </c>
      <c r="G134" s="510"/>
      <c r="H134" s="510"/>
      <c r="I134" s="510"/>
      <c r="J134" s="510"/>
      <c r="L134" s="510"/>
      <c r="M134" s="510"/>
      <c r="N134" s="510"/>
      <c r="O134" s="510"/>
      <c r="P134" s="58">
        <v>70</v>
      </c>
    </row>
    <row r="135" spans="6:16" x14ac:dyDescent="0.25">
      <c r="F135" s="58">
        <v>69</v>
      </c>
      <c r="G135" s="510"/>
      <c r="H135" s="510"/>
      <c r="I135" s="510"/>
      <c r="J135" s="510"/>
      <c r="L135" s="510"/>
      <c r="M135" s="510"/>
      <c r="N135" s="510"/>
      <c r="O135" s="510"/>
      <c r="P135" s="58">
        <v>69</v>
      </c>
    </row>
    <row r="136" spans="6:16" x14ac:dyDescent="0.25">
      <c r="F136" s="58">
        <v>68</v>
      </c>
      <c r="G136" s="510"/>
      <c r="H136" s="510"/>
      <c r="I136" s="510"/>
      <c r="J136" s="510"/>
      <c r="L136" s="510"/>
      <c r="M136" s="510"/>
      <c r="N136" s="510"/>
      <c r="O136" s="510"/>
      <c r="P136" s="58">
        <v>68</v>
      </c>
    </row>
    <row r="137" spans="6:16" x14ac:dyDescent="0.25">
      <c r="F137" s="58">
        <v>67</v>
      </c>
      <c r="G137" s="510"/>
      <c r="H137" s="510"/>
      <c r="I137" s="510"/>
      <c r="J137" s="510"/>
      <c r="L137" s="510"/>
      <c r="M137" s="510"/>
      <c r="N137" s="510"/>
      <c r="O137" s="510"/>
      <c r="P137" s="58">
        <v>67</v>
      </c>
    </row>
    <row r="138" spans="6:16" x14ac:dyDescent="0.25">
      <c r="F138" s="58">
        <v>66</v>
      </c>
      <c r="G138" s="510"/>
      <c r="H138" s="510"/>
      <c r="I138" s="510"/>
      <c r="J138" s="510"/>
      <c r="L138" s="510"/>
      <c r="M138" s="510"/>
      <c r="N138" s="510"/>
      <c r="O138" s="510"/>
      <c r="P138" s="58">
        <v>66</v>
      </c>
    </row>
    <row r="139" spans="6:16" x14ac:dyDescent="0.25">
      <c r="F139" s="58">
        <v>65</v>
      </c>
      <c r="G139" s="510"/>
      <c r="H139" s="510"/>
      <c r="I139" s="510"/>
      <c r="J139" s="510"/>
      <c r="L139" s="510"/>
      <c r="M139" s="510"/>
      <c r="N139" s="510"/>
      <c r="O139" s="510"/>
      <c r="P139" s="58">
        <v>65</v>
      </c>
    </row>
    <row r="140" spans="6:16" x14ac:dyDescent="0.25">
      <c r="F140" s="58">
        <v>64</v>
      </c>
      <c r="G140" s="510"/>
      <c r="H140" s="510"/>
      <c r="I140" s="510"/>
      <c r="J140" s="510"/>
      <c r="L140" s="510"/>
      <c r="M140" s="510"/>
      <c r="N140" s="510"/>
      <c r="O140" s="510"/>
      <c r="P140" s="58">
        <v>64</v>
      </c>
    </row>
    <row r="141" spans="6:16" x14ac:dyDescent="0.25">
      <c r="F141" s="58">
        <v>63</v>
      </c>
      <c r="G141" s="510"/>
      <c r="H141" s="510"/>
      <c r="I141" s="510"/>
      <c r="J141" s="510"/>
      <c r="L141" s="510"/>
      <c r="M141" s="510"/>
      <c r="N141" s="510"/>
      <c r="O141" s="510"/>
      <c r="P141" s="58">
        <v>63</v>
      </c>
    </row>
    <row r="142" spans="6:16" x14ac:dyDescent="0.25">
      <c r="F142" s="58">
        <v>62</v>
      </c>
      <c r="G142" s="510"/>
      <c r="H142" s="510"/>
      <c r="I142" s="510"/>
      <c r="J142" s="510"/>
      <c r="L142" s="510"/>
      <c r="M142" s="510"/>
      <c r="N142" s="510"/>
      <c r="O142" s="510"/>
      <c r="P142" s="58">
        <v>62</v>
      </c>
    </row>
    <row r="143" spans="6:16" x14ac:dyDescent="0.25">
      <c r="F143" s="58">
        <v>61</v>
      </c>
      <c r="G143" s="510"/>
      <c r="H143" s="510"/>
      <c r="I143" s="510"/>
      <c r="J143" s="510"/>
      <c r="L143" s="510"/>
      <c r="M143" s="510"/>
      <c r="N143" s="510"/>
      <c r="O143" s="510"/>
      <c r="P143" s="58">
        <v>61</v>
      </c>
    </row>
    <row r="144" spans="6:16" x14ac:dyDescent="0.25">
      <c r="F144" s="58">
        <v>60</v>
      </c>
      <c r="G144" s="510"/>
      <c r="H144" s="510"/>
      <c r="I144" s="510"/>
      <c r="J144" s="510"/>
      <c r="L144" s="510"/>
      <c r="M144" s="510"/>
      <c r="N144" s="510"/>
      <c r="O144" s="510"/>
      <c r="P144" s="58">
        <v>60</v>
      </c>
    </row>
    <row r="145" spans="6:16" x14ac:dyDescent="0.25">
      <c r="F145" s="58">
        <v>59</v>
      </c>
      <c r="G145" s="510"/>
      <c r="H145" s="510"/>
      <c r="I145" s="510"/>
      <c r="J145" s="510"/>
      <c r="L145" s="510"/>
      <c r="M145" s="510"/>
      <c r="N145" s="510"/>
      <c r="O145" s="510"/>
      <c r="P145" s="58">
        <v>59</v>
      </c>
    </row>
    <row r="146" spans="6:16" x14ac:dyDescent="0.25">
      <c r="F146" s="58">
        <v>58</v>
      </c>
      <c r="G146" s="510"/>
      <c r="H146" s="510"/>
      <c r="I146" s="510"/>
      <c r="J146" s="510"/>
      <c r="L146" s="510"/>
      <c r="M146" s="510"/>
      <c r="N146" s="510"/>
      <c r="O146" s="510"/>
      <c r="P146" s="58">
        <v>58</v>
      </c>
    </row>
    <row r="147" spans="6:16" x14ac:dyDescent="0.25">
      <c r="F147" s="58">
        <v>57</v>
      </c>
      <c r="G147" s="510"/>
      <c r="H147" s="510"/>
      <c r="I147" s="510"/>
      <c r="J147" s="510"/>
      <c r="L147" s="510"/>
      <c r="M147" s="510"/>
      <c r="N147" s="510"/>
      <c r="O147" s="510"/>
      <c r="P147" s="58">
        <v>57</v>
      </c>
    </row>
    <row r="148" spans="6:16" x14ac:dyDescent="0.25">
      <c r="F148" s="58">
        <v>56</v>
      </c>
      <c r="G148" s="510"/>
      <c r="H148" s="510"/>
      <c r="I148" s="510"/>
      <c r="J148" s="510"/>
      <c r="L148" s="510"/>
      <c r="M148" s="510"/>
      <c r="N148" s="510"/>
      <c r="O148" s="510"/>
      <c r="P148" s="58">
        <v>56</v>
      </c>
    </row>
    <row r="149" spans="6:16" x14ac:dyDescent="0.25">
      <c r="F149" s="58">
        <v>55</v>
      </c>
      <c r="G149" s="510"/>
      <c r="H149" s="510"/>
      <c r="I149" s="510"/>
      <c r="J149" s="510"/>
      <c r="L149" s="510"/>
      <c r="M149" s="510"/>
      <c r="N149" s="510"/>
      <c r="O149" s="510"/>
      <c r="P149" s="58">
        <v>55</v>
      </c>
    </row>
    <row r="150" spans="6:16" x14ac:dyDescent="0.25">
      <c r="F150" s="58">
        <v>54</v>
      </c>
      <c r="G150" s="510"/>
      <c r="H150" s="510"/>
      <c r="I150" s="510"/>
      <c r="J150" s="510"/>
      <c r="L150" s="510"/>
      <c r="M150" s="510"/>
      <c r="N150" s="510"/>
      <c r="O150" s="510"/>
      <c r="P150" s="58">
        <v>54</v>
      </c>
    </row>
    <row r="151" spans="6:16" x14ac:dyDescent="0.25">
      <c r="F151" s="58">
        <v>53</v>
      </c>
      <c r="G151" s="510"/>
      <c r="H151" s="510"/>
      <c r="I151" s="510"/>
      <c r="J151" s="510"/>
      <c r="L151" s="510"/>
      <c r="M151" s="510"/>
      <c r="N151" s="510"/>
      <c r="O151" s="510"/>
      <c r="P151" s="58">
        <v>53</v>
      </c>
    </row>
    <row r="152" spans="6:16" x14ac:dyDescent="0.25">
      <c r="F152" s="58">
        <v>52</v>
      </c>
      <c r="G152" s="510"/>
      <c r="H152" s="510"/>
      <c r="I152" s="510"/>
      <c r="J152" s="510"/>
      <c r="L152" s="510"/>
      <c r="M152" s="510"/>
      <c r="N152" s="510"/>
      <c r="O152" s="510"/>
      <c r="P152" s="58">
        <v>52</v>
      </c>
    </row>
    <row r="153" spans="6:16" x14ac:dyDescent="0.25">
      <c r="F153" s="58">
        <v>51</v>
      </c>
      <c r="G153" s="510"/>
      <c r="H153" s="510"/>
      <c r="I153" s="510"/>
      <c r="J153" s="510"/>
      <c r="L153" s="510"/>
      <c r="M153" s="510"/>
      <c r="N153" s="510"/>
      <c r="O153" s="510"/>
      <c r="P153" s="58">
        <v>51</v>
      </c>
    </row>
    <row r="154" spans="6:16" x14ac:dyDescent="0.25">
      <c r="F154" s="58">
        <v>50</v>
      </c>
      <c r="G154" s="510"/>
      <c r="H154" s="510"/>
      <c r="I154" s="510"/>
      <c r="J154" s="510"/>
      <c r="L154" s="510"/>
      <c r="M154" s="510"/>
      <c r="N154" s="510"/>
      <c r="O154" s="510"/>
      <c r="P154" s="58">
        <v>50</v>
      </c>
    </row>
    <row r="155" spans="6:16" x14ac:dyDescent="0.25">
      <c r="F155" s="58">
        <v>49</v>
      </c>
      <c r="G155" s="510"/>
      <c r="H155" s="510"/>
      <c r="I155" s="510"/>
      <c r="J155" s="510"/>
      <c r="L155" s="510"/>
      <c r="M155" s="510"/>
      <c r="N155" s="510"/>
      <c r="O155" s="510"/>
      <c r="P155" s="58">
        <v>49</v>
      </c>
    </row>
    <row r="156" spans="6:16" x14ac:dyDescent="0.25">
      <c r="F156" s="58">
        <v>48</v>
      </c>
      <c r="G156" s="510"/>
      <c r="H156" s="510"/>
      <c r="I156" s="510"/>
      <c r="J156" s="510"/>
      <c r="L156" s="510"/>
      <c r="M156" s="510"/>
      <c r="N156" s="510"/>
      <c r="O156" s="510"/>
      <c r="P156" s="58">
        <v>48</v>
      </c>
    </row>
    <row r="157" spans="6:16" x14ac:dyDescent="0.25">
      <c r="F157" s="58">
        <v>47</v>
      </c>
      <c r="G157" s="510"/>
      <c r="H157" s="510"/>
      <c r="I157" s="510"/>
      <c r="J157" s="510"/>
      <c r="L157" s="510"/>
      <c r="M157" s="510"/>
      <c r="N157" s="510"/>
      <c r="O157" s="510"/>
      <c r="P157" s="58">
        <v>47</v>
      </c>
    </row>
    <row r="158" spans="6:16" x14ac:dyDescent="0.25">
      <c r="F158" s="58">
        <v>46</v>
      </c>
      <c r="G158" s="510"/>
      <c r="H158" s="510"/>
      <c r="I158" s="510"/>
      <c r="J158" s="510"/>
      <c r="L158" s="510"/>
      <c r="M158" s="510"/>
      <c r="N158" s="510"/>
      <c r="O158" s="510"/>
      <c r="P158" s="58">
        <v>46</v>
      </c>
    </row>
    <row r="159" spans="6:16" x14ac:dyDescent="0.25">
      <c r="F159" s="58">
        <v>45</v>
      </c>
      <c r="G159" s="510"/>
      <c r="H159" s="510"/>
      <c r="I159" s="510"/>
      <c r="J159" s="510"/>
      <c r="L159" s="510"/>
      <c r="M159" s="510"/>
      <c r="N159" s="510"/>
      <c r="O159" s="510"/>
      <c r="P159" s="58">
        <v>45</v>
      </c>
    </row>
    <row r="160" spans="6:16" x14ac:dyDescent="0.25">
      <c r="F160" s="58">
        <v>44</v>
      </c>
      <c r="G160" s="510"/>
      <c r="H160" s="510"/>
      <c r="I160" s="510"/>
      <c r="J160" s="510"/>
      <c r="L160" s="510"/>
      <c r="M160" s="510"/>
      <c r="N160" s="510"/>
      <c r="O160" s="510"/>
      <c r="P160" s="58">
        <v>44</v>
      </c>
    </row>
    <row r="161" spans="6:16" x14ac:dyDescent="0.25">
      <c r="F161" s="58">
        <v>43</v>
      </c>
      <c r="G161" s="510"/>
      <c r="H161" s="510"/>
      <c r="I161" s="510"/>
      <c r="J161" s="510"/>
      <c r="L161" s="510"/>
      <c r="M161" s="510"/>
      <c r="N161" s="510"/>
      <c r="O161" s="510"/>
      <c r="P161" s="58">
        <v>43</v>
      </c>
    </row>
    <row r="162" spans="6:16" x14ac:dyDescent="0.25">
      <c r="F162" s="58">
        <v>42</v>
      </c>
      <c r="G162" s="510"/>
      <c r="H162" s="510"/>
      <c r="I162" s="510"/>
      <c r="J162" s="510"/>
      <c r="L162" s="510"/>
      <c r="M162" s="510"/>
      <c r="N162" s="510"/>
      <c r="O162" s="510"/>
      <c r="P162" s="58">
        <v>42</v>
      </c>
    </row>
    <row r="163" spans="6:16" x14ac:dyDescent="0.25">
      <c r="F163" s="58">
        <v>41</v>
      </c>
      <c r="G163" s="510"/>
      <c r="H163" s="510"/>
      <c r="I163" s="510"/>
      <c r="J163" s="510"/>
      <c r="L163" s="510"/>
      <c r="M163" s="510"/>
      <c r="N163" s="510"/>
      <c r="O163" s="510"/>
      <c r="P163" s="58">
        <v>41</v>
      </c>
    </row>
    <row r="164" spans="6:16" x14ac:dyDescent="0.25">
      <c r="F164" s="58">
        <v>40</v>
      </c>
      <c r="G164" s="510"/>
      <c r="H164" s="510"/>
      <c r="I164" s="510"/>
      <c r="J164" s="510"/>
      <c r="L164" s="510"/>
      <c r="M164" s="510"/>
      <c r="N164" s="510"/>
      <c r="O164" s="510"/>
      <c r="P164" s="58">
        <v>40</v>
      </c>
    </row>
    <row r="165" spans="6:16" x14ac:dyDescent="0.25">
      <c r="F165" s="58">
        <v>39</v>
      </c>
      <c r="G165" s="510"/>
      <c r="H165" s="510"/>
      <c r="I165" s="510"/>
      <c r="J165" s="510"/>
      <c r="L165" s="510"/>
      <c r="M165" s="510"/>
      <c r="N165" s="510"/>
      <c r="O165" s="510"/>
      <c r="P165" s="58">
        <v>39</v>
      </c>
    </row>
    <row r="166" spans="6:16" x14ac:dyDescent="0.25">
      <c r="F166" s="58">
        <v>38</v>
      </c>
      <c r="G166" s="510"/>
      <c r="H166" s="510"/>
      <c r="I166" s="510"/>
      <c r="J166" s="510"/>
      <c r="L166" s="510"/>
      <c r="M166" s="510"/>
      <c r="N166" s="510"/>
      <c r="O166" s="510"/>
      <c r="P166" s="58">
        <v>38</v>
      </c>
    </row>
    <row r="167" spans="6:16" x14ac:dyDescent="0.25">
      <c r="F167" s="58">
        <v>37</v>
      </c>
      <c r="G167" s="510"/>
      <c r="H167" s="510"/>
      <c r="I167" s="510"/>
      <c r="J167" s="510"/>
      <c r="L167" s="510"/>
      <c r="M167" s="510"/>
      <c r="N167" s="510"/>
      <c r="O167" s="510"/>
      <c r="P167" s="58">
        <v>37</v>
      </c>
    </row>
    <row r="168" spans="6:16" x14ac:dyDescent="0.25">
      <c r="F168" s="58">
        <v>36</v>
      </c>
      <c r="G168" s="510"/>
      <c r="H168" s="510"/>
      <c r="I168" s="510"/>
      <c r="J168" s="510"/>
      <c r="L168" s="510"/>
      <c r="M168" s="510"/>
      <c r="N168" s="510"/>
      <c r="O168" s="510"/>
      <c r="P168" s="58">
        <v>36</v>
      </c>
    </row>
    <row r="169" spans="6:16" x14ac:dyDescent="0.25">
      <c r="F169" s="58">
        <v>35</v>
      </c>
      <c r="G169" s="510"/>
      <c r="H169" s="510"/>
      <c r="I169" s="510"/>
      <c r="J169" s="510"/>
      <c r="L169" s="510"/>
      <c r="M169" s="510"/>
      <c r="N169" s="510"/>
      <c r="O169" s="510"/>
      <c r="P169" s="58">
        <v>35</v>
      </c>
    </row>
    <row r="170" spans="6:16" x14ac:dyDescent="0.25">
      <c r="F170" s="58">
        <v>34</v>
      </c>
      <c r="G170" s="510"/>
      <c r="H170" s="510"/>
      <c r="I170" s="510"/>
      <c r="J170" s="510"/>
      <c r="L170" s="510"/>
      <c r="M170" s="510"/>
      <c r="N170" s="510"/>
      <c r="O170" s="510"/>
      <c r="P170" s="58">
        <v>34</v>
      </c>
    </row>
    <row r="171" spans="6:16" x14ac:dyDescent="0.25">
      <c r="F171" s="58">
        <v>33</v>
      </c>
      <c r="G171" s="510"/>
      <c r="H171" s="510"/>
      <c r="I171" s="510"/>
      <c r="J171" s="510"/>
      <c r="L171" s="510"/>
      <c r="M171" s="510"/>
      <c r="N171" s="510"/>
      <c r="O171" s="510"/>
      <c r="P171" s="58">
        <v>33</v>
      </c>
    </row>
    <row r="172" spans="6:16" x14ac:dyDescent="0.25">
      <c r="F172" s="58">
        <v>32</v>
      </c>
      <c r="G172" s="510"/>
      <c r="H172" s="510"/>
      <c r="I172" s="510"/>
      <c r="J172" s="510"/>
      <c r="L172" s="510"/>
      <c r="M172" s="510"/>
      <c r="N172" s="510"/>
      <c r="O172" s="510"/>
      <c r="P172" s="58">
        <v>32</v>
      </c>
    </row>
    <row r="173" spans="6:16" x14ac:dyDescent="0.25">
      <c r="F173" s="58">
        <v>31</v>
      </c>
      <c r="G173" s="510"/>
      <c r="H173" s="510"/>
      <c r="I173" s="510"/>
      <c r="J173" s="510"/>
      <c r="L173" s="510"/>
      <c r="M173" s="510"/>
      <c r="N173" s="510"/>
      <c r="O173" s="510"/>
      <c r="P173" s="58">
        <v>31</v>
      </c>
    </row>
    <row r="174" spans="6:16" x14ac:dyDescent="0.25">
      <c r="F174" s="58">
        <v>30</v>
      </c>
      <c r="G174" s="510"/>
      <c r="H174" s="510"/>
      <c r="I174" s="510"/>
      <c r="J174" s="510"/>
      <c r="L174" s="510"/>
      <c r="M174" s="510"/>
      <c r="N174" s="510"/>
      <c r="O174" s="510"/>
      <c r="P174" s="58">
        <v>30</v>
      </c>
    </row>
    <row r="175" spans="6:16" x14ac:dyDescent="0.25">
      <c r="F175" s="58">
        <v>29</v>
      </c>
      <c r="G175" s="510"/>
      <c r="H175" s="510"/>
      <c r="I175" s="510"/>
      <c r="J175" s="510"/>
      <c r="L175" s="510"/>
      <c r="M175" s="510"/>
      <c r="N175" s="510"/>
      <c r="O175" s="510"/>
      <c r="P175" s="58">
        <v>29</v>
      </c>
    </row>
    <row r="176" spans="6:16" x14ac:dyDescent="0.25">
      <c r="F176" s="58">
        <v>28</v>
      </c>
      <c r="G176" s="510"/>
      <c r="H176" s="510"/>
      <c r="I176" s="510"/>
      <c r="J176" s="510"/>
      <c r="L176" s="510"/>
      <c r="M176" s="510"/>
      <c r="N176" s="510"/>
      <c r="O176" s="510"/>
      <c r="P176" s="58">
        <v>28</v>
      </c>
    </row>
    <row r="177" spans="6:16" x14ac:dyDescent="0.25">
      <c r="F177" s="58">
        <v>27</v>
      </c>
      <c r="G177" s="510"/>
      <c r="H177" s="510"/>
      <c r="I177" s="510"/>
      <c r="J177" s="510"/>
      <c r="L177" s="510"/>
      <c r="M177" s="510"/>
      <c r="N177" s="510"/>
      <c r="O177" s="510"/>
      <c r="P177" s="58">
        <v>27</v>
      </c>
    </row>
    <row r="178" spans="6:16" x14ac:dyDescent="0.25">
      <c r="F178" s="58">
        <v>26</v>
      </c>
      <c r="G178" s="510"/>
      <c r="H178" s="510"/>
      <c r="I178" s="510"/>
      <c r="J178" s="510"/>
      <c r="L178" s="510"/>
      <c r="M178" s="510"/>
      <c r="N178" s="510"/>
      <c r="O178" s="510"/>
      <c r="P178" s="58">
        <v>26</v>
      </c>
    </row>
    <row r="179" spans="6:16" x14ac:dyDescent="0.25">
      <c r="F179" s="58">
        <v>25</v>
      </c>
      <c r="G179" s="510"/>
      <c r="H179" s="510"/>
      <c r="I179" s="510"/>
      <c r="J179" s="510"/>
      <c r="L179" s="510"/>
      <c r="M179" s="510"/>
      <c r="N179" s="510"/>
      <c r="O179" s="510"/>
      <c r="P179" s="58">
        <v>25</v>
      </c>
    </row>
    <row r="180" spans="6:16" x14ac:dyDescent="0.25">
      <c r="F180" s="58">
        <v>24</v>
      </c>
      <c r="G180" s="510"/>
      <c r="H180" s="510"/>
      <c r="I180" s="510"/>
      <c r="J180" s="510"/>
      <c r="L180" s="510"/>
      <c r="M180" s="510"/>
      <c r="N180" s="510"/>
      <c r="O180" s="510"/>
      <c r="P180" s="58">
        <v>24</v>
      </c>
    </row>
    <row r="181" spans="6:16" x14ac:dyDescent="0.25">
      <c r="F181" s="58">
        <v>23</v>
      </c>
      <c r="G181" s="510"/>
      <c r="H181" s="510"/>
      <c r="I181" s="510"/>
      <c r="J181" s="510"/>
      <c r="L181" s="510"/>
      <c r="M181" s="510"/>
      <c r="N181" s="510"/>
      <c r="O181" s="510"/>
      <c r="P181" s="58">
        <v>23</v>
      </c>
    </row>
    <row r="182" spans="6:16" x14ac:dyDescent="0.25">
      <c r="F182" s="58">
        <v>22</v>
      </c>
      <c r="G182" s="510"/>
      <c r="H182" s="510"/>
      <c r="I182" s="510"/>
      <c r="J182" s="510"/>
      <c r="L182" s="510"/>
      <c r="M182" s="510"/>
      <c r="N182" s="510"/>
      <c r="O182" s="510"/>
      <c r="P182" s="58">
        <v>22</v>
      </c>
    </row>
    <row r="183" spans="6:16" x14ac:dyDescent="0.25">
      <c r="F183" s="58">
        <v>21</v>
      </c>
      <c r="G183" s="510"/>
      <c r="H183" s="510"/>
      <c r="I183" s="510"/>
      <c r="J183" s="510"/>
      <c r="L183" s="510"/>
      <c r="M183" s="510"/>
      <c r="N183" s="510"/>
      <c r="O183" s="510"/>
      <c r="P183" s="58">
        <v>21</v>
      </c>
    </row>
    <row r="184" spans="6:16" x14ac:dyDescent="0.25">
      <c r="F184" s="58">
        <v>20</v>
      </c>
      <c r="G184" s="510"/>
      <c r="H184" s="510"/>
      <c r="I184" s="510"/>
      <c r="J184" s="510"/>
      <c r="L184" s="510"/>
      <c r="M184" s="510"/>
      <c r="N184" s="510"/>
      <c r="O184" s="510"/>
      <c r="P184" s="58">
        <v>20</v>
      </c>
    </row>
    <row r="185" spans="6:16" x14ac:dyDescent="0.25">
      <c r="F185" s="58">
        <v>19</v>
      </c>
      <c r="G185" s="510"/>
      <c r="H185" s="510"/>
      <c r="I185" s="510"/>
      <c r="J185" s="510"/>
      <c r="L185" s="510"/>
      <c r="M185" s="510"/>
      <c r="N185" s="510"/>
      <c r="O185" s="510"/>
      <c r="P185" s="58">
        <v>19</v>
      </c>
    </row>
    <row r="186" spans="6:16" x14ac:dyDescent="0.25">
      <c r="F186" s="58">
        <v>18</v>
      </c>
      <c r="G186" s="510"/>
      <c r="H186" s="510"/>
      <c r="I186" s="510"/>
      <c r="J186" s="510"/>
      <c r="L186" s="510"/>
      <c r="M186" s="510"/>
      <c r="N186" s="510"/>
      <c r="O186" s="510"/>
      <c r="P186" s="58">
        <v>18</v>
      </c>
    </row>
    <row r="187" spans="6:16" x14ac:dyDescent="0.25">
      <c r="F187" s="58">
        <v>17</v>
      </c>
      <c r="G187" s="510"/>
      <c r="H187" s="510"/>
      <c r="I187" s="510"/>
      <c r="J187" s="510"/>
      <c r="L187" s="510"/>
      <c r="M187" s="510"/>
      <c r="N187" s="510"/>
      <c r="O187" s="510"/>
      <c r="P187" s="58">
        <v>17</v>
      </c>
    </row>
    <row r="188" spans="6:16" x14ac:dyDescent="0.25">
      <c r="F188" s="58">
        <v>16</v>
      </c>
      <c r="G188" s="510"/>
      <c r="H188" s="510"/>
      <c r="I188" s="510"/>
      <c r="J188" s="510"/>
      <c r="L188" s="510"/>
      <c r="M188" s="510"/>
      <c r="N188" s="510"/>
      <c r="O188" s="510"/>
      <c r="P188" s="58">
        <v>16</v>
      </c>
    </row>
    <row r="189" spans="6:16" x14ac:dyDescent="0.25">
      <c r="F189" s="58">
        <v>15</v>
      </c>
      <c r="G189" s="510"/>
      <c r="H189" s="510"/>
      <c r="I189" s="510"/>
      <c r="J189" s="510"/>
      <c r="L189" s="510"/>
      <c r="M189" s="510"/>
      <c r="N189" s="510"/>
      <c r="O189" s="510"/>
      <c r="P189" s="58">
        <v>15</v>
      </c>
    </row>
    <row r="190" spans="6:16" x14ac:dyDescent="0.25">
      <c r="F190" s="58">
        <v>14</v>
      </c>
      <c r="G190" s="510"/>
      <c r="H190" s="510"/>
      <c r="I190" s="510"/>
      <c r="J190" s="510"/>
      <c r="L190" s="510"/>
      <c r="M190" s="510"/>
      <c r="N190" s="510"/>
      <c r="O190" s="510"/>
      <c r="P190" s="58">
        <v>14</v>
      </c>
    </row>
    <row r="191" spans="6:16" x14ac:dyDescent="0.25">
      <c r="F191" s="58">
        <v>13</v>
      </c>
      <c r="G191" s="510"/>
      <c r="H191" s="510"/>
      <c r="I191" s="510"/>
      <c r="J191" s="510"/>
      <c r="L191" s="510"/>
      <c r="M191" s="510"/>
      <c r="N191" s="510"/>
      <c r="O191" s="510"/>
      <c r="P191" s="58">
        <v>13</v>
      </c>
    </row>
    <row r="192" spans="6:16" x14ac:dyDescent="0.25">
      <c r="F192" s="58">
        <v>12</v>
      </c>
      <c r="G192" s="510"/>
      <c r="H192" s="510"/>
      <c r="I192" s="510"/>
      <c r="J192" s="510"/>
      <c r="L192" s="510"/>
      <c r="M192" s="510"/>
      <c r="N192" s="510"/>
      <c r="O192" s="510"/>
      <c r="P192" s="58">
        <v>12</v>
      </c>
    </row>
    <row r="193" spans="6:16" x14ac:dyDescent="0.25">
      <c r="F193" s="58">
        <v>11</v>
      </c>
      <c r="G193" s="510"/>
      <c r="H193" s="510"/>
      <c r="I193" s="510"/>
      <c r="J193" s="510"/>
      <c r="L193" s="510"/>
      <c r="M193" s="510"/>
      <c r="N193" s="510"/>
      <c r="O193" s="510"/>
      <c r="P193" s="58">
        <v>11</v>
      </c>
    </row>
    <row r="194" spans="6:16" x14ac:dyDescent="0.25">
      <c r="F194" s="58">
        <v>10</v>
      </c>
      <c r="G194" s="510"/>
      <c r="H194" s="510"/>
      <c r="I194" s="510"/>
      <c r="J194" s="510"/>
      <c r="L194" s="510"/>
      <c r="M194" s="510"/>
      <c r="N194" s="510"/>
      <c r="O194" s="510"/>
      <c r="P194" s="58">
        <v>10</v>
      </c>
    </row>
    <row r="195" spans="6:16" x14ac:dyDescent="0.25">
      <c r="F195" s="58">
        <v>9</v>
      </c>
      <c r="G195" s="510"/>
      <c r="H195" s="510"/>
      <c r="I195" s="510"/>
      <c r="J195" s="510"/>
      <c r="L195" s="510"/>
      <c r="M195" s="510"/>
      <c r="N195" s="510"/>
      <c r="O195" s="510"/>
      <c r="P195" s="58">
        <v>9</v>
      </c>
    </row>
    <row r="196" spans="6:16" x14ac:dyDescent="0.25">
      <c r="F196" s="58">
        <v>8</v>
      </c>
      <c r="G196" s="510"/>
      <c r="H196" s="510"/>
      <c r="I196" s="510"/>
      <c r="J196" s="510"/>
      <c r="L196" s="510"/>
      <c r="M196" s="510"/>
      <c r="N196" s="510"/>
      <c r="O196" s="510"/>
      <c r="P196" s="58">
        <v>8</v>
      </c>
    </row>
    <row r="197" spans="6:16" x14ac:dyDescent="0.25">
      <c r="F197" s="58">
        <v>7</v>
      </c>
      <c r="G197" s="510"/>
      <c r="H197" s="510"/>
      <c r="I197" s="510"/>
      <c r="J197" s="510"/>
      <c r="L197" s="510"/>
      <c r="M197" s="510"/>
      <c r="N197" s="510"/>
      <c r="O197" s="510"/>
      <c r="P197" s="58">
        <v>7</v>
      </c>
    </row>
    <row r="198" spans="6:16" x14ac:dyDescent="0.25">
      <c r="F198" s="58">
        <v>6</v>
      </c>
      <c r="G198" s="510"/>
      <c r="H198" s="510"/>
      <c r="I198" s="510"/>
      <c r="J198" s="510"/>
      <c r="L198" s="510"/>
      <c r="M198" s="510"/>
      <c r="N198" s="510"/>
      <c r="O198" s="510"/>
      <c r="P198" s="58">
        <v>6</v>
      </c>
    </row>
    <row r="199" spans="6:16" x14ac:dyDescent="0.25">
      <c r="F199" s="58">
        <v>5</v>
      </c>
      <c r="G199" s="510"/>
      <c r="H199" s="510"/>
      <c r="I199" s="510"/>
      <c r="J199" s="510"/>
      <c r="L199" s="510"/>
      <c r="M199" s="510"/>
      <c r="N199" s="510"/>
      <c r="O199" s="510"/>
      <c r="P199" s="58">
        <v>5</v>
      </c>
    </row>
    <row r="200" spans="6:16" x14ac:dyDescent="0.25">
      <c r="F200" s="58">
        <v>4</v>
      </c>
      <c r="G200" s="510"/>
      <c r="H200" s="510"/>
      <c r="I200" s="510"/>
      <c r="J200" s="510"/>
      <c r="L200" s="510"/>
      <c r="M200" s="510"/>
      <c r="N200" s="510"/>
      <c r="O200" s="510"/>
      <c r="P200" s="58">
        <v>4</v>
      </c>
    </row>
    <row r="201" spans="6:16" x14ac:dyDescent="0.25">
      <c r="F201" s="58">
        <v>3</v>
      </c>
      <c r="G201" s="510"/>
      <c r="H201" s="510"/>
      <c r="I201" s="510"/>
      <c r="J201" s="510"/>
      <c r="L201" s="510"/>
      <c r="M201" s="510"/>
      <c r="N201" s="510"/>
      <c r="O201" s="510"/>
      <c r="P201" s="58">
        <v>3</v>
      </c>
    </row>
    <row r="202" spans="6:16" x14ac:dyDescent="0.25">
      <c r="F202" s="58">
        <v>2</v>
      </c>
      <c r="G202" s="510"/>
      <c r="H202" s="510"/>
      <c r="I202" s="510"/>
      <c r="J202" s="510"/>
      <c r="L202" s="510"/>
      <c r="M202" s="510"/>
      <c r="N202" s="510"/>
      <c r="O202" s="510"/>
      <c r="P202" s="58">
        <v>2</v>
      </c>
    </row>
    <row r="203" spans="6:16" x14ac:dyDescent="0.25">
      <c r="F203" s="58">
        <v>1</v>
      </c>
      <c r="G203" s="510"/>
      <c r="H203" s="510"/>
      <c r="I203" s="510"/>
      <c r="J203" s="510"/>
      <c r="K203" s="23"/>
      <c r="L203" s="510"/>
      <c r="M203" s="510"/>
      <c r="N203" s="510"/>
      <c r="O203" s="510"/>
      <c r="P203" s="58">
        <v>1</v>
      </c>
    </row>
    <row r="204" spans="6:16" x14ac:dyDescent="0.25">
      <c r="G204" s="511">
        <v>1</v>
      </c>
      <c r="H204" s="511"/>
      <c r="I204" s="511">
        <v>2</v>
      </c>
      <c r="J204" s="511"/>
      <c r="K204" s="410"/>
      <c r="L204" s="511">
        <v>1</v>
      </c>
      <c r="M204" s="511"/>
      <c r="N204" s="511">
        <v>2</v>
      </c>
      <c r="O204" s="511"/>
    </row>
    <row r="205" spans="6:16" x14ac:dyDescent="0.25">
      <c r="G205" s="53" t="s">
        <v>126</v>
      </c>
      <c r="H205" s="53"/>
      <c r="I205" s="53"/>
      <c r="J205" s="53"/>
      <c r="K205" s="53"/>
      <c r="L205" s="53" t="s">
        <v>126</v>
      </c>
      <c r="M205" s="53"/>
      <c r="N205" s="53"/>
    </row>
    <row r="206" spans="6:16" x14ac:dyDescent="0.25">
      <c r="G206" s="53" t="s">
        <v>139</v>
      </c>
      <c r="H206" s="53"/>
      <c r="I206" s="53"/>
      <c r="J206" s="52"/>
      <c r="K206" s="52"/>
      <c r="L206" s="53" t="s">
        <v>249</v>
      </c>
      <c r="M206" s="53"/>
      <c r="N206" s="53"/>
    </row>
  </sheetData>
  <mergeCells count="750">
    <mergeCell ref="G103:H103"/>
    <mergeCell ref="I103:J103"/>
    <mergeCell ref="L103:M103"/>
    <mergeCell ref="N103:O103"/>
    <mergeCell ref="I19:J19"/>
    <mergeCell ref="N19:O19"/>
    <mergeCell ref="N20:O20"/>
    <mergeCell ref="L20:M20"/>
    <mergeCell ref="G101:H101"/>
    <mergeCell ref="I101:J101"/>
    <mergeCell ref="L101:M101"/>
    <mergeCell ref="N101:O101"/>
    <mergeCell ref="G102:H102"/>
    <mergeCell ref="I102:J102"/>
    <mergeCell ref="L102:M102"/>
    <mergeCell ref="N102:O102"/>
    <mergeCell ref="G99:H99"/>
    <mergeCell ref="I99:J99"/>
    <mergeCell ref="L99:M99"/>
    <mergeCell ref="N99:O99"/>
    <mergeCell ref="G100:H100"/>
    <mergeCell ref="I100:J100"/>
    <mergeCell ref="L100:M100"/>
    <mergeCell ref="N100:O100"/>
    <mergeCell ref="G97:H97"/>
    <mergeCell ref="I97:J97"/>
    <mergeCell ref="L97:M97"/>
    <mergeCell ref="N97:O97"/>
    <mergeCell ref="G98:H98"/>
    <mergeCell ref="I98:J98"/>
    <mergeCell ref="L98:M98"/>
    <mergeCell ref="N98:O98"/>
    <mergeCell ref="G95:H95"/>
    <mergeCell ref="I95:J95"/>
    <mergeCell ref="L95:M95"/>
    <mergeCell ref="N95:O95"/>
    <mergeCell ref="G96:H96"/>
    <mergeCell ref="I96:J96"/>
    <mergeCell ref="L96:M96"/>
    <mergeCell ref="N96:O96"/>
    <mergeCell ref="G93:H93"/>
    <mergeCell ref="I93:J93"/>
    <mergeCell ref="L93:M93"/>
    <mergeCell ref="N93:O93"/>
    <mergeCell ref="G94:H94"/>
    <mergeCell ref="I94:J94"/>
    <mergeCell ref="L94:M94"/>
    <mergeCell ref="N94:O94"/>
    <mergeCell ref="G91:H91"/>
    <mergeCell ref="I91:J91"/>
    <mergeCell ref="L91:M91"/>
    <mergeCell ref="N91:O91"/>
    <mergeCell ref="G92:H92"/>
    <mergeCell ref="I92:J92"/>
    <mergeCell ref="L92:M92"/>
    <mergeCell ref="N92:O92"/>
    <mergeCell ref="G89:H89"/>
    <mergeCell ref="I89:J89"/>
    <mergeCell ref="L89:M89"/>
    <mergeCell ref="N89:O89"/>
    <mergeCell ref="G90:H90"/>
    <mergeCell ref="I90:J90"/>
    <mergeCell ref="L90:M90"/>
    <mergeCell ref="N90:O90"/>
    <mergeCell ref="G87:H87"/>
    <mergeCell ref="I87:J87"/>
    <mergeCell ref="L87:M87"/>
    <mergeCell ref="N87:O87"/>
    <mergeCell ref="G88:H88"/>
    <mergeCell ref="I88:J88"/>
    <mergeCell ref="L88:M88"/>
    <mergeCell ref="N88:O88"/>
    <mergeCell ref="G85:H85"/>
    <mergeCell ref="I85:J85"/>
    <mergeCell ref="L85:M85"/>
    <mergeCell ref="N85:O85"/>
    <mergeCell ref="G86:H86"/>
    <mergeCell ref="I86:J86"/>
    <mergeCell ref="L86:M86"/>
    <mergeCell ref="N86:O86"/>
    <mergeCell ref="G83:H83"/>
    <mergeCell ref="I83:J83"/>
    <mergeCell ref="L83:M83"/>
    <mergeCell ref="N83:O83"/>
    <mergeCell ref="G84:H84"/>
    <mergeCell ref="I84:J84"/>
    <mergeCell ref="L84:M84"/>
    <mergeCell ref="N84:O84"/>
    <mergeCell ref="G81:H81"/>
    <mergeCell ref="I81:J81"/>
    <mergeCell ref="L81:M81"/>
    <mergeCell ref="N81:O81"/>
    <mergeCell ref="G82:H82"/>
    <mergeCell ref="I82:J82"/>
    <mergeCell ref="L82:M82"/>
    <mergeCell ref="N82:O82"/>
    <mergeCell ref="G79:H79"/>
    <mergeCell ref="I79:J79"/>
    <mergeCell ref="L79:M79"/>
    <mergeCell ref="N79:O79"/>
    <mergeCell ref="G80:H80"/>
    <mergeCell ref="I80:J80"/>
    <mergeCell ref="L80:M80"/>
    <mergeCell ref="N80:O80"/>
    <mergeCell ref="G77:H77"/>
    <mergeCell ref="I77:J77"/>
    <mergeCell ref="L77:M77"/>
    <mergeCell ref="N77:O77"/>
    <mergeCell ref="G78:H78"/>
    <mergeCell ref="I78:J78"/>
    <mergeCell ref="L78:M78"/>
    <mergeCell ref="N78:O78"/>
    <mergeCell ref="G75:H75"/>
    <mergeCell ref="I75:J75"/>
    <mergeCell ref="L75:M75"/>
    <mergeCell ref="N75:O75"/>
    <mergeCell ref="G76:H76"/>
    <mergeCell ref="I76:J76"/>
    <mergeCell ref="L76:M76"/>
    <mergeCell ref="N76:O76"/>
    <mergeCell ref="G73:H73"/>
    <mergeCell ref="I73:J73"/>
    <mergeCell ref="L73:M73"/>
    <mergeCell ref="N73:O73"/>
    <mergeCell ref="G74:H74"/>
    <mergeCell ref="I74:J74"/>
    <mergeCell ref="L74:M74"/>
    <mergeCell ref="N74:O74"/>
    <mergeCell ref="G71:H71"/>
    <mergeCell ref="I71:J71"/>
    <mergeCell ref="L71:M71"/>
    <mergeCell ref="N71:O71"/>
    <mergeCell ref="G72:H72"/>
    <mergeCell ref="I72:J72"/>
    <mergeCell ref="L72:M72"/>
    <mergeCell ref="N72:O72"/>
    <mergeCell ref="G69:H69"/>
    <mergeCell ref="I69:J69"/>
    <mergeCell ref="L69:M69"/>
    <mergeCell ref="N69:O69"/>
    <mergeCell ref="G70:H70"/>
    <mergeCell ref="I70:J70"/>
    <mergeCell ref="L70:M70"/>
    <mergeCell ref="N70:O70"/>
    <mergeCell ref="G67:H67"/>
    <mergeCell ref="I67:J67"/>
    <mergeCell ref="L67:M67"/>
    <mergeCell ref="N67:O67"/>
    <mergeCell ref="G68:H68"/>
    <mergeCell ref="I68:J68"/>
    <mergeCell ref="L68:M68"/>
    <mergeCell ref="N68:O68"/>
    <mergeCell ref="G65:H65"/>
    <mergeCell ref="I65:J65"/>
    <mergeCell ref="L65:M65"/>
    <mergeCell ref="N65:O65"/>
    <mergeCell ref="G66:H66"/>
    <mergeCell ref="I66:J66"/>
    <mergeCell ref="L66:M66"/>
    <mergeCell ref="N66:O66"/>
    <mergeCell ref="G63:H63"/>
    <mergeCell ref="I63:J63"/>
    <mergeCell ref="L63:M63"/>
    <mergeCell ref="N63:O63"/>
    <mergeCell ref="G64:H64"/>
    <mergeCell ref="I64:J64"/>
    <mergeCell ref="L64:M64"/>
    <mergeCell ref="N64:O64"/>
    <mergeCell ref="G61:H61"/>
    <mergeCell ref="I61:J61"/>
    <mergeCell ref="L61:M61"/>
    <mergeCell ref="N61:O61"/>
    <mergeCell ref="G62:H62"/>
    <mergeCell ref="I62:J62"/>
    <mergeCell ref="L62:M62"/>
    <mergeCell ref="N62:O62"/>
    <mergeCell ref="G59:H59"/>
    <mergeCell ref="I59:J59"/>
    <mergeCell ref="L59:M59"/>
    <mergeCell ref="N59:O59"/>
    <mergeCell ref="G60:H60"/>
    <mergeCell ref="I60:J60"/>
    <mergeCell ref="L60:M60"/>
    <mergeCell ref="N60:O60"/>
    <mergeCell ref="G57:H57"/>
    <mergeCell ref="I57:J57"/>
    <mergeCell ref="L57:M57"/>
    <mergeCell ref="N57:O57"/>
    <mergeCell ref="G58:H58"/>
    <mergeCell ref="I58:J58"/>
    <mergeCell ref="L58:M58"/>
    <mergeCell ref="N58:O58"/>
    <mergeCell ref="G55:H55"/>
    <mergeCell ref="I55:J55"/>
    <mergeCell ref="L55:M55"/>
    <mergeCell ref="N55:O55"/>
    <mergeCell ref="G56:H56"/>
    <mergeCell ref="I56:J56"/>
    <mergeCell ref="L56:M56"/>
    <mergeCell ref="N56:O56"/>
    <mergeCell ref="G53:H53"/>
    <mergeCell ref="I53:J53"/>
    <mergeCell ref="L53:M53"/>
    <mergeCell ref="N53:O53"/>
    <mergeCell ref="G54:H54"/>
    <mergeCell ref="I54:J54"/>
    <mergeCell ref="L54:M54"/>
    <mergeCell ref="N54:O54"/>
    <mergeCell ref="G51:H51"/>
    <mergeCell ref="I51:J51"/>
    <mergeCell ref="L51:M51"/>
    <mergeCell ref="N51:O51"/>
    <mergeCell ref="G52:H52"/>
    <mergeCell ref="I52:J52"/>
    <mergeCell ref="L52:M52"/>
    <mergeCell ref="N52:O52"/>
    <mergeCell ref="G49:H49"/>
    <mergeCell ref="I49:J49"/>
    <mergeCell ref="L49:M49"/>
    <mergeCell ref="N49:O49"/>
    <mergeCell ref="G50:H50"/>
    <mergeCell ref="I50:J50"/>
    <mergeCell ref="L50:M50"/>
    <mergeCell ref="N50:O50"/>
    <mergeCell ref="G47:H47"/>
    <mergeCell ref="I47:J47"/>
    <mergeCell ref="L47:M47"/>
    <mergeCell ref="N47:O47"/>
    <mergeCell ref="G48:H48"/>
    <mergeCell ref="I48:J48"/>
    <mergeCell ref="L48:M48"/>
    <mergeCell ref="N48:O48"/>
    <mergeCell ref="G45:H45"/>
    <mergeCell ref="I45:J45"/>
    <mergeCell ref="L45:M45"/>
    <mergeCell ref="N45:O45"/>
    <mergeCell ref="G46:H46"/>
    <mergeCell ref="I46:J46"/>
    <mergeCell ref="L46:M46"/>
    <mergeCell ref="N46:O46"/>
    <mergeCell ref="G43:H43"/>
    <mergeCell ref="I43:J43"/>
    <mergeCell ref="L43:M43"/>
    <mergeCell ref="N43:O43"/>
    <mergeCell ref="G44:H44"/>
    <mergeCell ref="I44:J44"/>
    <mergeCell ref="L44:M44"/>
    <mergeCell ref="N44:O44"/>
    <mergeCell ref="G41:H41"/>
    <mergeCell ref="I41:J41"/>
    <mergeCell ref="L41:M41"/>
    <mergeCell ref="N41:O41"/>
    <mergeCell ref="G42:H42"/>
    <mergeCell ref="I42:J42"/>
    <mergeCell ref="L42:M42"/>
    <mergeCell ref="N42:O42"/>
    <mergeCell ref="G39:H39"/>
    <mergeCell ref="I39:J39"/>
    <mergeCell ref="L39:M39"/>
    <mergeCell ref="N39:O39"/>
    <mergeCell ref="G40:H40"/>
    <mergeCell ref="I40:J40"/>
    <mergeCell ref="L40:M40"/>
    <mergeCell ref="N40:O40"/>
    <mergeCell ref="G37:H37"/>
    <mergeCell ref="I37:J37"/>
    <mergeCell ref="L37:M37"/>
    <mergeCell ref="N37:O37"/>
    <mergeCell ref="G38:H38"/>
    <mergeCell ref="I38:J38"/>
    <mergeCell ref="L38:M38"/>
    <mergeCell ref="N38:O38"/>
    <mergeCell ref="G35:H35"/>
    <mergeCell ref="I35:J35"/>
    <mergeCell ref="L35:M35"/>
    <mergeCell ref="N35:O35"/>
    <mergeCell ref="G36:H36"/>
    <mergeCell ref="I36:J36"/>
    <mergeCell ref="L36:M36"/>
    <mergeCell ref="N36:O36"/>
    <mergeCell ref="G33:H33"/>
    <mergeCell ref="I33:J33"/>
    <mergeCell ref="L33:M33"/>
    <mergeCell ref="N33:O33"/>
    <mergeCell ref="G34:H34"/>
    <mergeCell ref="I34:J34"/>
    <mergeCell ref="L34:M34"/>
    <mergeCell ref="N34:O34"/>
    <mergeCell ref="G31:H31"/>
    <mergeCell ref="I31:J31"/>
    <mergeCell ref="L31:M31"/>
    <mergeCell ref="N31:O31"/>
    <mergeCell ref="G32:H32"/>
    <mergeCell ref="I32:J32"/>
    <mergeCell ref="L32:M32"/>
    <mergeCell ref="N32:O32"/>
    <mergeCell ref="G29:H29"/>
    <mergeCell ref="I29:J29"/>
    <mergeCell ref="L29:M29"/>
    <mergeCell ref="N29:O29"/>
    <mergeCell ref="G30:H30"/>
    <mergeCell ref="I30:J30"/>
    <mergeCell ref="L30:M30"/>
    <mergeCell ref="N30:O30"/>
    <mergeCell ref="G27:H27"/>
    <mergeCell ref="I27:J27"/>
    <mergeCell ref="L27:M27"/>
    <mergeCell ref="N27:O27"/>
    <mergeCell ref="G28:H28"/>
    <mergeCell ref="I28:J28"/>
    <mergeCell ref="L28:M28"/>
    <mergeCell ref="N28:O28"/>
    <mergeCell ref="G25:H25"/>
    <mergeCell ref="I25:J25"/>
    <mergeCell ref="L25:M25"/>
    <mergeCell ref="N25:O25"/>
    <mergeCell ref="G26:H26"/>
    <mergeCell ref="I26:J26"/>
    <mergeCell ref="L26:M26"/>
    <mergeCell ref="N26:O26"/>
    <mergeCell ref="G23:H23"/>
    <mergeCell ref="I23:J23"/>
    <mergeCell ref="L23:M23"/>
    <mergeCell ref="N23:O23"/>
    <mergeCell ref="G24:H24"/>
    <mergeCell ref="I24:J24"/>
    <mergeCell ref="L24:M24"/>
    <mergeCell ref="N24:O24"/>
    <mergeCell ref="D8:D9"/>
    <mergeCell ref="C9:C10"/>
    <mergeCell ref="A14:B14"/>
    <mergeCell ref="G20:H20"/>
    <mergeCell ref="I20:J20"/>
    <mergeCell ref="N18:O18"/>
    <mergeCell ref="N21:O21"/>
    <mergeCell ref="G22:H22"/>
    <mergeCell ref="I22:J22"/>
    <mergeCell ref="L22:M22"/>
    <mergeCell ref="N22:O22"/>
    <mergeCell ref="G21:H21"/>
    <mergeCell ref="I21:J21"/>
    <mergeCell ref="G18:H18"/>
    <mergeCell ref="I18:J18"/>
    <mergeCell ref="L18:M18"/>
    <mergeCell ref="L21:M21"/>
    <mergeCell ref="F14:R14"/>
    <mergeCell ref="G203:H203"/>
    <mergeCell ref="I203:J203"/>
    <mergeCell ref="L203:M203"/>
    <mergeCell ref="N203:O203"/>
    <mergeCell ref="G204:H204"/>
    <mergeCell ref="I204:J204"/>
    <mergeCell ref="L204:M204"/>
    <mergeCell ref="N204:O204"/>
    <mergeCell ref="G104:H104"/>
    <mergeCell ref="I104:J104"/>
    <mergeCell ref="G105:H105"/>
    <mergeCell ref="I105:J105"/>
    <mergeCell ref="G106:H106"/>
    <mergeCell ref="I106:J106"/>
    <mergeCell ref="G107:H107"/>
    <mergeCell ref="I107:J107"/>
    <mergeCell ref="G108:H108"/>
    <mergeCell ref="I108:J108"/>
    <mergeCell ref="G109:H109"/>
    <mergeCell ref="I109:J109"/>
    <mergeCell ref="G110:H110"/>
    <mergeCell ref="I110:J110"/>
    <mergeCell ref="G111:H111"/>
    <mergeCell ref="I111:J111"/>
    <mergeCell ref="G112:H112"/>
    <mergeCell ref="I112:J112"/>
    <mergeCell ref="G113:H113"/>
    <mergeCell ref="I113:J113"/>
    <mergeCell ref="G114:H114"/>
    <mergeCell ref="I114:J114"/>
    <mergeCell ref="G115:H115"/>
    <mergeCell ref="I115:J115"/>
    <mergeCell ref="G116:H116"/>
    <mergeCell ref="I116:J116"/>
    <mergeCell ref="G117:H117"/>
    <mergeCell ref="I117:J117"/>
    <mergeCell ref="G118:H118"/>
    <mergeCell ref="I118:J118"/>
    <mergeCell ref="G119:H119"/>
    <mergeCell ref="I119:J119"/>
    <mergeCell ref="G120:H120"/>
    <mergeCell ref="I120:J120"/>
    <mergeCell ref="G121:H121"/>
    <mergeCell ref="I121:J121"/>
    <mergeCell ref="G122:H122"/>
    <mergeCell ref="I122:J122"/>
    <mergeCell ref="G123:H123"/>
    <mergeCell ref="I123:J123"/>
    <mergeCell ref="G124:H124"/>
    <mergeCell ref="I124:J124"/>
    <mergeCell ref="G125:H125"/>
    <mergeCell ref="I125:J125"/>
    <mergeCell ref="G126:H126"/>
    <mergeCell ref="I126:J126"/>
    <mergeCell ref="G127:H127"/>
    <mergeCell ref="I127:J127"/>
    <mergeCell ref="G128:H128"/>
    <mergeCell ref="I128:J128"/>
    <mergeCell ref="G129:H129"/>
    <mergeCell ref="I129:J129"/>
    <mergeCell ref="G130:H130"/>
    <mergeCell ref="I130:J130"/>
    <mergeCell ref="G131:H131"/>
    <mergeCell ref="I131:J131"/>
    <mergeCell ref="G132:H132"/>
    <mergeCell ref="I132:J132"/>
    <mergeCell ref="G133:H133"/>
    <mergeCell ref="I133:J133"/>
    <mergeCell ref="G134:H134"/>
    <mergeCell ref="I134:J134"/>
    <mergeCell ref="G135:H135"/>
    <mergeCell ref="I135:J135"/>
    <mergeCell ref="G136:H136"/>
    <mergeCell ref="I136:J136"/>
    <mergeCell ref="G137:H137"/>
    <mergeCell ref="I137:J137"/>
    <mergeCell ref="G138:H138"/>
    <mergeCell ref="I138:J138"/>
    <mergeCell ref="G139:H139"/>
    <mergeCell ref="I139:J139"/>
    <mergeCell ref="G140:H140"/>
    <mergeCell ref="I140:J140"/>
    <mergeCell ref="G141:H141"/>
    <mergeCell ref="I141:J141"/>
    <mergeCell ref="G142:H142"/>
    <mergeCell ref="I142:J142"/>
    <mergeCell ref="G143:H143"/>
    <mergeCell ref="I143:J143"/>
    <mergeCell ref="G144:H144"/>
    <mergeCell ref="I144:J144"/>
    <mergeCell ref="G145:H145"/>
    <mergeCell ref="I145:J145"/>
    <mergeCell ref="G146:H146"/>
    <mergeCell ref="I146:J146"/>
    <mergeCell ref="G147:H147"/>
    <mergeCell ref="I147:J147"/>
    <mergeCell ref="G148:H148"/>
    <mergeCell ref="I148:J148"/>
    <mergeCell ref="G149:H149"/>
    <mergeCell ref="I149:J149"/>
    <mergeCell ref="G150:H150"/>
    <mergeCell ref="I150:J150"/>
    <mergeCell ref="G151:H151"/>
    <mergeCell ref="I151:J151"/>
    <mergeCell ref="G152:H152"/>
    <mergeCell ref="I152:J152"/>
    <mergeCell ref="G153:H153"/>
    <mergeCell ref="I153:J153"/>
    <mergeCell ref="G154:H154"/>
    <mergeCell ref="I154:J154"/>
    <mergeCell ref="G155:H155"/>
    <mergeCell ref="I155:J155"/>
    <mergeCell ref="G156:H156"/>
    <mergeCell ref="I156:J156"/>
    <mergeCell ref="G157:H157"/>
    <mergeCell ref="I157:J157"/>
    <mergeCell ref="G158:H158"/>
    <mergeCell ref="I158:J158"/>
    <mergeCell ref="G159:H159"/>
    <mergeCell ref="I159:J159"/>
    <mergeCell ref="G160:H160"/>
    <mergeCell ref="I160:J160"/>
    <mergeCell ref="G161:H161"/>
    <mergeCell ref="I161:J161"/>
    <mergeCell ref="G162:H162"/>
    <mergeCell ref="I162:J162"/>
    <mergeCell ref="G163:H163"/>
    <mergeCell ref="I163:J163"/>
    <mergeCell ref="G164:H164"/>
    <mergeCell ref="I164:J164"/>
    <mergeCell ref="G165:H165"/>
    <mergeCell ref="I165:J165"/>
    <mergeCell ref="G166:H166"/>
    <mergeCell ref="I166:J166"/>
    <mergeCell ref="G167:H167"/>
    <mergeCell ref="I167:J167"/>
    <mergeCell ref="G168:H168"/>
    <mergeCell ref="I168:J168"/>
    <mergeCell ref="G169:H169"/>
    <mergeCell ref="I169:J169"/>
    <mergeCell ref="G170:H170"/>
    <mergeCell ref="I170:J170"/>
    <mergeCell ref="G171:H171"/>
    <mergeCell ref="I171:J171"/>
    <mergeCell ref="G172:H172"/>
    <mergeCell ref="I172:J172"/>
    <mergeCell ref="G173:H173"/>
    <mergeCell ref="I173:J173"/>
    <mergeCell ref="G174:H174"/>
    <mergeCell ref="I174:J174"/>
    <mergeCell ref="G175:H175"/>
    <mergeCell ref="I175:J175"/>
    <mergeCell ref="G176:H176"/>
    <mergeCell ref="I176:J176"/>
    <mergeCell ref="G177:H177"/>
    <mergeCell ref="I177:J177"/>
    <mergeCell ref="G178:H178"/>
    <mergeCell ref="I178:J178"/>
    <mergeCell ref="G179:H179"/>
    <mergeCell ref="I179:J179"/>
    <mergeCell ref="G180:H180"/>
    <mergeCell ref="I180:J180"/>
    <mergeCell ref="G181:H181"/>
    <mergeCell ref="I181:J181"/>
    <mergeCell ref="G182:H182"/>
    <mergeCell ref="I182:J182"/>
    <mergeCell ref="G183:H183"/>
    <mergeCell ref="I183:J183"/>
    <mergeCell ref="G184:H184"/>
    <mergeCell ref="I184:J184"/>
    <mergeCell ref="G185:H185"/>
    <mergeCell ref="I185:J185"/>
    <mergeCell ref="G186:H186"/>
    <mergeCell ref="I186:J186"/>
    <mergeCell ref="G187:H187"/>
    <mergeCell ref="I187:J187"/>
    <mergeCell ref="G188:H188"/>
    <mergeCell ref="I188:J188"/>
    <mergeCell ref="G189:H189"/>
    <mergeCell ref="I189:J189"/>
    <mergeCell ref="G190:H190"/>
    <mergeCell ref="I190:J190"/>
    <mergeCell ref="G191:H191"/>
    <mergeCell ref="I191:J191"/>
    <mergeCell ref="G192:H192"/>
    <mergeCell ref="I192:J192"/>
    <mergeCell ref="G193:H193"/>
    <mergeCell ref="I193:J193"/>
    <mergeCell ref="G194:H194"/>
    <mergeCell ref="I194:J194"/>
    <mergeCell ref="G195:H195"/>
    <mergeCell ref="I195:J195"/>
    <mergeCell ref="G196:H196"/>
    <mergeCell ref="I196:J196"/>
    <mergeCell ref="G197:H197"/>
    <mergeCell ref="I197:J197"/>
    <mergeCell ref="G198:H198"/>
    <mergeCell ref="I198:J198"/>
    <mergeCell ref="G199:H199"/>
    <mergeCell ref="I199:J199"/>
    <mergeCell ref="G200:H200"/>
    <mergeCell ref="I200:J200"/>
    <mergeCell ref="G201:H201"/>
    <mergeCell ref="I201:J201"/>
    <mergeCell ref="G202:H202"/>
    <mergeCell ref="I202:J202"/>
    <mergeCell ref="L104:M104"/>
    <mergeCell ref="N104:O104"/>
    <mergeCell ref="L105:M105"/>
    <mergeCell ref="N105:O105"/>
    <mergeCell ref="L106:M106"/>
    <mergeCell ref="N106:O106"/>
    <mergeCell ref="L107:M107"/>
    <mergeCell ref="N107:O107"/>
    <mergeCell ref="L108:M108"/>
    <mergeCell ref="N108:O108"/>
    <mergeCell ref="L109:M109"/>
    <mergeCell ref="N109:O109"/>
    <mergeCell ref="L110:M110"/>
    <mergeCell ref="N110:O110"/>
    <mergeCell ref="L111:M111"/>
    <mergeCell ref="N111:O111"/>
    <mergeCell ref="L112:M112"/>
    <mergeCell ref="N112:O112"/>
    <mergeCell ref="L113:M113"/>
    <mergeCell ref="N113:O113"/>
    <mergeCell ref="L114:M114"/>
    <mergeCell ref="N114:O114"/>
    <mergeCell ref="L115:M115"/>
    <mergeCell ref="N115:O115"/>
    <mergeCell ref="L116:M116"/>
    <mergeCell ref="N116:O116"/>
    <mergeCell ref="L117:M117"/>
    <mergeCell ref="N117:O117"/>
    <mergeCell ref="L118:M118"/>
    <mergeCell ref="N118:O118"/>
    <mergeCell ref="L119:M119"/>
    <mergeCell ref="N119:O119"/>
    <mergeCell ref="L120:M120"/>
    <mergeCell ref="N120:O120"/>
    <mergeCell ref="L121:M121"/>
    <mergeCell ref="N121:O121"/>
    <mergeCell ref="L122:M122"/>
    <mergeCell ref="N122:O122"/>
    <mergeCell ref="L123:M123"/>
    <mergeCell ref="N123:O123"/>
    <mergeCell ref="L124:M124"/>
    <mergeCell ref="N124:O124"/>
    <mergeCell ref="L125:M125"/>
    <mergeCell ref="N125:O125"/>
    <mergeCell ref="L126:M126"/>
    <mergeCell ref="N126:O126"/>
    <mergeCell ref="L127:M127"/>
    <mergeCell ref="N127:O127"/>
    <mergeCell ref="L128:M128"/>
    <mergeCell ref="N128:O128"/>
    <mergeCell ref="L129:M129"/>
    <mergeCell ref="N129:O129"/>
    <mergeCell ref="L130:M130"/>
    <mergeCell ref="N130:O130"/>
    <mergeCell ref="L131:M131"/>
    <mergeCell ref="N131:O131"/>
    <mergeCell ref="L132:M132"/>
    <mergeCell ref="N132:O132"/>
    <mergeCell ref="L133:M133"/>
    <mergeCell ref="N133:O133"/>
    <mergeCell ref="L134:M134"/>
    <mergeCell ref="N134:O134"/>
    <mergeCell ref="L135:M135"/>
    <mergeCell ref="N135:O135"/>
    <mergeCell ref="L136:M136"/>
    <mergeCell ref="N136:O136"/>
    <mergeCell ref="L137:M137"/>
    <mergeCell ref="N137:O137"/>
    <mergeCell ref="L138:M138"/>
    <mergeCell ref="N138:O138"/>
    <mergeCell ref="L139:M139"/>
    <mergeCell ref="N139:O139"/>
    <mergeCell ref="L140:M140"/>
    <mergeCell ref="N140:O140"/>
    <mergeCell ref="L141:M141"/>
    <mergeCell ref="N141:O141"/>
    <mergeCell ref="L142:M142"/>
    <mergeCell ref="N142:O142"/>
    <mergeCell ref="L143:M143"/>
    <mergeCell ref="N143:O143"/>
    <mergeCell ref="L144:M144"/>
    <mergeCell ref="N144:O144"/>
    <mergeCell ref="L145:M145"/>
    <mergeCell ref="N145:O145"/>
    <mergeCell ref="L146:M146"/>
    <mergeCell ref="N146:O146"/>
    <mergeCell ref="L147:M147"/>
    <mergeCell ref="N147:O147"/>
    <mergeCell ref="L148:M148"/>
    <mergeCell ref="N148:O148"/>
    <mergeCell ref="L149:M149"/>
    <mergeCell ref="N149:O149"/>
    <mergeCell ref="L150:M150"/>
    <mergeCell ref="N150:O150"/>
    <mergeCell ref="L151:M151"/>
    <mergeCell ref="N151:O151"/>
    <mergeCell ref="L152:M152"/>
    <mergeCell ref="N152:O152"/>
    <mergeCell ref="L153:M153"/>
    <mergeCell ref="N153:O153"/>
    <mergeCell ref="L154:M154"/>
    <mergeCell ref="N154:O154"/>
    <mergeCell ref="L155:M155"/>
    <mergeCell ref="N155:O155"/>
    <mergeCell ref="L156:M156"/>
    <mergeCell ref="N156:O156"/>
    <mergeCell ref="L157:M157"/>
    <mergeCell ref="N157:O157"/>
    <mergeCell ref="L158:M158"/>
    <mergeCell ref="N158:O158"/>
    <mergeCell ref="L159:M159"/>
    <mergeCell ref="N159:O159"/>
    <mergeCell ref="L160:M160"/>
    <mergeCell ref="N160:O160"/>
    <mergeCell ref="L161:M161"/>
    <mergeCell ref="N161:O161"/>
    <mergeCell ref="L162:M162"/>
    <mergeCell ref="N162:O162"/>
    <mergeCell ref="L163:M163"/>
    <mergeCell ref="N163:O163"/>
    <mergeCell ref="L164:M164"/>
    <mergeCell ref="N164:O164"/>
    <mergeCell ref="L165:M165"/>
    <mergeCell ref="N165:O165"/>
    <mergeCell ref="L166:M166"/>
    <mergeCell ref="N166:O166"/>
    <mergeCell ref="L167:M167"/>
    <mergeCell ref="N167:O167"/>
    <mergeCell ref="L168:M168"/>
    <mergeCell ref="N168:O168"/>
    <mergeCell ref="L169:M169"/>
    <mergeCell ref="N169:O169"/>
    <mergeCell ref="L170:M170"/>
    <mergeCell ref="N170:O170"/>
    <mergeCell ref="L171:M171"/>
    <mergeCell ref="N171:O171"/>
    <mergeCell ref="L172:M172"/>
    <mergeCell ref="N172:O172"/>
    <mergeCell ref="L173:M173"/>
    <mergeCell ref="N173:O173"/>
    <mergeCell ref="L174:M174"/>
    <mergeCell ref="N174:O174"/>
    <mergeCell ref="L175:M175"/>
    <mergeCell ref="N175:O175"/>
    <mergeCell ref="L176:M176"/>
    <mergeCell ref="N176:O176"/>
    <mergeCell ref="L177:M177"/>
    <mergeCell ref="N177:O177"/>
    <mergeCell ref="L178:M178"/>
    <mergeCell ref="N178:O178"/>
    <mergeCell ref="L179:M179"/>
    <mergeCell ref="N179:O179"/>
    <mergeCell ref="L180:M180"/>
    <mergeCell ref="N180:O180"/>
    <mergeCell ref="L181:M181"/>
    <mergeCell ref="N181:O181"/>
    <mergeCell ref="L182:M182"/>
    <mergeCell ref="N182:O182"/>
    <mergeCell ref="L183:M183"/>
    <mergeCell ref="N183:O183"/>
    <mergeCell ref="L184:M184"/>
    <mergeCell ref="N184:O184"/>
    <mergeCell ref="L185:M185"/>
    <mergeCell ref="N185:O185"/>
    <mergeCell ref="L186:M186"/>
    <mergeCell ref="N186:O186"/>
    <mergeCell ref="L187:M187"/>
    <mergeCell ref="N187:O187"/>
    <mergeCell ref="L188:M188"/>
    <mergeCell ref="N188:O188"/>
    <mergeCell ref="L189:M189"/>
    <mergeCell ref="N189:O189"/>
    <mergeCell ref="L190:M190"/>
    <mergeCell ref="N190:O190"/>
    <mergeCell ref="L191:M191"/>
    <mergeCell ref="N191:O191"/>
    <mergeCell ref="L192:M192"/>
    <mergeCell ref="N192:O192"/>
    <mergeCell ref="L193:M193"/>
    <mergeCell ref="N193:O193"/>
    <mergeCell ref="L194:M194"/>
    <mergeCell ref="N194:O194"/>
    <mergeCell ref="L200:M200"/>
    <mergeCell ref="N200:O200"/>
    <mergeCell ref="L201:M201"/>
    <mergeCell ref="N201:O201"/>
    <mergeCell ref="L202:M202"/>
    <mergeCell ref="N202:O202"/>
    <mergeCell ref="L195:M195"/>
    <mergeCell ref="N195:O195"/>
    <mergeCell ref="L196:M196"/>
    <mergeCell ref="N196:O196"/>
    <mergeCell ref="L197:M197"/>
    <mergeCell ref="N197:O197"/>
    <mergeCell ref="L198:M198"/>
    <mergeCell ref="N198:O198"/>
    <mergeCell ref="L199:M199"/>
    <mergeCell ref="N199:O199"/>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4"/>
  <sheetViews>
    <sheetView topLeftCell="A3" workbookViewId="0">
      <selection activeCell="A3" sqref="A3"/>
    </sheetView>
  </sheetViews>
  <sheetFormatPr baseColWidth="10" defaultRowHeight="15" x14ac:dyDescent="0.25"/>
  <cols>
    <col min="1" max="1" width="19" customWidth="1"/>
    <col min="3" max="3" width="10.5703125" customWidth="1"/>
    <col min="4" max="4" width="12.140625" customWidth="1"/>
    <col min="5" max="5" width="4.28515625" customWidth="1"/>
    <col min="6" max="6" width="5.140625" customWidth="1"/>
    <col min="7" max="7" width="2.5703125" customWidth="1"/>
    <col min="8" max="8" width="1.28515625" customWidth="1"/>
    <col min="9" max="10" width="2" customWidth="1"/>
    <col min="11" max="11" width="3.7109375" customWidth="1"/>
    <col min="12" max="12" width="2.5703125" customWidth="1"/>
    <col min="13" max="13" width="1.28515625" customWidth="1"/>
    <col min="14" max="15" width="2" customWidth="1"/>
    <col min="16" max="16" width="5.42578125" style="23" customWidth="1"/>
    <col min="17" max="24" width="3.7109375" style="23" customWidth="1"/>
  </cols>
  <sheetData>
    <row r="1" spans="1:21" hidden="1" x14ac:dyDescent="0.25">
      <c r="A1" s="22" t="str">
        <f>B7</f>
        <v>meses</v>
      </c>
      <c r="B1" s="22" t="s">
        <v>4</v>
      </c>
      <c r="C1" s="22" t="s">
        <v>5</v>
      </c>
      <c r="D1" s="22" t="s">
        <v>6</v>
      </c>
      <c r="E1" s="22"/>
      <c r="F1" s="22"/>
      <c r="P1"/>
      <c r="Q1"/>
      <c r="R1"/>
      <c r="S1"/>
      <c r="T1"/>
    </row>
    <row r="2" spans="1:21" hidden="1" x14ac:dyDescent="0.25">
      <c r="A2" s="22" t="s">
        <v>7</v>
      </c>
      <c r="B2" s="22" t="s">
        <v>8</v>
      </c>
      <c r="C2" s="22" t="s">
        <v>9</v>
      </c>
      <c r="D2" s="22" t="s">
        <v>10</v>
      </c>
      <c r="E2" s="22" t="str">
        <f>CONCATENATE(B2," ",B5," ",C2," ",B11," ",B7)</f>
        <v>puede representarse llegando los 172 pacientes, a los 2 meses</v>
      </c>
      <c r="F2" s="22"/>
      <c r="G2" s="24" t="str">
        <f>CONCATENATE(A2," ",E2,D2)</f>
        <v>NO puede representarse llegando los 172 pacientes, a los 2 meses, pues habría que recortar o ampliar los tiempos respectivos de uno o más pacientes "libres de evento" o "con evento"</v>
      </c>
      <c r="H2" s="24"/>
      <c r="I2" s="24"/>
      <c r="P2"/>
      <c r="Q2"/>
      <c r="R2"/>
      <c r="S2"/>
      <c r="T2"/>
    </row>
    <row r="3" spans="1:21" ht="8.25" customHeight="1" x14ac:dyDescent="0.25">
      <c r="A3" s="25"/>
      <c r="C3" s="25"/>
      <c r="D3" s="25"/>
      <c r="E3" s="25"/>
      <c r="F3" s="25"/>
      <c r="G3" s="25"/>
      <c r="H3" s="25"/>
      <c r="I3" s="25"/>
      <c r="J3" s="25"/>
      <c r="K3" s="26"/>
      <c r="P3"/>
      <c r="Q3"/>
      <c r="R3"/>
      <c r="S3"/>
      <c r="T3"/>
    </row>
    <row r="4" spans="1:21" ht="24" customHeight="1" x14ac:dyDescent="0.25">
      <c r="A4" s="388" t="s">
        <v>248</v>
      </c>
      <c r="D4" s="25"/>
      <c r="E4" s="25"/>
      <c r="F4" s="25"/>
      <c r="G4" s="25"/>
      <c r="H4" s="25"/>
      <c r="I4" s="25"/>
      <c r="J4" s="1"/>
      <c r="K4" s="26"/>
      <c r="O4" s="369"/>
      <c r="P4" s="369"/>
      <c r="Q4"/>
      <c r="S4"/>
      <c r="T4"/>
    </row>
    <row r="5" spans="1:21" x14ac:dyDescent="0.25">
      <c r="A5" s="396" t="s">
        <v>152</v>
      </c>
      <c r="B5" s="27">
        <f>C5+D5+E5</f>
        <v>172</v>
      </c>
      <c r="C5" s="359">
        <v>1</v>
      </c>
      <c r="D5" s="28">
        <v>1</v>
      </c>
      <c r="E5" s="29">
        <v>170</v>
      </c>
      <c r="G5" s="25"/>
      <c r="H5" s="25"/>
      <c r="I5" s="25"/>
      <c r="J5" s="3"/>
      <c r="K5" s="25"/>
      <c r="O5" s="386"/>
      <c r="P5" s="386"/>
      <c r="Q5"/>
      <c r="R5" s="369" t="s">
        <v>157</v>
      </c>
      <c r="S5"/>
      <c r="T5"/>
    </row>
    <row r="6" spans="1:21" ht="14.25" customHeight="1" x14ac:dyDescent="0.25">
      <c r="A6" s="25"/>
      <c r="C6" s="30"/>
      <c r="D6" s="31"/>
      <c r="E6" s="32"/>
      <c r="F6" s="25"/>
      <c r="G6" s="25"/>
      <c r="H6" s="25"/>
      <c r="I6" s="25"/>
      <c r="J6" s="25"/>
      <c r="K6" s="25"/>
      <c r="P6"/>
      <c r="Q6"/>
      <c r="R6" s="386" t="s">
        <v>158</v>
      </c>
      <c r="S6"/>
      <c r="T6"/>
    </row>
    <row r="7" spans="1:21" ht="39.75" customHeight="1" x14ac:dyDescent="0.25">
      <c r="A7" s="395" t="s">
        <v>153</v>
      </c>
      <c r="B7" s="33" t="s">
        <v>124</v>
      </c>
      <c r="C7" s="34" t="str">
        <f>CONCATENATE(A1," ",B1," ",B5," ",C1)</f>
        <v>meses de los 172 del grupo Interv</v>
      </c>
      <c r="D7" s="34" t="str">
        <f>CONCATENATE(A1," ",B1," ",B5," ",D1)</f>
        <v>meses de los 172 del grupo Contr</v>
      </c>
      <c r="E7" s="25"/>
      <c r="F7" s="25"/>
      <c r="G7" s="25"/>
      <c r="H7" s="25"/>
      <c r="I7" s="25"/>
      <c r="J7" s="25"/>
      <c r="K7" s="25"/>
      <c r="P7"/>
      <c r="Q7"/>
      <c r="R7"/>
      <c r="S7"/>
      <c r="T7"/>
    </row>
    <row r="8" spans="1:21" x14ac:dyDescent="0.25">
      <c r="A8" s="35" t="s">
        <v>1</v>
      </c>
      <c r="B8" s="36">
        <v>7.4585852241501136E-3</v>
      </c>
      <c r="C8" s="387">
        <f>B8*B5</f>
        <v>1.2828766585538196</v>
      </c>
      <c r="D8" s="512">
        <f>(B8+B9)*B5</f>
        <v>2.2819249342693553</v>
      </c>
      <c r="E8" s="37"/>
      <c r="F8" s="37"/>
      <c r="G8" s="38"/>
      <c r="H8" s="38"/>
      <c r="I8" s="38"/>
      <c r="J8" s="25"/>
      <c r="K8" s="25"/>
      <c r="P8"/>
      <c r="Q8"/>
      <c r="R8"/>
      <c r="S8"/>
      <c r="T8"/>
    </row>
    <row r="9" spans="1:21" ht="26.25" x14ac:dyDescent="0.25">
      <c r="A9" s="39" t="s">
        <v>3</v>
      </c>
      <c r="B9" s="40">
        <v>5.8084202076484634E-3</v>
      </c>
      <c r="C9" s="513">
        <f>(B10+B9)*B5</f>
        <v>342.71712334144615</v>
      </c>
      <c r="D9" s="512"/>
      <c r="E9" s="31"/>
      <c r="F9" s="41"/>
      <c r="G9" s="38"/>
      <c r="H9" s="38"/>
      <c r="I9" s="38"/>
      <c r="J9" s="25"/>
      <c r="K9" s="25"/>
      <c r="P9"/>
      <c r="Q9"/>
      <c r="R9"/>
      <c r="S9"/>
      <c r="T9"/>
    </row>
    <row r="10" spans="1:21" ht="26.25" x14ac:dyDescent="0.25">
      <c r="A10" s="42" t="s">
        <v>2</v>
      </c>
      <c r="B10" s="43">
        <v>1.9867329945682013</v>
      </c>
      <c r="C10" s="513"/>
      <c r="D10" s="44">
        <f>B10*B5</f>
        <v>341.7180750657306</v>
      </c>
      <c r="E10" s="30"/>
      <c r="F10" s="41"/>
      <c r="G10" s="45"/>
      <c r="H10" s="45"/>
      <c r="I10" s="45"/>
      <c r="J10" s="25"/>
      <c r="K10" s="25"/>
      <c r="P10"/>
      <c r="Q10"/>
      <c r="R10"/>
      <c r="S10"/>
      <c r="T10"/>
    </row>
    <row r="11" spans="1:21" x14ac:dyDescent="0.25">
      <c r="A11" s="4"/>
      <c r="B11" s="46">
        <v>1.9999999999999998</v>
      </c>
      <c r="C11" s="47">
        <f>C8+C9</f>
        <v>344</v>
      </c>
      <c r="D11" s="47">
        <f>D8+D10</f>
        <v>343.99999999999994</v>
      </c>
      <c r="E11" s="48"/>
      <c r="F11" s="48"/>
      <c r="G11" s="48"/>
      <c r="H11" s="48"/>
      <c r="I11" s="48"/>
      <c r="J11" s="25"/>
      <c r="K11" s="25"/>
      <c r="P11"/>
      <c r="Q11"/>
      <c r="R11"/>
      <c r="S11"/>
      <c r="T11"/>
    </row>
    <row r="12" spans="1:21" ht="9" customHeight="1" x14ac:dyDescent="0.25">
      <c r="A12" s="25"/>
      <c r="B12" s="25"/>
      <c r="C12" s="25"/>
      <c r="D12" s="25"/>
      <c r="E12" s="25"/>
      <c r="F12" s="25"/>
      <c r="G12" s="25"/>
      <c r="H12" s="25"/>
      <c r="I12" s="25"/>
      <c r="J12" s="25"/>
      <c r="K12" s="25"/>
      <c r="P12"/>
      <c r="Q12"/>
      <c r="R12"/>
      <c r="S12"/>
      <c r="T12"/>
    </row>
    <row r="13" spans="1:21" x14ac:dyDescent="0.25">
      <c r="A13" s="25"/>
      <c r="B13" s="25"/>
      <c r="C13" s="21">
        <f>(E5+D5)*B11</f>
        <v>341.99999999999994</v>
      </c>
      <c r="D13" s="21">
        <f>E5*B11</f>
        <v>339.99999999999994</v>
      </c>
      <c r="E13" s="25"/>
      <c r="F13" s="49" t="s">
        <v>12</v>
      </c>
      <c r="G13" s="25"/>
      <c r="H13" s="25"/>
      <c r="I13" s="25"/>
      <c r="J13" s="25"/>
      <c r="K13" s="25"/>
      <c r="P13"/>
      <c r="Q13"/>
      <c r="R13"/>
      <c r="S13"/>
      <c r="T13"/>
      <c r="U13"/>
    </row>
    <row r="14" spans="1:21" ht="36" customHeight="1" x14ac:dyDescent="0.25">
      <c r="A14" s="514" t="s">
        <v>13</v>
      </c>
      <c r="B14" s="514"/>
      <c r="C14" s="50">
        <f>C9-C13</f>
        <v>0.71712334144621082</v>
      </c>
      <c r="D14" s="50">
        <f>D10-D13</f>
        <v>1.7180750657306589</v>
      </c>
      <c r="F14" s="520" t="str">
        <f>IF((AND(((B9+B10)/B11)&gt;((D5+E5)/B5),(B10/B11)&gt;(E5/B5))),E2,G2)</f>
        <v>puede representarse llegando los 172 pacientes, a los 2 meses</v>
      </c>
      <c r="G14" s="521"/>
      <c r="H14" s="521"/>
      <c r="I14" s="521"/>
      <c r="J14" s="521"/>
      <c r="K14" s="521"/>
      <c r="L14" s="521"/>
      <c r="M14" s="521"/>
      <c r="N14" s="521"/>
      <c r="O14" s="521"/>
      <c r="P14" s="521"/>
      <c r="Q14" s="521"/>
      <c r="R14" s="522"/>
      <c r="S14"/>
      <c r="T14"/>
      <c r="U14"/>
    </row>
    <row r="15" spans="1:21" ht="18.75" customHeight="1" x14ac:dyDescent="0.25">
      <c r="A15" s="51"/>
      <c r="B15" s="51"/>
      <c r="C15" s="51"/>
      <c r="D15" s="51"/>
      <c r="F15" s="52"/>
      <c r="G15" s="52"/>
      <c r="H15" s="52"/>
      <c r="I15" s="52"/>
      <c r="J15" s="52"/>
      <c r="K15" s="52"/>
      <c r="L15" s="52"/>
      <c r="M15" s="52"/>
      <c r="N15" s="52"/>
      <c r="O15" s="52"/>
      <c r="P15" s="52"/>
      <c r="Q15" s="52"/>
      <c r="R15" s="52"/>
      <c r="S15" s="52"/>
      <c r="T15" s="52"/>
    </row>
    <row r="16" spans="1:21" ht="17.25" customHeight="1" x14ac:dyDescent="0.25">
      <c r="A16" s="405" t="s">
        <v>167</v>
      </c>
      <c r="B16" s="406"/>
      <c r="C16" s="406"/>
      <c r="D16" s="407"/>
      <c r="G16" s="53" t="s">
        <v>139</v>
      </c>
      <c r="H16" s="53"/>
      <c r="I16" s="53"/>
      <c r="J16" s="52"/>
      <c r="K16" s="52"/>
      <c r="L16" s="53" t="s">
        <v>249</v>
      </c>
      <c r="M16" s="53"/>
      <c r="N16" s="53"/>
      <c r="O16" s="52"/>
      <c r="P16" s="52"/>
      <c r="Q16" s="52"/>
      <c r="R16" s="52"/>
      <c r="S16" s="52"/>
      <c r="T16" s="52"/>
    </row>
    <row r="17" spans="1:24" x14ac:dyDescent="0.25">
      <c r="A17" s="437" t="s">
        <v>191</v>
      </c>
      <c r="B17" s="436"/>
      <c r="C17" s="436"/>
      <c r="D17" s="436"/>
      <c r="G17" s="53" t="s">
        <v>126</v>
      </c>
      <c r="H17" s="53"/>
      <c r="I17" s="53"/>
      <c r="J17" s="53"/>
      <c r="L17" s="53" t="s">
        <v>126</v>
      </c>
      <c r="M17" s="53"/>
      <c r="N17" s="53"/>
    </row>
    <row r="18" spans="1:24" x14ac:dyDescent="0.25">
      <c r="A18" s="437" t="s">
        <v>159</v>
      </c>
      <c r="B18" s="436"/>
      <c r="C18" s="436"/>
      <c r="D18" s="436"/>
      <c r="F18" s="23"/>
      <c r="G18" s="517">
        <v>1</v>
      </c>
      <c r="H18" s="517"/>
      <c r="I18" s="517">
        <v>2</v>
      </c>
      <c r="J18" s="517"/>
      <c r="K18" s="410"/>
      <c r="L18" s="517">
        <v>1</v>
      </c>
      <c r="M18" s="517"/>
      <c r="N18" s="517">
        <v>2</v>
      </c>
      <c r="O18" s="517"/>
    </row>
    <row r="19" spans="1:24" x14ac:dyDescent="0.25">
      <c r="E19" s="54" t="s">
        <v>14</v>
      </c>
      <c r="F19" s="59">
        <v>172</v>
      </c>
      <c r="G19" s="57"/>
      <c r="H19" s="362"/>
      <c r="I19" s="523"/>
      <c r="J19" s="524"/>
      <c r="K19" s="23"/>
      <c r="L19" s="57"/>
      <c r="M19" s="362"/>
      <c r="N19" s="523"/>
      <c r="O19" s="524"/>
      <c r="P19" s="59">
        <v>172</v>
      </c>
      <c r="Q19" s="55" t="s">
        <v>14</v>
      </c>
      <c r="R19" s="56"/>
      <c r="S19" s="56"/>
      <c r="T19" s="56"/>
      <c r="U19" s="56"/>
      <c r="V19" s="56"/>
      <c r="W19" s="56"/>
      <c r="X19" s="56"/>
    </row>
    <row r="20" spans="1:24" ht="16.5" thickBot="1" x14ac:dyDescent="0.3">
      <c r="F20" s="360">
        <v>171</v>
      </c>
      <c r="G20" s="515"/>
      <c r="H20" s="516"/>
      <c r="I20" s="515"/>
      <c r="J20" s="516"/>
      <c r="K20" s="23"/>
      <c r="L20" s="515"/>
      <c r="M20" s="516"/>
      <c r="N20" s="523"/>
      <c r="O20" s="524"/>
      <c r="P20" s="361">
        <v>171</v>
      </c>
      <c r="Q20" s="56"/>
      <c r="R20" s="56"/>
      <c r="S20" s="56"/>
      <c r="T20" s="56"/>
      <c r="U20" s="56"/>
      <c r="V20" s="56"/>
      <c r="W20" s="56"/>
      <c r="X20" s="56"/>
    </row>
    <row r="21" spans="1:24" x14ac:dyDescent="0.25">
      <c r="A21" s="321" t="s">
        <v>132</v>
      </c>
      <c r="B21" s="322"/>
      <c r="C21" s="322"/>
      <c r="D21" s="323"/>
      <c r="F21" s="58">
        <v>170</v>
      </c>
      <c r="G21" s="518"/>
      <c r="H21" s="519"/>
      <c r="I21" s="518"/>
      <c r="J21" s="519"/>
      <c r="K21" s="23"/>
      <c r="L21" s="518"/>
      <c r="M21" s="519"/>
      <c r="N21" s="518"/>
      <c r="O21" s="519"/>
      <c r="P21" s="58">
        <v>170</v>
      </c>
      <c r="Q21" s="56"/>
      <c r="R21" s="56"/>
      <c r="S21" s="56"/>
      <c r="T21" s="56"/>
      <c r="U21" s="56"/>
      <c r="V21" s="56"/>
      <c r="W21" s="56"/>
      <c r="X21" s="56"/>
    </row>
    <row r="22" spans="1:24" x14ac:dyDescent="0.25">
      <c r="A22" s="324" t="s">
        <v>127</v>
      </c>
      <c r="B22" s="325" t="s">
        <v>128</v>
      </c>
      <c r="C22" s="325" t="s">
        <v>114</v>
      </c>
      <c r="D22" s="326" t="s">
        <v>11</v>
      </c>
      <c r="F22" s="58">
        <v>169</v>
      </c>
      <c r="G22" s="518"/>
      <c r="H22" s="519"/>
      <c r="I22" s="518"/>
      <c r="J22" s="519"/>
      <c r="K22" s="23"/>
      <c r="L22" s="518"/>
      <c r="M22" s="519"/>
      <c r="N22" s="518"/>
      <c r="O22" s="519"/>
      <c r="P22" s="58">
        <v>169</v>
      </c>
      <c r="Q22" s="56"/>
      <c r="R22" s="56"/>
      <c r="S22" s="56"/>
      <c r="T22" s="56"/>
      <c r="U22" s="56"/>
      <c r="V22" s="56"/>
      <c r="W22" s="56"/>
      <c r="X22" s="56"/>
    </row>
    <row r="23" spans="1:24" x14ac:dyDescent="0.25">
      <c r="A23" s="327">
        <v>1.6501650165016502E-3</v>
      </c>
      <c r="B23" s="328">
        <v>7.4585852241501136E-3</v>
      </c>
      <c r="C23" s="329">
        <f>B23-A23</f>
        <v>5.8084202076484634E-3</v>
      </c>
      <c r="D23" s="330">
        <f>1/C23</f>
        <v>172.1638525193496</v>
      </c>
      <c r="F23" s="58">
        <v>168</v>
      </c>
      <c r="G23" s="518"/>
      <c r="H23" s="519"/>
      <c r="I23" s="518"/>
      <c r="J23" s="519"/>
      <c r="K23" s="23"/>
      <c r="L23" s="518"/>
      <c r="M23" s="519"/>
      <c r="N23" s="518"/>
      <c r="O23" s="519"/>
      <c r="P23" s="58">
        <v>168</v>
      </c>
      <c r="Q23" s="56"/>
      <c r="R23" s="56"/>
      <c r="S23" s="56"/>
      <c r="T23" s="56"/>
      <c r="U23" s="56"/>
      <c r="V23" s="56"/>
      <c r="W23" s="56"/>
      <c r="X23" s="56"/>
    </row>
    <row r="24" spans="1:24" ht="15.75" thickBot="1" x14ac:dyDescent="0.3">
      <c r="A24" s="331" t="s">
        <v>129</v>
      </c>
      <c r="B24" s="336">
        <f>A23*D23</f>
        <v>0.28409876653358018</v>
      </c>
      <c r="C24" s="332">
        <f>C23*D23</f>
        <v>1</v>
      </c>
      <c r="D24" s="333">
        <f>(1-B23)*D23</f>
        <v>170.87975375281601</v>
      </c>
      <c r="F24" s="58">
        <v>167</v>
      </c>
      <c r="G24" s="518"/>
      <c r="H24" s="519"/>
      <c r="I24" s="518"/>
      <c r="J24" s="519"/>
      <c r="K24" s="23"/>
      <c r="L24" s="518"/>
      <c r="M24" s="519"/>
      <c r="N24" s="518"/>
      <c r="O24" s="519"/>
      <c r="P24" s="58">
        <v>167</v>
      </c>
      <c r="Q24" s="56"/>
      <c r="R24" s="56"/>
      <c r="S24" s="56"/>
      <c r="T24" s="56"/>
      <c r="U24" s="56"/>
      <c r="V24" s="56"/>
      <c r="W24" s="56"/>
      <c r="X24" s="56"/>
    </row>
    <row r="25" spans="1:24" x14ac:dyDescent="0.25">
      <c r="F25" s="58">
        <v>166</v>
      </c>
      <c r="G25" s="518"/>
      <c r="H25" s="519"/>
      <c r="I25" s="518"/>
      <c r="J25" s="519"/>
      <c r="K25" s="23"/>
      <c r="L25" s="518"/>
      <c r="M25" s="519"/>
      <c r="N25" s="518"/>
      <c r="O25" s="519"/>
      <c r="P25" s="58">
        <v>166</v>
      </c>
      <c r="Q25" s="56"/>
      <c r="R25" s="56"/>
      <c r="S25" s="56"/>
      <c r="T25" s="56"/>
      <c r="U25" s="56"/>
      <c r="V25" s="56"/>
      <c r="W25" s="56"/>
      <c r="X25" s="56"/>
    </row>
    <row r="26" spans="1:24" x14ac:dyDescent="0.25">
      <c r="B26" s="431"/>
      <c r="F26" s="58">
        <v>165</v>
      </c>
      <c r="G26" s="518"/>
      <c r="H26" s="519"/>
      <c r="I26" s="518"/>
      <c r="J26" s="519"/>
      <c r="K26" s="23"/>
      <c r="L26" s="518"/>
      <c r="M26" s="519"/>
      <c r="N26" s="518"/>
      <c r="O26" s="519"/>
      <c r="P26" s="58">
        <v>165</v>
      </c>
      <c r="Q26" s="56"/>
      <c r="R26" s="56"/>
      <c r="S26" s="56"/>
      <c r="T26" s="56"/>
      <c r="U26" s="56"/>
      <c r="V26" s="56"/>
      <c r="W26" s="56"/>
      <c r="X26" s="56"/>
    </row>
    <row r="27" spans="1:24" x14ac:dyDescent="0.25">
      <c r="B27" s="431"/>
      <c r="F27" s="58">
        <v>164</v>
      </c>
      <c r="G27" s="518"/>
      <c r="H27" s="519"/>
      <c r="I27" s="518"/>
      <c r="J27" s="519"/>
      <c r="K27" s="23"/>
      <c r="L27" s="518"/>
      <c r="M27" s="519"/>
      <c r="N27" s="518"/>
      <c r="O27" s="519"/>
      <c r="P27" s="58">
        <v>164</v>
      </c>
      <c r="Q27" s="56"/>
      <c r="R27" s="56"/>
      <c r="S27" s="56"/>
      <c r="T27" s="56"/>
      <c r="U27" s="56"/>
      <c r="V27" s="56"/>
      <c r="W27" s="56"/>
      <c r="X27" s="56"/>
    </row>
    <row r="28" spans="1:24" x14ac:dyDescent="0.25">
      <c r="F28" s="58">
        <v>163</v>
      </c>
      <c r="G28" s="518"/>
      <c r="H28" s="519"/>
      <c r="I28" s="518"/>
      <c r="J28" s="519"/>
      <c r="K28" s="23"/>
      <c r="L28" s="518"/>
      <c r="M28" s="519"/>
      <c r="N28" s="518"/>
      <c r="O28" s="519"/>
      <c r="P28" s="58">
        <v>163</v>
      </c>
    </row>
    <row r="29" spans="1:24" x14ac:dyDescent="0.25">
      <c r="F29" s="58">
        <v>162</v>
      </c>
      <c r="G29" s="518"/>
      <c r="H29" s="519"/>
      <c r="I29" s="518"/>
      <c r="J29" s="519"/>
      <c r="K29" s="23"/>
      <c r="L29" s="518"/>
      <c r="M29" s="519"/>
      <c r="N29" s="518"/>
      <c r="O29" s="519"/>
      <c r="P29" s="58">
        <v>162</v>
      </c>
    </row>
    <row r="30" spans="1:24" x14ac:dyDescent="0.25">
      <c r="F30" s="58">
        <v>161</v>
      </c>
      <c r="G30" s="518"/>
      <c r="H30" s="519"/>
      <c r="I30" s="518"/>
      <c r="J30" s="519"/>
      <c r="K30" s="23"/>
      <c r="L30" s="518"/>
      <c r="M30" s="519"/>
      <c r="N30" s="518"/>
      <c r="O30" s="519"/>
      <c r="P30" s="58">
        <v>161</v>
      </c>
    </row>
    <row r="31" spans="1:24" x14ac:dyDescent="0.25">
      <c r="F31" s="58">
        <v>160</v>
      </c>
      <c r="G31" s="518"/>
      <c r="H31" s="519"/>
      <c r="I31" s="518"/>
      <c r="J31" s="519"/>
      <c r="K31" s="23"/>
      <c r="L31" s="518"/>
      <c r="M31" s="519"/>
      <c r="N31" s="518"/>
      <c r="O31" s="519"/>
      <c r="P31" s="58">
        <v>160</v>
      </c>
    </row>
    <row r="32" spans="1:24" x14ac:dyDescent="0.25">
      <c r="F32" s="58">
        <v>159</v>
      </c>
      <c r="G32" s="518"/>
      <c r="H32" s="519"/>
      <c r="I32" s="518"/>
      <c r="J32" s="519"/>
      <c r="K32" s="23"/>
      <c r="L32" s="518"/>
      <c r="M32" s="519"/>
      <c r="N32" s="518"/>
      <c r="O32" s="519"/>
      <c r="P32" s="58">
        <v>159</v>
      </c>
    </row>
    <row r="33" spans="6:16" x14ac:dyDescent="0.25">
      <c r="F33" s="58">
        <v>158</v>
      </c>
      <c r="G33" s="518"/>
      <c r="H33" s="519"/>
      <c r="I33" s="518"/>
      <c r="J33" s="519"/>
      <c r="K33" s="23"/>
      <c r="L33" s="518"/>
      <c r="M33" s="519"/>
      <c r="N33" s="518"/>
      <c r="O33" s="519"/>
      <c r="P33" s="58">
        <v>158</v>
      </c>
    </row>
    <row r="34" spans="6:16" x14ac:dyDescent="0.25">
      <c r="F34" s="58">
        <v>157</v>
      </c>
      <c r="G34" s="518"/>
      <c r="H34" s="519"/>
      <c r="I34" s="518"/>
      <c r="J34" s="519"/>
      <c r="K34" s="23"/>
      <c r="L34" s="518"/>
      <c r="M34" s="519"/>
      <c r="N34" s="518"/>
      <c r="O34" s="519"/>
      <c r="P34" s="58">
        <v>157</v>
      </c>
    </row>
    <row r="35" spans="6:16" x14ac:dyDescent="0.25">
      <c r="F35" s="58">
        <v>156</v>
      </c>
      <c r="G35" s="518"/>
      <c r="H35" s="519"/>
      <c r="I35" s="518"/>
      <c r="J35" s="519"/>
      <c r="K35" s="23"/>
      <c r="L35" s="518"/>
      <c r="M35" s="519"/>
      <c r="N35" s="518"/>
      <c r="O35" s="519"/>
      <c r="P35" s="58">
        <v>156</v>
      </c>
    </row>
    <row r="36" spans="6:16" x14ac:dyDescent="0.25">
      <c r="F36" s="58">
        <v>155</v>
      </c>
      <c r="G36" s="518"/>
      <c r="H36" s="519"/>
      <c r="I36" s="518"/>
      <c r="J36" s="519"/>
      <c r="K36" s="23"/>
      <c r="L36" s="518"/>
      <c r="M36" s="519"/>
      <c r="N36" s="518"/>
      <c r="O36" s="519"/>
      <c r="P36" s="58">
        <v>155</v>
      </c>
    </row>
    <row r="37" spans="6:16" x14ac:dyDescent="0.25">
      <c r="F37" s="58">
        <v>154</v>
      </c>
      <c r="G37" s="518"/>
      <c r="H37" s="519"/>
      <c r="I37" s="518"/>
      <c r="J37" s="519"/>
      <c r="K37" s="23"/>
      <c r="L37" s="518"/>
      <c r="M37" s="519"/>
      <c r="N37" s="518"/>
      <c r="O37" s="519"/>
      <c r="P37" s="58">
        <v>154</v>
      </c>
    </row>
    <row r="38" spans="6:16" x14ac:dyDescent="0.25">
      <c r="F38" s="58">
        <v>153</v>
      </c>
      <c r="G38" s="518"/>
      <c r="H38" s="519"/>
      <c r="I38" s="518"/>
      <c r="J38" s="519"/>
      <c r="K38" s="23"/>
      <c r="L38" s="518"/>
      <c r="M38" s="519"/>
      <c r="N38" s="518"/>
      <c r="O38" s="519"/>
      <c r="P38" s="58">
        <v>153</v>
      </c>
    </row>
    <row r="39" spans="6:16" x14ac:dyDescent="0.25">
      <c r="F39" s="58">
        <v>152</v>
      </c>
      <c r="G39" s="518"/>
      <c r="H39" s="519"/>
      <c r="I39" s="518"/>
      <c r="J39" s="519"/>
      <c r="K39" s="23"/>
      <c r="L39" s="518"/>
      <c r="M39" s="519"/>
      <c r="N39" s="518"/>
      <c r="O39" s="519"/>
      <c r="P39" s="58">
        <v>152</v>
      </c>
    </row>
    <row r="40" spans="6:16" x14ac:dyDescent="0.25">
      <c r="F40" s="58">
        <v>151</v>
      </c>
      <c r="G40" s="518"/>
      <c r="H40" s="519"/>
      <c r="I40" s="518"/>
      <c r="J40" s="519"/>
      <c r="K40" s="23"/>
      <c r="L40" s="518"/>
      <c r="M40" s="519"/>
      <c r="N40" s="518"/>
      <c r="O40" s="519"/>
      <c r="P40" s="58">
        <v>151</v>
      </c>
    </row>
    <row r="41" spans="6:16" x14ac:dyDescent="0.25">
      <c r="F41" s="58">
        <v>150</v>
      </c>
      <c r="G41" s="518"/>
      <c r="H41" s="519"/>
      <c r="I41" s="518"/>
      <c r="J41" s="519"/>
      <c r="K41" s="23"/>
      <c r="L41" s="518"/>
      <c r="M41" s="519"/>
      <c r="N41" s="518"/>
      <c r="O41" s="519"/>
      <c r="P41" s="58">
        <v>150</v>
      </c>
    </row>
    <row r="42" spans="6:16" x14ac:dyDescent="0.25">
      <c r="F42" s="58">
        <v>149</v>
      </c>
      <c r="G42" s="518"/>
      <c r="H42" s="519"/>
      <c r="I42" s="518"/>
      <c r="J42" s="519"/>
      <c r="K42" s="23"/>
      <c r="L42" s="518"/>
      <c r="M42" s="519"/>
      <c r="N42" s="518"/>
      <c r="O42" s="519"/>
      <c r="P42" s="58">
        <v>149</v>
      </c>
    </row>
    <row r="43" spans="6:16" x14ac:dyDescent="0.25">
      <c r="F43" s="58">
        <v>148</v>
      </c>
      <c r="G43" s="518"/>
      <c r="H43" s="519"/>
      <c r="I43" s="518"/>
      <c r="J43" s="519"/>
      <c r="K43" s="23"/>
      <c r="L43" s="518"/>
      <c r="M43" s="519"/>
      <c r="N43" s="518"/>
      <c r="O43" s="519"/>
      <c r="P43" s="58">
        <v>148</v>
      </c>
    </row>
    <row r="44" spans="6:16" x14ac:dyDescent="0.25">
      <c r="F44" s="58">
        <v>147</v>
      </c>
      <c r="G44" s="518"/>
      <c r="H44" s="519"/>
      <c r="I44" s="518"/>
      <c r="J44" s="519"/>
      <c r="K44" s="23"/>
      <c r="L44" s="518"/>
      <c r="M44" s="519"/>
      <c r="N44" s="518"/>
      <c r="O44" s="519"/>
      <c r="P44" s="58">
        <v>147</v>
      </c>
    </row>
    <row r="45" spans="6:16" x14ac:dyDescent="0.25">
      <c r="F45" s="58">
        <v>146</v>
      </c>
      <c r="G45" s="518"/>
      <c r="H45" s="519"/>
      <c r="I45" s="518"/>
      <c r="J45" s="519"/>
      <c r="K45" s="23"/>
      <c r="L45" s="518"/>
      <c r="M45" s="519"/>
      <c r="N45" s="518"/>
      <c r="O45" s="519"/>
      <c r="P45" s="58">
        <v>146</v>
      </c>
    </row>
    <row r="46" spans="6:16" x14ac:dyDescent="0.25">
      <c r="F46" s="58">
        <v>145</v>
      </c>
      <c r="G46" s="518"/>
      <c r="H46" s="519"/>
      <c r="I46" s="518"/>
      <c r="J46" s="519"/>
      <c r="K46" s="23"/>
      <c r="L46" s="518"/>
      <c r="M46" s="519"/>
      <c r="N46" s="518"/>
      <c r="O46" s="519"/>
      <c r="P46" s="58">
        <v>145</v>
      </c>
    </row>
    <row r="47" spans="6:16" x14ac:dyDescent="0.25">
      <c r="F47" s="58">
        <v>144</v>
      </c>
      <c r="G47" s="518"/>
      <c r="H47" s="519"/>
      <c r="I47" s="518"/>
      <c r="J47" s="519"/>
      <c r="K47" s="23"/>
      <c r="L47" s="518"/>
      <c r="M47" s="519"/>
      <c r="N47" s="518"/>
      <c r="O47" s="519"/>
      <c r="P47" s="58">
        <v>144</v>
      </c>
    </row>
    <row r="48" spans="6:16" x14ac:dyDescent="0.25">
      <c r="F48" s="58">
        <v>143</v>
      </c>
      <c r="G48" s="518"/>
      <c r="H48" s="519"/>
      <c r="I48" s="518"/>
      <c r="J48" s="519"/>
      <c r="K48" s="23"/>
      <c r="L48" s="518"/>
      <c r="M48" s="519"/>
      <c r="N48" s="518"/>
      <c r="O48" s="519"/>
      <c r="P48" s="58">
        <v>143</v>
      </c>
    </row>
    <row r="49" spans="6:16" x14ac:dyDescent="0.25">
      <c r="F49" s="58">
        <v>142</v>
      </c>
      <c r="G49" s="518"/>
      <c r="H49" s="519"/>
      <c r="I49" s="518"/>
      <c r="J49" s="519"/>
      <c r="K49" s="23"/>
      <c r="L49" s="518"/>
      <c r="M49" s="519"/>
      <c r="N49" s="518"/>
      <c r="O49" s="519"/>
      <c r="P49" s="58">
        <v>142</v>
      </c>
    </row>
    <row r="50" spans="6:16" x14ac:dyDescent="0.25">
      <c r="F50" s="58">
        <v>141</v>
      </c>
      <c r="G50" s="518"/>
      <c r="H50" s="519"/>
      <c r="I50" s="518"/>
      <c r="J50" s="519"/>
      <c r="K50" s="23"/>
      <c r="L50" s="518"/>
      <c r="M50" s="519"/>
      <c r="N50" s="518"/>
      <c r="O50" s="519"/>
      <c r="P50" s="58">
        <v>141</v>
      </c>
    </row>
    <row r="51" spans="6:16" x14ac:dyDescent="0.25">
      <c r="F51" s="58">
        <v>140</v>
      </c>
      <c r="G51" s="518"/>
      <c r="H51" s="519"/>
      <c r="I51" s="518"/>
      <c r="J51" s="519"/>
      <c r="K51" s="23"/>
      <c r="L51" s="518"/>
      <c r="M51" s="519"/>
      <c r="N51" s="518"/>
      <c r="O51" s="519"/>
      <c r="P51" s="58">
        <v>140</v>
      </c>
    </row>
    <row r="52" spans="6:16" x14ac:dyDescent="0.25">
      <c r="F52" s="58">
        <v>139</v>
      </c>
      <c r="G52" s="518"/>
      <c r="H52" s="519"/>
      <c r="I52" s="518"/>
      <c r="J52" s="519"/>
      <c r="K52" s="23"/>
      <c r="L52" s="518"/>
      <c r="M52" s="519"/>
      <c r="N52" s="518"/>
      <c r="O52" s="519"/>
      <c r="P52" s="58">
        <v>139</v>
      </c>
    </row>
    <row r="53" spans="6:16" x14ac:dyDescent="0.25">
      <c r="F53" s="58">
        <v>138</v>
      </c>
      <c r="G53" s="518"/>
      <c r="H53" s="519"/>
      <c r="I53" s="518"/>
      <c r="J53" s="519"/>
      <c r="K53" s="23"/>
      <c r="L53" s="518"/>
      <c r="M53" s="519"/>
      <c r="N53" s="518"/>
      <c r="O53" s="519"/>
      <c r="P53" s="58">
        <v>138</v>
      </c>
    </row>
    <row r="54" spans="6:16" x14ac:dyDescent="0.25">
      <c r="F54" s="58">
        <v>137</v>
      </c>
      <c r="G54" s="518"/>
      <c r="H54" s="519"/>
      <c r="I54" s="518"/>
      <c r="J54" s="519"/>
      <c r="K54" s="23"/>
      <c r="L54" s="518"/>
      <c r="M54" s="519"/>
      <c r="N54" s="518"/>
      <c r="O54" s="519"/>
      <c r="P54" s="58">
        <v>137</v>
      </c>
    </row>
    <row r="55" spans="6:16" x14ac:dyDescent="0.25">
      <c r="F55" s="58">
        <v>136</v>
      </c>
      <c r="G55" s="518"/>
      <c r="H55" s="519"/>
      <c r="I55" s="518"/>
      <c r="J55" s="519"/>
      <c r="K55" s="23"/>
      <c r="L55" s="518"/>
      <c r="M55" s="519"/>
      <c r="N55" s="518"/>
      <c r="O55" s="519"/>
      <c r="P55" s="58">
        <v>136</v>
      </c>
    </row>
    <row r="56" spans="6:16" x14ac:dyDescent="0.25">
      <c r="F56" s="58">
        <v>135</v>
      </c>
      <c r="G56" s="518"/>
      <c r="H56" s="519"/>
      <c r="I56" s="518"/>
      <c r="J56" s="519"/>
      <c r="K56" s="23"/>
      <c r="L56" s="518"/>
      <c r="M56" s="519"/>
      <c r="N56" s="518"/>
      <c r="O56" s="519"/>
      <c r="P56" s="58">
        <v>135</v>
      </c>
    </row>
    <row r="57" spans="6:16" x14ac:dyDescent="0.25">
      <c r="F57" s="58">
        <v>134</v>
      </c>
      <c r="G57" s="518"/>
      <c r="H57" s="519"/>
      <c r="I57" s="518"/>
      <c r="J57" s="519"/>
      <c r="K57" s="23"/>
      <c r="L57" s="518"/>
      <c r="M57" s="519"/>
      <c r="N57" s="518"/>
      <c r="O57" s="519"/>
      <c r="P57" s="58">
        <v>134</v>
      </c>
    </row>
    <row r="58" spans="6:16" x14ac:dyDescent="0.25">
      <c r="F58" s="58">
        <v>133</v>
      </c>
      <c r="G58" s="518"/>
      <c r="H58" s="519"/>
      <c r="I58" s="518"/>
      <c r="J58" s="519"/>
      <c r="K58" s="23"/>
      <c r="L58" s="518"/>
      <c r="M58" s="519"/>
      <c r="N58" s="518"/>
      <c r="O58" s="519"/>
      <c r="P58" s="58">
        <v>133</v>
      </c>
    </row>
    <row r="59" spans="6:16" x14ac:dyDescent="0.25">
      <c r="F59" s="58">
        <v>132</v>
      </c>
      <c r="G59" s="518"/>
      <c r="H59" s="519"/>
      <c r="I59" s="518"/>
      <c r="J59" s="519"/>
      <c r="K59" s="23"/>
      <c r="L59" s="518"/>
      <c r="M59" s="519"/>
      <c r="N59" s="518"/>
      <c r="O59" s="519"/>
      <c r="P59" s="58">
        <v>132</v>
      </c>
    </row>
    <row r="60" spans="6:16" x14ac:dyDescent="0.25">
      <c r="F60" s="58">
        <v>131</v>
      </c>
      <c r="G60" s="518"/>
      <c r="H60" s="519"/>
      <c r="I60" s="518"/>
      <c r="J60" s="519"/>
      <c r="K60" s="23"/>
      <c r="L60" s="518"/>
      <c r="M60" s="519"/>
      <c r="N60" s="518"/>
      <c r="O60" s="519"/>
      <c r="P60" s="58">
        <v>131</v>
      </c>
    </row>
    <row r="61" spans="6:16" x14ac:dyDescent="0.25">
      <c r="F61" s="58">
        <v>130</v>
      </c>
      <c r="G61" s="518"/>
      <c r="H61" s="519"/>
      <c r="I61" s="518"/>
      <c r="J61" s="519"/>
      <c r="K61" s="23"/>
      <c r="L61" s="518"/>
      <c r="M61" s="519"/>
      <c r="N61" s="518"/>
      <c r="O61" s="519"/>
      <c r="P61" s="58">
        <v>130</v>
      </c>
    </row>
    <row r="62" spans="6:16" x14ac:dyDescent="0.25">
      <c r="F62" s="58">
        <v>129</v>
      </c>
      <c r="G62" s="518"/>
      <c r="H62" s="519"/>
      <c r="I62" s="518"/>
      <c r="J62" s="519"/>
      <c r="K62" s="23"/>
      <c r="L62" s="518"/>
      <c r="M62" s="519"/>
      <c r="N62" s="518"/>
      <c r="O62" s="519"/>
      <c r="P62" s="58">
        <v>129</v>
      </c>
    </row>
    <row r="63" spans="6:16" x14ac:dyDescent="0.25">
      <c r="F63" s="58">
        <v>128</v>
      </c>
      <c r="G63" s="518"/>
      <c r="H63" s="519"/>
      <c r="I63" s="518"/>
      <c r="J63" s="519"/>
      <c r="K63" s="23"/>
      <c r="L63" s="518"/>
      <c r="M63" s="519"/>
      <c r="N63" s="518"/>
      <c r="O63" s="519"/>
      <c r="P63" s="58">
        <v>128</v>
      </c>
    </row>
    <row r="64" spans="6:16" x14ac:dyDescent="0.25">
      <c r="F64" s="58">
        <v>127</v>
      </c>
      <c r="G64" s="518"/>
      <c r="H64" s="519"/>
      <c r="I64" s="518"/>
      <c r="J64" s="519"/>
      <c r="K64" s="23"/>
      <c r="L64" s="518"/>
      <c r="M64" s="519"/>
      <c r="N64" s="518"/>
      <c r="O64" s="519"/>
      <c r="P64" s="58">
        <v>127</v>
      </c>
    </row>
    <row r="65" spans="6:16" x14ac:dyDescent="0.25">
      <c r="F65" s="58">
        <v>126</v>
      </c>
      <c r="G65" s="518"/>
      <c r="H65" s="519"/>
      <c r="I65" s="518"/>
      <c r="J65" s="519"/>
      <c r="K65" s="23"/>
      <c r="L65" s="518"/>
      <c r="M65" s="519"/>
      <c r="N65" s="518"/>
      <c r="O65" s="519"/>
      <c r="P65" s="58">
        <v>126</v>
      </c>
    </row>
    <row r="66" spans="6:16" x14ac:dyDescent="0.25">
      <c r="F66" s="58">
        <v>125</v>
      </c>
      <c r="G66" s="518"/>
      <c r="H66" s="519"/>
      <c r="I66" s="518"/>
      <c r="J66" s="519"/>
      <c r="K66" s="23"/>
      <c r="L66" s="518"/>
      <c r="M66" s="519"/>
      <c r="N66" s="518"/>
      <c r="O66" s="519"/>
      <c r="P66" s="58">
        <v>125</v>
      </c>
    </row>
    <row r="67" spans="6:16" x14ac:dyDescent="0.25">
      <c r="F67" s="58">
        <v>124</v>
      </c>
      <c r="G67" s="518"/>
      <c r="H67" s="519"/>
      <c r="I67" s="518"/>
      <c r="J67" s="519"/>
      <c r="K67" s="23"/>
      <c r="L67" s="518"/>
      <c r="M67" s="519"/>
      <c r="N67" s="518"/>
      <c r="O67" s="519"/>
      <c r="P67" s="58">
        <v>124</v>
      </c>
    </row>
    <row r="68" spans="6:16" x14ac:dyDescent="0.25">
      <c r="F68" s="58">
        <v>123</v>
      </c>
      <c r="G68" s="518"/>
      <c r="H68" s="519"/>
      <c r="I68" s="518"/>
      <c r="J68" s="519"/>
      <c r="K68" s="23"/>
      <c r="L68" s="518"/>
      <c r="M68" s="519"/>
      <c r="N68" s="518"/>
      <c r="O68" s="519"/>
      <c r="P68" s="58">
        <v>123</v>
      </c>
    </row>
    <row r="69" spans="6:16" x14ac:dyDescent="0.25">
      <c r="F69" s="58">
        <v>122</v>
      </c>
      <c r="G69" s="518"/>
      <c r="H69" s="519"/>
      <c r="I69" s="518"/>
      <c r="J69" s="519"/>
      <c r="K69" s="23"/>
      <c r="L69" s="518"/>
      <c r="M69" s="519"/>
      <c r="N69" s="518"/>
      <c r="O69" s="519"/>
      <c r="P69" s="58">
        <v>122</v>
      </c>
    </row>
    <row r="70" spans="6:16" x14ac:dyDescent="0.25">
      <c r="F70" s="58">
        <v>121</v>
      </c>
      <c r="G70" s="518"/>
      <c r="H70" s="519"/>
      <c r="I70" s="518"/>
      <c r="J70" s="519"/>
      <c r="K70" s="23"/>
      <c r="L70" s="518"/>
      <c r="M70" s="519"/>
      <c r="N70" s="518"/>
      <c r="O70" s="519"/>
      <c r="P70" s="58">
        <v>121</v>
      </c>
    </row>
    <row r="71" spans="6:16" x14ac:dyDescent="0.25">
      <c r="F71" s="58">
        <v>120</v>
      </c>
      <c r="G71" s="518"/>
      <c r="H71" s="519"/>
      <c r="I71" s="518"/>
      <c r="J71" s="519"/>
      <c r="K71" s="23"/>
      <c r="L71" s="518"/>
      <c r="M71" s="519"/>
      <c r="N71" s="518"/>
      <c r="O71" s="519"/>
      <c r="P71" s="58">
        <v>120</v>
      </c>
    </row>
    <row r="72" spans="6:16" x14ac:dyDescent="0.25">
      <c r="F72" s="58">
        <v>119</v>
      </c>
      <c r="G72" s="518"/>
      <c r="H72" s="519"/>
      <c r="I72" s="518"/>
      <c r="J72" s="519"/>
      <c r="K72" s="23"/>
      <c r="L72" s="518"/>
      <c r="M72" s="519"/>
      <c r="N72" s="518"/>
      <c r="O72" s="519"/>
      <c r="P72" s="58">
        <v>119</v>
      </c>
    </row>
    <row r="73" spans="6:16" x14ac:dyDescent="0.25">
      <c r="F73" s="58">
        <v>118</v>
      </c>
      <c r="G73" s="518"/>
      <c r="H73" s="519"/>
      <c r="I73" s="518"/>
      <c r="J73" s="519"/>
      <c r="K73" s="23"/>
      <c r="L73" s="518"/>
      <c r="M73" s="519"/>
      <c r="N73" s="518"/>
      <c r="O73" s="519"/>
      <c r="P73" s="58">
        <v>118</v>
      </c>
    </row>
    <row r="74" spans="6:16" x14ac:dyDescent="0.25">
      <c r="F74" s="58">
        <v>117</v>
      </c>
      <c r="G74" s="518"/>
      <c r="H74" s="519"/>
      <c r="I74" s="518"/>
      <c r="J74" s="519"/>
      <c r="K74" s="23"/>
      <c r="L74" s="518"/>
      <c r="M74" s="519"/>
      <c r="N74" s="518"/>
      <c r="O74" s="519"/>
      <c r="P74" s="58">
        <v>117</v>
      </c>
    </row>
    <row r="75" spans="6:16" x14ac:dyDescent="0.25">
      <c r="F75" s="58">
        <v>116</v>
      </c>
      <c r="G75" s="518"/>
      <c r="H75" s="519"/>
      <c r="I75" s="518"/>
      <c r="J75" s="519"/>
      <c r="K75" s="23"/>
      <c r="L75" s="518"/>
      <c r="M75" s="519"/>
      <c r="N75" s="518"/>
      <c r="O75" s="519"/>
      <c r="P75" s="58">
        <v>116</v>
      </c>
    </row>
    <row r="76" spans="6:16" x14ac:dyDescent="0.25">
      <c r="F76" s="58">
        <v>115</v>
      </c>
      <c r="G76" s="518"/>
      <c r="H76" s="519"/>
      <c r="I76" s="518"/>
      <c r="J76" s="519"/>
      <c r="K76" s="23"/>
      <c r="L76" s="518"/>
      <c r="M76" s="519"/>
      <c r="N76" s="518"/>
      <c r="O76" s="519"/>
      <c r="P76" s="58">
        <v>115</v>
      </c>
    </row>
    <row r="77" spans="6:16" x14ac:dyDescent="0.25">
      <c r="F77" s="58">
        <v>114</v>
      </c>
      <c r="G77" s="518"/>
      <c r="H77" s="519"/>
      <c r="I77" s="518"/>
      <c r="J77" s="519"/>
      <c r="K77" s="23"/>
      <c r="L77" s="518"/>
      <c r="M77" s="519"/>
      <c r="N77" s="518"/>
      <c r="O77" s="519"/>
      <c r="P77" s="58">
        <v>114</v>
      </c>
    </row>
    <row r="78" spans="6:16" x14ac:dyDescent="0.25">
      <c r="F78" s="58">
        <v>113</v>
      </c>
      <c r="G78" s="518"/>
      <c r="H78" s="519"/>
      <c r="I78" s="518"/>
      <c r="J78" s="519"/>
      <c r="K78" s="23"/>
      <c r="L78" s="518"/>
      <c r="M78" s="519"/>
      <c r="N78" s="518"/>
      <c r="O78" s="519"/>
      <c r="P78" s="58">
        <v>113</v>
      </c>
    </row>
    <row r="79" spans="6:16" x14ac:dyDescent="0.25">
      <c r="F79" s="58">
        <v>112</v>
      </c>
      <c r="G79" s="518"/>
      <c r="H79" s="519"/>
      <c r="I79" s="518"/>
      <c r="J79" s="519"/>
      <c r="K79" s="23"/>
      <c r="L79" s="518"/>
      <c r="M79" s="519"/>
      <c r="N79" s="518"/>
      <c r="O79" s="519"/>
      <c r="P79" s="58">
        <v>112</v>
      </c>
    </row>
    <row r="80" spans="6:16" x14ac:dyDescent="0.25">
      <c r="F80" s="58">
        <v>111</v>
      </c>
      <c r="G80" s="518"/>
      <c r="H80" s="519"/>
      <c r="I80" s="518"/>
      <c r="J80" s="519"/>
      <c r="K80" s="23"/>
      <c r="L80" s="518"/>
      <c r="M80" s="519"/>
      <c r="N80" s="518"/>
      <c r="O80" s="519"/>
      <c r="P80" s="58">
        <v>111</v>
      </c>
    </row>
    <row r="81" spans="6:16" x14ac:dyDescent="0.25">
      <c r="F81" s="58">
        <v>110</v>
      </c>
      <c r="G81" s="518"/>
      <c r="H81" s="519"/>
      <c r="I81" s="518"/>
      <c r="J81" s="519"/>
      <c r="K81" s="23"/>
      <c r="L81" s="518"/>
      <c r="M81" s="519"/>
      <c r="N81" s="518"/>
      <c r="O81" s="519"/>
      <c r="P81" s="58">
        <v>110</v>
      </c>
    </row>
    <row r="82" spans="6:16" x14ac:dyDescent="0.25">
      <c r="F82" s="58">
        <v>109</v>
      </c>
      <c r="G82" s="518"/>
      <c r="H82" s="519"/>
      <c r="I82" s="518"/>
      <c r="J82" s="519"/>
      <c r="K82" s="23"/>
      <c r="L82" s="518"/>
      <c r="M82" s="519"/>
      <c r="N82" s="518"/>
      <c r="O82" s="519"/>
      <c r="P82" s="58">
        <v>109</v>
      </c>
    </row>
    <row r="83" spans="6:16" x14ac:dyDescent="0.25">
      <c r="F83" s="58">
        <v>108</v>
      </c>
      <c r="G83" s="518"/>
      <c r="H83" s="519"/>
      <c r="I83" s="518"/>
      <c r="J83" s="519"/>
      <c r="K83" s="23"/>
      <c r="L83" s="518"/>
      <c r="M83" s="519"/>
      <c r="N83" s="518"/>
      <c r="O83" s="519"/>
      <c r="P83" s="58">
        <v>108</v>
      </c>
    </row>
    <row r="84" spans="6:16" x14ac:dyDescent="0.25">
      <c r="F84" s="58">
        <v>107</v>
      </c>
      <c r="G84" s="518"/>
      <c r="H84" s="519"/>
      <c r="I84" s="518"/>
      <c r="J84" s="519"/>
      <c r="K84" s="23"/>
      <c r="L84" s="518"/>
      <c r="M84" s="519"/>
      <c r="N84" s="518"/>
      <c r="O84" s="519"/>
      <c r="P84" s="58">
        <v>107</v>
      </c>
    </row>
    <row r="85" spans="6:16" x14ac:dyDescent="0.25">
      <c r="F85" s="58">
        <v>106</v>
      </c>
      <c r="G85" s="518"/>
      <c r="H85" s="519"/>
      <c r="I85" s="518"/>
      <c r="J85" s="519"/>
      <c r="K85" s="23"/>
      <c r="L85" s="518"/>
      <c r="M85" s="519"/>
      <c r="N85" s="518"/>
      <c r="O85" s="519"/>
      <c r="P85" s="58">
        <v>106</v>
      </c>
    </row>
    <row r="86" spans="6:16" x14ac:dyDescent="0.25">
      <c r="F86" s="58">
        <v>105</v>
      </c>
      <c r="G86" s="518"/>
      <c r="H86" s="519"/>
      <c r="I86" s="518"/>
      <c r="J86" s="519"/>
      <c r="K86" s="23"/>
      <c r="L86" s="518"/>
      <c r="M86" s="519"/>
      <c r="N86" s="518"/>
      <c r="O86" s="519"/>
      <c r="P86" s="58">
        <v>105</v>
      </c>
    </row>
    <row r="87" spans="6:16" x14ac:dyDescent="0.25">
      <c r="F87" s="58">
        <v>104</v>
      </c>
      <c r="G87" s="518"/>
      <c r="H87" s="519"/>
      <c r="I87" s="518"/>
      <c r="J87" s="519"/>
      <c r="K87" s="23"/>
      <c r="L87" s="518"/>
      <c r="M87" s="519"/>
      <c r="N87" s="518"/>
      <c r="O87" s="519"/>
      <c r="P87" s="58">
        <v>104</v>
      </c>
    </row>
    <row r="88" spans="6:16" x14ac:dyDescent="0.25">
      <c r="F88" s="58">
        <v>103</v>
      </c>
      <c r="G88" s="518"/>
      <c r="H88" s="519"/>
      <c r="I88" s="518"/>
      <c r="J88" s="519"/>
      <c r="K88" s="23"/>
      <c r="L88" s="518"/>
      <c r="M88" s="519"/>
      <c r="N88" s="518"/>
      <c r="O88" s="519"/>
      <c r="P88" s="58">
        <v>103</v>
      </c>
    </row>
    <row r="89" spans="6:16" x14ac:dyDescent="0.25">
      <c r="F89" s="58">
        <v>102</v>
      </c>
      <c r="G89" s="518"/>
      <c r="H89" s="519"/>
      <c r="I89" s="518"/>
      <c r="J89" s="519"/>
      <c r="K89" s="23"/>
      <c r="L89" s="518"/>
      <c r="M89" s="519"/>
      <c r="N89" s="518"/>
      <c r="O89" s="519"/>
      <c r="P89" s="58">
        <v>102</v>
      </c>
    </row>
    <row r="90" spans="6:16" x14ac:dyDescent="0.25">
      <c r="F90" s="58">
        <v>101</v>
      </c>
      <c r="G90" s="518"/>
      <c r="H90" s="519"/>
      <c r="I90" s="518"/>
      <c r="J90" s="519"/>
      <c r="K90" s="23"/>
      <c r="L90" s="518"/>
      <c r="M90" s="519"/>
      <c r="N90" s="518"/>
      <c r="O90" s="519"/>
      <c r="P90" s="58">
        <v>101</v>
      </c>
    </row>
    <row r="91" spans="6:16" x14ac:dyDescent="0.25">
      <c r="F91" s="58">
        <v>100</v>
      </c>
      <c r="G91" s="518"/>
      <c r="H91" s="519"/>
      <c r="I91" s="518"/>
      <c r="J91" s="519"/>
      <c r="K91" s="23"/>
      <c r="L91" s="518"/>
      <c r="M91" s="519"/>
      <c r="N91" s="518"/>
      <c r="O91" s="519"/>
      <c r="P91" s="58">
        <v>100</v>
      </c>
    </row>
    <row r="92" spans="6:16" x14ac:dyDescent="0.25">
      <c r="F92" s="58">
        <v>99</v>
      </c>
      <c r="G92" s="518"/>
      <c r="H92" s="519"/>
      <c r="I92" s="518"/>
      <c r="J92" s="519"/>
      <c r="K92" s="23"/>
      <c r="L92" s="518"/>
      <c r="M92" s="519"/>
      <c r="N92" s="518"/>
      <c r="O92" s="519"/>
      <c r="P92" s="58">
        <v>99</v>
      </c>
    </row>
    <row r="93" spans="6:16" x14ac:dyDescent="0.25">
      <c r="F93" s="58">
        <v>98</v>
      </c>
      <c r="G93" s="518"/>
      <c r="H93" s="519"/>
      <c r="I93" s="518"/>
      <c r="J93" s="519"/>
      <c r="K93" s="23"/>
      <c r="L93" s="518"/>
      <c r="M93" s="519"/>
      <c r="N93" s="518"/>
      <c r="O93" s="519"/>
      <c r="P93" s="58">
        <v>98</v>
      </c>
    </row>
    <row r="94" spans="6:16" x14ac:dyDescent="0.25">
      <c r="F94" s="58">
        <v>97</v>
      </c>
      <c r="G94" s="518"/>
      <c r="H94" s="519"/>
      <c r="I94" s="518"/>
      <c r="J94" s="519"/>
      <c r="K94" s="23"/>
      <c r="L94" s="518"/>
      <c r="M94" s="519"/>
      <c r="N94" s="518"/>
      <c r="O94" s="519"/>
      <c r="P94" s="58">
        <v>97</v>
      </c>
    </row>
    <row r="95" spans="6:16" x14ac:dyDescent="0.25">
      <c r="F95" s="58">
        <v>96</v>
      </c>
      <c r="G95" s="518"/>
      <c r="H95" s="519"/>
      <c r="I95" s="518"/>
      <c r="J95" s="519"/>
      <c r="K95" s="23"/>
      <c r="L95" s="518"/>
      <c r="M95" s="519"/>
      <c r="N95" s="518"/>
      <c r="O95" s="519"/>
      <c r="P95" s="58">
        <v>96</v>
      </c>
    </row>
    <row r="96" spans="6:16" x14ac:dyDescent="0.25">
      <c r="F96" s="58">
        <v>95</v>
      </c>
      <c r="G96" s="518"/>
      <c r="H96" s="519"/>
      <c r="I96" s="518"/>
      <c r="J96" s="519"/>
      <c r="K96" s="23"/>
      <c r="L96" s="518"/>
      <c r="M96" s="519"/>
      <c r="N96" s="518"/>
      <c r="O96" s="519"/>
      <c r="P96" s="58">
        <v>95</v>
      </c>
    </row>
    <row r="97" spans="6:16" x14ac:dyDescent="0.25">
      <c r="F97" s="58">
        <v>94</v>
      </c>
      <c r="G97" s="518"/>
      <c r="H97" s="519"/>
      <c r="I97" s="518"/>
      <c r="J97" s="519"/>
      <c r="K97" s="23"/>
      <c r="L97" s="518"/>
      <c r="M97" s="519"/>
      <c r="N97" s="518"/>
      <c r="O97" s="519"/>
      <c r="P97" s="58">
        <v>94</v>
      </c>
    </row>
    <row r="98" spans="6:16" x14ac:dyDescent="0.25">
      <c r="F98" s="58">
        <v>93</v>
      </c>
      <c r="G98" s="518"/>
      <c r="H98" s="519"/>
      <c r="I98" s="518"/>
      <c r="J98" s="519"/>
      <c r="K98" s="23"/>
      <c r="L98" s="518"/>
      <c r="M98" s="519"/>
      <c r="N98" s="518"/>
      <c r="O98" s="519"/>
      <c r="P98" s="58">
        <v>93</v>
      </c>
    </row>
    <row r="99" spans="6:16" x14ac:dyDescent="0.25">
      <c r="F99" s="58">
        <v>92</v>
      </c>
      <c r="G99" s="518"/>
      <c r="H99" s="519"/>
      <c r="I99" s="518"/>
      <c r="J99" s="519"/>
      <c r="K99" s="23"/>
      <c r="L99" s="518"/>
      <c r="M99" s="519"/>
      <c r="N99" s="518"/>
      <c r="O99" s="519"/>
      <c r="P99" s="58">
        <v>92</v>
      </c>
    </row>
    <row r="100" spans="6:16" x14ac:dyDescent="0.25">
      <c r="F100" s="58">
        <v>91</v>
      </c>
      <c r="G100" s="518"/>
      <c r="H100" s="519"/>
      <c r="I100" s="518"/>
      <c r="J100" s="519"/>
      <c r="K100" s="23"/>
      <c r="L100" s="518"/>
      <c r="M100" s="519"/>
      <c r="N100" s="518"/>
      <c r="O100" s="519"/>
      <c r="P100" s="58">
        <v>91</v>
      </c>
    </row>
    <row r="101" spans="6:16" x14ac:dyDescent="0.25">
      <c r="F101" s="58">
        <v>90</v>
      </c>
      <c r="G101" s="518"/>
      <c r="H101" s="519"/>
      <c r="I101" s="518"/>
      <c r="J101" s="519"/>
      <c r="K101" s="23"/>
      <c r="L101" s="518"/>
      <c r="M101" s="519"/>
      <c r="N101" s="518"/>
      <c r="O101" s="519"/>
      <c r="P101" s="58">
        <v>90</v>
      </c>
    </row>
    <row r="102" spans="6:16" x14ac:dyDescent="0.25">
      <c r="F102" s="58">
        <v>89</v>
      </c>
      <c r="G102" s="510"/>
      <c r="H102" s="510"/>
      <c r="I102" s="510"/>
      <c r="J102" s="510"/>
      <c r="K102" s="23"/>
      <c r="L102" s="510"/>
      <c r="M102" s="510"/>
      <c r="N102" s="510"/>
      <c r="O102" s="510"/>
      <c r="P102" s="58">
        <v>89</v>
      </c>
    </row>
    <row r="103" spans="6:16" x14ac:dyDescent="0.25">
      <c r="F103" s="58">
        <v>88</v>
      </c>
      <c r="G103" s="510"/>
      <c r="H103" s="510"/>
      <c r="I103" s="510"/>
      <c r="J103" s="510"/>
      <c r="K103" s="410"/>
      <c r="L103" s="510"/>
      <c r="M103" s="510"/>
      <c r="N103" s="510"/>
      <c r="O103" s="510"/>
      <c r="P103" s="58">
        <v>88</v>
      </c>
    </row>
    <row r="104" spans="6:16" x14ac:dyDescent="0.25">
      <c r="F104" s="58">
        <v>87</v>
      </c>
      <c r="G104" s="510"/>
      <c r="H104" s="510"/>
      <c r="I104" s="510"/>
      <c r="J104" s="510"/>
      <c r="K104" s="53"/>
      <c r="L104" s="510"/>
      <c r="M104" s="510"/>
      <c r="N104" s="510"/>
      <c r="O104" s="510"/>
      <c r="P104" s="58">
        <v>87</v>
      </c>
    </row>
    <row r="105" spans="6:16" x14ac:dyDescent="0.25">
      <c r="F105" s="58">
        <v>86</v>
      </c>
      <c r="G105" s="510"/>
      <c r="H105" s="510"/>
      <c r="I105" s="510"/>
      <c r="J105" s="510"/>
      <c r="K105" s="52"/>
      <c r="L105" s="510"/>
      <c r="M105" s="510"/>
      <c r="N105" s="510"/>
      <c r="O105" s="510"/>
      <c r="P105" s="58">
        <v>86</v>
      </c>
    </row>
    <row r="106" spans="6:16" x14ac:dyDescent="0.25">
      <c r="F106" s="58">
        <v>85</v>
      </c>
      <c r="G106" s="510"/>
      <c r="H106" s="510"/>
      <c r="I106" s="510"/>
      <c r="J106" s="510"/>
      <c r="L106" s="510"/>
      <c r="M106" s="510"/>
      <c r="N106" s="510"/>
      <c r="O106" s="510"/>
      <c r="P106" s="58">
        <v>85</v>
      </c>
    </row>
    <row r="107" spans="6:16" x14ac:dyDescent="0.25">
      <c r="F107" s="58">
        <v>84</v>
      </c>
      <c r="G107" s="510"/>
      <c r="H107" s="510"/>
      <c r="I107" s="510"/>
      <c r="J107" s="510"/>
      <c r="L107" s="510"/>
      <c r="M107" s="510"/>
      <c r="N107" s="510"/>
      <c r="O107" s="510"/>
      <c r="P107" s="58">
        <v>84</v>
      </c>
    </row>
    <row r="108" spans="6:16" x14ac:dyDescent="0.25">
      <c r="F108" s="58">
        <v>83</v>
      </c>
      <c r="G108" s="510"/>
      <c r="H108" s="510"/>
      <c r="I108" s="510"/>
      <c r="J108" s="510"/>
      <c r="L108" s="510"/>
      <c r="M108" s="510"/>
      <c r="N108" s="510"/>
      <c r="O108" s="510"/>
      <c r="P108" s="58">
        <v>83</v>
      </c>
    </row>
    <row r="109" spans="6:16" x14ac:dyDescent="0.25">
      <c r="F109" s="58">
        <v>82</v>
      </c>
      <c r="G109" s="510"/>
      <c r="H109" s="510"/>
      <c r="I109" s="510"/>
      <c r="J109" s="510"/>
      <c r="L109" s="510"/>
      <c r="M109" s="510"/>
      <c r="N109" s="510"/>
      <c r="O109" s="510"/>
      <c r="P109" s="58">
        <v>82</v>
      </c>
    </row>
    <row r="110" spans="6:16" x14ac:dyDescent="0.25">
      <c r="F110" s="58">
        <v>81</v>
      </c>
      <c r="G110" s="510"/>
      <c r="H110" s="510"/>
      <c r="I110" s="510"/>
      <c r="J110" s="510"/>
      <c r="L110" s="510"/>
      <c r="M110" s="510"/>
      <c r="N110" s="510"/>
      <c r="O110" s="510"/>
      <c r="P110" s="58">
        <v>81</v>
      </c>
    </row>
    <row r="111" spans="6:16" x14ac:dyDescent="0.25">
      <c r="F111" s="58">
        <v>80</v>
      </c>
      <c r="G111" s="510"/>
      <c r="H111" s="510"/>
      <c r="I111" s="510"/>
      <c r="J111" s="510"/>
      <c r="L111" s="510"/>
      <c r="M111" s="510"/>
      <c r="N111" s="510"/>
      <c r="O111" s="510"/>
      <c r="P111" s="58">
        <v>80</v>
      </c>
    </row>
    <row r="112" spans="6:16" x14ac:dyDescent="0.25">
      <c r="F112" s="58">
        <v>79</v>
      </c>
      <c r="G112" s="510"/>
      <c r="H112" s="510"/>
      <c r="I112" s="510"/>
      <c r="J112" s="510"/>
      <c r="L112" s="510"/>
      <c r="M112" s="510"/>
      <c r="N112" s="510"/>
      <c r="O112" s="510"/>
      <c r="P112" s="58">
        <v>79</v>
      </c>
    </row>
    <row r="113" spans="6:16" x14ac:dyDescent="0.25">
      <c r="F113" s="58">
        <v>78</v>
      </c>
      <c r="G113" s="510"/>
      <c r="H113" s="510"/>
      <c r="I113" s="510"/>
      <c r="J113" s="510"/>
      <c r="L113" s="510"/>
      <c r="M113" s="510"/>
      <c r="N113" s="510"/>
      <c r="O113" s="510"/>
      <c r="P113" s="58">
        <v>78</v>
      </c>
    </row>
    <row r="114" spans="6:16" x14ac:dyDescent="0.25">
      <c r="F114" s="58">
        <v>77</v>
      </c>
      <c r="G114" s="510"/>
      <c r="H114" s="510"/>
      <c r="I114" s="510"/>
      <c r="J114" s="510"/>
      <c r="L114" s="510"/>
      <c r="M114" s="510"/>
      <c r="N114" s="510"/>
      <c r="O114" s="510"/>
      <c r="P114" s="58">
        <v>77</v>
      </c>
    </row>
    <row r="115" spans="6:16" x14ac:dyDescent="0.25">
      <c r="F115" s="58">
        <v>76</v>
      </c>
      <c r="G115" s="510"/>
      <c r="H115" s="510"/>
      <c r="I115" s="510"/>
      <c r="J115" s="510"/>
      <c r="L115" s="510"/>
      <c r="M115" s="510"/>
      <c r="N115" s="510"/>
      <c r="O115" s="510"/>
      <c r="P115" s="58">
        <v>76</v>
      </c>
    </row>
    <row r="116" spans="6:16" x14ac:dyDescent="0.25">
      <c r="F116" s="58">
        <v>75</v>
      </c>
      <c r="G116" s="510"/>
      <c r="H116" s="510"/>
      <c r="I116" s="510"/>
      <c r="J116" s="510"/>
      <c r="L116" s="510"/>
      <c r="M116" s="510"/>
      <c r="N116" s="510"/>
      <c r="O116" s="510"/>
      <c r="P116" s="58">
        <v>75</v>
      </c>
    </row>
    <row r="117" spans="6:16" x14ac:dyDescent="0.25">
      <c r="F117" s="58">
        <v>74</v>
      </c>
      <c r="G117" s="510"/>
      <c r="H117" s="510"/>
      <c r="I117" s="510"/>
      <c r="J117" s="510"/>
      <c r="L117" s="510"/>
      <c r="M117" s="510"/>
      <c r="N117" s="510"/>
      <c r="O117" s="510"/>
      <c r="P117" s="58">
        <v>74</v>
      </c>
    </row>
    <row r="118" spans="6:16" x14ac:dyDescent="0.25">
      <c r="F118" s="58">
        <v>73</v>
      </c>
      <c r="G118" s="510"/>
      <c r="H118" s="510"/>
      <c r="I118" s="510"/>
      <c r="J118" s="510"/>
      <c r="L118" s="510"/>
      <c r="M118" s="510"/>
      <c r="N118" s="510"/>
      <c r="O118" s="510"/>
      <c r="P118" s="58">
        <v>73</v>
      </c>
    </row>
    <row r="119" spans="6:16" x14ac:dyDescent="0.25">
      <c r="F119" s="58">
        <v>72</v>
      </c>
      <c r="G119" s="510"/>
      <c r="H119" s="510"/>
      <c r="I119" s="510"/>
      <c r="J119" s="510"/>
      <c r="L119" s="510"/>
      <c r="M119" s="510"/>
      <c r="N119" s="510"/>
      <c r="O119" s="510"/>
      <c r="P119" s="58">
        <v>72</v>
      </c>
    </row>
    <row r="120" spans="6:16" x14ac:dyDescent="0.25">
      <c r="F120" s="58">
        <v>71</v>
      </c>
      <c r="G120" s="510"/>
      <c r="H120" s="510"/>
      <c r="I120" s="510"/>
      <c r="J120" s="510"/>
      <c r="L120" s="510"/>
      <c r="M120" s="510"/>
      <c r="N120" s="510"/>
      <c r="O120" s="510"/>
      <c r="P120" s="58">
        <v>71</v>
      </c>
    </row>
    <row r="121" spans="6:16" x14ac:dyDescent="0.25">
      <c r="F121" s="58">
        <v>70</v>
      </c>
      <c r="G121" s="510"/>
      <c r="H121" s="510"/>
      <c r="I121" s="510"/>
      <c r="J121" s="510"/>
      <c r="L121" s="510"/>
      <c r="M121" s="510"/>
      <c r="N121" s="510"/>
      <c r="O121" s="510"/>
      <c r="P121" s="58">
        <v>70</v>
      </c>
    </row>
    <row r="122" spans="6:16" x14ac:dyDescent="0.25">
      <c r="F122" s="58">
        <v>69</v>
      </c>
      <c r="G122" s="510"/>
      <c r="H122" s="510"/>
      <c r="I122" s="510"/>
      <c r="J122" s="510"/>
      <c r="L122" s="510"/>
      <c r="M122" s="510"/>
      <c r="N122" s="510"/>
      <c r="O122" s="510"/>
      <c r="P122" s="58">
        <v>69</v>
      </c>
    </row>
    <row r="123" spans="6:16" x14ac:dyDescent="0.25">
      <c r="F123" s="58">
        <v>68</v>
      </c>
      <c r="G123" s="510"/>
      <c r="H123" s="510"/>
      <c r="I123" s="510"/>
      <c r="J123" s="510"/>
      <c r="L123" s="510"/>
      <c r="M123" s="510"/>
      <c r="N123" s="510"/>
      <c r="O123" s="510"/>
      <c r="P123" s="58">
        <v>68</v>
      </c>
    </row>
    <row r="124" spans="6:16" x14ac:dyDescent="0.25">
      <c r="F124" s="58">
        <v>67</v>
      </c>
      <c r="G124" s="510"/>
      <c r="H124" s="510"/>
      <c r="I124" s="510"/>
      <c r="J124" s="510"/>
      <c r="L124" s="510"/>
      <c r="M124" s="510"/>
      <c r="N124" s="510"/>
      <c r="O124" s="510"/>
      <c r="P124" s="58">
        <v>67</v>
      </c>
    </row>
    <row r="125" spans="6:16" x14ac:dyDescent="0.25">
      <c r="F125" s="58">
        <v>66</v>
      </c>
      <c r="G125" s="510"/>
      <c r="H125" s="510"/>
      <c r="I125" s="510"/>
      <c r="J125" s="510"/>
      <c r="L125" s="510"/>
      <c r="M125" s="510"/>
      <c r="N125" s="510"/>
      <c r="O125" s="510"/>
      <c r="P125" s="58">
        <v>66</v>
      </c>
    </row>
    <row r="126" spans="6:16" x14ac:dyDescent="0.25">
      <c r="F126" s="58">
        <v>65</v>
      </c>
      <c r="G126" s="510"/>
      <c r="H126" s="510"/>
      <c r="I126" s="510"/>
      <c r="J126" s="510"/>
      <c r="L126" s="510"/>
      <c r="M126" s="510"/>
      <c r="N126" s="510"/>
      <c r="O126" s="510"/>
      <c r="P126" s="58">
        <v>65</v>
      </c>
    </row>
    <row r="127" spans="6:16" x14ac:dyDescent="0.25">
      <c r="F127" s="58">
        <v>64</v>
      </c>
      <c r="G127" s="510"/>
      <c r="H127" s="510"/>
      <c r="I127" s="510"/>
      <c r="J127" s="510"/>
      <c r="L127" s="510"/>
      <c r="M127" s="510"/>
      <c r="N127" s="510"/>
      <c r="O127" s="510"/>
      <c r="P127" s="58">
        <v>64</v>
      </c>
    </row>
    <row r="128" spans="6:16" x14ac:dyDescent="0.25">
      <c r="F128" s="58">
        <v>63</v>
      </c>
      <c r="G128" s="510"/>
      <c r="H128" s="510"/>
      <c r="I128" s="510"/>
      <c r="J128" s="510"/>
      <c r="L128" s="510"/>
      <c r="M128" s="510"/>
      <c r="N128" s="510"/>
      <c r="O128" s="510"/>
      <c r="P128" s="58">
        <v>63</v>
      </c>
    </row>
    <row r="129" spans="6:16" x14ac:dyDescent="0.25">
      <c r="F129" s="58">
        <v>62</v>
      </c>
      <c r="G129" s="510"/>
      <c r="H129" s="510"/>
      <c r="I129" s="510"/>
      <c r="J129" s="510"/>
      <c r="L129" s="510"/>
      <c r="M129" s="510"/>
      <c r="N129" s="510"/>
      <c r="O129" s="510"/>
      <c r="P129" s="58">
        <v>62</v>
      </c>
    </row>
    <row r="130" spans="6:16" x14ac:dyDescent="0.25">
      <c r="F130" s="58">
        <v>61</v>
      </c>
      <c r="G130" s="510"/>
      <c r="H130" s="510"/>
      <c r="I130" s="510"/>
      <c r="J130" s="510"/>
      <c r="L130" s="510"/>
      <c r="M130" s="510"/>
      <c r="N130" s="510"/>
      <c r="O130" s="510"/>
      <c r="P130" s="58">
        <v>61</v>
      </c>
    </row>
    <row r="131" spans="6:16" x14ac:dyDescent="0.25">
      <c r="F131" s="58">
        <v>60</v>
      </c>
      <c r="G131" s="510"/>
      <c r="H131" s="510"/>
      <c r="I131" s="510"/>
      <c r="J131" s="510"/>
      <c r="L131" s="510"/>
      <c r="M131" s="510"/>
      <c r="N131" s="510"/>
      <c r="O131" s="510"/>
      <c r="P131" s="58">
        <v>60</v>
      </c>
    </row>
    <row r="132" spans="6:16" x14ac:dyDescent="0.25">
      <c r="F132" s="58">
        <v>59</v>
      </c>
      <c r="G132" s="510"/>
      <c r="H132" s="510"/>
      <c r="I132" s="510"/>
      <c r="J132" s="510"/>
      <c r="L132" s="510"/>
      <c r="M132" s="510"/>
      <c r="N132" s="510"/>
      <c r="O132" s="510"/>
      <c r="P132" s="58">
        <v>59</v>
      </c>
    </row>
    <row r="133" spans="6:16" x14ac:dyDescent="0.25">
      <c r="F133" s="58">
        <v>58</v>
      </c>
      <c r="G133" s="510"/>
      <c r="H133" s="510"/>
      <c r="I133" s="510"/>
      <c r="J133" s="510"/>
      <c r="L133" s="510"/>
      <c r="M133" s="510"/>
      <c r="N133" s="510"/>
      <c r="O133" s="510"/>
      <c r="P133" s="58">
        <v>58</v>
      </c>
    </row>
    <row r="134" spans="6:16" x14ac:dyDescent="0.25">
      <c r="F134" s="58">
        <v>57</v>
      </c>
      <c r="G134" s="510"/>
      <c r="H134" s="510"/>
      <c r="I134" s="510"/>
      <c r="J134" s="510"/>
      <c r="L134" s="510"/>
      <c r="M134" s="510"/>
      <c r="N134" s="510"/>
      <c r="O134" s="510"/>
      <c r="P134" s="58">
        <v>57</v>
      </c>
    </row>
    <row r="135" spans="6:16" x14ac:dyDescent="0.25">
      <c r="F135" s="58">
        <v>56</v>
      </c>
      <c r="G135" s="510"/>
      <c r="H135" s="510"/>
      <c r="I135" s="510"/>
      <c r="J135" s="510"/>
      <c r="L135" s="510"/>
      <c r="M135" s="510"/>
      <c r="N135" s="510"/>
      <c r="O135" s="510"/>
      <c r="P135" s="58">
        <v>56</v>
      </c>
    </row>
    <row r="136" spans="6:16" x14ac:dyDescent="0.25">
      <c r="F136" s="58">
        <v>55</v>
      </c>
      <c r="G136" s="510"/>
      <c r="H136" s="510"/>
      <c r="I136" s="510"/>
      <c r="J136" s="510"/>
      <c r="L136" s="510"/>
      <c r="M136" s="510"/>
      <c r="N136" s="510"/>
      <c r="O136" s="510"/>
      <c r="P136" s="58">
        <v>55</v>
      </c>
    </row>
    <row r="137" spans="6:16" x14ac:dyDescent="0.25">
      <c r="F137" s="58">
        <v>54</v>
      </c>
      <c r="G137" s="510"/>
      <c r="H137" s="510"/>
      <c r="I137" s="510"/>
      <c r="J137" s="510"/>
      <c r="L137" s="510"/>
      <c r="M137" s="510"/>
      <c r="N137" s="510"/>
      <c r="O137" s="510"/>
      <c r="P137" s="58">
        <v>54</v>
      </c>
    </row>
    <row r="138" spans="6:16" x14ac:dyDescent="0.25">
      <c r="F138" s="58">
        <v>53</v>
      </c>
      <c r="G138" s="510"/>
      <c r="H138" s="510"/>
      <c r="I138" s="510"/>
      <c r="J138" s="510"/>
      <c r="L138" s="510"/>
      <c r="M138" s="510"/>
      <c r="N138" s="510"/>
      <c r="O138" s="510"/>
      <c r="P138" s="58">
        <v>53</v>
      </c>
    </row>
    <row r="139" spans="6:16" x14ac:dyDescent="0.25">
      <c r="F139" s="58">
        <v>52</v>
      </c>
      <c r="G139" s="510"/>
      <c r="H139" s="510"/>
      <c r="I139" s="510"/>
      <c r="J139" s="510"/>
      <c r="L139" s="510"/>
      <c r="M139" s="510"/>
      <c r="N139" s="510"/>
      <c r="O139" s="510"/>
      <c r="P139" s="58">
        <v>52</v>
      </c>
    </row>
    <row r="140" spans="6:16" x14ac:dyDescent="0.25">
      <c r="F140" s="58">
        <v>51</v>
      </c>
      <c r="G140" s="510"/>
      <c r="H140" s="510"/>
      <c r="I140" s="510"/>
      <c r="J140" s="510"/>
      <c r="L140" s="510"/>
      <c r="M140" s="510"/>
      <c r="N140" s="510"/>
      <c r="O140" s="510"/>
      <c r="P140" s="58">
        <v>51</v>
      </c>
    </row>
    <row r="141" spans="6:16" x14ac:dyDescent="0.25">
      <c r="F141" s="58">
        <v>50</v>
      </c>
      <c r="G141" s="510"/>
      <c r="H141" s="510"/>
      <c r="I141" s="510"/>
      <c r="J141" s="510"/>
      <c r="L141" s="510"/>
      <c r="M141" s="510"/>
      <c r="N141" s="510"/>
      <c r="O141" s="510"/>
      <c r="P141" s="58">
        <v>50</v>
      </c>
    </row>
    <row r="142" spans="6:16" x14ac:dyDescent="0.25">
      <c r="F142" s="58">
        <v>49</v>
      </c>
      <c r="G142" s="510"/>
      <c r="H142" s="510"/>
      <c r="I142" s="510"/>
      <c r="J142" s="510"/>
      <c r="L142" s="510"/>
      <c r="M142" s="510"/>
      <c r="N142" s="510"/>
      <c r="O142" s="510"/>
      <c r="P142" s="58">
        <v>49</v>
      </c>
    </row>
    <row r="143" spans="6:16" x14ac:dyDescent="0.25">
      <c r="F143" s="58">
        <v>48</v>
      </c>
      <c r="G143" s="510"/>
      <c r="H143" s="510"/>
      <c r="I143" s="510"/>
      <c r="J143" s="510"/>
      <c r="L143" s="510"/>
      <c r="M143" s="510"/>
      <c r="N143" s="510"/>
      <c r="O143" s="510"/>
      <c r="P143" s="58">
        <v>48</v>
      </c>
    </row>
    <row r="144" spans="6:16" x14ac:dyDescent="0.25">
      <c r="F144" s="58">
        <v>47</v>
      </c>
      <c r="G144" s="510"/>
      <c r="H144" s="510"/>
      <c r="I144" s="510"/>
      <c r="J144" s="510"/>
      <c r="L144" s="510"/>
      <c r="M144" s="510"/>
      <c r="N144" s="510"/>
      <c r="O144" s="510"/>
      <c r="P144" s="58">
        <v>47</v>
      </c>
    </row>
    <row r="145" spans="6:16" x14ac:dyDescent="0.25">
      <c r="F145" s="58">
        <v>46</v>
      </c>
      <c r="G145" s="510"/>
      <c r="H145" s="510"/>
      <c r="I145" s="510"/>
      <c r="J145" s="510"/>
      <c r="L145" s="510"/>
      <c r="M145" s="510"/>
      <c r="N145" s="510"/>
      <c r="O145" s="510"/>
      <c r="P145" s="58">
        <v>46</v>
      </c>
    </row>
    <row r="146" spans="6:16" x14ac:dyDescent="0.25">
      <c r="F146" s="58">
        <v>45</v>
      </c>
      <c r="G146" s="510"/>
      <c r="H146" s="510"/>
      <c r="I146" s="510"/>
      <c r="J146" s="510"/>
      <c r="L146" s="510"/>
      <c r="M146" s="510"/>
      <c r="N146" s="510"/>
      <c r="O146" s="510"/>
      <c r="P146" s="58">
        <v>45</v>
      </c>
    </row>
    <row r="147" spans="6:16" x14ac:dyDescent="0.25">
      <c r="F147" s="58">
        <v>44</v>
      </c>
      <c r="G147" s="510"/>
      <c r="H147" s="510"/>
      <c r="I147" s="510"/>
      <c r="J147" s="510"/>
      <c r="L147" s="510"/>
      <c r="M147" s="510"/>
      <c r="N147" s="510"/>
      <c r="O147" s="510"/>
      <c r="P147" s="58">
        <v>44</v>
      </c>
    </row>
    <row r="148" spans="6:16" x14ac:dyDescent="0.25">
      <c r="F148" s="58">
        <v>43</v>
      </c>
      <c r="G148" s="510"/>
      <c r="H148" s="510"/>
      <c r="I148" s="510"/>
      <c r="J148" s="510"/>
      <c r="L148" s="510"/>
      <c r="M148" s="510"/>
      <c r="N148" s="510"/>
      <c r="O148" s="510"/>
      <c r="P148" s="58">
        <v>43</v>
      </c>
    </row>
    <row r="149" spans="6:16" x14ac:dyDescent="0.25">
      <c r="F149" s="58">
        <v>42</v>
      </c>
      <c r="G149" s="510"/>
      <c r="H149" s="510"/>
      <c r="I149" s="510"/>
      <c r="J149" s="510"/>
      <c r="L149" s="510"/>
      <c r="M149" s="510"/>
      <c r="N149" s="510"/>
      <c r="O149" s="510"/>
      <c r="P149" s="58">
        <v>42</v>
      </c>
    </row>
    <row r="150" spans="6:16" x14ac:dyDescent="0.25">
      <c r="F150" s="58">
        <v>41</v>
      </c>
      <c r="G150" s="510"/>
      <c r="H150" s="510"/>
      <c r="I150" s="510"/>
      <c r="J150" s="510"/>
      <c r="L150" s="510"/>
      <c r="M150" s="510"/>
      <c r="N150" s="510"/>
      <c r="O150" s="510"/>
      <c r="P150" s="58">
        <v>41</v>
      </c>
    </row>
    <row r="151" spans="6:16" x14ac:dyDescent="0.25">
      <c r="F151" s="58">
        <v>40</v>
      </c>
      <c r="G151" s="510"/>
      <c r="H151" s="510"/>
      <c r="I151" s="510"/>
      <c r="J151" s="510"/>
      <c r="L151" s="510"/>
      <c r="M151" s="510"/>
      <c r="N151" s="510"/>
      <c r="O151" s="510"/>
      <c r="P151" s="58">
        <v>40</v>
      </c>
    </row>
    <row r="152" spans="6:16" x14ac:dyDescent="0.25">
      <c r="F152" s="58">
        <v>39</v>
      </c>
      <c r="G152" s="510"/>
      <c r="H152" s="510"/>
      <c r="I152" s="510"/>
      <c r="J152" s="510"/>
      <c r="L152" s="510"/>
      <c r="M152" s="510"/>
      <c r="N152" s="510"/>
      <c r="O152" s="510"/>
      <c r="P152" s="58">
        <v>39</v>
      </c>
    </row>
    <row r="153" spans="6:16" x14ac:dyDescent="0.25">
      <c r="F153" s="58">
        <v>38</v>
      </c>
      <c r="G153" s="510"/>
      <c r="H153" s="510"/>
      <c r="I153" s="510"/>
      <c r="J153" s="510"/>
      <c r="L153" s="510"/>
      <c r="M153" s="510"/>
      <c r="N153" s="510"/>
      <c r="O153" s="510"/>
      <c r="P153" s="58">
        <v>38</v>
      </c>
    </row>
    <row r="154" spans="6:16" x14ac:dyDescent="0.25">
      <c r="F154" s="58">
        <v>37</v>
      </c>
      <c r="G154" s="510"/>
      <c r="H154" s="510"/>
      <c r="I154" s="510"/>
      <c r="J154" s="510"/>
      <c r="L154" s="510"/>
      <c r="M154" s="510"/>
      <c r="N154" s="510"/>
      <c r="O154" s="510"/>
      <c r="P154" s="58">
        <v>37</v>
      </c>
    </row>
    <row r="155" spans="6:16" x14ac:dyDescent="0.25">
      <c r="F155" s="58">
        <v>36</v>
      </c>
      <c r="G155" s="510"/>
      <c r="H155" s="510"/>
      <c r="I155" s="510"/>
      <c r="J155" s="510"/>
      <c r="L155" s="510"/>
      <c r="M155" s="510"/>
      <c r="N155" s="510"/>
      <c r="O155" s="510"/>
      <c r="P155" s="58">
        <v>36</v>
      </c>
    </row>
    <row r="156" spans="6:16" x14ac:dyDescent="0.25">
      <c r="F156" s="58">
        <v>35</v>
      </c>
      <c r="G156" s="510"/>
      <c r="H156" s="510"/>
      <c r="I156" s="510"/>
      <c r="J156" s="510"/>
      <c r="L156" s="510"/>
      <c r="M156" s="510"/>
      <c r="N156" s="510"/>
      <c r="O156" s="510"/>
      <c r="P156" s="58">
        <v>35</v>
      </c>
    </row>
    <row r="157" spans="6:16" x14ac:dyDescent="0.25">
      <c r="F157" s="58">
        <v>34</v>
      </c>
      <c r="G157" s="510"/>
      <c r="H157" s="510"/>
      <c r="I157" s="510"/>
      <c r="J157" s="510"/>
      <c r="L157" s="510"/>
      <c r="M157" s="510"/>
      <c r="N157" s="510"/>
      <c r="O157" s="510"/>
      <c r="P157" s="58">
        <v>34</v>
      </c>
    </row>
    <row r="158" spans="6:16" x14ac:dyDescent="0.25">
      <c r="F158" s="58">
        <v>33</v>
      </c>
      <c r="G158" s="510"/>
      <c r="H158" s="510"/>
      <c r="I158" s="510"/>
      <c r="J158" s="510"/>
      <c r="L158" s="510"/>
      <c r="M158" s="510"/>
      <c r="N158" s="510"/>
      <c r="O158" s="510"/>
      <c r="P158" s="58">
        <v>33</v>
      </c>
    </row>
    <row r="159" spans="6:16" x14ac:dyDescent="0.25">
      <c r="F159" s="58">
        <v>32</v>
      </c>
      <c r="G159" s="510"/>
      <c r="H159" s="510"/>
      <c r="I159" s="510"/>
      <c r="J159" s="510"/>
      <c r="L159" s="510"/>
      <c r="M159" s="510"/>
      <c r="N159" s="510"/>
      <c r="O159" s="510"/>
      <c r="P159" s="58">
        <v>32</v>
      </c>
    </row>
    <row r="160" spans="6:16" x14ac:dyDescent="0.25">
      <c r="F160" s="58">
        <v>31</v>
      </c>
      <c r="G160" s="510"/>
      <c r="H160" s="510"/>
      <c r="I160" s="510"/>
      <c r="J160" s="510"/>
      <c r="L160" s="510"/>
      <c r="M160" s="510"/>
      <c r="N160" s="510"/>
      <c r="O160" s="510"/>
      <c r="P160" s="58">
        <v>31</v>
      </c>
    </row>
    <row r="161" spans="6:16" x14ac:dyDescent="0.25">
      <c r="F161" s="58">
        <v>30</v>
      </c>
      <c r="G161" s="510"/>
      <c r="H161" s="510"/>
      <c r="I161" s="510"/>
      <c r="J161" s="510"/>
      <c r="L161" s="510"/>
      <c r="M161" s="510"/>
      <c r="N161" s="510"/>
      <c r="O161" s="510"/>
      <c r="P161" s="58">
        <v>30</v>
      </c>
    </row>
    <row r="162" spans="6:16" x14ac:dyDescent="0.25">
      <c r="F162" s="58">
        <v>29</v>
      </c>
      <c r="G162" s="510"/>
      <c r="H162" s="510"/>
      <c r="I162" s="510"/>
      <c r="J162" s="510"/>
      <c r="L162" s="510"/>
      <c r="M162" s="510"/>
      <c r="N162" s="510"/>
      <c r="O162" s="510"/>
      <c r="P162" s="58">
        <v>29</v>
      </c>
    </row>
    <row r="163" spans="6:16" x14ac:dyDescent="0.25">
      <c r="F163" s="58">
        <v>28</v>
      </c>
      <c r="G163" s="510"/>
      <c r="H163" s="510"/>
      <c r="I163" s="510"/>
      <c r="J163" s="510"/>
      <c r="L163" s="510"/>
      <c r="M163" s="510"/>
      <c r="N163" s="510"/>
      <c r="O163" s="510"/>
      <c r="P163" s="58">
        <v>28</v>
      </c>
    </row>
    <row r="164" spans="6:16" x14ac:dyDescent="0.25">
      <c r="F164" s="58">
        <v>27</v>
      </c>
      <c r="G164" s="510"/>
      <c r="H164" s="510"/>
      <c r="I164" s="510"/>
      <c r="J164" s="510"/>
      <c r="L164" s="510"/>
      <c r="M164" s="510"/>
      <c r="N164" s="510"/>
      <c r="O164" s="510"/>
      <c r="P164" s="58">
        <v>27</v>
      </c>
    </row>
    <row r="165" spans="6:16" x14ac:dyDescent="0.25">
      <c r="F165" s="58">
        <v>26</v>
      </c>
      <c r="G165" s="510"/>
      <c r="H165" s="510"/>
      <c r="I165" s="510"/>
      <c r="J165" s="510"/>
      <c r="L165" s="510"/>
      <c r="M165" s="510"/>
      <c r="N165" s="510"/>
      <c r="O165" s="510"/>
      <c r="P165" s="58">
        <v>26</v>
      </c>
    </row>
    <row r="166" spans="6:16" x14ac:dyDescent="0.25">
      <c r="F166" s="58">
        <v>25</v>
      </c>
      <c r="G166" s="510"/>
      <c r="H166" s="510"/>
      <c r="I166" s="510"/>
      <c r="J166" s="510"/>
      <c r="L166" s="510"/>
      <c r="M166" s="510"/>
      <c r="N166" s="510"/>
      <c r="O166" s="510"/>
      <c r="P166" s="58">
        <v>25</v>
      </c>
    </row>
    <row r="167" spans="6:16" x14ac:dyDescent="0.25">
      <c r="F167" s="58">
        <v>24</v>
      </c>
      <c r="G167" s="510"/>
      <c r="H167" s="510"/>
      <c r="I167" s="510"/>
      <c r="J167" s="510"/>
      <c r="L167" s="510"/>
      <c r="M167" s="510"/>
      <c r="N167" s="510"/>
      <c r="O167" s="510"/>
      <c r="P167" s="58">
        <v>24</v>
      </c>
    </row>
    <row r="168" spans="6:16" x14ac:dyDescent="0.25">
      <c r="F168" s="58">
        <v>23</v>
      </c>
      <c r="G168" s="510"/>
      <c r="H168" s="510"/>
      <c r="I168" s="510"/>
      <c r="J168" s="510"/>
      <c r="L168" s="510"/>
      <c r="M168" s="510"/>
      <c r="N168" s="510"/>
      <c r="O168" s="510"/>
      <c r="P168" s="58">
        <v>23</v>
      </c>
    </row>
    <row r="169" spans="6:16" x14ac:dyDescent="0.25">
      <c r="F169" s="58">
        <v>22</v>
      </c>
      <c r="G169" s="510"/>
      <c r="H169" s="510"/>
      <c r="I169" s="510"/>
      <c r="J169" s="510"/>
      <c r="L169" s="510"/>
      <c r="M169" s="510"/>
      <c r="N169" s="510"/>
      <c r="O169" s="510"/>
      <c r="P169" s="58">
        <v>22</v>
      </c>
    </row>
    <row r="170" spans="6:16" x14ac:dyDescent="0.25">
      <c r="F170" s="58">
        <v>21</v>
      </c>
      <c r="G170" s="510"/>
      <c r="H170" s="510"/>
      <c r="I170" s="510"/>
      <c r="J170" s="510"/>
      <c r="L170" s="510"/>
      <c r="M170" s="510"/>
      <c r="N170" s="510"/>
      <c r="O170" s="510"/>
      <c r="P170" s="58">
        <v>21</v>
      </c>
    </row>
    <row r="171" spans="6:16" x14ac:dyDescent="0.25">
      <c r="F171" s="58">
        <v>20</v>
      </c>
      <c r="G171" s="510"/>
      <c r="H171" s="510"/>
      <c r="I171" s="510"/>
      <c r="J171" s="510"/>
      <c r="L171" s="510"/>
      <c r="M171" s="510"/>
      <c r="N171" s="510"/>
      <c r="O171" s="510"/>
      <c r="P171" s="58">
        <v>20</v>
      </c>
    </row>
    <row r="172" spans="6:16" x14ac:dyDescent="0.25">
      <c r="F172" s="58">
        <v>19</v>
      </c>
      <c r="G172" s="510"/>
      <c r="H172" s="510"/>
      <c r="I172" s="510"/>
      <c r="J172" s="510"/>
      <c r="L172" s="510"/>
      <c r="M172" s="510"/>
      <c r="N172" s="510"/>
      <c r="O172" s="510"/>
      <c r="P172" s="58">
        <v>19</v>
      </c>
    </row>
    <row r="173" spans="6:16" x14ac:dyDescent="0.25">
      <c r="F173" s="58">
        <v>18</v>
      </c>
      <c r="G173" s="510"/>
      <c r="H173" s="510"/>
      <c r="I173" s="510"/>
      <c r="J173" s="510"/>
      <c r="L173" s="510"/>
      <c r="M173" s="510"/>
      <c r="N173" s="510"/>
      <c r="O173" s="510"/>
      <c r="P173" s="58">
        <v>18</v>
      </c>
    </row>
    <row r="174" spans="6:16" x14ac:dyDescent="0.25">
      <c r="F174" s="58">
        <v>17</v>
      </c>
      <c r="G174" s="510"/>
      <c r="H174" s="510"/>
      <c r="I174" s="510"/>
      <c r="J174" s="510"/>
      <c r="L174" s="510"/>
      <c r="M174" s="510"/>
      <c r="N174" s="510"/>
      <c r="O174" s="510"/>
      <c r="P174" s="58">
        <v>17</v>
      </c>
    </row>
    <row r="175" spans="6:16" x14ac:dyDescent="0.25">
      <c r="F175" s="58">
        <v>16</v>
      </c>
      <c r="G175" s="510"/>
      <c r="H175" s="510"/>
      <c r="I175" s="510"/>
      <c r="J175" s="510"/>
      <c r="L175" s="510"/>
      <c r="M175" s="510"/>
      <c r="N175" s="510"/>
      <c r="O175" s="510"/>
      <c r="P175" s="58">
        <v>16</v>
      </c>
    </row>
    <row r="176" spans="6:16" x14ac:dyDescent="0.25">
      <c r="F176" s="58">
        <v>15</v>
      </c>
      <c r="G176" s="510"/>
      <c r="H176" s="510"/>
      <c r="I176" s="510"/>
      <c r="J176" s="510"/>
      <c r="L176" s="510"/>
      <c r="M176" s="510"/>
      <c r="N176" s="510"/>
      <c r="O176" s="510"/>
      <c r="P176" s="58">
        <v>15</v>
      </c>
    </row>
    <row r="177" spans="6:16" x14ac:dyDescent="0.25">
      <c r="F177" s="58">
        <v>14</v>
      </c>
      <c r="G177" s="510"/>
      <c r="H177" s="510"/>
      <c r="I177" s="510"/>
      <c r="J177" s="510"/>
      <c r="L177" s="510"/>
      <c r="M177" s="510"/>
      <c r="N177" s="510"/>
      <c r="O177" s="510"/>
      <c r="P177" s="58">
        <v>14</v>
      </c>
    </row>
    <row r="178" spans="6:16" x14ac:dyDescent="0.25">
      <c r="F178" s="58">
        <v>13</v>
      </c>
      <c r="G178" s="510"/>
      <c r="H178" s="510"/>
      <c r="I178" s="510"/>
      <c r="J178" s="510"/>
      <c r="L178" s="510"/>
      <c r="M178" s="510"/>
      <c r="N178" s="510"/>
      <c r="O178" s="510"/>
      <c r="P178" s="58">
        <v>13</v>
      </c>
    </row>
    <row r="179" spans="6:16" x14ac:dyDescent="0.25">
      <c r="F179" s="58">
        <v>12</v>
      </c>
      <c r="G179" s="510"/>
      <c r="H179" s="510"/>
      <c r="I179" s="510"/>
      <c r="J179" s="510"/>
      <c r="L179" s="510"/>
      <c r="M179" s="510"/>
      <c r="N179" s="510"/>
      <c r="O179" s="510"/>
      <c r="P179" s="58">
        <v>12</v>
      </c>
    </row>
    <row r="180" spans="6:16" x14ac:dyDescent="0.25">
      <c r="F180" s="58">
        <v>11</v>
      </c>
      <c r="G180" s="510"/>
      <c r="H180" s="510"/>
      <c r="I180" s="510"/>
      <c r="J180" s="510"/>
      <c r="L180" s="510"/>
      <c r="M180" s="510"/>
      <c r="N180" s="510"/>
      <c r="O180" s="510"/>
      <c r="P180" s="58">
        <v>11</v>
      </c>
    </row>
    <row r="181" spans="6:16" x14ac:dyDescent="0.25">
      <c r="F181" s="58">
        <v>10</v>
      </c>
      <c r="G181" s="510"/>
      <c r="H181" s="510"/>
      <c r="I181" s="510"/>
      <c r="J181" s="510"/>
      <c r="L181" s="510"/>
      <c r="M181" s="510"/>
      <c r="N181" s="510"/>
      <c r="O181" s="510"/>
      <c r="P181" s="58">
        <v>10</v>
      </c>
    </row>
    <row r="182" spans="6:16" x14ac:dyDescent="0.25">
      <c r="F182" s="58">
        <v>9</v>
      </c>
      <c r="G182" s="510"/>
      <c r="H182" s="510"/>
      <c r="I182" s="510"/>
      <c r="J182" s="510"/>
      <c r="L182" s="510"/>
      <c r="M182" s="510"/>
      <c r="N182" s="510"/>
      <c r="O182" s="510"/>
      <c r="P182" s="58">
        <v>9</v>
      </c>
    </row>
    <row r="183" spans="6:16" x14ac:dyDescent="0.25">
      <c r="F183" s="58">
        <v>8</v>
      </c>
      <c r="G183" s="510"/>
      <c r="H183" s="510"/>
      <c r="I183" s="510"/>
      <c r="J183" s="510"/>
      <c r="L183" s="510"/>
      <c r="M183" s="510"/>
      <c r="N183" s="510"/>
      <c r="O183" s="510"/>
      <c r="P183" s="58">
        <v>8</v>
      </c>
    </row>
    <row r="184" spans="6:16" x14ac:dyDescent="0.25">
      <c r="F184" s="58">
        <v>7</v>
      </c>
      <c r="G184" s="510"/>
      <c r="H184" s="510"/>
      <c r="I184" s="510"/>
      <c r="J184" s="510"/>
      <c r="L184" s="510"/>
      <c r="M184" s="510"/>
      <c r="N184" s="510"/>
      <c r="O184" s="510"/>
      <c r="P184" s="58">
        <v>7</v>
      </c>
    </row>
    <row r="185" spans="6:16" x14ac:dyDescent="0.25">
      <c r="F185" s="58">
        <v>6</v>
      </c>
      <c r="G185" s="510"/>
      <c r="H185" s="510"/>
      <c r="I185" s="510"/>
      <c r="J185" s="510"/>
      <c r="L185" s="510"/>
      <c r="M185" s="510"/>
      <c r="N185" s="510"/>
      <c r="O185" s="510"/>
      <c r="P185" s="58">
        <v>6</v>
      </c>
    </row>
    <row r="186" spans="6:16" x14ac:dyDescent="0.25">
      <c r="F186" s="58">
        <v>5</v>
      </c>
      <c r="G186" s="510"/>
      <c r="H186" s="510"/>
      <c r="I186" s="510"/>
      <c r="J186" s="510"/>
      <c r="L186" s="510"/>
      <c r="M186" s="510"/>
      <c r="N186" s="510"/>
      <c r="O186" s="510"/>
      <c r="P186" s="58">
        <v>5</v>
      </c>
    </row>
    <row r="187" spans="6:16" x14ac:dyDescent="0.25">
      <c r="F187" s="58">
        <v>4</v>
      </c>
      <c r="G187" s="510"/>
      <c r="H187" s="510"/>
      <c r="I187" s="510"/>
      <c r="J187" s="510"/>
      <c r="L187" s="510"/>
      <c r="M187" s="510"/>
      <c r="N187" s="510"/>
      <c r="O187" s="510"/>
      <c r="P187" s="58">
        <v>4</v>
      </c>
    </row>
    <row r="188" spans="6:16" x14ac:dyDescent="0.25">
      <c r="F188" s="58">
        <v>3</v>
      </c>
      <c r="G188" s="510"/>
      <c r="H188" s="510"/>
      <c r="I188" s="510"/>
      <c r="J188" s="510"/>
      <c r="L188" s="510"/>
      <c r="M188" s="510"/>
      <c r="N188" s="510"/>
      <c r="O188" s="510"/>
      <c r="P188" s="58">
        <v>3</v>
      </c>
    </row>
    <row r="189" spans="6:16" x14ac:dyDescent="0.25">
      <c r="F189" s="58">
        <v>2</v>
      </c>
      <c r="G189" s="510"/>
      <c r="H189" s="510"/>
      <c r="I189" s="510"/>
      <c r="J189" s="510"/>
      <c r="L189" s="510"/>
      <c r="M189" s="510"/>
      <c r="N189" s="510"/>
      <c r="O189" s="510"/>
      <c r="P189" s="58">
        <v>2</v>
      </c>
    </row>
    <row r="190" spans="6:16" x14ac:dyDescent="0.25">
      <c r="F190" s="58">
        <v>1</v>
      </c>
      <c r="G190" s="510"/>
      <c r="H190" s="510"/>
      <c r="I190" s="510"/>
      <c r="J190" s="510"/>
      <c r="L190" s="510"/>
      <c r="M190" s="510"/>
      <c r="N190" s="510"/>
      <c r="O190" s="510"/>
      <c r="P190" s="58">
        <v>1</v>
      </c>
    </row>
    <row r="191" spans="6:16" x14ac:dyDescent="0.25">
      <c r="F191" s="58">
        <v>0</v>
      </c>
      <c r="G191" s="510"/>
      <c r="H191" s="510"/>
      <c r="I191" s="510"/>
      <c r="J191" s="510"/>
      <c r="L191" s="510"/>
      <c r="M191" s="510"/>
      <c r="N191" s="510"/>
      <c r="O191" s="510"/>
      <c r="P191" s="58">
        <v>0</v>
      </c>
    </row>
    <row r="192" spans="6:16" x14ac:dyDescent="0.25">
      <c r="G192" s="511">
        <v>1</v>
      </c>
      <c r="H192" s="511"/>
      <c r="I192" s="511">
        <v>2</v>
      </c>
      <c r="J192" s="511"/>
      <c r="K192" s="410"/>
      <c r="L192" s="511">
        <v>1</v>
      </c>
      <c r="M192" s="511"/>
      <c r="N192" s="511">
        <v>2</v>
      </c>
      <c r="O192" s="511"/>
    </row>
    <row r="193" spans="7:14" x14ac:dyDescent="0.25">
      <c r="G193" s="53" t="s">
        <v>126</v>
      </c>
      <c r="H193" s="53"/>
      <c r="I193" s="53"/>
      <c r="J193" s="53"/>
      <c r="K193" s="53"/>
      <c r="L193" s="53" t="s">
        <v>126</v>
      </c>
      <c r="M193" s="53"/>
      <c r="N193" s="53"/>
    </row>
    <row r="194" spans="7:14" x14ac:dyDescent="0.25">
      <c r="G194" s="53" t="s">
        <v>139</v>
      </c>
      <c r="H194" s="53"/>
      <c r="I194" s="53"/>
      <c r="J194" s="52"/>
      <c r="K194" s="52"/>
      <c r="L194" s="53" t="s">
        <v>249</v>
      </c>
      <c r="M194" s="53"/>
      <c r="N194" s="53"/>
    </row>
  </sheetData>
  <mergeCells count="702">
    <mergeCell ref="I19:J19"/>
    <mergeCell ref="N19:O19"/>
    <mergeCell ref="G20:H20"/>
    <mergeCell ref="I20:J20"/>
    <mergeCell ref="L20:M20"/>
    <mergeCell ref="N20:O20"/>
    <mergeCell ref="D8:D9"/>
    <mergeCell ref="C9:C10"/>
    <mergeCell ref="A14:B14"/>
    <mergeCell ref="F14:R14"/>
    <mergeCell ref="G18:H18"/>
    <mergeCell ref="I18:J18"/>
    <mergeCell ref="L18:M18"/>
    <mergeCell ref="N18:O18"/>
    <mergeCell ref="G23:H23"/>
    <mergeCell ref="I23:J23"/>
    <mergeCell ref="L23:M23"/>
    <mergeCell ref="N23:O23"/>
    <mergeCell ref="G24:H24"/>
    <mergeCell ref="I24:J24"/>
    <mergeCell ref="L24:M24"/>
    <mergeCell ref="N24:O24"/>
    <mergeCell ref="G21:H21"/>
    <mergeCell ref="I21:J21"/>
    <mergeCell ref="L21:M21"/>
    <mergeCell ref="N21:O21"/>
    <mergeCell ref="G22:H22"/>
    <mergeCell ref="I22:J22"/>
    <mergeCell ref="L22:M22"/>
    <mergeCell ref="N22:O22"/>
    <mergeCell ref="G27:H27"/>
    <mergeCell ref="I27:J27"/>
    <mergeCell ref="L27:M27"/>
    <mergeCell ref="N27:O27"/>
    <mergeCell ref="G28:H28"/>
    <mergeCell ref="I28:J28"/>
    <mergeCell ref="L28:M28"/>
    <mergeCell ref="N28:O28"/>
    <mergeCell ref="G25:H25"/>
    <mergeCell ref="I25:J25"/>
    <mergeCell ref="L25:M25"/>
    <mergeCell ref="N25:O25"/>
    <mergeCell ref="G26:H26"/>
    <mergeCell ref="I26:J26"/>
    <mergeCell ref="L26:M26"/>
    <mergeCell ref="N26:O26"/>
    <mergeCell ref="G31:H31"/>
    <mergeCell ref="I31:J31"/>
    <mergeCell ref="L31:M31"/>
    <mergeCell ref="N31:O31"/>
    <mergeCell ref="G32:H32"/>
    <mergeCell ref="I32:J32"/>
    <mergeCell ref="L32:M32"/>
    <mergeCell ref="N32:O32"/>
    <mergeCell ref="G29:H29"/>
    <mergeCell ref="I29:J29"/>
    <mergeCell ref="L29:M29"/>
    <mergeCell ref="N29:O29"/>
    <mergeCell ref="G30:H30"/>
    <mergeCell ref="I30:J30"/>
    <mergeCell ref="L30:M30"/>
    <mergeCell ref="N30:O30"/>
    <mergeCell ref="G35:H35"/>
    <mergeCell ref="I35:J35"/>
    <mergeCell ref="L35:M35"/>
    <mergeCell ref="N35:O35"/>
    <mergeCell ref="G36:H36"/>
    <mergeCell ref="I36:J36"/>
    <mergeCell ref="L36:M36"/>
    <mergeCell ref="N36:O36"/>
    <mergeCell ref="G33:H33"/>
    <mergeCell ref="I33:J33"/>
    <mergeCell ref="L33:M33"/>
    <mergeCell ref="N33:O33"/>
    <mergeCell ref="G34:H34"/>
    <mergeCell ref="I34:J34"/>
    <mergeCell ref="L34:M34"/>
    <mergeCell ref="N34:O34"/>
    <mergeCell ref="G39:H39"/>
    <mergeCell ref="I39:J39"/>
    <mergeCell ref="L39:M39"/>
    <mergeCell ref="N39:O39"/>
    <mergeCell ref="G40:H40"/>
    <mergeCell ref="I40:J40"/>
    <mergeCell ref="L40:M40"/>
    <mergeCell ref="N40:O40"/>
    <mergeCell ref="G37:H37"/>
    <mergeCell ref="I37:J37"/>
    <mergeCell ref="L37:M37"/>
    <mergeCell ref="N37:O37"/>
    <mergeCell ref="G38:H38"/>
    <mergeCell ref="I38:J38"/>
    <mergeCell ref="L38:M38"/>
    <mergeCell ref="N38:O38"/>
    <mergeCell ref="G43:H43"/>
    <mergeCell ref="I43:J43"/>
    <mergeCell ref="L43:M43"/>
    <mergeCell ref="N43:O43"/>
    <mergeCell ref="G44:H44"/>
    <mergeCell ref="I44:J44"/>
    <mergeCell ref="L44:M44"/>
    <mergeCell ref="N44:O44"/>
    <mergeCell ref="G41:H41"/>
    <mergeCell ref="I41:J41"/>
    <mergeCell ref="L41:M41"/>
    <mergeCell ref="N41:O41"/>
    <mergeCell ref="G42:H42"/>
    <mergeCell ref="I42:J42"/>
    <mergeCell ref="L42:M42"/>
    <mergeCell ref="N42:O42"/>
    <mergeCell ref="G47:H47"/>
    <mergeCell ref="I47:J47"/>
    <mergeCell ref="L47:M47"/>
    <mergeCell ref="N47:O47"/>
    <mergeCell ref="G48:H48"/>
    <mergeCell ref="I48:J48"/>
    <mergeCell ref="L48:M48"/>
    <mergeCell ref="N48:O48"/>
    <mergeCell ref="G45:H45"/>
    <mergeCell ref="I45:J45"/>
    <mergeCell ref="L45:M45"/>
    <mergeCell ref="N45:O45"/>
    <mergeCell ref="G46:H46"/>
    <mergeCell ref="I46:J46"/>
    <mergeCell ref="L46:M46"/>
    <mergeCell ref="N46:O46"/>
    <mergeCell ref="G51:H51"/>
    <mergeCell ref="I51:J51"/>
    <mergeCell ref="L51:M51"/>
    <mergeCell ref="N51:O51"/>
    <mergeCell ref="G52:H52"/>
    <mergeCell ref="I52:J52"/>
    <mergeCell ref="L52:M52"/>
    <mergeCell ref="N52:O52"/>
    <mergeCell ref="G49:H49"/>
    <mergeCell ref="I49:J49"/>
    <mergeCell ref="L49:M49"/>
    <mergeCell ref="N49:O49"/>
    <mergeCell ref="G50:H50"/>
    <mergeCell ref="I50:J50"/>
    <mergeCell ref="L50:M50"/>
    <mergeCell ref="N50:O50"/>
    <mergeCell ref="G55:H55"/>
    <mergeCell ref="I55:J55"/>
    <mergeCell ref="L55:M55"/>
    <mergeCell ref="N55:O55"/>
    <mergeCell ref="G56:H56"/>
    <mergeCell ref="I56:J56"/>
    <mergeCell ref="L56:M56"/>
    <mergeCell ref="N56:O56"/>
    <mergeCell ref="G53:H53"/>
    <mergeCell ref="I53:J53"/>
    <mergeCell ref="L53:M53"/>
    <mergeCell ref="N53:O53"/>
    <mergeCell ref="G54:H54"/>
    <mergeCell ref="I54:J54"/>
    <mergeCell ref="L54:M54"/>
    <mergeCell ref="N54:O54"/>
    <mergeCell ref="G59:H59"/>
    <mergeCell ref="I59:J59"/>
    <mergeCell ref="L59:M59"/>
    <mergeCell ref="N59:O59"/>
    <mergeCell ref="G60:H60"/>
    <mergeCell ref="I60:J60"/>
    <mergeCell ref="L60:M60"/>
    <mergeCell ref="N60:O60"/>
    <mergeCell ref="G57:H57"/>
    <mergeCell ref="I57:J57"/>
    <mergeCell ref="L57:M57"/>
    <mergeCell ref="N57:O57"/>
    <mergeCell ref="G58:H58"/>
    <mergeCell ref="I58:J58"/>
    <mergeCell ref="L58:M58"/>
    <mergeCell ref="N58:O58"/>
    <mergeCell ref="G63:H63"/>
    <mergeCell ref="I63:J63"/>
    <mergeCell ref="L63:M63"/>
    <mergeCell ref="N63:O63"/>
    <mergeCell ref="G64:H64"/>
    <mergeCell ref="I64:J64"/>
    <mergeCell ref="L64:M64"/>
    <mergeCell ref="N64:O64"/>
    <mergeCell ref="G61:H61"/>
    <mergeCell ref="I61:J61"/>
    <mergeCell ref="L61:M61"/>
    <mergeCell ref="N61:O61"/>
    <mergeCell ref="G62:H62"/>
    <mergeCell ref="I62:J62"/>
    <mergeCell ref="L62:M62"/>
    <mergeCell ref="N62:O62"/>
    <mergeCell ref="G67:H67"/>
    <mergeCell ref="I67:J67"/>
    <mergeCell ref="L67:M67"/>
    <mergeCell ref="N67:O67"/>
    <mergeCell ref="G68:H68"/>
    <mergeCell ref="I68:J68"/>
    <mergeCell ref="L68:M68"/>
    <mergeCell ref="N68:O68"/>
    <mergeCell ref="G65:H65"/>
    <mergeCell ref="I65:J65"/>
    <mergeCell ref="L65:M65"/>
    <mergeCell ref="N65:O65"/>
    <mergeCell ref="G66:H66"/>
    <mergeCell ref="I66:J66"/>
    <mergeCell ref="L66:M66"/>
    <mergeCell ref="N66:O66"/>
    <mergeCell ref="G71:H71"/>
    <mergeCell ref="I71:J71"/>
    <mergeCell ref="L71:M71"/>
    <mergeCell ref="N71:O71"/>
    <mergeCell ref="G72:H72"/>
    <mergeCell ref="I72:J72"/>
    <mergeCell ref="L72:M72"/>
    <mergeCell ref="N72:O72"/>
    <mergeCell ref="G69:H69"/>
    <mergeCell ref="I69:J69"/>
    <mergeCell ref="L69:M69"/>
    <mergeCell ref="N69:O69"/>
    <mergeCell ref="G70:H70"/>
    <mergeCell ref="I70:J70"/>
    <mergeCell ref="L70:M70"/>
    <mergeCell ref="N70:O70"/>
    <mergeCell ref="G75:H75"/>
    <mergeCell ref="I75:J75"/>
    <mergeCell ref="L75:M75"/>
    <mergeCell ref="N75:O75"/>
    <mergeCell ref="G76:H76"/>
    <mergeCell ref="I76:J76"/>
    <mergeCell ref="L76:M76"/>
    <mergeCell ref="N76:O76"/>
    <mergeCell ref="G73:H73"/>
    <mergeCell ref="I73:J73"/>
    <mergeCell ref="L73:M73"/>
    <mergeCell ref="N73:O73"/>
    <mergeCell ref="G74:H74"/>
    <mergeCell ref="I74:J74"/>
    <mergeCell ref="L74:M74"/>
    <mergeCell ref="N74:O74"/>
    <mergeCell ref="G79:H79"/>
    <mergeCell ref="I79:J79"/>
    <mergeCell ref="L79:M79"/>
    <mergeCell ref="N79:O79"/>
    <mergeCell ref="G80:H80"/>
    <mergeCell ref="I80:J80"/>
    <mergeCell ref="L80:M80"/>
    <mergeCell ref="N80:O80"/>
    <mergeCell ref="G77:H77"/>
    <mergeCell ref="I77:J77"/>
    <mergeCell ref="L77:M77"/>
    <mergeCell ref="N77:O77"/>
    <mergeCell ref="G78:H78"/>
    <mergeCell ref="I78:J78"/>
    <mergeCell ref="L78:M78"/>
    <mergeCell ref="N78:O78"/>
    <mergeCell ref="G83:H83"/>
    <mergeCell ref="I83:J83"/>
    <mergeCell ref="L83:M83"/>
    <mergeCell ref="N83:O83"/>
    <mergeCell ref="G84:H84"/>
    <mergeCell ref="I84:J84"/>
    <mergeCell ref="L84:M84"/>
    <mergeCell ref="N84:O84"/>
    <mergeCell ref="G81:H81"/>
    <mergeCell ref="I81:J81"/>
    <mergeCell ref="L81:M81"/>
    <mergeCell ref="N81:O81"/>
    <mergeCell ref="G82:H82"/>
    <mergeCell ref="I82:J82"/>
    <mergeCell ref="L82:M82"/>
    <mergeCell ref="N82:O82"/>
    <mergeCell ref="G87:H87"/>
    <mergeCell ref="I87:J87"/>
    <mergeCell ref="L87:M87"/>
    <mergeCell ref="N87:O87"/>
    <mergeCell ref="G88:H88"/>
    <mergeCell ref="I88:J88"/>
    <mergeCell ref="L88:M88"/>
    <mergeCell ref="N88:O88"/>
    <mergeCell ref="G85:H85"/>
    <mergeCell ref="I85:J85"/>
    <mergeCell ref="L85:M85"/>
    <mergeCell ref="N85:O85"/>
    <mergeCell ref="G86:H86"/>
    <mergeCell ref="I86:J86"/>
    <mergeCell ref="L86:M86"/>
    <mergeCell ref="N86:O86"/>
    <mergeCell ref="G91:H91"/>
    <mergeCell ref="I91:J91"/>
    <mergeCell ref="L91:M91"/>
    <mergeCell ref="N91:O91"/>
    <mergeCell ref="G92:H92"/>
    <mergeCell ref="I92:J92"/>
    <mergeCell ref="L92:M92"/>
    <mergeCell ref="N92:O92"/>
    <mergeCell ref="G89:H89"/>
    <mergeCell ref="I89:J89"/>
    <mergeCell ref="L89:M89"/>
    <mergeCell ref="N89:O89"/>
    <mergeCell ref="G90:H90"/>
    <mergeCell ref="I90:J90"/>
    <mergeCell ref="L90:M90"/>
    <mergeCell ref="N90:O90"/>
    <mergeCell ref="G95:H95"/>
    <mergeCell ref="I95:J95"/>
    <mergeCell ref="L95:M95"/>
    <mergeCell ref="N95:O95"/>
    <mergeCell ref="G96:H96"/>
    <mergeCell ref="I96:J96"/>
    <mergeCell ref="L96:M96"/>
    <mergeCell ref="N96:O96"/>
    <mergeCell ref="G93:H93"/>
    <mergeCell ref="I93:J93"/>
    <mergeCell ref="L93:M93"/>
    <mergeCell ref="N93:O93"/>
    <mergeCell ref="G94:H94"/>
    <mergeCell ref="I94:J94"/>
    <mergeCell ref="L94:M94"/>
    <mergeCell ref="N94:O94"/>
    <mergeCell ref="G99:H99"/>
    <mergeCell ref="I99:J99"/>
    <mergeCell ref="L99:M99"/>
    <mergeCell ref="N99:O99"/>
    <mergeCell ref="G100:H100"/>
    <mergeCell ref="I100:J100"/>
    <mergeCell ref="L100:M100"/>
    <mergeCell ref="N100:O100"/>
    <mergeCell ref="G97:H97"/>
    <mergeCell ref="I97:J97"/>
    <mergeCell ref="L97:M97"/>
    <mergeCell ref="N97:O97"/>
    <mergeCell ref="G98:H98"/>
    <mergeCell ref="I98:J98"/>
    <mergeCell ref="L98:M98"/>
    <mergeCell ref="N98:O98"/>
    <mergeCell ref="G103:H103"/>
    <mergeCell ref="I103:J103"/>
    <mergeCell ref="L103:M103"/>
    <mergeCell ref="N103:O103"/>
    <mergeCell ref="G104:H104"/>
    <mergeCell ref="I104:J104"/>
    <mergeCell ref="L104:M104"/>
    <mergeCell ref="N104:O104"/>
    <mergeCell ref="G101:H101"/>
    <mergeCell ref="I101:J101"/>
    <mergeCell ref="L101:M101"/>
    <mergeCell ref="N101:O101"/>
    <mergeCell ref="G102:H102"/>
    <mergeCell ref="I102:J102"/>
    <mergeCell ref="L102:M102"/>
    <mergeCell ref="N102:O102"/>
    <mergeCell ref="G107:H107"/>
    <mergeCell ref="I107:J107"/>
    <mergeCell ref="L107:M107"/>
    <mergeCell ref="N107:O107"/>
    <mergeCell ref="G108:H108"/>
    <mergeCell ref="I108:J108"/>
    <mergeCell ref="L108:M108"/>
    <mergeCell ref="N108:O108"/>
    <mergeCell ref="G105:H105"/>
    <mergeCell ref="I105:J105"/>
    <mergeCell ref="L105:M105"/>
    <mergeCell ref="N105:O105"/>
    <mergeCell ref="G106:H106"/>
    <mergeCell ref="I106:J106"/>
    <mergeCell ref="L106:M106"/>
    <mergeCell ref="N106:O106"/>
    <mergeCell ref="G111:H111"/>
    <mergeCell ref="I111:J111"/>
    <mergeCell ref="L111:M111"/>
    <mergeCell ref="N111:O111"/>
    <mergeCell ref="G112:H112"/>
    <mergeCell ref="I112:J112"/>
    <mergeCell ref="L112:M112"/>
    <mergeCell ref="N112:O112"/>
    <mergeCell ref="G109:H109"/>
    <mergeCell ref="I109:J109"/>
    <mergeCell ref="L109:M109"/>
    <mergeCell ref="N109:O109"/>
    <mergeCell ref="G110:H110"/>
    <mergeCell ref="I110:J110"/>
    <mergeCell ref="L110:M110"/>
    <mergeCell ref="N110:O110"/>
    <mergeCell ref="G115:H115"/>
    <mergeCell ref="I115:J115"/>
    <mergeCell ref="L115:M115"/>
    <mergeCell ref="N115:O115"/>
    <mergeCell ref="G116:H116"/>
    <mergeCell ref="I116:J116"/>
    <mergeCell ref="L116:M116"/>
    <mergeCell ref="N116:O116"/>
    <mergeCell ref="G113:H113"/>
    <mergeCell ref="I113:J113"/>
    <mergeCell ref="L113:M113"/>
    <mergeCell ref="N113:O113"/>
    <mergeCell ref="G114:H114"/>
    <mergeCell ref="I114:J114"/>
    <mergeCell ref="L114:M114"/>
    <mergeCell ref="N114:O114"/>
    <mergeCell ref="G119:H119"/>
    <mergeCell ref="I119:J119"/>
    <mergeCell ref="L119:M119"/>
    <mergeCell ref="N119:O119"/>
    <mergeCell ref="G120:H120"/>
    <mergeCell ref="I120:J120"/>
    <mergeCell ref="L120:M120"/>
    <mergeCell ref="N120:O120"/>
    <mergeCell ref="G117:H117"/>
    <mergeCell ref="I117:J117"/>
    <mergeCell ref="L117:M117"/>
    <mergeCell ref="N117:O117"/>
    <mergeCell ref="G118:H118"/>
    <mergeCell ref="I118:J118"/>
    <mergeCell ref="L118:M118"/>
    <mergeCell ref="N118:O118"/>
    <mergeCell ref="G123:H123"/>
    <mergeCell ref="I123:J123"/>
    <mergeCell ref="L123:M123"/>
    <mergeCell ref="N123:O123"/>
    <mergeCell ref="G124:H124"/>
    <mergeCell ref="I124:J124"/>
    <mergeCell ref="L124:M124"/>
    <mergeCell ref="N124:O124"/>
    <mergeCell ref="G121:H121"/>
    <mergeCell ref="I121:J121"/>
    <mergeCell ref="L121:M121"/>
    <mergeCell ref="N121:O121"/>
    <mergeCell ref="G122:H122"/>
    <mergeCell ref="I122:J122"/>
    <mergeCell ref="L122:M122"/>
    <mergeCell ref="N122:O122"/>
    <mergeCell ref="G127:H127"/>
    <mergeCell ref="I127:J127"/>
    <mergeCell ref="L127:M127"/>
    <mergeCell ref="N127:O127"/>
    <mergeCell ref="G128:H128"/>
    <mergeCell ref="I128:J128"/>
    <mergeCell ref="L128:M128"/>
    <mergeCell ref="N128:O128"/>
    <mergeCell ref="G125:H125"/>
    <mergeCell ref="I125:J125"/>
    <mergeCell ref="L125:M125"/>
    <mergeCell ref="N125:O125"/>
    <mergeCell ref="G126:H126"/>
    <mergeCell ref="I126:J126"/>
    <mergeCell ref="L126:M126"/>
    <mergeCell ref="N126:O126"/>
    <mergeCell ref="G131:H131"/>
    <mergeCell ref="I131:J131"/>
    <mergeCell ref="L131:M131"/>
    <mergeCell ref="N131:O131"/>
    <mergeCell ref="G132:H132"/>
    <mergeCell ref="I132:J132"/>
    <mergeCell ref="L132:M132"/>
    <mergeCell ref="N132:O132"/>
    <mergeCell ref="G129:H129"/>
    <mergeCell ref="I129:J129"/>
    <mergeCell ref="L129:M129"/>
    <mergeCell ref="N129:O129"/>
    <mergeCell ref="G130:H130"/>
    <mergeCell ref="I130:J130"/>
    <mergeCell ref="L130:M130"/>
    <mergeCell ref="N130:O130"/>
    <mergeCell ref="G135:H135"/>
    <mergeCell ref="I135:J135"/>
    <mergeCell ref="L135:M135"/>
    <mergeCell ref="N135:O135"/>
    <mergeCell ref="G136:H136"/>
    <mergeCell ref="I136:J136"/>
    <mergeCell ref="L136:M136"/>
    <mergeCell ref="N136:O136"/>
    <mergeCell ref="G133:H133"/>
    <mergeCell ref="I133:J133"/>
    <mergeCell ref="L133:M133"/>
    <mergeCell ref="N133:O133"/>
    <mergeCell ref="G134:H134"/>
    <mergeCell ref="I134:J134"/>
    <mergeCell ref="L134:M134"/>
    <mergeCell ref="N134:O134"/>
    <mergeCell ref="G139:H139"/>
    <mergeCell ref="I139:J139"/>
    <mergeCell ref="L139:M139"/>
    <mergeCell ref="N139:O139"/>
    <mergeCell ref="G140:H140"/>
    <mergeCell ref="I140:J140"/>
    <mergeCell ref="L140:M140"/>
    <mergeCell ref="N140:O140"/>
    <mergeCell ref="G137:H137"/>
    <mergeCell ref="I137:J137"/>
    <mergeCell ref="L137:M137"/>
    <mergeCell ref="N137:O137"/>
    <mergeCell ref="G138:H138"/>
    <mergeCell ref="I138:J138"/>
    <mergeCell ref="L138:M138"/>
    <mergeCell ref="N138:O138"/>
    <mergeCell ref="G143:H143"/>
    <mergeCell ref="I143:J143"/>
    <mergeCell ref="L143:M143"/>
    <mergeCell ref="N143:O143"/>
    <mergeCell ref="G144:H144"/>
    <mergeCell ref="I144:J144"/>
    <mergeCell ref="L144:M144"/>
    <mergeCell ref="N144:O144"/>
    <mergeCell ref="G141:H141"/>
    <mergeCell ref="I141:J141"/>
    <mergeCell ref="L141:M141"/>
    <mergeCell ref="N141:O141"/>
    <mergeCell ref="G142:H142"/>
    <mergeCell ref="I142:J142"/>
    <mergeCell ref="L142:M142"/>
    <mergeCell ref="N142:O142"/>
    <mergeCell ref="G147:H147"/>
    <mergeCell ref="I147:J147"/>
    <mergeCell ref="L147:M147"/>
    <mergeCell ref="N147:O147"/>
    <mergeCell ref="G148:H148"/>
    <mergeCell ref="I148:J148"/>
    <mergeCell ref="L148:M148"/>
    <mergeCell ref="N148:O148"/>
    <mergeCell ref="G145:H145"/>
    <mergeCell ref="I145:J145"/>
    <mergeCell ref="L145:M145"/>
    <mergeCell ref="N145:O145"/>
    <mergeCell ref="G146:H146"/>
    <mergeCell ref="I146:J146"/>
    <mergeCell ref="L146:M146"/>
    <mergeCell ref="N146:O146"/>
    <mergeCell ref="G151:H151"/>
    <mergeCell ref="I151:J151"/>
    <mergeCell ref="L151:M151"/>
    <mergeCell ref="N151:O151"/>
    <mergeCell ref="G152:H152"/>
    <mergeCell ref="I152:J152"/>
    <mergeCell ref="L152:M152"/>
    <mergeCell ref="N152:O152"/>
    <mergeCell ref="G149:H149"/>
    <mergeCell ref="I149:J149"/>
    <mergeCell ref="L149:M149"/>
    <mergeCell ref="N149:O149"/>
    <mergeCell ref="G150:H150"/>
    <mergeCell ref="I150:J150"/>
    <mergeCell ref="L150:M150"/>
    <mergeCell ref="N150:O150"/>
    <mergeCell ref="G155:H155"/>
    <mergeCell ref="I155:J155"/>
    <mergeCell ref="L155:M155"/>
    <mergeCell ref="N155:O155"/>
    <mergeCell ref="G156:H156"/>
    <mergeCell ref="I156:J156"/>
    <mergeCell ref="L156:M156"/>
    <mergeCell ref="N156:O156"/>
    <mergeCell ref="G153:H153"/>
    <mergeCell ref="I153:J153"/>
    <mergeCell ref="L153:M153"/>
    <mergeCell ref="N153:O153"/>
    <mergeCell ref="G154:H154"/>
    <mergeCell ref="I154:J154"/>
    <mergeCell ref="L154:M154"/>
    <mergeCell ref="N154:O154"/>
    <mergeCell ref="G159:H159"/>
    <mergeCell ref="I159:J159"/>
    <mergeCell ref="L159:M159"/>
    <mergeCell ref="N159:O159"/>
    <mergeCell ref="G160:H160"/>
    <mergeCell ref="I160:J160"/>
    <mergeCell ref="L160:M160"/>
    <mergeCell ref="N160:O160"/>
    <mergeCell ref="G157:H157"/>
    <mergeCell ref="I157:J157"/>
    <mergeCell ref="L157:M157"/>
    <mergeCell ref="N157:O157"/>
    <mergeCell ref="G158:H158"/>
    <mergeCell ref="I158:J158"/>
    <mergeCell ref="L158:M158"/>
    <mergeCell ref="N158:O158"/>
    <mergeCell ref="G163:H163"/>
    <mergeCell ref="I163:J163"/>
    <mergeCell ref="L163:M163"/>
    <mergeCell ref="N163:O163"/>
    <mergeCell ref="G164:H164"/>
    <mergeCell ref="I164:J164"/>
    <mergeCell ref="L164:M164"/>
    <mergeCell ref="N164:O164"/>
    <mergeCell ref="G161:H161"/>
    <mergeCell ref="I161:J161"/>
    <mergeCell ref="L161:M161"/>
    <mergeCell ref="N161:O161"/>
    <mergeCell ref="G162:H162"/>
    <mergeCell ref="I162:J162"/>
    <mergeCell ref="L162:M162"/>
    <mergeCell ref="N162:O162"/>
    <mergeCell ref="G167:H167"/>
    <mergeCell ref="I167:J167"/>
    <mergeCell ref="L167:M167"/>
    <mergeCell ref="N167:O167"/>
    <mergeCell ref="G168:H168"/>
    <mergeCell ref="I168:J168"/>
    <mergeCell ref="L168:M168"/>
    <mergeCell ref="N168:O168"/>
    <mergeCell ref="G165:H165"/>
    <mergeCell ref="I165:J165"/>
    <mergeCell ref="L165:M165"/>
    <mergeCell ref="N165:O165"/>
    <mergeCell ref="G166:H166"/>
    <mergeCell ref="I166:J166"/>
    <mergeCell ref="L166:M166"/>
    <mergeCell ref="N166:O166"/>
    <mergeCell ref="G171:H171"/>
    <mergeCell ref="I171:J171"/>
    <mergeCell ref="L171:M171"/>
    <mergeCell ref="N171:O171"/>
    <mergeCell ref="G172:H172"/>
    <mergeCell ref="I172:J172"/>
    <mergeCell ref="L172:M172"/>
    <mergeCell ref="N172:O172"/>
    <mergeCell ref="G169:H169"/>
    <mergeCell ref="I169:J169"/>
    <mergeCell ref="L169:M169"/>
    <mergeCell ref="N169:O169"/>
    <mergeCell ref="G170:H170"/>
    <mergeCell ref="I170:J170"/>
    <mergeCell ref="L170:M170"/>
    <mergeCell ref="N170:O170"/>
    <mergeCell ref="G175:H175"/>
    <mergeCell ref="I175:J175"/>
    <mergeCell ref="L175:M175"/>
    <mergeCell ref="N175:O175"/>
    <mergeCell ref="G176:H176"/>
    <mergeCell ref="I176:J176"/>
    <mergeCell ref="L176:M176"/>
    <mergeCell ref="N176:O176"/>
    <mergeCell ref="G173:H173"/>
    <mergeCell ref="I173:J173"/>
    <mergeCell ref="L173:M173"/>
    <mergeCell ref="N173:O173"/>
    <mergeCell ref="G174:H174"/>
    <mergeCell ref="I174:J174"/>
    <mergeCell ref="L174:M174"/>
    <mergeCell ref="N174:O174"/>
    <mergeCell ref="G179:H179"/>
    <mergeCell ref="I179:J179"/>
    <mergeCell ref="L179:M179"/>
    <mergeCell ref="N179:O179"/>
    <mergeCell ref="G180:H180"/>
    <mergeCell ref="I180:J180"/>
    <mergeCell ref="L180:M180"/>
    <mergeCell ref="N180:O180"/>
    <mergeCell ref="G177:H177"/>
    <mergeCell ref="I177:J177"/>
    <mergeCell ref="L177:M177"/>
    <mergeCell ref="N177:O177"/>
    <mergeCell ref="G178:H178"/>
    <mergeCell ref="I178:J178"/>
    <mergeCell ref="L178:M178"/>
    <mergeCell ref="N178:O178"/>
    <mergeCell ref="G183:H183"/>
    <mergeCell ref="I183:J183"/>
    <mergeCell ref="L183:M183"/>
    <mergeCell ref="N183:O183"/>
    <mergeCell ref="G184:H184"/>
    <mergeCell ref="I184:J184"/>
    <mergeCell ref="L184:M184"/>
    <mergeCell ref="N184:O184"/>
    <mergeCell ref="G181:H181"/>
    <mergeCell ref="I181:J181"/>
    <mergeCell ref="L181:M181"/>
    <mergeCell ref="N181:O181"/>
    <mergeCell ref="G182:H182"/>
    <mergeCell ref="I182:J182"/>
    <mergeCell ref="L182:M182"/>
    <mergeCell ref="N182:O182"/>
    <mergeCell ref="G187:H187"/>
    <mergeCell ref="I187:J187"/>
    <mergeCell ref="L187:M187"/>
    <mergeCell ref="N187:O187"/>
    <mergeCell ref="G188:H188"/>
    <mergeCell ref="I188:J188"/>
    <mergeCell ref="L188:M188"/>
    <mergeCell ref="N188:O188"/>
    <mergeCell ref="G185:H185"/>
    <mergeCell ref="I185:J185"/>
    <mergeCell ref="L185:M185"/>
    <mergeCell ref="N185:O185"/>
    <mergeCell ref="G186:H186"/>
    <mergeCell ref="I186:J186"/>
    <mergeCell ref="L186:M186"/>
    <mergeCell ref="N186:O186"/>
    <mergeCell ref="G192:H192"/>
    <mergeCell ref="I192:J192"/>
    <mergeCell ref="L192:M192"/>
    <mergeCell ref="N192:O192"/>
    <mergeCell ref="G191:H191"/>
    <mergeCell ref="I191:J191"/>
    <mergeCell ref="L191:M191"/>
    <mergeCell ref="N191:O191"/>
    <mergeCell ref="G189:H189"/>
    <mergeCell ref="I189:J189"/>
    <mergeCell ref="L189:M189"/>
    <mergeCell ref="N189:O189"/>
    <mergeCell ref="G190:H190"/>
    <mergeCell ref="I190:J190"/>
    <mergeCell ref="L190:M190"/>
    <mergeCell ref="N190:O19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NNT y PtSLEv</vt:lpstr>
      <vt:lpstr>Gráf1 WIV04 LevModSev</vt:lpstr>
      <vt:lpstr>Gráf2 HB02 LevModSev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cp:lastModifiedBy>
  <dcterms:created xsi:type="dcterms:W3CDTF">2018-11-20T13:30:16Z</dcterms:created>
  <dcterms:modified xsi:type="dcterms:W3CDTF">2021-06-06T12:01:24Z</dcterms:modified>
</cp:coreProperties>
</file>