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10612-Galo\0-Datos\010-Temas publc\20210620-VÑ ECA LEADER\"/>
    </mc:Choice>
  </mc:AlternateContent>
  <bookViews>
    <workbookView xWindow="0" yWindow="0" windowWidth="20490" windowHeight="7545" tabRatio="642"/>
  </bookViews>
  <sheets>
    <sheet name="IncAcum" sheetId="6" r:id="rId1"/>
    <sheet name="Gráf1 3tbx3nnt" sheetId="10" r:id="rId2"/>
    <sheet name="Gráf2 3tbx3nnt" sheetId="14" r:id="rId3"/>
    <sheet name="Gráf3 3tbx3nnt" sheetId="1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6" l="1"/>
  <c r="A21" i="6"/>
  <c r="A22" i="6"/>
  <c r="A53" i="6"/>
  <c r="C24" i="15" l="1"/>
  <c r="D13" i="15"/>
  <c r="C13" i="15"/>
  <c r="B5" i="15"/>
  <c r="D10" i="15" s="1"/>
  <c r="A1" i="15"/>
  <c r="C24" i="14"/>
  <c r="D13" i="14"/>
  <c r="C13" i="14"/>
  <c r="B5" i="14"/>
  <c r="C8" i="14" s="1"/>
  <c r="A1" i="14"/>
  <c r="D14" i="15" l="1"/>
  <c r="C8" i="15"/>
  <c r="D7" i="15"/>
  <c r="C9" i="15"/>
  <c r="C14" i="15" s="1"/>
  <c r="E2" i="15"/>
  <c r="F14" i="15" s="1"/>
  <c r="D24" i="15"/>
  <c r="D25" i="15" s="1"/>
  <c r="C9" i="14"/>
  <c r="C14" i="14" s="1"/>
  <c r="C7" i="14"/>
  <c r="E2" i="14"/>
  <c r="F14" i="14" s="1"/>
  <c r="D10" i="14"/>
  <c r="D14" i="14" s="1"/>
  <c r="D8" i="15"/>
  <c r="D11" i="15" s="1"/>
  <c r="C7" i="15"/>
  <c r="D24" i="14"/>
  <c r="D8" i="14"/>
  <c r="D7" i="14"/>
  <c r="F8" i="6"/>
  <c r="H8" i="6" s="1"/>
  <c r="N8" i="6" s="1"/>
  <c r="F7" i="6"/>
  <c r="H7" i="6" s="1"/>
  <c r="B25" i="15" l="1"/>
  <c r="C11" i="15"/>
  <c r="C25" i="15"/>
  <c r="D11" i="14"/>
  <c r="C11" i="14"/>
  <c r="D25" i="14"/>
  <c r="B25" i="14"/>
  <c r="C25" i="14"/>
  <c r="N7" i="6"/>
  <c r="B5" i="10" l="1"/>
  <c r="D10" i="10" l="1"/>
  <c r="C24" i="10"/>
  <c r="D24" i="10" s="1"/>
  <c r="D25" i="10" s="1"/>
  <c r="D13" i="10"/>
  <c r="C13" i="10"/>
  <c r="C8" i="10"/>
  <c r="A1" i="10"/>
  <c r="D7" i="10" s="1"/>
  <c r="D14" i="10" l="1"/>
  <c r="B25" i="10"/>
  <c r="D8" i="10"/>
  <c r="D11" i="10" s="1"/>
  <c r="C7" i="10"/>
  <c r="C9" i="10"/>
  <c r="C14" i="10" s="1"/>
  <c r="C25" i="10"/>
  <c r="E2" i="10"/>
  <c r="F14" i="10" l="1"/>
  <c r="C11" i="10"/>
  <c r="R5" i="6" l="1"/>
  <c r="U62" i="6" l="1"/>
  <c r="O14" i="6"/>
  <c r="S14" i="6"/>
  <c r="N14" i="6"/>
  <c r="R14" i="6" l="1"/>
  <c r="Q14" i="6"/>
  <c r="P14" i="6" l="1"/>
  <c r="R7" i="6"/>
  <c r="U7" i="6" s="1"/>
  <c r="S62" i="6"/>
  <c r="R6" i="6"/>
  <c r="U6" i="6" s="1"/>
  <c r="R62" i="6"/>
  <c r="Q62" i="6" l="1"/>
  <c r="T62" i="6" s="1"/>
  <c r="R8" i="6"/>
  <c r="U8" i="6" s="1"/>
  <c r="U9" i="6" s="1"/>
  <c r="C56" i="6"/>
  <c r="D41" i="6"/>
  <c r="D40" i="6"/>
  <c r="H23" i="6"/>
  <c r="H22" i="6"/>
  <c r="B22" i="6"/>
  <c r="H21" i="6"/>
  <c r="B21" i="6"/>
  <c r="F14" i="6"/>
  <c r="D54" i="6" s="1"/>
  <c r="C14" i="6"/>
  <c r="E9" i="6"/>
  <c r="H9" i="6" s="1"/>
  <c r="N9" i="6" s="1"/>
  <c r="C9" i="6"/>
  <c r="A23" i="6" s="1"/>
  <c r="D8" i="6"/>
  <c r="F9" i="6" l="1"/>
  <c r="B23" i="6"/>
  <c r="F23" i="6" s="1"/>
  <c r="R9" i="6"/>
  <c r="S8" i="6" s="1"/>
  <c r="D22" i="6"/>
  <c r="D42" i="6"/>
  <c r="M21" i="6"/>
  <c r="B41" i="6"/>
  <c r="B46" i="6" s="1"/>
  <c r="F21" i="6"/>
  <c r="F22" i="6"/>
  <c r="C22" i="6"/>
  <c r="I22" i="6" s="1"/>
  <c r="J56" i="6" s="1"/>
  <c r="D7" i="6"/>
  <c r="B56" i="6"/>
  <c r="J14" i="6"/>
  <c r="B40" i="6"/>
  <c r="S7" i="6" l="1"/>
  <c r="S6" i="6"/>
  <c r="E22" i="6"/>
  <c r="B42" i="6"/>
  <c r="D21" i="6"/>
  <c r="M23" i="6"/>
  <c r="C21" i="6"/>
  <c r="E21" i="6" s="1"/>
  <c r="D9" i="6"/>
  <c r="B14" i="6"/>
  <c r="E14" i="6" s="1"/>
  <c r="B45" i="6"/>
  <c r="K22" i="6" l="1"/>
  <c r="L56" i="6" s="1"/>
  <c r="H14" i="6"/>
  <c r="L14" i="6" s="1"/>
  <c r="J22" i="6"/>
  <c r="K56" i="6" s="1"/>
  <c r="D14" i="6"/>
  <c r="G14" i="6" s="1"/>
  <c r="D55" i="6" s="1"/>
  <c r="V21" i="6"/>
  <c r="I21" i="6"/>
  <c r="J55" i="6" s="1"/>
  <c r="I26" i="6"/>
  <c r="C41" i="6"/>
  <c r="C46" i="6" s="1"/>
  <c r="C40" i="6"/>
  <c r="K21" i="6"/>
  <c r="L55" i="6" s="1"/>
  <c r="J21" i="6"/>
  <c r="K55" i="6" s="1"/>
  <c r="M56" i="6" l="1"/>
  <c r="D56" i="6"/>
  <c r="C23" i="6"/>
  <c r="D23" i="6"/>
  <c r="K14" i="6"/>
  <c r="C42" i="6"/>
  <c r="C45" i="6"/>
  <c r="B48" i="6" s="1"/>
  <c r="J41" i="6"/>
  <c r="H40" i="6" s="1"/>
  <c r="E54" i="6"/>
  <c r="J26" i="6"/>
  <c r="K26" i="6"/>
  <c r="M22" i="6"/>
  <c r="M24" i="6" s="1"/>
  <c r="M25" i="6" s="1"/>
  <c r="M26" i="6" s="1"/>
  <c r="I27" i="6"/>
  <c r="I35" i="6" s="1"/>
  <c r="M55" i="6"/>
  <c r="E23" i="6" l="1"/>
  <c r="K23" i="6" s="1"/>
  <c r="L57" i="6" s="1"/>
  <c r="V22" i="6"/>
  <c r="V23" i="6" s="1"/>
  <c r="V24" i="6" s="1"/>
  <c r="V25" i="6" s="1"/>
  <c r="I23" i="6"/>
  <c r="J57" i="6" s="1"/>
  <c r="P28" i="6"/>
  <c r="M31" i="6" s="1"/>
  <c r="M32" i="6" s="1"/>
  <c r="G56" i="6" s="1"/>
  <c r="G58" i="6" s="1"/>
  <c r="G62" i="6" s="1"/>
  <c r="I32" i="6"/>
  <c r="S3" i="6" s="1"/>
  <c r="E55" i="6"/>
  <c r="K27" i="6"/>
  <c r="J35" i="6" s="1"/>
  <c r="E56" i="6"/>
  <c r="J27" i="6"/>
  <c r="K35" i="6" s="1"/>
  <c r="F46" i="6"/>
  <c r="B49" i="6"/>
  <c r="I62" i="6" s="1"/>
  <c r="I34" i="6"/>
  <c r="I36" i="6"/>
  <c r="I31" i="6"/>
  <c r="T3" i="6" s="1"/>
  <c r="F54" i="6"/>
  <c r="I29" i="6"/>
  <c r="I37" i="6"/>
  <c r="I30" i="6"/>
  <c r="U3" i="6" s="1"/>
  <c r="K62" i="6" l="1"/>
  <c r="N62" i="6" s="1"/>
  <c r="L62" i="6"/>
  <c r="O62" i="6" s="1"/>
  <c r="M33" i="6"/>
  <c r="D58" i="6"/>
  <c r="D62" i="6" s="1"/>
  <c r="J23" i="6"/>
  <c r="K57" i="6" s="1"/>
  <c r="M57" i="6" s="1"/>
  <c r="R3" i="6"/>
  <c r="J32" i="6"/>
  <c r="F55" i="6"/>
  <c r="J36" i="6"/>
  <c r="K29" i="6"/>
  <c r="J34" i="6"/>
  <c r="K31" i="6"/>
  <c r="K30" i="6"/>
  <c r="J37" i="6"/>
  <c r="K36" i="6"/>
  <c r="J31" i="6"/>
  <c r="K34" i="6"/>
  <c r="J29" i="6"/>
  <c r="F56" i="6"/>
  <c r="J30" i="6"/>
  <c r="K37" i="6"/>
  <c r="K32" i="6"/>
  <c r="E61" i="6" l="1"/>
  <c r="C58" i="6"/>
  <c r="C62" i="6" s="1"/>
  <c r="B58" i="6"/>
  <c r="B62" i="6" s="1"/>
  <c r="D61" i="6"/>
  <c r="E58" i="6"/>
  <c r="E62" i="6" s="1"/>
  <c r="F61" i="6"/>
  <c r="F58" i="6"/>
  <c r="F62" i="6" s="1"/>
</calcChain>
</file>

<file path=xl/sharedStrings.xml><?xml version="1.0" encoding="utf-8"?>
<sst xmlns="http://schemas.openxmlformats.org/spreadsheetml/2006/main" count="483" uniqueCount="333">
  <si>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</si>
  <si>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</si>
  <si>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</si>
  <si>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</si>
  <si>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</si>
  <si>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</si>
  <si>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</si>
  <si>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</si>
  <si>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</si>
  <si>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</si>
  <si>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</si>
  <si>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</si>
  <si>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</si>
  <si>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</si>
  <si>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</si>
  <si>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Personas</t>
  </si>
  <si>
    <t>IC</t>
  </si>
  <si>
    <t>Enferman</t>
  </si>
  <si>
    <t>No enferman</t>
  </si>
  <si>
    <t>Con eventos</t>
  </si>
  <si>
    <t>Sin eventos</t>
  </si>
  <si>
    <t>Total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</si>
  <si>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</si>
  <si>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</si>
  <si>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</si>
  <si>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</si>
  <si>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</si>
  <si>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</si>
  <si>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</si>
  <si>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</si>
  <si>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</si>
  <si>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</si>
  <si>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</si>
  <si>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</si>
  <si>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</si>
  <si>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</si>
  <si>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</si>
  <si>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</si>
  <si>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</si>
  <si>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</si>
  <si>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</si>
  <si>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</si>
  <si>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</si>
  <si>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</si>
  <si>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</si>
  <si>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</si>
  <si>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</si>
  <si>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</si>
  <si>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</si>
  <si>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</si>
  <si>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</si>
  <si>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</si>
  <si>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</si>
  <si>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</si>
  <si>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</si>
  <si>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</si>
  <si>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</si>
  <si>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</si>
  <si>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</si>
  <si>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</si>
  <si>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</si>
  <si>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</si>
  <si>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</si>
  <si>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</si>
  <si>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</si>
  <si>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</si>
  <si>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</si>
  <si>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</si>
  <si>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</si>
  <si>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</si>
  <si>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</si>
  <si>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</si>
  <si>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</si>
  <si>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</si>
  <si>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</si>
  <si>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</si>
  <si>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</si>
  <si>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</si>
  <si>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</si>
  <si>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</si>
  <si>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</si>
  <si>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</si>
  <si>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</si>
  <si>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</si>
  <si>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</si>
  <si>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</si>
  <si>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</si>
  <si>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</si>
  <si>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</si>
  <si>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</si>
  <si>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</si>
  <si>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</si>
  <si>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</si>
  <si>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</si>
  <si>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</si>
  <si>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</si>
  <si>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</si>
  <si>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</si>
  <si>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</si>
  <si>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</si>
  <si>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</si>
  <si>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</si>
  <si>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</si>
  <si>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</si>
  <si>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</si>
  <si>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</si>
  <si>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</si>
  <si>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</si>
  <si>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</si>
  <si>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</si>
  <si>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</si>
  <si>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</si>
  <si>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</si>
  <si>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</si>
  <si>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</si>
  <si>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</si>
  <si>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</si>
  <si>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</si>
  <si>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</si>
  <si>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</si>
  <si>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</si>
  <si>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</si>
  <si>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</si>
  <si>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</si>
  <si>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</si>
  <si>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</si>
  <si>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</si>
  <si>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</si>
  <si>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t>destinos NNT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</si>
  <si>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</si>
  <si>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</si>
  <si>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</si>
  <si>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</si>
  <si>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</si>
  <si>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</si>
  <si>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</si>
  <si>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</si>
  <si>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</si>
  <si>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</si>
  <si>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</si>
  <si>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</si>
  <si>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</si>
  <si>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</si>
  <si>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</si>
  <si>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</si>
  <si>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</si>
  <si>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Los 3 destinos del NNT</t>
  </si>
  <si>
    <t>Los 3 tiempos biográficos</t>
  </si>
  <si>
    <t>meses</t>
  </si>
  <si>
    <t>Meses</t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</si>
  <si>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</si>
  <si>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Mortalidad cualquier causa</t>
  </si>
  <si>
    <t>Medidas del efecto obtenidas por incidencias acumuladas</t>
  </si>
  <si>
    <t>RAR (IC 95%)</t>
  </si>
  <si>
    <t>por año</t>
  </si>
  <si>
    <t>nº años</t>
  </si>
  <si>
    <t>nº meses</t>
  </si>
  <si>
    <t>Mortalidad por cualquier causa</t>
  </si>
  <si>
    <t>Hospitalización por angina inestable</t>
  </si>
  <si>
    <t>Hipoglucemias confirmadas totales</t>
  </si>
  <si>
    <t>Revascularización coronaria</t>
  </si>
  <si>
    <t>Ataque Isquémico Transitorio</t>
  </si>
  <si>
    <t>Hoja información al usuario que no se maneja con los IC</t>
  </si>
  <si>
    <r>
      <t>% de pacientes con evento en</t>
    </r>
    <r>
      <rPr>
        <b/>
        <sz val="10"/>
        <rFont val="Calibri"/>
        <family val="2"/>
      </rPr>
      <t xml:space="preserve"> 27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</si>
  <si>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sz val="10"/>
        <rFont val="Calibri"/>
        <family val="2"/>
      </rPr>
      <t>para la diferencia</t>
    </r>
  </si>
  <si>
    <t>Sacubitril-Valsartán</t>
  </si>
  <si>
    <t>Enalapril</t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</si>
  <si>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REGISTRADOS POR LOS INVESTIGADORES.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</si>
  <si>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</si>
  <si>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[Mort CV, IAM ó Ictus]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</si>
  <si>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 xml:space="preserve">IAM: </t>
    </r>
    <r>
      <rPr>
        <sz val="10"/>
        <rFont val="Calibri"/>
        <family val="2"/>
      </rPr>
      <t xml:space="preserve">infarto agudo demiocardio;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 xml:space="preserve">Insuf: </t>
    </r>
    <r>
      <rPr>
        <sz val="10"/>
        <rFont val="Calibri"/>
        <family val="2"/>
      </rPr>
      <t xml:space="preserve">insuficiencia;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>Mort:</t>
    </r>
    <r>
      <rPr>
        <sz val="10"/>
        <rFont val="Calibri"/>
        <family val="2"/>
      </rPr>
      <t xml:space="preserve"> mortalidad por cualquier causa; </t>
    </r>
    <r>
      <rPr>
        <b/>
        <sz val="10"/>
        <rFont val="Calibri"/>
        <family val="2"/>
      </rPr>
      <t>Mort  CV:</t>
    </r>
    <r>
      <rPr>
        <sz val="10"/>
        <rFont val="Calibri"/>
        <family val="2"/>
      </rPr>
      <t xml:space="preserve"> mortalidad por causa cardiovascular;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</si>
  <si>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Mortalidad cardiovascular</t>
  </si>
  <si>
    <t>20160728-ECA LEADER, 3,8y, DM2+altoRCV Usu[Liragl vs Pl], -MACE. Marso</t>
  </si>
  <si>
    <t>Tto estándar + Liraglutida, n= 4668</t>
  </si>
  <si>
    <t>Tto estándar + Placebo, n= 4672</t>
  </si>
  <si>
    <t>ECA LEADER, media de seguimiento 45,8 meses (3,82 años)</t>
  </si>
  <si>
    <t>NNT (IC 95%) en 46 meses</t>
  </si>
  <si>
    <t>608/4668 (13,02%)</t>
  </si>
  <si>
    <t>694/4672 (14,85%)</t>
  </si>
  <si>
    <t>0,88 (0,79-0,97)</t>
  </si>
  <si>
    <t>1,83% (0,42% a 3,23%)</t>
  </si>
  <si>
    <t>55 (31 a 236)</t>
  </si>
  <si>
    <t>72,33%</t>
  </si>
  <si>
    <t>381/4668 (8,16%)</t>
  </si>
  <si>
    <t>447/4672 (9,57%)</t>
  </si>
  <si>
    <t>0,85 (0,75-0,97)</t>
  </si>
  <si>
    <t>1,41% (0,25% a 2,56%)</t>
  </si>
  <si>
    <t>71 (39 a 399)</t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</si>
  <si>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64 años (DE 7), con DM2 de 13 años de duración, con Enfermedad CV en 8 de cada 10.</t>
    </r>
  </si>
  <si>
    <r>
      <t>Nº de pacientes con evento en</t>
    </r>
    <r>
      <rPr>
        <b/>
        <sz val="10"/>
        <rFont val="Calibri"/>
        <family val="2"/>
      </rPr>
      <t xml:space="preserve"> 46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</si>
  <si>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Liraglutida</t>
  </si>
  <si>
    <t>Mortalidad por causa cardiovascular</t>
  </si>
  <si>
    <t>219/4668 (4,69%)</t>
  </si>
  <si>
    <t>278/4672 (5,95%)</t>
  </si>
  <si>
    <t>0,79 (0,66-0,94)</t>
  </si>
  <si>
    <t>1,26% (0,34% a 2,17%)</t>
  </si>
  <si>
    <t>79 (46 a 291)</t>
  </si>
  <si>
    <t>268/4668 (5,74%)</t>
  </si>
  <si>
    <t>337/4672 (7,21%)</t>
  </si>
  <si>
    <t>0,8 (0,68-0,93)</t>
  </si>
  <si>
    <t>1,47% (0,47% a 2,47%)</t>
  </si>
  <si>
    <t>68 (40 a 213)</t>
  </si>
  <si>
    <t>Infarto de miocardio</t>
  </si>
  <si>
    <t>292/4668 (6,26%)</t>
  </si>
  <si>
    <t>339/4672 (7,26%)</t>
  </si>
  <si>
    <t>0,86 (0,74-1)</t>
  </si>
  <si>
    <t>1% (-0,02% a 2,02%)</t>
  </si>
  <si>
    <t>100 (50 a -4921)</t>
  </si>
  <si>
    <t>48,67%</t>
  </si>
  <si>
    <t>Ictus</t>
  </si>
  <si>
    <t>173/4668 (3,71%)</t>
  </si>
  <si>
    <t>199/4672 (4,26%)</t>
  </si>
  <si>
    <t>0,87 (0,71-1,06)</t>
  </si>
  <si>
    <t>0,55% (-0,24% a 1,35%)</t>
  </si>
  <si>
    <t>181 (74 a -409)</t>
  </si>
  <si>
    <t>48/4668 (1,03%)</t>
  </si>
  <si>
    <t>60/4672 (1,28%)</t>
  </si>
  <si>
    <t>0,8 (0,55-1,17)</t>
  </si>
  <si>
    <t>0,26% (-0,19% a 0,69%)</t>
  </si>
  <si>
    <t>391 (144 a -533)</t>
  </si>
  <si>
    <t>405/4668 (8,68%)</t>
  </si>
  <si>
    <t>441/4672 (9,44%)</t>
  </si>
  <si>
    <t>0,92 (0,81-1,05)</t>
  </si>
  <si>
    <t>0,76% (-0,4% a 1,93%)</t>
  </si>
  <si>
    <t>131 (52 a -248)</t>
  </si>
  <si>
    <t>122/4668 (2,61%)</t>
  </si>
  <si>
    <t>124/4672 (2,65%)</t>
  </si>
  <si>
    <t>0,98 (0,77-1,26)</t>
  </si>
  <si>
    <t>0,04% (-0,61% a 0,69%)</t>
  </si>
  <si>
    <t>2465 (144 a -163)</t>
  </si>
  <si>
    <t>Hospitalización por insuf cardíaca</t>
  </si>
  <si>
    <t>218/4668 (4,67%)</t>
  </si>
  <si>
    <t>248/4672 (5,31%)</t>
  </si>
  <si>
    <t>0,88 (0,74-1,05)</t>
  </si>
  <si>
    <t>0,64% (-0,25% a 1,52%)</t>
  </si>
  <si>
    <t>157 (66 a -402)</t>
  </si>
  <si>
    <t>29,33%</t>
  </si>
  <si>
    <t>106/4668 (2,27%)</t>
  </si>
  <si>
    <t>92/4672 (1,97%)</t>
  </si>
  <si>
    <t>1,15 (0,87-1,52)</t>
  </si>
  <si>
    <t>-0,3% (-0,89% a 0,29%)</t>
  </si>
  <si>
    <t>-332 (345 a -112)</t>
  </si>
  <si>
    <t>[Mort CV, IAM, Ictus, Revasc ó Ang inestable]</t>
  </si>
  <si>
    <t>948/4668 (20,31%)</t>
  </si>
  <si>
    <t>1062/4672 (22,73%)</t>
  </si>
  <si>
    <t>0,89 (0,83-0,97)</t>
  </si>
  <si>
    <t>2,42% (0,76% a 4,09%)</t>
  </si>
  <si>
    <t>41 (24 a 132)</t>
  </si>
  <si>
    <t>81,29%</t>
  </si>
  <si>
    <r>
      <rPr>
        <b/>
        <sz val="9"/>
        <rFont val="Calibri"/>
        <family val="2"/>
        <scheme val="minor"/>
      </rPr>
      <t>Nefropatía =</t>
    </r>
    <r>
      <rPr>
        <sz val="9"/>
        <rFont val="Calibri"/>
        <family val="2"/>
        <scheme val="minor"/>
      </rPr>
      <t xml:space="preserve"> [Nueva macroalbuminuria, o Duplicación de creatinina sérica y FGe ≤45 ml/min, o Necesidad de terapia de reemplazo renal continua, Muerte por enfermedad renal]</t>
    </r>
  </si>
  <si>
    <r>
      <t>Ret</t>
    </r>
    <r>
      <rPr>
        <b/>
        <sz val="10"/>
        <rFont val="Calibri"/>
        <family val="2"/>
        <scheme val="minor"/>
      </rPr>
      <t>inopatía =</t>
    </r>
    <r>
      <rPr>
        <sz val="10"/>
        <rFont val="Calibri"/>
        <family val="2"/>
        <scheme val="minor"/>
      </rPr>
      <t xml:space="preserve"> [Necesidad de fotocoagulación retiniana, o con agentes intravítreos, o Hemorragia vítrea, o aparición de ceguera relacionada con la DM]</t>
    </r>
  </si>
  <si>
    <t>VARIABLES NO EXPERIENCIALES</t>
  </si>
  <si>
    <t>VARIABLES EXPERIENCIALES</t>
  </si>
  <si>
    <t>Marso SP, Daniels GH, Brown-Frandsen K, Kristensen P et al, on behalf of the LEADER Trial Investigators. Liraglutide and Cardiovascular Outcomes in Type 2 Diabetes. N Engl J Med. 2016 Jul 28;375(4):311-22.</t>
  </si>
  <si>
    <r>
      <t>Gráfico g-2:</t>
    </r>
    <r>
      <rPr>
        <b/>
        <sz val="14"/>
        <color theme="1"/>
        <rFont val="Calibri"/>
        <family val="2"/>
        <scheme val="minor"/>
      </rPr>
      <t xml:space="preserve"> Cruce de los “3 tiempos biográficos” con los “3 destinos del NNT” en Mortalidad por causa CV</t>
    </r>
  </si>
  <si>
    <r>
      <t>Gráfico g-1:</t>
    </r>
    <r>
      <rPr>
        <b/>
        <sz val="14"/>
        <color theme="1"/>
        <rFont val="Calibri"/>
        <family val="2"/>
        <scheme val="minor"/>
      </rPr>
      <t xml:space="preserve"> Cruce de los “3 tiempos biográficos” con los “3 destinos del NNT” en Mortalidad por cualquier causa</t>
    </r>
  </si>
  <si>
    <t>2320/4668 (49,7%)</t>
  </si>
  <si>
    <t>2354/4672 (50,39%)</t>
  </si>
  <si>
    <t>0,99 (0,95-1,03)</t>
  </si>
  <si>
    <t>0,69% (-1,34% a 2,71%)</t>
  </si>
  <si>
    <t>146 (37 a -75)</t>
  </si>
  <si>
    <t>2039/4668 (43,68%)</t>
  </si>
  <si>
    <t>2130/4672 (45,59%)</t>
  </si>
  <si>
    <t>0,96 (0,92-1)</t>
  </si>
  <si>
    <t>1,91% (-0,1% a 3,93%)</t>
  </si>
  <si>
    <t>52 (25 a -965)</t>
  </si>
  <si>
    <t>114/4668 (2,44%)</t>
  </si>
  <si>
    <t>153/4672 (3,27%)</t>
  </si>
  <si>
    <t>0,75 (0,59-0,95)</t>
  </si>
  <si>
    <t>0,83% (0,15% a 1,51%)</t>
  </si>
  <si>
    <t>120 (66 a 669)</t>
  </si>
  <si>
    <t>67,53%</t>
  </si>
  <si>
    <t>2909/4668 (62,32%)</t>
  </si>
  <si>
    <t>2839/4672 (60,77%)</t>
  </si>
  <si>
    <t>1,03 (0,99-1,06)</t>
  </si>
  <si>
    <t>-1,55% (-3,52% a 0,42%)</t>
  </si>
  <si>
    <t>-64 (238 a -28)</t>
  </si>
  <si>
    <t>33,77%</t>
  </si>
  <si>
    <t>Pancreatitis aguda</t>
  </si>
  <si>
    <t>Pancreatitis crónica</t>
  </si>
  <si>
    <t>18/4668 (0,39%)</t>
  </si>
  <si>
    <t>23/4672 (0,49%)</t>
  </si>
  <si>
    <t>0,78 (0,42-1,45)</t>
  </si>
  <si>
    <t>0,11% (-0,18% a 0,38%)</t>
  </si>
  <si>
    <t>937 (261 a -566)</t>
  </si>
  <si>
    <t>11,9%</t>
  </si>
  <si>
    <t>0/4668 (0%)</t>
  </si>
  <si>
    <t>2/4672 (0,04%)</t>
  </si>
  <si>
    <t>0,04% (-0,07% a 0,13%)</t>
  </si>
  <si>
    <t>2336 (765 a -1422)</t>
  </si>
  <si>
    <t>29,25%</t>
  </si>
  <si>
    <t>--------</t>
  </si>
  <si>
    <r>
      <rPr>
        <b/>
        <sz val="10"/>
        <color rgb="FF0000FF"/>
        <rFont val="Calibri"/>
        <family val="2"/>
        <scheme val="minor"/>
      </rPr>
      <t xml:space="preserve">(**) </t>
    </r>
    <r>
      <rPr>
        <sz val="10"/>
        <rFont val="Calibri"/>
        <family val="2"/>
        <scheme val="minor"/>
      </rPr>
      <t xml:space="preserve">La FDA utiliza la severidad como una escala de intensidad de experiencias negativas. Tal escala tiene tres grados: Leve, Moderado y Severo. Son severos los eventos que interrumpen (incapacitan) las actividades de la vida diaria de los pacientes y generalmente requieren terapia con medicamentos u otros tratamientos.  </t>
    </r>
  </si>
  <si>
    <t>Eventos adversos de cualquier tipo</t>
  </si>
  <si>
    <r>
      <t xml:space="preserve">Eventos adversos de intensidad "severa" </t>
    </r>
    <r>
      <rPr>
        <b/>
        <sz val="10"/>
        <color rgb="FF0000FF"/>
        <rFont val="Calibri"/>
        <family val="2"/>
        <scheme val="minor"/>
      </rPr>
      <t>(**)</t>
    </r>
  </si>
  <si>
    <t>Hipoglucemia de intensidad "severa"</t>
  </si>
  <si>
    <t>Colelitiasis</t>
  </si>
  <si>
    <t>Colecitistis aguda</t>
  </si>
  <si>
    <t>Eventos adversos de intensidad "severa" de todos los tipos registrados</t>
  </si>
  <si>
    <t>68/4668 (1,46%)</t>
  </si>
  <si>
    <t>50/4672 (1,07%)</t>
  </si>
  <si>
    <t>1,36 (0,95-1,96)</t>
  </si>
  <si>
    <t>-0,39% (-0,84% a 0,08%)</t>
  </si>
  <si>
    <t>-259 (1294 a -119)</t>
  </si>
  <si>
    <t>38,68%</t>
  </si>
  <si>
    <t>36/4668 (0,77%)</t>
  </si>
  <si>
    <t>21/4672 (0,45%)</t>
  </si>
  <si>
    <t>1,72 (1-2,93)</t>
  </si>
  <si>
    <t>-0,32% (-0,64% a 0,01%)</t>
  </si>
  <si>
    <t>-311 (8866 a -156)</t>
  </si>
  <si>
    <t>51,44%</t>
  </si>
  <si>
    <t>Úlceras en pie diabético</t>
  </si>
  <si>
    <t>181/4668 (3,88%)</t>
  </si>
  <si>
    <t>198/4672 (4,24%)</t>
  </si>
  <si>
    <t>0,91 (0,75-1,11)</t>
  </si>
  <si>
    <t>0,36% (-0,44% a 1,16%)</t>
  </si>
  <si>
    <t>277 (86 a -225)</t>
  </si>
  <si>
    <t>14,07%</t>
  </si>
  <si>
    <t>13/4668 (0,28%)</t>
  </si>
  <si>
    <t>5/4672 (0,11%)</t>
  </si>
  <si>
    <t>2,6 (0,93-7,29)</t>
  </si>
  <si>
    <t>-0,17% (-0,36% a 0,04%)</t>
  </si>
  <si>
    <t>-583 (2836 a -281)</t>
  </si>
  <si>
    <t>47,18%</t>
  </si>
  <si>
    <t>Carcinoma de páncreas</t>
  </si>
  <si>
    <t>444/4668 (9,51%)</t>
  </si>
  <si>
    <t>1,31 (1,14-1,5)</t>
  </si>
  <si>
    <t>-2,26% (-3,38% a -1,13%)</t>
  </si>
  <si>
    <t>-44 (-89 a -30)</t>
  </si>
  <si>
    <t>97,57%</t>
  </si>
  <si>
    <r>
      <t xml:space="preserve">Eventos adversos de intensidad "serious" (graves) </t>
    </r>
    <r>
      <rPr>
        <b/>
        <sz val="10"/>
        <color rgb="FF0000FF"/>
        <rFont val="Calibri"/>
        <family val="2"/>
        <scheme val="minor"/>
      </rPr>
      <t>(*)</t>
    </r>
  </si>
  <si>
    <r>
      <t xml:space="preserve">Eventos adversos serious (graves) </t>
    </r>
    <r>
      <rPr>
        <sz val="10"/>
        <rFont val="Calibri"/>
        <family val="2"/>
        <scheme val="minor"/>
      </rPr>
      <t>de cualquier tipo</t>
    </r>
  </si>
  <si>
    <r>
      <rPr>
        <b/>
        <sz val="14"/>
        <color rgb="FF993300"/>
        <rFont val="Calibri"/>
        <family val="2"/>
        <scheme val="minor"/>
      </rPr>
      <t>Gráfico g-3:</t>
    </r>
    <r>
      <rPr>
        <b/>
        <sz val="14"/>
        <rFont val="Calibri"/>
        <family val="2"/>
        <scheme val="minor"/>
      </rPr>
      <t xml:space="preserve"> Cruce de los “3 tiempos biográficos” con los “3 destinos del NNT” en "Eventos de nefropatía"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</si>
</sst>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C99FF"/>
      <name val="Calibri"/>
      <family val="2"/>
      <scheme val="minor"/>
    </font>
    <font>
      <b/>
      <sz val="10"/>
      <color rgb="FF0000FF"/>
      <name val="Calibri"/>
      <family val="2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4"/>
      <color rgb="FF993300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indexed="12"/>
      <name val="Calibri"/>
      <family val="2"/>
    </font>
    <font>
      <b/>
      <u/>
      <sz val="14"/>
      <color rgb="FFC00000"/>
      <name val="Calibri"/>
      <family val="2"/>
      <scheme val="minor"/>
    </font>
    <font>
      <u/>
      <sz val="10"/>
      <name val="Calibri"/>
      <family val="2"/>
    </font>
    <font>
      <b/>
      <sz val="11"/>
      <color rgb="FF9933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1"/>
      <color rgb="FF0099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3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66" fontId="7" fillId="0" borderId="0" xfId="2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6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/>
    <xf numFmtId="166" fontId="11" fillId="0" borderId="0" xfId="2" applyNumberFormat="1" applyFont="1" applyAlignment="1">
      <alignment horizontal="center"/>
    </xf>
    <xf numFmtId="3" fontId="3" fillId="0" borderId="7" xfId="0" applyNumberFormat="1" applyFont="1" applyBorder="1"/>
    <xf numFmtId="1" fontId="10" fillId="0" borderId="0" xfId="0" applyNumberFormat="1" applyFont="1"/>
    <xf numFmtId="0" fontId="14" fillId="0" borderId="0" xfId="0" applyFont="1" applyAlignment="1">
      <alignment vertical="center"/>
    </xf>
    <xf numFmtId="0" fontId="0" fillId="0" borderId="0" xfId="0" applyBorder="1"/>
    <xf numFmtId="166" fontId="14" fillId="0" borderId="0" xfId="2" applyNumberFormat="1" applyFont="1" applyAlignment="1">
      <alignment horizontal="left" vertical="center"/>
    </xf>
    <xf numFmtId="0" fontId="14" fillId="0" borderId="0" xfId="0" applyFont="1"/>
    <xf numFmtId="49" fontId="14" fillId="0" borderId="0" xfId="0" applyNumberFormat="1" applyFont="1"/>
    <xf numFmtId="1" fontId="14" fillId="3" borderId="0" xfId="0" applyNumberFormat="1" applyFont="1" applyFill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wrapText="1"/>
    </xf>
    <xf numFmtId="2" fontId="6" fillId="2" borderId="7" xfId="0" applyNumberFormat="1" applyFont="1" applyFill="1" applyBorder="1" applyAlignment="1">
      <alignment vertical="center"/>
    </xf>
    <xf numFmtId="166" fontId="7" fillId="0" borderId="0" xfId="2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right" wrapText="1"/>
    </xf>
    <xf numFmtId="2" fontId="10" fillId="2" borderId="7" xfId="0" applyNumberFormat="1" applyFont="1" applyFill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166" fontId="11" fillId="0" borderId="0" xfId="2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horizontal="right" vertical="center"/>
    </xf>
    <xf numFmtId="9" fontId="14" fillId="0" borderId="0" xfId="0" applyNumberFormat="1" applyFont="1"/>
    <xf numFmtId="0" fontId="14" fillId="0" borderId="0" xfId="0" applyFont="1" applyAlignment="1">
      <alignment horizontal="left" vertical="top"/>
    </xf>
    <xf numFmtId="164" fontId="10" fillId="3" borderId="7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0" xfId="0" applyFill="1" applyBorder="1"/>
    <xf numFmtId="0" fontId="0" fillId="5" borderId="7" xfId="0" applyFill="1" applyBorder="1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center" vertical="center"/>
    </xf>
    <xf numFmtId="167" fontId="3" fillId="0" borderId="0" xfId="1" applyNumberFormat="1" applyFont="1" applyFill="1" applyBorder="1" applyAlignment="1"/>
    <xf numFmtId="167" fontId="21" fillId="0" borderId="0" xfId="1" applyNumberFormat="1" applyFont="1" applyFill="1" applyBorder="1" applyAlignment="1"/>
    <xf numFmtId="167" fontId="2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3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8" fillId="0" borderId="0" xfId="0" applyFont="1"/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43" fontId="2" fillId="0" borderId="0" xfId="0" applyNumberFormat="1" applyFont="1"/>
    <xf numFmtId="43" fontId="29" fillId="0" borderId="0" xfId="1" applyFont="1" applyFill="1" applyBorder="1" applyAlignment="1">
      <alignment horizontal="center"/>
    </xf>
    <xf numFmtId="43" fontId="2" fillId="0" borderId="0" xfId="1" applyFont="1" applyFill="1"/>
    <xf numFmtId="0" fontId="30" fillId="0" borderId="0" xfId="0" applyFont="1" applyFill="1"/>
    <xf numFmtId="168" fontId="2" fillId="0" borderId="0" xfId="0" applyNumberFormat="1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7" fontId="2" fillId="7" borderId="7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vertical="center"/>
    </xf>
    <xf numFmtId="167" fontId="2" fillId="7" borderId="7" xfId="1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69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33" fillId="0" borderId="0" xfId="1" applyFont="1" applyFill="1" applyBorder="1"/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3" fontId="33" fillId="0" borderId="0" xfId="1" applyFont="1" applyFill="1" applyAlignment="1">
      <alignment horizontal="right"/>
    </xf>
    <xf numFmtId="0" fontId="33" fillId="0" borderId="0" xfId="0" applyFont="1" applyFill="1" applyBorder="1"/>
    <xf numFmtId="43" fontId="2" fillId="0" borderId="0" xfId="0" applyNumberFormat="1" applyFont="1" applyFill="1"/>
    <xf numFmtId="170" fontId="2" fillId="0" borderId="0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3" fontId="2" fillId="0" borderId="0" xfId="1" applyFont="1" applyBorder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3" fillId="0" borderId="0" xfId="2" applyNumberFormat="1" applyFont="1" applyFill="1" applyBorder="1" applyAlignment="1"/>
    <xf numFmtId="173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37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3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7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3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43" fontId="3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4" fontId="2" fillId="0" borderId="23" xfId="0" applyNumberFormat="1" applyFont="1" applyBorder="1"/>
    <xf numFmtId="166" fontId="2" fillId="0" borderId="23" xfId="2" applyNumberFormat="1" applyFont="1" applyFill="1" applyBorder="1" applyAlignment="1">
      <alignment horizontal="center" vertical="center" wrapText="1"/>
    </xf>
    <xf numFmtId="168" fontId="3" fillId="0" borderId="23" xfId="1" applyNumberFormat="1" applyFont="1" applyFill="1" applyBorder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/>
    <xf numFmtId="175" fontId="2" fillId="0" borderId="23" xfId="0" applyNumberFormat="1" applyFont="1" applyFill="1" applyBorder="1" applyAlignment="1">
      <alignment horizontal="center" vertical="center" wrapText="1"/>
    </xf>
    <xf numFmtId="170" fontId="2" fillId="9" borderId="23" xfId="1" applyNumberFormat="1" applyFont="1" applyFill="1" applyBorder="1"/>
    <xf numFmtId="0" fontId="3" fillId="0" borderId="0" xfId="0" applyFont="1" applyBorder="1"/>
    <xf numFmtId="166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/>
    <xf numFmtId="10" fontId="41" fillId="0" borderId="23" xfId="0" applyNumberFormat="1" applyFont="1" applyBorder="1"/>
    <xf numFmtId="0" fontId="42" fillId="0" borderId="0" xfId="0" applyFont="1" applyBorder="1"/>
    <xf numFmtId="49" fontId="4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42" fillId="0" borderId="5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4" fillId="0" borderId="0" xfId="2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/>
    </xf>
    <xf numFmtId="49" fontId="44" fillId="0" borderId="0" xfId="1" applyNumberFormat="1" applyFont="1" applyBorder="1" applyAlignment="1">
      <alignment horizontal="right"/>
    </xf>
    <xf numFmtId="1" fontId="44" fillId="0" borderId="0" xfId="0" applyNumberFormat="1" applyFont="1" applyFill="1" applyBorder="1" applyAlignment="1">
      <alignment horizontal="center"/>
    </xf>
    <xf numFmtId="43" fontId="3" fillId="0" borderId="23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43" fontId="2" fillId="0" borderId="0" xfId="1" applyFont="1" applyFill="1" applyBorder="1" applyAlignment="1"/>
    <xf numFmtId="10" fontId="24" fillId="0" borderId="0" xfId="2" applyNumberFormat="1" applyFont="1" applyFill="1" applyBorder="1" applyAlignment="1">
      <alignment horizontal="center"/>
    </xf>
    <xf numFmtId="0" fontId="43" fillId="12" borderId="0" xfId="0" applyFont="1" applyFill="1" applyBorder="1" applyAlignment="1">
      <alignment horizontal="center" vertical="center" wrapText="1"/>
    </xf>
    <xf numFmtId="0" fontId="43" fillId="12" borderId="0" xfId="0" applyFont="1" applyFill="1" applyBorder="1"/>
    <xf numFmtId="0" fontId="43" fillId="12" borderId="0" xfId="0" applyFont="1" applyFill="1" applyBorder="1" applyAlignment="1">
      <alignment horizontal="right"/>
    </xf>
    <xf numFmtId="1" fontId="43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0" fontId="43" fillId="13" borderId="0" xfId="0" applyFont="1" applyFill="1" applyBorder="1" applyAlignment="1">
      <alignment horizontal="center" vertical="center" wrapText="1"/>
    </xf>
    <xf numFmtId="0" fontId="43" fillId="13" borderId="0" xfId="0" applyFont="1" applyFill="1" applyBorder="1"/>
    <xf numFmtId="0" fontId="43" fillId="13" borderId="0" xfId="0" applyFont="1" applyFill="1" applyBorder="1" applyAlignment="1">
      <alignment horizontal="right"/>
    </xf>
    <xf numFmtId="1" fontId="43" fillId="13" borderId="0" xfId="0" applyNumberFormat="1" applyFont="1" applyFill="1" applyBorder="1" applyAlignment="1">
      <alignment horizontal="center" vertical="distributed"/>
    </xf>
    <xf numFmtId="43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/>
    <xf numFmtId="167" fontId="43" fillId="14" borderId="0" xfId="0" applyNumberFormat="1" applyFont="1" applyFill="1" applyBorder="1" applyAlignment="1">
      <alignment horizontal="center" vertical="center" wrapText="1"/>
    </xf>
    <xf numFmtId="43" fontId="45" fillId="14" borderId="0" xfId="1" applyFont="1" applyFill="1" applyBorder="1"/>
    <xf numFmtId="43" fontId="43" fillId="14" borderId="0" xfId="1" applyFont="1" applyFill="1" applyBorder="1" applyAlignment="1">
      <alignment horizontal="right"/>
    </xf>
    <xf numFmtId="1" fontId="43" fillId="14" borderId="0" xfId="0" applyNumberFormat="1" applyFont="1" applyFill="1" applyBorder="1" applyAlignment="1">
      <alignment horizontal="center" vertical="distributed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/>
    <xf numFmtId="1" fontId="43" fillId="0" borderId="0" xfId="0" applyNumberFormat="1" applyFont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3" fillId="0" borderId="5" xfId="1" applyFont="1" applyFill="1" applyBorder="1" applyAlignment="1"/>
    <xf numFmtId="0" fontId="43" fillId="0" borderId="0" xfId="0" applyFont="1" applyFill="1" applyBorder="1" applyAlignment="1">
      <alignment horizontal="right" vertical="center"/>
    </xf>
    <xf numFmtId="49" fontId="43" fillId="0" borderId="0" xfId="1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center"/>
    </xf>
    <xf numFmtId="49" fontId="23" fillId="0" borderId="0" xfId="0" applyNumberFormat="1" applyFont="1"/>
    <xf numFmtId="0" fontId="43" fillId="11" borderId="0" xfId="0" applyFont="1" applyFill="1" applyBorder="1" applyAlignment="1">
      <alignment horizontal="center" vertical="center" wrapText="1"/>
    </xf>
    <xf numFmtId="0" fontId="43" fillId="11" borderId="0" xfId="0" applyFont="1" applyFill="1" applyBorder="1"/>
    <xf numFmtId="0" fontId="43" fillId="11" borderId="0" xfId="0" applyFont="1" applyFill="1" applyBorder="1" applyAlignment="1">
      <alignment horizontal="right"/>
    </xf>
    <xf numFmtId="1" fontId="43" fillId="11" borderId="0" xfId="0" applyNumberFormat="1" applyFont="1" applyFill="1" applyBorder="1" applyAlignment="1">
      <alignment horizontal="center" vertical="distributed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29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167" fontId="23" fillId="0" borderId="7" xfId="1" applyNumberFormat="1" applyFont="1" applyFill="1" applyBorder="1"/>
    <xf numFmtId="0" fontId="22" fillId="0" borderId="7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0" fontId="33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7" fontId="25" fillId="0" borderId="7" xfId="1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center"/>
    </xf>
    <xf numFmtId="167" fontId="23" fillId="0" borderId="0" xfId="1" applyNumberFormat="1" applyFont="1" applyFill="1" applyBorder="1"/>
    <xf numFmtId="167" fontId="25" fillId="0" borderId="0" xfId="1" applyNumberFormat="1" applyFont="1" applyFill="1" applyBorder="1"/>
    <xf numFmtId="167" fontId="34" fillId="0" borderId="0" xfId="0" applyNumberFormat="1" applyFont="1" applyFill="1" applyBorder="1"/>
    <xf numFmtId="0" fontId="48" fillId="0" borderId="20" xfId="0" applyFont="1" applyBorder="1" applyAlignment="1">
      <alignment horizontal="left" vertical="center"/>
    </xf>
    <xf numFmtId="167" fontId="2" fillId="0" borderId="0" xfId="1" applyNumberFormat="1" applyFont="1" applyAlignment="1">
      <alignment horizontal="center" vertical="center" wrapText="1"/>
    </xf>
    <xf numFmtId="43" fontId="48" fillId="0" borderId="7" xfId="1" applyFont="1" applyBorder="1"/>
    <xf numFmtId="0" fontId="25" fillId="0" borderId="0" xfId="0" applyFont="1" applyAlignment="1">
      <alignment horizontal="right"/>
    </xf>
    <xf numFmtId="43" fontId="3" fillId="0" borderId="0" xfId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wrapText="1"/>
    </xf>
    <xf numFmtId="43" fontId="2" fillId="0" borderId="0" xfId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7" xfId="0" applyNumberFormat="1" applyFont="1" applyBorder="1"/>
    <xf numFmtId="4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8" fontId="3" fillId="3" borderId="7" xfId="1" applyNumberFormat="1" applyFont="1" applyFill="1" applyBorder="1"/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1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0" fontId="14" fillId="0" borderId="2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164" fontId="16" fillId="2" borderId="25" xfId="0" applyNumberFormat="1" applyFont="1" applyFill="1" applyBorder="1" applyAlignment="1">
      <alignment horizontal="center" vertical="center"/>
    </xf>
    <xf numFmtId="2" fontId="43" fillId="14" borderId="0" xfId="0" applyNumberFormat="1" applyFont="1" applyFill="1" applyBorder="1" applyAlignment="1">
      <alignment horizontal="center" vertical="distributed"/>
    </xf>
    <xf numFmtId="164" fontId="43" fillId="12" borderId="0" xfId="0" applyNumberFormat="1" applyFont="1" applyFill="1" applyBorder="1" applyAlignment="1">
      <alignment horizontal="center" vertical="distributed"/>
    </xf>
    <xf numFmtId="0" fontId="27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50" fillId="0" borderId="7" xfId="0" applyNumberFormat="1" applyFont="1" applyFill="1" applyBorder="1" applyAlignment="1">
      <alignment horizontal="center" vertical="center" wrapText="1"/>
    </xf>
    <xf numFmtId="1" fontId="51" fillId="0" borderId="7" xfId="0" applyNumberFormat="1" applyFont="1" applyFill="1" applyBorder="1" applyAlignment="1">
      <alignment horizontal="center" vertical="center" wrapText="1"/>
    </xf>
    <xf numFmtId="1" fontId="52" fillId="0" borderId="7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right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47" fillId="4" borderId="7" xfId="0" applyFont="1" applyFill="1" applyBorder="1" applyAlignment="1">
      <alignment horizontal="left" vertical="center"/>
    </xf>
    <xf numFmtId="0" fontId="46" fillId="4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/>
    <xf numFmtId="0" fontId="19" fillId="0" borderId="0" xfId="0" applyFont="1" applyBorder="1" applyAlignment="1">
      <alignment horizontal="center" vertical="center"/>
    </xf>
    <xf numFmtId="0" fontId="0" fillId="6" borderId="7" xfId="0" applyFill="1" applyBorder="1"/>
    <xf numFmtId="0" fontId="49" fillId="2" borderId="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175" fontId="2" fillId="4" borderId="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64" fillId="4" borderId="7" xfId="0" applyNumberFormat="1" applyFont="1" applyFill="1" applyBorder="1" applyAlignment="1">
      <alignment horizontal="center" vertical="center"/>
    </xf>
    <xf numFmtId="1" fontId="65" fillId="4" borderId="7" xfId="0" applyNumberFormat="1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 wrapText="1"/>
    </xf>
    <xf numFmtId="168" fontId="66" fillId="0" borderId="0" xfId="1" applyNumberFormat="1" applyFont="1"/>
    <xf numFmtId="0" fontId="0" fillId="18" borderId="7" xfId="0" applyFill="1" applyBorder="1"/>
    <xf numFmtId="164" fontId="10" fillId="2" borderId="26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7" fillId="0" borderId="32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27" fillId="0" borderId="29" xfId="0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/>
    </xf>
    <xf numFmtId="1" fontId="53" fillId="4" borderId="7" xfId="0" applyNumberFormat="1" applyFont="1" applyFill="1" applyBorder="1" applyAlignment="1">
      <alignment horizontal="center" vertical="center"/>
    </xf>
    <xf numFmtId="1" fontId="63" fillId="4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73" fillId="0" borderId="0" xfId="0" applyFont="1"/>
    <xf numFmtId="0" fontId="73" fillId="0" borderId="0" xfId="0" applyFont="1" applyAlignment="1">
      <alignment horizontal="center"/>
    </xf>
    <xf numFmtId="10" fontId="73" fillId="0" borderId="0" xfId="2" applyNumberFormat="1" applyFont="1"/>
    <xf numFmtId="10" fontId="73" fillId="0" borderId="0" xfId="2" applyNumberFormat="1" applyFont="1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0" fillId="5" borderId="7" xfId="0" applyFill="1" applyBorder="1" applyAlignment="1">
      <alignment horizontal="center"/>
    </xf>
    <xf numFmtId="176" fontId="2" fillId="0" borderId="0" xfId="0" applyNumberFormat="1" applyFont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10" fontId="46" fillId="4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9" fontId="2" fillId="4" borderId="0" xfId="0" applyNumberFormat="1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/>
    </xf>
    <xf numFmtId="1" fontId="64" fillId="4" borderId="0" xfId="0" applyNumberFormat="1" applyFont="1" applyFill="1" applyBorder="1" applyAlignment="1">
      <alignment horizontal="center" vertical="center"/>
    </xf>
    <xf numFmtId="1" fontId="65" fillId="4" borderId="0" xfId="0" applyNumberFormat="1" applyFont="1" applyFill="1" applyBorder="1" applyAlignment="1">
      <alignment horizontal="center" vertical="center"/>
    </xf>
    <xf numFmtId="0" fontId="7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2" fontId="74" fillId="4" borderId="0" xfId="0" applyNumberFormat="1" applyFont="1" applyFill="1" applyBorder="1" applyAlignment="1">
      <alignment horizontal="center" vertical="center"/>
    </xf>
    <xf numFmtId="2" fontId="75" fillId="4" borderId="0" xfId="0" applyNumberFormat="1" applyFont="1" applyFill="1" applyBorder="1" applyAlignment="1">
      <alignment horizontal="center" vertical="center"/>
    </xf>
    <xf numFmtId="2" fontId="65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2" fontId="73" fillId="0" borderId="0" xfId="0" applyNumberFormat="1" applyFont="1" applyAlignment="1">
      <alignment horizontal="center"/>
    </xf>
    <xf numFmtId="164" fontId="73" fillId="0" borderId="0" xfId="0" applyNumberFormat="1" applyFont="1" applyAlignment="1">
      <alignment horizontal="center"/>
    </xf>
    <xf numFmtId="10" fontId="2" fillId="0" borderId="0" xfId="2" applyNumberFormat="1" applyFont="1"/>
    <xf numFmtId="2" fontId="2" fillId="0" borderId="0" xfId="0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6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2" fontId="61" fillId="4" borderId="7" xfId="0" applyNumberFormat="1" applyFont="1" applyFill="1" applyBorder="1" applyAlignment="1">
      <alignment horizontal="center" vertical="center"/>
    </xf>
    <xf numFmtId="2" fontId="62" fillId="4" borderId="7" xfId="0" applyNumberFormat="1" applyFont="1" applyFill="1" applyBorder="1" applyAlignment="1">
      <alignment horizontal="center" vertical="center"/>
    </xf>
    <xf numFmtId="2" fontId="53" fillId="4" borderId="7" xfId="0" applyNumberFormat="1" applyFont="1" applyFill="1" applyBorder="1" applyAlignment="1">
      <alignment horizontal="center" vertical="center"/>
    </xf>
    <xf numFmtId="2" fontId="74" fillId="4" borderId="7" xfId="0" applyNumberFormat="1" applyFont="1" applyFill="1" applyBorder="1" applyAlignment="1">
      <alignment horizontal="center" vertical="center"/>
    </xf>
    <xf numFmtId="2" fontId="75" fillId="4" borderId="7" xfId="0" applyNumberFormat="1" applyFont="1" applyFill="1" applyBorder="1" applyAlignment="1">
      <alignment horizontal="center" vertical="center"/>
    </xf>
    <xf numFmtId="2" fontId="65" fillId="4" borderId="7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164" fontId="54" fillId="4" borderId="7" xfId="0" applyNumberFormat="1" applyFont="1" applyFill="1" applyBorder="1" applyAlignment="1">
      <alignment horizontal="center" vertical="center"/>
    </xf>
    <xf numFmtId="164" fontId="53" fillId="4" borderId="7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2" fillId="18" borderId="7" xfId="0" applyFont="1" applyFill="1" applyBorder="1"/>
    <xf numFmtId="1" fontId="0" fillId="0" borderId="0" xfId="0" applyNumberFormat="1"/>
    <xf numFmtId="175" fontId="2" fillId="4" borderId="15" xfId="0" applyNumberFormat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10" fontId="46" fillId="4" borderId="0" xfId="0" applyNumberFormat="1" applyFont="1" applyFill="1" applyBorder="1" applyAlignment="1">
      <alignment horizontal="center" vertical="center"/>
    </xf>
    <xf numFmtId="9" fontId="2" fillId="4" borderId="0" xfId="2" applyNumberFormat="1" applyFont="1" applyFill="1" applyBorder="1" applyAlignment="1">
      <alignment horizontal="center" vertical="center"/>
    </xf>
    <xf numFmtId="1" fontId="63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166" fontId="2" fillId="0" borderId="0" xfId="2" applyNumberFormat="1" applyFont="1" applyAlignment="1">
      <alignment horizontal="left" vertical="center"/>
    </xf>
    <xf numFmtId="0" fontId="2" fillId="4" borderId="7" xfId="0" applyFont="1" applyFill="1" applyBorder="1" applyAlignment="1">
      <alignment horizontal="left" vertical="center" wrapText="1"/>
    </xf>
    <xf numFmtId="0" fontId="81" fillId="4" borderId="0" xfId="0" applyFont="1" applyFill="1" applyBorder="1" applyAlignment="1">
      <alignment horizontal="left" vertical="center"/>
    </xf>
    <xf numFmtId="10" fontId="2" fillId="4" borderId="7" xfId="0" applyNumberFormat="1" applyFont="1" applyFill="1" applyBorder="1" applyAlignment="1">
      <alignment horizontal="center" vertical="center"/>
    </xf>
    <xf numFmtId="0" fontId="67" fillId="4" borderId="0" xfId="0" applyFont="1" applyFill="1" applyAlignment="1">
      <alignment horizontal="left" vertical="center"/>
    </xf>
    <xf numFmtId="0" fontId="57" fillId="4" borderId="0" xfId="0" applyFont="1" applyFill="1" applyAlignment="1">
      <alignment horizontal="left" vertical="center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49" fillId="4" borderId="11" xfId="0" applyFont="1" applyFill="1" applyBorder="1" applyAlignment="1">
      <alignment wrapText="1"/>
    </xf>
    <xf numFmtId="0" fontId="49" fillId="4" borderId="7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47" fillId="4" borderId="0" xfId="0" applyFont="1" applyFill="1" applyAlignment="1">
      <alignment horizontal="left" vertical="center"/>
    </xf>
    <xf numFmtId="164" fontId="6" fillId="2" borderId="10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7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right" vertical="center" wrapText="1"/>
    </xf>
    <xf numFmtId="168" fontId="34" fillId="4" borderId="0" xfId="0" applyNumberFormat="1" applyFont="1" applyFill="1" applyBorder="1" applyAlignment="1">
      <alignment horizontal="right"/>
    </xf>
    <xf numFmtId="175" fontId="34" fillId="4" borderId="7" xfId="0" applyNumberFormat="1" applyFont="1" applyFill="1" applyBorder="1" applyAlignment="1">
      <alignment horizontal="right" vertical="center"/>
    </xf>
    <xf numFmtId="0" fontId="34" fillId="4" borderId="0" xfId="0" applyFont="1" applyFill="1" applyAlignment="1">
      <alignment horizontal="right" vertical="center"/>
    </xf>
    <xf numFmtId="9" fontId="34" fillId="4" borderId="0" xfId="2" applyNumberFormat="1" applyFont="1" applyFill="1" applyAlignment="1">
      <alignment horizontal="right" vertical="center"/>
    </xf>
    <xf numFmtId="0" fontId="34" fillId="4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/>
    </xf>
    <xf numFmtId="10" fontId="34" fillId="4" borderId="7" xfId="0" applyNumberFormat="1" applyFont="1" applyFill="1" applyBorder="1" applyAlignment="1">
      <alignment horizontal="right" vertical="center"/>
    </xf>
    <xf numFmtId="1" fontId="22" fillId="4" borderId="7" xfId="0" applyNumberFormat="1" applyFont="1" applyFill="1" applyBorder="1" applyAlignment="1">
      <alignment horizontal="right" vertical="center"/>
    </xf>
    <xf numFmtId="164" fontId="22" fillId="4" borderId="7" xfId="0" applyNumberFormat="1" applyFont="1" applyFill="1" applyBorder="1" applyAlignment="1">
      <alignment horizontal="right" vertical="center"/>
    </xf>
    <xf numFmtId="2" fontId="22" fillId="4" borderId="7" xfId="0" applyNumberFormat="1" applyFont="1" applyFill="1" applyBorder="1" applyAlignment="1">
      <alignment horizontal="right" vertical="center"/>
    </xf>
    <xf numFmtId="1" fontId="84" fillId="4" borderId="7" xfId="0" applyNumberFormat="1" applyFont="1" applyFill="1" applyBorder="1" applyAlignment="1">
      <alignment horizontal="right" vertical="center"/>
    </xf>
    <xf numFmtId="1" fontId="85" fillId="4" borderId="7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71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67" fillId="0" borderId="0" xfId="0" applyFont="1" applyFill="1" applyBorder="1" applyAlignment="1">
      <alignment horizontal="left" vertical="center"/>
    </xf>
    <xf numFmtId="0" fontId="68" fillId="0" borderId="4" xfId="0" applyFont="1" applyBorder="1" applyAlignment="1">
      <alignment horizontal="left" vertical="center" wrapText="1"/>
    </xf>
    <xf numFmtId="0" fontId="68" fillId="0" borderId="5" xfId="0" applyFont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59" fillId="4" borderId="28" xfId="0" applyFont="1" applyFill="1" applyBorder="1" applyAlignment="1">
      <alignment horizontal="center" vertical="top" wrapText="1"/>
    </xf>
    <xf numFmtId="0" fontId="59" fillId="4" borderId="31" xfId="0" applyFont="1" applyFill="1" applyBorder="1" applyAlignment="1">
      <alignment horizontal="center" vertical="top" wrapText="1"/>
    </xf>
    <xf numFmtId="0" fontId="59" fillId="4" borderId="30" xfId="0" applyFont="1" applyFill="1" applyBorder="1" applyAlignment="1">
      <alignment horizontal="center" vertical="top" wrapText="1"/>
    </xf>
    <xf numFmtId="0" fontId="60" fillId="4" borderId="28" xfId="0" applyFont="1" applyFill="1" applyBorder="1" applyAlignment="1">
      <alignment horizontal="center" vertical="top" wrapText="1"/>
    </xf>
    <xf numFmtId="0" fontId="60" fillId="4" borderId="31" xfId="0" applyFont="1" applyFill="1" applyBorder="1" applyAlignment="1">
      <alignment horizontal="center" vertical="top" wrapText="1"/>
    </xf>
    <xf numFmtId="0" fontId="60" fillId="4" borderId="30" xfId="0" applyFont="1" applyFill="1" applyBorder="1" applyAlignment="1">
      <alignment horizontal="center" vertical="top" wrapText="1"/>
    </xf>
    <xf numFmtId="0" fontId="3" fillId="17" borderId="16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6" fillId="17" borderId="16" xfId="0" applyFont="1" applyFill="1" applyBorder="1" applyAlignment="1">
      <alignment horizontal="left" vertical="center" wrapText="1"/>
    </xf>
    <xf numFmtId="0" fontId="56" fillId="17" borderId="13" xfId="0" applyFont="1" applyFill="1" applyBorder="1" applyAlignment="1">
      <alignment horizontal="left" vertical="center" wrapText="1"/>
    </xf>
    <xf numFmtId="0" fontId="56" fillId="17" borderId="14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6" fillId="4" borderId="12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58" fillId="4" borderId="28" xfId="0" applyFont="1" applyFill="1" applyBorder="1" applyAlignment="1">
      <alignment horizontal="center" vertical="top" wrapText="1"/>
    </xf>
    <xf numFmtId="0" fontId="58" fillId="4" borderId="31" xfId="0" applyFont="1" applyFill="1" applyBorder="1" applyAlignment="1">
      <alignment horizontal="center" vertical="top" wrapText="1"/>
    </xf>
    <xf numFmtId="0" fontId="58" fillId="4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19" borderId="16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horizontal="left" vertical="center" wrapText="1"/>
    </xf>
    <xf numFmtId="0" fontId="5" fillId="19" borderId="18" xfId="0" applyFont="1" applyFill="1" applyBorder="1" applyAlignment="1">
      <alignment horizontal="left" vertical="center" wrapText="1"/>
    </xf>
    <xf numFmtId="0" fontId="5" fillId="19" borderId="19" xfId="0" applyFont="1" applyFill="1" applyBorder="1" applyAlignment="1">
      <alignment horizontal="left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00"/>
      <color rgb="FF0000FF"/>
      <color rgb="FFFFFF99"/>
      <color rgb="FFFF6600"/>
      <color rgb="FF669900"/>
      <color rgb="FF008000"/>
      <color rgb="FF993300"/>
      <color rgb="FFFF0066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biográficos":</a:t>
            </a:r>
            <a:r>
              <a:rPr lang="es-ES" sz="1100" b="1">
                <a:solidFill>
                  <a:srgbClr val="006600"/>
                </a:solidFill>
              </a:rPr>
              <a:t> 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IncAcum!$Q$6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IncAcum!$R$5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IncAcum!$R$6</c:f>
              <c:numCache>
                <c:formatCode>0.00</c:formatCode>
                <c:ptCount val="1"/>
                <c:pt idx="0">
                  <c:v>3.4165239726027394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IncAcum!$Q$7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IncAcum!$R$5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IncAcum!$R$7</c:f>
              <c:numCache>
                <c:formatCode>0.00</c:formatCode>
                <c:ptCount val="1"/>
                <c:pt idx="0">
                  <c:v>0.4208084627484121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IncAcum!$Q$8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IncAcum!$R$5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IncAcum!$R$8</c:f>
              <c:numCache>
                <c:formatCode>0.00</c:formatCode>
                <c:ptCount val="1"/>
                <c:pt idx="0">
                  <c:v>42.162667564648849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  <c:max val="4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446690</xdr:colOff>
      <xdr:row>0</xdr:row>
      <xdr:rowOff>105103</xdr:rowOff>
    </xdr:from>
    <xdr:to>
      <xdr:col>27</xdr:col>
      <xdr:colOff>446690</xdr:colOff>
      <xdr:row>61</xdr:row>
      <xdr:rowOff>269327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11922</xdr:colOff>
      <xdr:row>24</xdr:row>
      <xdr:rowOff>112058</xdr:rowOff>
    </xdr:from>
    <xdr:to>
      <xdr:col>52</xdr:col>
      <xdr:colOff>0</xdr:colOff>
      <xdr:row>24</xdr:row>
      <xdr:rowOff>114664</xdr:rowOff>
    </xdr:to>
    <xdr:cxnSp macro="">
      <xdr:nvCxnSpPr>
        <xdr:cNvPr id="7" name="Conector recto de flecha 6"/>
        <xdr:cNvCxnSpPr/>
      </xdr:nvCxnSpPr>
      <xdr:spPr>
        <a:xfrm flipV="1">
          <a:off x="3788304" y="5490882"/>
          <a:ext cx="10297490" cy="2606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52</xdr:col>
      <xdr:colOff>220556</xdr:colOff>
      <xdr:row>25</xdr:row>
      <xdr:rowOff>100535</xdr:rowOff>
    </xdr:from>
    <xdr:to>
      <xdr:col>98</xdr:col>
      <xdr:colOff>212912</xdr:colOff>
      <xdr:row>25</xdr:row>
      <xdr:rowOff>100853</xdr:rowOff>
    </xdr:to>
    <xdr:cxnSp macro="">
      <xdr:nvCxnSpPr>
        <xdr:cNvPr id="8" name="Conector recto de flecha 7"/>
        <xdr:cNvCxnSpPr/>
      </xdr:nvCxnSpPr>
      <xdr:spPr>
        <a:xfrm>
          <a:off x="14306350" y="5692270"/>
          <a:ext cx="10301768" cy="31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52</xdr:col>
      <xdr:colOff>200025</xdr:colOff>
      <xdr:row>24</xdr:row>
      <xdr:rowOff>95811</xdr:rowOff>
    </xdr:from>
    <xdr:to>
      <xdr:col>76</xdr:col>
      <xdr:colOff>11206</xdr:colOff>
      <xdr:row>24</xdr:row>
      <xdr:rowOff>104775</xdr:rowOff>
    </xdr:to>
    <xdr:cxnSp macro="">
      <xdr:nvCxnSpPr>
        <xdr:cNvPr id="9" name="Conector recto de flecha 8"/>
        <xdr:cNvCxnSpPr/>
      </xdr:nvCxnSpPr>
      <xdr:spPr>
        <a:xfrm flipV="1">
          <a:off x="14049375" y="5467911"/>
          <a:ext cx="5068981" cy="896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31237</xdr:colOff>
      <xdr:row>18</xdr:row>
      <xdr:rowOff>123264</xdr:rowOff>
    </xdr:from>
    <xdr:to>
      <xdr:col>26</xdr:col>
      <xdr:colOff>11206</xdr:colOff>
      <xdr:row>18</xdr:row>
      <xdr:rowOff>131110</xdr:rowOff>
    </xdr:to>
    <xdr:cxnSp macro="">
      <xdr:nvCxnSpPr>
        <xdr:cNvPr id="12" name="Conector recto de flecha 11"/>
        <xdr:cNvCxnSpPr/>
      </xdr:nvCxnSpPr>
      <xdr:spPr>
        <a:xfrm flipV="1">
          <a:off x="3807619" y="4347882"/>
          <a:ext cx="4462322" cy="784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53</xdr:col>
      <xdr:colOff>10926</xdr:colOff>
      <xdr:row>18</xdr:row>
      <xdr:rowOff>101553</xdr:rowOff>
    </xdr:from>
    <xdr:to>
      <xdr:col>73</xdr:col>
      <xdr:colOff>22411</xdr:colOff>
      <xdr:row>18</xdr:row>
      <xdr:rowOff>123264</xdr:rowOff>
    </xdr:to>
    <xdr:cxnSp macro="">
      <xdr:nvCxnSpPr>
        <xdr:cNvPr id="14" name="Conector recto de flecha 13"/>
        <xdr:cNvCxnSpPr/>
      </xdr:nvCxnSpPr>
      <xdr:spPr>
        <a:xfrm>
          <a:off x="14320838" y="4326171"/>
          <a:ext cx="4493838" cy="2171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25</xdr:row>
      <xdr:rowOff>112060</xdr:rowOff>
    </xdr:from>
    <xdr:to>
      <xdr:col>51</xdr:col>
      <xdr:colOff>216474</xdr:colOff>
      <xdr:row>25</xdr:row>
      <xdr:rowOff>112378</xdr:rowOff>
    </xdr:to>
    <xdr:cxnSp macro="">
      <xdr:nvCxnSpPr>
        <xdr:cNvPr id="13" name="Conector recto de flecha 12"/>
        <xdr:cNvCxnSpPr/>
      </xdr:nvCxnSpPr>
      <xdr:spPr>
        <a:xfrm>
          <a:off x="3776382" y="5703795"/>
          <a:ext cx="10301768" cy="31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326247</xdr:colOff>
      <xdr:row>22</xdr:row>
      <xdr:rowOff>112058</xdr:rowOff>
    </xdr:from>
    <xdr:to>
      <xdr:col>51</xdr:col>
      <xdr:colOff>190500</xdr:colOff>
      <xdr:row>22</xdr:row>
      <xdr:rowOff>114664</xdr:rowOff>
    </xdr:to>
    <xdr:cxnSp macro="">
      <xdr:nvCxnSpPr>
        <xdr:cNvPr id="2" name="Conector recto de flecha 1"/>
        <xdr:cNvCxnSpPr/>
      </xdr:nvCxnSpPr>
      <xdr:spPr>
        <a:xfrm flipV="1">
          <a:off x="3755247" y="5103158"/>
          <a:ext cx="10065528" cy="2606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53</xdr:col>
      <xdr:colOff>39581</xdr:colOff>
      <xdr:row>23</xdr:row>
      <xdr:rowOff>110060</xdr:rowOff>
    </xdr:from>
    <xdr:to>
      <xdr:col>99</xdr:col>
      <xdr:colOff>31937</xdr:colOff>
      <xdr:row>23</xdr:row>
      <xdr:rowOff>110378</xdr:rowOff>
    </xdr:to>
    <xdr:cxnSp macro="">
      <xdr:nvCxnSpPr>
        <xdr:cNvPr id="3" name="Conector recto de flecha 2"/>
        <xdr:cNvCxnSpPr/>
      </xdr:nvCxnSpPr>
      <xdr:spPr>
        <a:xfrm>
          <a:off x="14108006" y="5301185"/>
          <a:ext cx="10069806" cy="31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53</xdr:col>
      <xdr:colOff>16609</xdr:colOff>
      <xdr:row>22</xdr:row>
      <xdr:rowOff>76760</xdr:rowOff>
    </xdr:from>
    <xdr:to>
      <xdr:col>76</xdr:col>
      <xdr:colOff>11206</xdr:colOff>
      <xdr:row>22</xdr:row>
      <xdr:rowOff>105359</xdr:rowOff>
    </xdr:to>
    <xdr:cxnSp macro="">
      <xdr:nvCxnSpPr>
        <xdr:cNvPr id="4" name="Conector recto de flecha 3"/>
        <xdr:cNvCxnSpPr/>
      </xdr:nvCxnSpPr>
      <xdr:spPr>
        <a:xfrm flipV="1">
          <a:off x="14085034" y="5067860"/>
          <a:ext cx="5033322" cy="28599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50287</xdr:colOff>
      <xdr:row>18</xdr:row>
      <xdr:rowOff>131110</xdr:rowOff>
    </xdr:from>
    <xdr:to>
      <xdr:col>25</xdr:col>
      <xdr:colOff>19050</xdr:colOff>
      <xdr:row>18</xdr:row>
      <xdr:rowOff>142875</xdr:rowOff>
    </xdr:to>
    <xdr:cxnSp macro="">
      <xdr:nvCxnSpPr>
        <xdr:cNvPr id="5" name="Conector recto de flecha 4"/>
        <xdr:cNvCxnSpPr/>
      </xdr:nvCxnSpPr>
      <xdr:spPr>
        <a:xfrm>
          <a:off x="3822187" y="4350685"/>
          <a:ext cx="4131188" cy="1176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53</xdr:col>
      <xdr:colOff>39501</xdr:colOff>
      <xdr:row>18</xdr:row>
      <xdr:rowOff>139653</xdr:rowOff>
    </xdr:from>
    <xdr:to>
      <xdr:col>72</xdr:col>
      <xdr:colOff>0</xdr:colOff>
      <xdr:row>18</xdr:row>
      <xdr:rowOff>152400</xdr:rowOff>
    </xdr:to>
    <xdr:cxnSp macro="">
      <xdr:nvCxnSpPr>
        <xdr:cNvPr id="6" name="Conector recto de flecha 5"/>
        <xdr:cNvCxnSpPr/>
      </xdr:nvCxnSpPr>
      <xdr:spPr>
        <a:xfrm>
          <a:off x="14107926" y="4359228"/>
          <a:ext cx="4122924" cy="1274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295275</xdr:colOff>
      <xdr:row>23</xdr:row>
      <xdr:rowOff>112060</xdr:rowOff>
    </xdr:from>
    <xdr:to>
      <xdr:col>51</xdr:col>
      <xdr:colOff>168849</xdr:colOff>
      <xdr:row>23</xdr:row>
      <xdr:rowOff>112378</xdr:rowOff>
    </xdr:to>
    <xdr:cxnSp macro="">
      <xdr:nvCxnSpPr>
        <xdr:cNvPr id="7" name="Conector recto de flecha 6"/>
        <xdr:cNvCxnSpPr/>
      </xdr:nvCxnSpPr>
      <xdr:spPr>
        <a:xfrm>
          <a:off x="3724275" y="5303185"/>
          <a:ext cx="10074849" cy="31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278622</xdr:colOff>
      <xdr:row>22</xdr:row>
      <xdr:rowOff>93008</xdr:rowOff>
    </xdr:from>
    <xdr:to>
      <xdr:col>51</xdr:col>
      <xdr:colOff>142875</xdr:colOff>
      <xdr:row>22</xdr:row>
      <xdr:rowOff>95614</xdr:rowOff>
    </xdr:to>
    <xdr:cxnSp macro="">
      <xdr:nvCxnSpPr>
        <xdr:cNvPr id="2" name="Conector recto de flecha 1"/>
        <xdr:cNvCxnSpPr/>
      </xdr:nvCxnSpPr>
      <xdr:spPr>
        <a:xfrm flipV="1">
          <a:off x="3707622" y="5084108"/>
          <a:ext cx="10065528" cy="2606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53</xdr:col>
      <xdr:colOff>20531</xdr:colOff>
      <xdr:row>23</xdr:row>
      <xdr:rowOff>100535</xdr:rowOff>
    </xdr:from>
    <xdr:to>
      <xdr:col>99</xdr:col>
      <xdr:colOff>12887</xdr:colOff>
      <xdr:row>23</xdr:row>
      <xdr:rowOff>100853</xdr:rowOff>
    </xdr:to>
    <xdr:cxnSp macro="">
      <xdr:nvCxnSpPr>
        <xdr:cNvPr id="3" name="Conector recto de flecha 2"/>
        <xdr:cNvCxnSpPr/>
      </xdr:nvCxnSpPr>
      <xdr:spPr>
        <a:xfrm>
          <a:off x="14088956" y="5291660"/>
          <a:ext cx="10069806" cy="31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52</xdr:col>
      <xdr:colOff>207109</xdr:colOff>
      <xdr:row>22</xdr:row>
      <xdr:rowOff>105335</xdr:rowOff>
    </xdr:from>
    <xdr:to>
      <xdr:col>75</xdr:col>
      <xdr:colOff>201706</xdr:colOff>
      <xdr:row>22</xdr:row>
      <xdr:rowOff>133934</xdr:rowOff>
    </xdr:to>
    <xdr:cxnSp macro="">
      <xdr:nvCxnSpPr>
        <xdr:cNvPr id="4" name="Conector recto de flecha 3"/>
        <xdr:cNvCxnSpPr/>
      </xdr:nvCxnSpPr>
      <xdr:spPr>
        <a:xfrm flipV="1">
          <a:off x="14056459" y="5096435"/>
          <a:ext cx="5033322" cy="28599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50287</xdr:colOff>
      <xdr:row>19</xdr:row>
      <xdr:rowOff>112060</xdr:rowOff>
    </xdr:from>
    <xdr:to>
      <xdr:col>24</xdr:col>
      <xdr:colOff>28575</xdr:colOff>
      <xdr:row>19</xdr:row>
      <xdr:rowOff>133350</xdr:rowOff>
    </xdr:to>
    <xdr:cxnSp macro="">
      <xdr:nvCxnSpPr>
        <xdr:cNvPr id="5" name="Conector recto de flecha 4"/>
        <xdr:cNvCxnSpPr/>
      </xdr:nvCxnSpPr>
      <xdr:spPr>
        <a:xfrm>
          <a:off x="3822187" y="4522135"/>
          <a:ext cx="3921638" cy="2129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53</xdr:col>
      <xdr:colOff>49026</xdr:colOff>
      <xdr:row>19</xdr:row>
      <xdr:rowOff>101553</xdr:rowOff>
    </xdr:from>
    <xdr:to>
      <xdr:col>70</xdr:col>
      <xdr:colOff>209550</xdr:colOff>
      <xdr:row>19</xdr:row>
      <xdr:rowOff>104775</xdr:rowOff>
    </xdr:to>
    <xdr:cxnSp macro="">
      <xdr:nvCxnSpPr>
        <xdr:cNvPr id="6" name="Conector recto de flecha 5"/>
        <xdr:cNvCxnSpPr/>
      </xdr:nvCxnSpPr>
      <xdr:spPr>
        <a:xfrm>
          <a:off x="14117451" y="4511628"/>
          <a:ext cx="3884799" cy="3222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28575</xdr:colOff>
      <xdr:row>23</xdr:row>
      <xdr:rowOff>112060</xdr:rowOff>
    </xdr:from>
    <xdr:to>
      <xdr:col>52</xdr:col>
      <xdr:colOff>25974</xdr:colOff>
      <xdr:row>23</xdr:row>
      <xdr:rowOff>112378</xdr:rowOff>
    </xdr:to>
    <xdr:cxnSp macro="">
      <xdr:nvCxnSpPr>
        <xdr:cNvPr id="7" name="Conector recto de flecha 6"/>
        <xdr:cNvCxnSpPr/>
      </xdr:nvCxnSpPr>
      <xdr:spPr>
        <a:xfrm>
          <a:off x="3800475" y="5303185"/>
          <a:ext cx="10074849" cy="31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zoomScaleNormal="100" workbookViewId="0"/>
  </sheetViews>
  <sheetFormatPr baseColWidth="10" defaultRowHeight="12.75" x14ac:dyDescent="0.2"/>
  <cols>
    <col min="1" max="1" width="35.7109375" style="1" customWidth="1"/>
    <col min="2" max="2" width="23.5703125" style="1" customWidth="1"/>
    <col min="3" max="3" width="22" style="1" customWidth="1"/>
    <col min="4" max="4" width="17.140625" style="1" customWidth="1"/>
    <col min="5" max="5" width="21.42578125" style="1" customWidth="1"/>
    <col min="6" max="6" width="19.5703125" style="1" customWidth="1"/>
    <col min="7" max="7" width="14.140625" style="1" bestFit="1" customWidth="1"/>
    <col min="8" max="8" width="7" style="1" customWidth="1"/>
    <col min="9" max="9" width="10.42578125" style="1" hidden="1" customWidth="1"/>
    <col min="10" max="10" width="7" style="1" hidden="1" customWidth="1"/>
    <col min="11" max="11" width="14.42578125" style="1" hidden="1" customWidth="1"/>
    <col min="12" max="12" width="13.42578125" style="1" hidden="1" customWidth="1"/>
    <col min="13" max="13" width="8.42578125" style="1" hidden="1" customWidth="1"/>
    <col min="14" max="14" width="14.28515625" style="6" bestFit="1" customWidth="1"/>
    <col min="15" max="15" width="14.28515625" style="6" customWidth="1"/>
    <col min="16" max="16" width="4.28515625" style="1" customWidth="1"/>
    <col min="17" max="17" width="15.85546875" style="1" customWidth="1"/>
    <col min="18" max="18" width="16" style="1" customWidth="1"/>
    <col min="19" max="19" width="14.85546875" style="1" customWidth="1"/>
    <col min="20" max="20" width="13.5703125" style="6" customWidth="1"/>
    <col min="21" max="21" width="7" style="6" customWidth="1"/>
    <col min="22" max="256" width="11.42578125" style="1"/>
    <col min="257" max="257" width="20.28515625" style="1" customWidth="1"/>
    <col min="258" max="258" width="21.7109375" style="1" customWidth="1"/>
    <col min="259" max="259" width="22" style="1" customWidth="1"/>
    <col min="260" max="260" width="17.140625" style="1" customWidth="1"/>
    <col min="261" max="261" width="21.42578125" style="1" customWidth="1"/>
    <col min="262" max="262" width="19.5703125" style="1" customWidth="1"/>
    <col min="263" max="263" width="14.140625" style="1" bestFit="1" customWidth="1"/>
    <col min="264" max="264" width="8.42578125" style="1" customWidth="1"/>
    <col min="265" max="265" width="14.42578125" style="1" bestFit="1" customWidth="1"/>
    <col min="266" max="266" width="4.42578125" style="1" customWidth="1"/>
    <col min="267" max="267" width="14.42578125" style="1" bestFit="1" customWidth="1"/>
    <col min="268" max="268" width="13.42578125" style="1" customWidth="1"/>
    <col min="269" max="269" width="14.7109375" style="1" bestFit="1" customWidth="1"/>
    <col min="270" max="270" width="14.28515625" style="1" bestFit="1" customWidth="1"/>
    <col min="271" max="271" width="14.28515625" style="1" customWidth="1"/>
    <col min="272" max="272" width="14" style="1" bestFit="1" customWidth="1"/>
    <col min="273" max="273" width="11.5703125" style="1" bestFit="1" customWidth="1"/>
    <col min="274" max="274" width="13.85546875" style="1" bestFit="1" customWidth="1"/>
    <col min="275" max="512" width="11.42578125" style="1"/>
    <col min="513" max="513" width="20.28515625" style="1" customWidth="1"/>
    <col min="514" max="514" width="21.7109375" style="1" customWidth="1"/>
    <col min="515" max="515" width="22" style="1" customWidth="1"/>
    <col min="516" max="516" width="17.140625" style="1" customWidth="1"/>
    <col min="517" max="517" width="21.42578125" style="1" customWidth="1"/>
    <col min="518" max="518" width="19.5703125" style="1" customWidth="1"/>
    <col min="519" max="519" width="14.140625" style="1" bestFit="1" customWidth="1"/>
    <col min="520" max="520" width="8.42578125" style="1" customWidth="1"/>
    <col min="521" max="521" width="14.42578125" style="1" bestFit="1" customWidth="1"/>
    <col min="522" max="522" width="4.42578125" style="1" customWidth="1"/>
    <col min="523" max="523" width="14.42578125" style="1" bestFit="1" customWidth="1"/>
    <col min="524" max="524" width="13.42578125" style="1" customWidth="1"/>
    <col min="525" max="525" width="14.7109375" style="1" bestFit="1" customWidth="1"/>
    <col min="526" max="526" width="14.28515625" style="1" bestFit="1" customWidth="1"/>
    <col min="527" max="527" width="14.28515625" style="1" customWidth="1"/>
    <col min="528" max="528" width="14" style="1" bestFit="1" customWidth="1"/>
    <col min="529" max="529" width="11.5703125" style="1" bestFit="1" customWidth="1"/>
    <col min="530" max="530" width="13.85546875" style="1" bestFit="1" customWidth="1"/>
    <col min="531" max="768" width="11.42578125" style="1"/>
    <col min="769" max="769" width="20.28515625" style="1" customWidth="1"/>
    <col min="770" max="770" width="21.7109375" style="1" customWidth="1"/>
    <col min="771" max="771" width="22" style="1" customWidth="1"/>
    <col min="772" max="772" width="17.140625" style="1" customWidth="1"/>
    <col min="773" max="773" width="21.42578125" style="1" customWidth="1"/>
    <col min="774" max="774" width="19.5703125" style="1" customWidth="1"/>
    <col min="775" max="775" width="14.140625" style="1" bestFit="1" customWidth="1"/>
    <col min="776" max="776" width="8.42578125" style="1" customWidth="1"/>
    <col min="777" max="777" width="14.42578125" style="1" bestFit="1" customWidth="1"/>
    <col min="778" max="778" width="4.42578125" style="1" customWidth="1"/>
    <col min="779" max="779" width="14.42578125" style="1" bestFit="1" customWidth="1"/>
    <col min="780" max="780" width="13.42578125" style="1" customWidth="1"/>
    <col min="781" max="781" width="14.7109375" style="1" bestFit="1" customWidth="1"/>
    <col min="782" max="782" width="14.28515625" style="1" bestFit="1" customWidth="1"/>
    <col min="783" max="783" width="14.28515625" style="1" customWidth="1"/>
    <col min="784" max="784" width="14" style="1" bestFit="1" customWidth="1"/>
    <col min="785" max="785" width="11.5703125" style="1" bestFit="1" customWidth="1"/>
    <col min="786" max="786" width="13.85546875" style="1" bestFit="1" customWidth="1"/>
    <col min="787" max="1024" width="11.42578125" style="1"/>
    <col min="1025" max="1025" width="20.28515625" style="1" customWidth="1"/>
    <col min="1026" max="1026" width="21.7109375" style="1" customWidth="1"/>
    <col min="1027" max="1027" width="22" style="1" customWidth="1"/>
    <col min="1028" max="1028" width="17.140625" style="1" customWidth="1"/>
    <col min="1029" max="1029" width="21.42578125" style="1" customWidth="1"/>
    <col min="1030" max="1030" width="19.5703125" style="1" customWidth="1"/>
    <col min="1031" max="1031" width="14.140625" style="1" bestFit="1" customWidth="1"/>
    <col min="1032" max="1032" width="8.42578125" style="1" customWidth="1"/>
    <col min="1033" max="1033" width="14.42578125" style="1" bestFit="1" customWidth="1"/>
    <col min="1034" max="1034" width="4.42578125" style="1" customWidth="1"/>
    <col min="1035" max="1035" width="14.42578125" style="1" bestFit="1" customWidth="1"/>
    <col min="1036" max="1036" width="13.42578125" style="1" customWidth="1"/>
    <col min="1037" max="1037" width="14.7109375" style="1" bestFit="1" customWidth="1"/>
    <col min="1038" max="1038" width="14.28515625" style="1" bestFit="1" customWidth="1"/>
    <col min="1039" max="1039" width="14.28515625" style="1" customWidth="1"/>
    <col min="1040" max="1040" width="14" style="1" bestFit="1" customWidth="1"/>
    <col min="1041" max="1041" width="11.5703125" style="1" bestFit="1" customWidth="1"/>
    <col min="1042" max="1042" width="13.85546875" style="1" bestFit="1" customWidth="1"/>
    <col min="1043" max="1280" width="11.42578125" style="1"/>
    <col min="1281" max="1281" width="20.28515625" style="1" customWidth="1"/>
    <col min="1282" max="1282" width="21.7109375" style="1" customWidth="1"/>
    <col min="1283" max="1283" width="22" style="1" customWidth="1"/>
    <col min="1284" max="1284" width="17.140625" style="1" customWidth="1"/>
    <col min="1285" max="1285" width="21.42578125" style="1" customWidth="1"/>
    <col min="1286" max="1286" width="19.5703125" style="1" customWidth="1"/>
    <col min="1287" max="1287" width="14.140625" style="1" bestFit="1" customWidth="1"/>
    <col min="1288" max="1288" width="8.42578125" style="1" customWidth="1"/>
    <col min="1289" max="1289" width="14.42578125" style="1" bestFit="1" customWidth="1"/>
    <col min="1290" max="1290" width="4.42578125" style="1" customWidth="1"/>
    <col min="1291" max="1291" width="14.42578125" style="1" bestFit="1" customWidth="1"/>
    <col min="1292" max="1292" width="13.42578125" style="1" customWidth="1"/>
    <col min="1293" max="1293" width="14.7109375" style="1" bestFit="1" customWidth="1"/>
    <col min="1294" max="1294" width="14.28515625" style="1" bestFit="1" customWidth="1"/>
    <col min="1295" max="1295" width="14.28515625" style="1" customWidth="1"/>
    <col min="1296" max="1296" width="14" style="1" bestFit="1" customWidth="1"/>
    <col min="1297" max="1297" width="11.5703125" style="1" bestFit="1" customWidth="1"/>
    <col min="1298" max="1298" width="13.85546875" style="1" bestFit="1" customWidth="1"/>
    <col min="1299" max="1536" width="11.42578125" style="1"/>
    <col min="1537" max="1537" width="20.28515625" style="1" customWidth="1"/>
    <col min="1538" max="1538" width="21.7109375" style="1" customWidth="1"/>
    <col min="1539" max="1539" width="22" style="1" customWidth="1"/>
    <col min="1540" max="1540" width="17.140625" style="1" customWidth="1"/>
    <col min="1541" max="1541" width="21.42578125" style="1" customWidth="1"/>
    <col min="1542" max="1542" width="19.5703125" style="1" customWidth="1"/>
    <col min="1543" max="1543" width="14.140625" style="1" bestFit="1" customWidth="1"/>
    <col min="1544" max="1544" width="8.42578125" style="1" customWidth="1"/>
    <col min="1545" max="1545" width="14.42578125" style="1" bestFit="1" customWidth="1"/>
    <col min="1546" max="1546" width="4.42578125" style="1" customWidth="1"/>
    <col min="1547" max="1547" width="14.42578125" style="1" bestFit="1" customWidth="1"/>
    <col min="1548" max="1548" width="13.42578125" style="1" customWidth="1"/>
    <col min="1549" max="1549" width="14.7109375" style="1" bestFit="1" customWidth="1"/>
    <col min="1550" max="1550" width="14.28515625" style="1" bestFit="1" customWidth="1"/>
    <col min="1551" max="1551" width="14.28515625" style="1" customWidth="1"/>
    <col min="1552" max="1552" width="14" style="1" bestFit="1" customWidth="1"/>
    <col min="1553" max="1553" width="11.5703125" style="1" bestFit="1" customWidth="1"/>
    <col min="1554" max="1554" width="13.85546875" style="1" bestFit="1" customWidth="1"/>
    <col min="1555" max="1792" width="11.42578125" style="1"/>
    <col min="1793" max="1793" width="20.28515625" style="1" customWidth="1"/>
    <col min="1794" max="1794" width="21.7109375" style="1" customWidth="1"/>
    <col min="1795" max="1795" width="22" style="1" customWidth="1"/>
    <col min="1796" max="1796" width="17.140625" style="1" customWidth="1"/>
    <col min="1797" max="1797" width="21.42578125" style="1" customWidth="1"/>
    <col min="1798" max="1798" width="19.5703125" style="1" customWidth="1"/>
    <col min="1799" max="1799" width="14.140625" style="1" bestFit="1" customWidth="1"/>
    <col min="1800" max="1800" width="8.42578125" style="1" customWidth="1"/>
    <col min="1801" max="1801" width="14.42578125" style="1" bestFit="1" customWidth="1"/>
    <col min="1802" max="1802" width="4.42578125" style="1" customWidth="1"/>
    <col min="1803" max="1803" width="14.42578125" style="1" bestFit="1" customWidth="1"/>
    <col min="1804" max="1804" width="13.42578125" style="1" customWidth="1"/>
    <col min="1805" max="1805" width="14.7109375" style="1" bestFit="1" customWidth="1"/>
    <col min="1806" max="1806" width="14.28515625" style="1" bestFit="1" customWidth="1"/>
    <col min="1807" max="1807" width="14.28515625" style="1" customWidth="1"/>
    <col min="1808" max="1808" width="14" style="1" bestFit="1" customWidth="1"/>
    <col min="1809" max="1809" width="11.5703125" style="1" bestFit="1" customWidth="1"/>
    <col min="1810" max="1810" width="13.85546875" style="1" bestFit="1" customWidth="1"/>
    <col min="1811" max="2048" width="11.42578125" style="1"/>
    <col min="2049" max="2049" width="20.28515625" style="1" customWidth="1"/>
    <col min="2050" max="2050" width="21.7109375" style="1" customWidth="1"/>
    <col min="2051" max="2051" width="22" style="1" customWidth="1"/>
    <col min="2052" max="2052" width="17.140625" style="1" customWidth="1"/>
    <col min="2053" max="2053" width="21.42578125" style="1" customWidth="1"/>
    <col min="2054" max="2054" width="19.5703125" style="1" customWidth="1"/>
    <col min="2055" max="2055" width="14.140625" style="1" bestFit="1" customWidth="1"/>
    <col min="2056" max="2056" width="8.42578125" style="1" customWidth="1"/>
    <col min="2057" max="2057" width="14.42578125" style="1" bestFit="1" customWidth="1"/>
    <col min="2058" max="2058" width="4.42578125" style="1" customWidth="1"/>
    <col min="2059" max="2059" width="14.42578125" style="1" bestFit="1" customWidth="1"/>
    <col min="2060" max="2060" width="13.42578125" style="1" customWidth="1"/>
    <col min="2061" max="2061" width="14.7109375" style="1" bestFit="1" customWidth="1"/>
    <col min="2062" max="2062" width="14.28515625" style="1" bestFit="1" customWidth="1"/>
    <col min="2063" max="2063" width="14.28515625" style="1" customWidth="1"/>
    <col min="2064" max="2064" width="14" style="1" bestFit="1" customWidth="1"/>
    <col min="2065" max="2065" width="11.5703125" style="1" bestFit="1" customWidth="1"/>
    <col min="2066" max="2066" width="13.85546875" style="1" bestFit="1" customWidth="1"/>
    <col min="2067" max="2304" width="11.42578125" style="1"/>
    <col min="2305" max="2305" width="20.28515625" style="1" customWidth="1"/>
    <col min="2306" max="2306" width="21.7109375" style="1" customWidth="1"/>
    <col min="2307" max="2307" width="22" style="1" customWidth="1"/>
    <col min="2308" max="2308" width="17.140625" style="1" customWidth="1"/>
    <col min="2309" max="2309" width="21.42578125" style="1" customWidth="1"/>
    <col min="2310" max="2310" width="19.5703125" style="1" customWidth="1"/>
    <col min="2311" max="2311" width="14.140625" style="1" bestFit="1" customWidth="1"/>
    <col min="2312" max="2312" width="8.42578125" style="1" customWidth="1"/>
    <col min="2313" max="2313" width="14.42578125" style="1" bestFit="1" customWidth="1"/>
    <col min="2314" max="2314" width="4.42578125" style="1" customWidth="1"/>
    <col min="2315" max="2315" width="14.42578125" style="1" bestFit="1" customWidth="1"/>
    <col min="2316" max="2316" width="13.42578125" style="1" customWidth="1"/>
    <col min="2317" max="2317" width="14.7109375" style="1" bestFit="1" customWidth="1"/>
    <col min="2318" max="2318" width="14.28515625" style="1" bestFit="1" customWidth="1"/>
    <col min="2319" max="2319" width="14.28515625" style="1" customWidth="1"/>
    <col min="2320" max="2320" width="14" style="1" bestFit="1" customWidth="1"/>
    <col min="2321" max="2321" width="11.5703125" style="1" bestFit="1" customWidth="1"/>
    <col min="2322" max="2322" width="13.85546875" style="1" bestFit="1" customWidth="1"/>
    <col min="2323" max="2560" width="11.42578125" style="1"/>
    <col min="2561" max="2561" width="20.28515625" style="1" customWidth="1"/>
    <col min="2562" max="2562" width="21.7109375" style="1" customWidth="1"/>
    <col min="2563" max="2563" width="22" style="1" customWidth="1"/>
    <col min="2564" max="2564" width="17.140625" style="1" customWidth="1"/>
    <col min="2565" max="2565" width="21.42578125" style="1" customWidth="1"/>
    <col min="2566" max="2566" width="19.5703125" style="1" customWidth="1"/>
    <col min="2567" max="2567" width="14.140625" style="1" bestFit="1" customWidth="1"/>
    <col min="2568" max="2568" width="8.42578125" style="1" customWidth="1"/>
    <col min="2569" max="2569" width="14.42578125" style="1" bestFit="1" customWidth="1"/>
    <col min="2570" max="2570" width="4.42578125" style="1" customWidth="1"/>
    <col min="2571" max="2571" width="14.42578125" style="1" bestFit="1" customWidth="1"/>
    <col min="2572" max="2572" width="13.42578125" style="1" customWidth="1"/>
    <col min="2573" max="2573" width="14.7109375" style="1" bestFit="1" customWidth="1"/>
    <col min="2574" max="2574" width="14.28515625" style="1" bestFit="1" customWidth="1"/>
    <col min="2575" max="2575" width="14.28515625" style="1" customWidth="1"/>
    <col min="2576" max="2576" width="14" style="1" bestFit="1" customWidth="1"/>
    <col min="2577" max="2577" width="11.5703125" style="1" bestFit="1" customWidth="1"/>
    <col min="2578" max="2578" width="13.85546875" style="1" bestFit="1" customWidth="1"/>
    <col min="2579" max="2816" width="11.42578125" style="1"/>
    <col min="2817" max="2817" width="20.28515625" style="1" customWidth="1"/>
    <col min="2818" max="2818" width="21.7109375" style="1" customWidth="1"/>
    <col min="2819" max="2819" width="22" style="1" customWidth="1"/>
    <col min="2820" max="2820" width="17.140625" style="1" customWidth="1"/>
    <col min="2821" max="2821" width="21.42578125" style="1" customWidth="1"/>
    <col min="2822" max="2822" width="19.5703125" style="1" customWidth="1"/>
    <col min="2823" max="2823" width="14.140625" style="1" bestFit="1" customWidth="1"/>
    <col min="2824" max="2824" width="8.42578125" style="1" customWidth="1"/>
    <col min="2825" max="2825" width="14.42578125" style="1" bestFit="1" customWidth="1"/>
    <col min="2826" max="2826" width="4.42578125" style="1" customWidth="1"/>
    <col min="2827" max="2827" width="14.42578125" style="1" bestFit="1" customWidth="1"/>
    <col min="2828" max="2828" width="13.42578125" style="1" customWidth="1"/>
    <col min="2829" max="2829" width="14.7109375" style="1" bestFit="1" customWidth="1"/>
    <col min="2830" max="2830" width="14.28515625" style="1" bestFit="1" customWidth="1"/>
    <col min="2831" max="2831" width="14.28515625" style="1" customWidth="1"/>
    <col min="2832" max="2832" width="14" style="1" bestFit="1" customWidth="1"/>
    <col min="2833" max="2833" width="11.5703125" style="1" bestFit="1" customWidth="1"/>
    <col min="2834" max="2834" width="13.85546875" style="1" bestFit="1" customWidth="1"/>
    <col min="2835" max="3072" width="11.42578125" style="1"/>
    <col min="3073" max="3073" width="20.28515625" style="1" customWidth="1"/>
    <col min="3074" max="3074" width="21.7109375" style="1" customWidth="1"/>
    <col min="3075" max="3075" width="22" style="1" customWidth="1"/>
    <col min="3076" max="3076" width="17.140625" style="1" customWidth="1"/>
    <col min="3077" max="3077" width="21.42578125" style="1" customWidth="1"/>
    <col min="3078" max="3078" width="19.5703125" style="1" customWidth="1"/>
    <col min="3079" max="3079" width="14.140625" style="1" bestFit="1" customWidth="1"/>
    <col min="3080" max="3080" width="8.42578125" style="1" customWidth="1"/>
    <col min="3081" max="3081" width="14.42578125" style="1" bestFit="1" customWidth="1"/>
    <col min="3082" max="3082" width="4.42578125" style="1" customWidth="1"/>
    <col min="3083" max="3083" width="14.42578125" style="1" bestFit="1" customWidth="1"/>
    <col min="3084" max="3084" width="13.42578125" style="1" customWidth="1"/>
    <col min="3085" max="3085" width="14.7109375" style="1" bestFit="1" customWidth="1"/>
    <col min="3086" max="3086" width="14.28515625" style="1" bestFit="1" customWidth="1"/>
    <col min="3087" max="3087" width="14.28515625" style="1" customWidth="1"/>
    <col min="3088" max="3088" width="14" style="1" bestFit="1" customWidth="1"/>
    <col min="3089" max="3089" width="11.5703125" style="1" bestFit="1" customWidth="1"/>
    <col min="3090" max="3090" width="13.85546875" style="1" bestFit="1" customWidth="1"/>
    <col min="3091" max="3328" width="11.42578125" style="1"/>
    <col min="3329" max="3329" width="20.28515625" style="1" customWidth="1"/>
    <col min="3330" max="3330" width="21.7109375" style="1" customWidth="1"/>
    <col min="3331" max="3331" width="22" style="1" customWidth="1"/>
    <col min="3332" max="3332" width="17.140625" style="1" customWidth="1"/>
    <col min="3333" max="3333" width="21.42578125" style="1" customWidth="1"/>
    <col min="3334" max="3334" width="19.5703125" style="1" customWidth="1"/>
    <col min="3335" max="3335" width="14.140625" style="1" bestFit="1" customWidth="1"/>
    <col min="3336" max="3336" width="8.42578125" style="1" customWidth="1"/>
    <col min="3337" max="3337" width="14.42578125" style="1" bestFit="1" customWidth="1"/>
    <col min="3338" max="3338" width="4.42578125" style="1" customWidth="1"/>
    <col min="3339" max="3339" width="14.42578125" style="1" bestFit="1" customWidth="1"/>
    <col min="3340" max="3340" width="13.42578125" style="1" customWidth="1"/>
    <col min="3341" max="3341" width="14.7109375" style="1" bestFit="1" customWidth="1"/>
    <col min="3342" max="3342" width="14.28515625" style="1" bestFit="1" customWidth="1"/>
    <col min="3343" max="3343" width="14.28515625" style="1" customWidth="1"/>
    <col min="3344" max="3344" width="14" style="1" bestFit="1" customWidth="1"/>
    <col min="3345" max="3345" width="11.5703125" style="1" bestFit="1" customWidth="1"/>
    <col min="3346" max="3346" width="13.85546875" style="1" bestFit="1" customWidth="1"/>
    <col min="3347" max="3584" width="11.42578125" style="1"/>
    <col min="3585" max="3585" width="20.28515625" style="1" customWidth="1"/>
    <col min="3586" max="3586" width="21.7109375" style="1" customWidth="1"/>
    <col min="3587" max="3587" width="22" style="1" customWidth="1"/>
    <col min="3588" max="3588" width="17.140625" style="1" customWidth="1"/>
    <col min="3589" max="3589" width="21.42578125" style="1" customWidth="1"/>
    <col min="3590" max="3590" width="19.5703125" style="1" customWidth="1"/>
    <col min="3591" max="3591" width="14.140625" style="1" bestFit="1" customWidth="1"/>
    <col min="3592" max="3592" width="8.42578125" style="1" customWidth="1"/>
    <col min="3593" max="3593" width="14.42578125" style="1" bestFit="1" customWidth="1"/>
    <col min="3594" max="3594" width="4.42578125" style="1" customWidth="1"/>
    <col min="3595" max="3595" width="14.42578125" style="1" bestFit="1" customWidth="1"/>
    <col min="3596" max="3596" width="13.42578125" style="1" customWidth="1"/>
    <col min="3597" max="3597" width="14.7109375" style="1" bestFit="1" customWidth="1"/>
    <col min="3598" max="3598" width="14.28515625" style="1" bestFit="1" customWidth="1"/>
    <col min="3599" max="3599" width="14.28515625" style="1" customWidth="1"/>
    <col min="3600" max="3600" width="14" style="1" bestFit="1" customWidth="1"/>
    <col min="3601" max="3601" width="11.5703125" style="1" bestFit="1" customWidth="1"/>
    <col min="3602" max="3602" width="13.85546875" style="1" bestFit="1" customWidth="1"/>
    <col min="3603" max="3840" width="11.42578125" style="1"/>
    <col min="3841" max="3841" width="20.28515625" style="1" customWidth="1"/>
    <col min="3842" max="3842" width="21.7109375" style="1" customWidth="1"/>
    <col min="3843" max="3843" width="22" style="1" customWidth="1"/>
    <col min="3844" max="3844" width="17.140625" style="1" customWidth="1"/>
    <col min="3845" max="3845" width="21.42578125" style="1" customWidth="1"/>
    <col min="3846" max="3846" width="19.5703125" style="1" customWidth="1"/>
    <col min="3847" max="3847" width="14.140625" style="1" bestFit="1" customWidth="1"/>
    <col min="3848" max="3848" width="8.42578125" style="1" customWidth="1"/>
    <col min="3849" max="3849" width="14.42578125" style="1" bestFit="1" customWidth="1"/>
    <col min="3850" max="3850" width="4.42578125" style="1" customWidth="1"/>
    <col min="3851" max="3851" width="14.42578125" style="1" bestFit="1" customWidth="1"/>
    <col min="3852" max="3852" width="13.42578125" style="1" customWidth="1"/>
    <col min="3853" max="3853" width="14.7109375" style="1" bestFit="1" customWidth="1"/>
    <col min="3854" max="3854" width="14.28515625" style="1" bestFit="1" customWidth="1"/>
    <col min="3855" max="3855" width="14.28515625" style="1" customWidth="1"/>
    <col min="3856" max="3856" width="14" style="1" bestFit="1" customWidth="1"/>
    <col min="3857" max="3857" width="11.5703125" style="1" bestFit="1" customWidth="1"/>
    <col min="3858" max="3858" width="13.85546875" style="1" bestFit="1" customWidth="1"/>
    <col min="3859" max="4096" width="11.42578125" style="1"/>
    <col min="4097" max="4097" width="20.28515625" style="1" customWidth="1"/>
    <col min="4098" max="4098" width="21.7109375" style="1" customWidth="1"/>
    <col min="4099" max="4099" width="22" style="1" customWidth="1"/>
    <col min="4100" max="4100" width="17.140625" style="1" customWidth="1"/>
    <col min="4101" max="4101" width="21.42578125" style="1" customWidth="1"/>
    <col min="4102" max="4102" width="19.5703125" style="1" customWidth="1"/>
    <col min="4103" max="4103" width="14.140625" style="1" bestFit="1" customWidth="1"/>
    <col min="4104" max="4104" width="8.42578125" style="1" customWidth="1"/>
    <col min="4105" max="4105" width="14.42578125" style="1" bestFit="1" customWidth="1"/>
    <col min="4106" max="4106" width="4.42578125" style="1" customWidth="1"/>
    <col min="4107" max="4107" width="14.42578125" style="1" bestFit="1" customWidth="1"/>
    <col min="4108" max="4108" width="13.42578125" style="1" customWidth="1"/>
    <col min="4109" max="4109" width="14.7109375" style="1" bestFit="1" customWidth="1"/>
    <col min="4110" max="4110" width="14.28515625" style="1" bestFit="1" customWidth="1"/>
    <col min="4111" max="4111" width="14.28515625" style="1" customWidth="1"/>
    <col min="4112" max="4112" width="14" style="1" bestFit="1" customWidth="1"/>
    <col min="4113" max="4113" width="11.5703125" style="1" bestFit="1" customWidth="1"/>
    <col min="4114" max="4114" width="13.85546875" style="1" bestFit="1" customWidth="1"/>
    <col min="4115" max="4352" width="11.42578125" style="1"/>
    <col min="4353" max="4353" width="20.28515625" style="1" customWidth="1"/>
    <col min="4354" max="4354" width="21.7109375" style="1" customWidth="1"/>
    <col min="4355" max="4355" width="22" style="1" customWidth="1"/>
    <col min="4356" max="4356" width="17.140625" style="1" customWidth="1"/>
    <col min="4357" max="4357" width="21.42578125" style="1" customWidth="1"/>
    <col min="4358" max="4358" width="19.5703125" style="1" customWidth="1"/>
    <col min="4359" max="4359" width="14.140625" style="1" bestFit="1" customWidth="1"/>
    <col min="4360" max="4360" width="8.42578125" style="1" customWidth="1"/>
    <col min="4361" max="4361" width="14.42578125" style="1" bestFit="1" customWidth="1"/>
    <col min="4362" max="4362" width="4.42578125" style="1" customWidth="1"/>
    <col min="4363" max="4363" width="14.42578125" style="1" bestFit="1" customWidth="1"/>
    <col min="4364" max="4364" width="13.42578125" style="1" customWidth="1"/>
    <col min="4365" max="4365" width="14.7109375" style="1" bestFit="1" customWidth="1"/>
    <col min="4366" max="4366" width="14.28515625" style="1" bestFit="1" customWidth="1"/>
    <col min="4367" max="4367" width="14.28515625" style="1" customWidth="1"/>
    <col min="4368" max="4368" width="14" style="1" bestFit="1" customWidth="1"/>
    <col min="4369" max="4369" width="11.5703125" style="1" bestFit="1" customWidth="1"/>
    <col min="4370" max="4370" width="13.85546875" style="1" bestFit="1" customWidth="1"/>
    <col min="4371" max="4608" width="11.42578125" style="1"/>
    <col min="4609" max="4609" width="20.28515625" style="1" customWidth="1"/>
    <col min="4610" max="4610" width="21.7109375" style="1" customWidth="1"/>
    <col min="4611" max="4611" width="22" style="1" customWidth="1"/>
    <col min="4612" max="4612" width="17.140625" style="1" customWidth="1"/>
    <col min="4613" max="4613" width="21.42578125" style="1" customWidth="1"/>
    <col min="4614" max="4614" width="19.5703125" style="1" customWidth="1"/>
    <col min="4615" max="4615" width="14.140625" style="1" bestFit="1" customWidth="1"/>
    <col min="4616" max="4616" width="8.42578125" style="1" customWidth="1"/>
    <col min="4617" max="4617" width="14.42578125" style="1" bestFit="1" customWidth="1"/>
    <col min="4618" max="4618" width="4.42578125" style="1" customWidth="1"/>
    <col min="4619" max="4619" width="14.42578125" style="1" bestFit="1" customWidth="1"/>
    <col min="4620" max="4620" width="13.42578125" style="1" customWidth="1"/>
    <col min="4621" max="4621" width="14.7109375" style="1" bestFit="1" customWidth="1"/>
    <col min="4622" max="4622" width="14.28515625" style="1" bestFit="1" customWidth="1"/>
    <col min="4623" max="4623" width="14.28515625" style="1" customWidth="1"/>
    <col min="4624" max="4624" width="14" style="1" bestFit="1" customWidth="1"/>
    <col min="4625" max="4625" width="11.5703125" style="1" bestFit="1" customWidth="1"/>
    <col min="4626" max="4626" width="13.85546875" style="1" bestFit="1" customWidth="1"/>
    <col min="4627" max="4864" width="11.42578125" style="1"/>
    <col min="4865" max="4865" width="20.28515625" style="1" customWidth="1"/>
    <col min="4866" max="4866" width="21.7109375" style="1" customWidth="1"/>
    <col min="4867" max="4867" width="22" style="1" customWidth="1"/>
    <col min="4868" max="4868" width="17.140625" style="1" customWidth="1"/>
    <col min="4869" max="4869" width="21.42578125" style="1" customWidth="1"/>
    <col min="4870" max="4870" width="19.5703125" style="1" customWidth="1"/>
    <col min="4871" max="4871" width="14.140625" style="1" bestFit="1" customWidth="1"/>
    <col min="4872" max="4872" width="8.42578125" style="1" customWidth="1"/>
    <col min="4873" max="4873" width="14.42578125" style="1" bestFit="1" customWidth="1"/>
    <col min="4874" max="4874" width="4.42578125" style="1" customWidth="1"/>
    <col min="4875" max="4875" width="14.42578125" style="1" bestFit="1" customWidth="1"/>
    <col min="4876" max="4876" width="13.42578125" style="1" customWidth="1"/>
    <col min="4877" max="4877" width="14.7109375" style="1" bestFit="1" customWidth="1"/>
    <col min="4878" max="4878" width="14.28515625" style="1" bestFit="1" customWidth="1"/>
    <col min="4879" max="4879" width="14.28515625" style="1" customWidth="1"/>
    <col min="4880" max="4880" width="14" style="1" bestFit="1" customWidth="1"/>
    <col min="4881" max="4881" width="11.5703125" style="1" bestFit="1" customWidth="1"/>
    <col min="4882" max="4882" width="13.85546875" style="1" bestFit="1" customWidth="1"/>
    <col min="4883" max="5120" width="11.42578125" style="1"/>
    <col min="5121" max="5121" width="20.28515625" style="1" customWidth="1"/>
    <col min="5122" max="5122" width="21.7109375" style="1" customWidth="1"/>
    <col min="5123" max="5123" width="22" style="1" customWidth="1"/>
    <col min="5124" max="5124" width="17.140625" style="1" customWidth="1"/>
    <col min="5125" max="5125" width="21.42578125" style="1" customWidth="1"/>
    <col min="5126" max="5126" width="19.5703125" style="1" customWidth="1"/>
    <col min="5127" max="5127" width="14.140625" style="1" bestFit="1" customWidth="1"/>
    <col min="5128" max="5128" width="8.42578125" style="1" customWidth="1"/>
    <col min="5129" max="5129" width="14.42578125" style="1" bestFit="1" customWidth="1"/>
    <col min="5130" max="5130" width="4.42578125" style="1" customWidth="1"/>
    <col min="5131" max="5131" width="14.42578125" style="1" bestFit="1" customWidth="1"/>
    <col min="5132" max="5132" width="13.42578125" style="1" customWidth="1"/>
    <col min="5133" max="5133" width="14.7109375" style="1" bestFit="1" customWidth="1"/>
    <col min="5134" max="5134" width="14.28515625" style="1" bestFit="1" customWidth="1"/>
    <col min="5135" max="5135" width="14.28515625" style="1" customWidth="1"/>
    <col min="5136" max="5136" width="14" style="1" bestFit="1" customWidth="1"/>
    <col min="5137" max="5137" width="11.5703125" style="1" bestFit="1" customWidth="1"/>
    <col min="5138" max="5138" width="13.85546875" style="1" bestFit="1" customWidth="1"/>
    <col min="5139" max="5376" width="11.42578125" style="1"/>
    <col min="5377" max="5377" width="20.28515625" style="1" customWidth="1"/>
    <col min="5378" max="5378" width="21.7109375" style="1" customWidth="1"/>
    <col min="5379" max="5379" width="22" style="1" customWidth="1"/>
    <col min="5380" max="5380" width="17.140625" style="1" customWidth="1"/>
    <col min="5381" max="5381" width="21.42578125" style="1" customWidth="1"/>
    <col min="5382" max="5382" width="19.5703125" style="1" customWidth="1"/>
    <col min="5383" max="5383" width="14.140625" style="1" bestFit="1" customWidth="1"/>
    <col min="5384" max="5384" width="8.42578125" style="1" customWidth="1"/>
    <col min="5385" max="5385" width="14.42578125" style="1" bestFit="1" customWidth="1"/>
    <col min="5386" max="5386" width="4.42578125" style="1" customWidth="1"/>
    <col min="5387" max="5387" width="14.42578125" style="1" bestFit="1" customWidth="1"/>
    <col min="5388" max="5388" width="13.42578125" style="1" customWidth="1"/>
    <col min="5389" max="5389" width="14.7109375" style="1" bestFit="1" customWidth="1"/>
    <col min="5390" max="5390" width="14.28515625" style="1" bestFit="1" customWidth="1"/>
    <col min="5391" max="5391" width="14.28515625" style="1" customWidth="1"/>
    <col min="5392" max="5392" width="14" style="1" bestFit="1" customWidth="1"/>
    <col min="5393" max="5393" width="11.5703125" style="1" bestFit="1" customWidth="1"/>
    <col min="5394" max="5394" width="13.85546875" style="1" bestFit="1" customWidth="1"/>
    <col min="5395" max="5632" width="11.42578125" style="1"/>
    <col min="5633" max="5633" width="20.28515625" style="1" customWidth="1"/>
    <col min="5634" max="5634" width="21.7109375" style="1" customWidth="1"/>
    <col min="5635" max="5635" width="22" style="1" customWidth="1"/>
    <col min="5636" max="5636" width="17.140625" style="1" customWidth="1"/>
    <col min="5637" max="5637" width="21.42578125" style="1" customWidth="1"/>
    <col min="5638" max="5638" width="19.5703125" style="1" customWidth="1"/>
    <col min="5639" max="5639" width="14.140625" style="1" bestFit="1" customWidth="1"/>
    <col min="5640" max="5640" width="8.42578125" style="1" customWidth="1"/>
    <col min="5641" max="5641" width="14.42578125" style="1" bestFit="1" customWidth="1"/>
    <col min="5642" max="5642" width="4.42578125" style="1" customWidth="1"/>
    <col min="5643" max="5643" width="14.42578125" style="1" bestFit="1" customWidth="1"/>
    <col min="5644" max="5644" width="13.42578125" style="1" customWidth="1"/>
    <col min="5645" max="5645" width="14.7109375" style="1" bestFit="1" customWidth="1"/>
    <col min="5646" max="5646" width="14.28515625" style="1" bestFit="1" customWidth="1"/>
    <col min="5647" max="5647" width="14.28515625" style="1" customWidth="1"/>
    <col min="5648" max="5648" width="14" style="1" bestFit="1" customWidth="1"/>
    <col min="5649" max="5649" width="11.5703125" style="1" bestFit="1" customWidth="1"/>
    <col min="5650" max="5650" width="13.85546875" style="1" bestFit="1" customWidth="1"/>
    <col min="5651" max="5888" width="11.42578125" style="1"/>
    <col min="5889" max="5889" width="20.28515625" style="1" customWidth="1"/>
    <col min="5890" max="5890" width="21.7109375" style="1" customWidth="1"/>
    <col min="5891" max="5891" width="22" style="1" customWidth="1"/>
    <col min="5892" max="5892" width="17.140625" style="1" customWidth="1"/>
    <col min="5893" max="5893" width="21.42578125" style="1" customWidth="1"/>
    <col min="5894" max="5894" width="19.5703125" style="1" customWidth="1"/>
    <col min="5895" max="5895" width="14.140625" style="1" bestFit="1" customWidth="1"/>
    <col min="5896" max="5896" width="8.42578125" style="1" customWidth="1"/>
    <col min="5897" max="5897" width="14.42578125" style="1" bestFit="1" customWidth="1"/>
    <col min="5898" max="5898" width="4.42578125" style="1" customWidth="1"/>
    <col min="5899" max="5899" width="14.42578125" style="1" bestFit="1" customWidth="1"/>
    <col min="5900" max="5900" width="13.42578125" style="1" customWidth="1"/>
    <col min="5901" max="5901" width="14.7109375" style="1" bestFit="1" customWidth="1"/>
    <col min="5902" max="5902" width="14.28515625" style="1" bestFit="1" customWidth="1"/>
    <col min="5903" max="5903" width="14.28515625" style="1" customWidth="1"/>
    <col min="5904" max="5904" width="14" style="1" bestFit="1" customWidth="1"/>
    <col min="5905" max="5905" width="11.5703125" style="1" bestFit="1" customWidth="1"/>
    <col min="5906" max="5906" width="13.85546875" style="1" bestFit="1" customWidth="1"/>
    <col min="5907" max="6144" width="11.42578125" style="1"/>
    <col min="6145" max="6145" width="20.28515625" style="1" customWidth="1"/>
    <col min="6146" max="6146" width="21.7109375" style="1" customWidth="1"/>
    <col min="6147" max="6147" width="22" style="1" customWidth="1"/>
    <col min="6148" max="6148" width="17.140625" style="1" customWidth="1"/>
    <col min="6149" max="6149" width="21.42578125" style="1" customWidth="1"/>
    <col min="6150" max="6150" width="19.5703125" style="1" customWidth="1"/>
    <col min="6151" max="6151" width="14.140625" style="1" bestFit="1" customWidth="1"/>
    <col min="6152" max="6152" width="8.42578125" style="1" customWidth="1"/>
    <col min="6153" max="6153" width="14.42578125" style="1" bestFit="1" customWidth="1"/>
    <col min="6154" max="6154" width="4.42578125" style="1" customWidth="1"/>
    <col min="6155" max="6155" width="14.42578125" style="1" bestFit="1" customWidth="1"/>
    <col min="6156" max="6156" width="13.42578125" style="1" customWidth="1"/>
    <col min="6157" max="6157" width="14.7109375" style="1" bestFit="1" customWidth="1"/>
    <col min="6158" max="6158" width="14.28515625" style="1" bestFit="1" customWidth="1"/>
    <col min="6159" max="6159" width="14.28515625" style="1" customWidth="1"/>
    <col min="6160" max="6160" width="14" style="1" bestFit="1" customWidth="1"/>
    <col min="6161" max="6161" width="11.5703125" style="1" bestFit="1" customWidth="1"/>
    <col min="6162" max="6162" width="13.85546875" style="1" bestFit="1" customWidth="1"/>
    <col min="6163" max="6400" width="11.42578125" style="1"/>
    <col min="6401" max="6401" width="20.28515625" style="1" customWidth="1"/>
    <col min="6402" max="6402" width="21.7109375" style="1" customWidth="1"/>
    <col min="6403" max="6403" width="22" style="1" customWidth="1"/>
    <col min="6404" max="6404" width="17.140625" style="1" customWidth="1"/>
    <col min="6405" max="6405" width="21.42578125" style="1" customWidth="1"/>
    <col min="6406" max="6406" width="19.5703125" style="1" customWidth="1"/>
    <col min="6407" max="6407" width="14.140625" style="1" bestFit="1" customWidth="1"/>
    <col min="6408" max="6408" width="8.42578125" style="1" customWidth="1"/>
    <col min="6409" max="6409" width="14.42578125" style="1" bestFit="1" customWidth="1"/>
    <col min="6410" max="6410" width="4.42578125" style="1" customWidth="1"/>
    <col min="6411" max="6411" width="14.42578125" style="1" bestFit="1" customWidth="1"/>
    <col min="6412" max="6412" width="13.42578125" style="1" customWidth="1"/>
    <col min="6413" max="6413" width="14.7109375" style="1" bestFit="1" customWidth="1"/>
    <col min="6414" max="6414" width="14.28515625" style="1" bestFit="1" customWidth="1"/>
    <col min="6415" max="6415" width="14.28515625" style="1" customWidth="1"/>
    <col min="6416" max="6416" width="14" style="1" bestFit="1" customWidth="1"/>
    <col min="6417" max="6417" width="11.5703125" style="1" bestFit="1" customWidth="1"/>
    <col min="6418" max="6418" width="13.85546875" style="1" bestFit="1" customWidth="1"/>
    <col min="6419" max="6656" width="11.42578125" style="1"/>
    <col min="6657" max="6657" width="20.28515625" style="1" customWidth="1"/>
    <col min="6658" max="6658" width="21.7109375" style="1" customWidth="1"/>
    <col min="6659" max="6659" width="22" style="1" customWidth="1"/>
    <col min="6660" max="6660" width="17.140625" style="1" customWidth="1"/>
    <col min="6661" max="6661" width="21.42578125" style="1" customWidth="1"/>
    <col min="6662" max="6662" width="19.5703125" style="1" customWidth="1"/>
    <col min="6663" max="6663" width="14.140625" style="1" bestFit="1" customWidth="1"/>
    <col min="6664" max="6664" width="8.42578125" style="1" customWidth="1"/>
    <col min="6665" max="6665" width="14.42578125" style="1" bestFit="1" customWidth="1"/>
    <col min="6666" max="6666" width="4.42578125" style="1" customWidth="1"/>
    <col min="6667" max="6667" width="14.42578125" style="1" bestFit="1" customWidth="1"/>
    <col min="6668" max="6668" width="13.42578125" style="1" customWidth="1"/>
    <col min="6669" max="6669" width="14.7109375" style="1" bestFit="1" customWidth="1"/>
    <col min="6670" max="6670" width="14.28515625" style="1" bestFit="1" customWidth="1"/>
    <col min="6671" max="6671" width="14.28515625" style="1" customWidth="1"/>
    <col min="6672" max="6672" width="14" style="1" bestFit="1" customWidth="1"/>
    <col min="6673" max="6673" width="11.5703125" style="1" bestFit="1" customWidth="1"/>
    <col min="6674" max="6674" width="13.85546875" style="1" bestFit="1" customWidth="1"/>
    <col min="6675" max="6912" width="11.42578125" style="1"/>
    <col min="6913" max="6913" width="20.28515625" style="1" customWidth="1"/>
    <col min="6914" max="6914" width="21.7109375" style="1" customWidth="1"/>
    <col min="6915" max="6915" width="22" style="1" customWidth="1"/>
    <col min="6916" max="6916" width="17.140625" style="1" customWidth="1"/>
    <col min="6917" max="6917" width="21.42578125" style="1" customWidth="1"/>
    <col min="6918" max="6918" width="19.5703125" style="1" customWidth="1"/>
    <col min="6919" max="6919" width="14.140625" style="1" bestFit="1" customWidth="1"/>
    <col min="6920" max="6920" width="8.42578125" style="1" customWidth="1"/>
    <col min="6921" max="6921" width="14.42578125" style="1" bestFit="1" customWidth="1"/>
    <col min="6922" max="6922" width="4.42578125" style="1" customWidth="1"/>
    <col min="6923" max="6923" width="14.42578125" style="1" bestFit="1" customWidth="1"/>
    <col min="6924" max="6924" width="13.42578125" style="1" customWidth="1"/>
    <col min="6925" max="6925" width="14.7109375" style="1" bestFit="1" customWidth="1"/>
    <col min="6926" max="6926" width="14.28515625" style="1" bestFit="1" customWidth="1"/>
    <col min="6927" max="6927" width="14.28515625" style="1" customWidth="1"/>
    <col min="6928" max="6928" width="14" style="1" bestFit="1" customWidth="1"/>
    <col min="6929" max="6929" width="11.5703125" style="1" bestFit="1" customWidth="1"/>
    <col min="6930" max="6930" width="13.85546875" style="1" bestFit="1" customWidth="1"/>
    <col min="6931" max="7168" width="11.42578125" style="1"/>
    <col min="7169" max="7169" width="20.28515625" style="1" customWidth="1"/>
    <col min="7170" max="7170" width="21.7109375" style="1" customWidth="1"/>
    <col min="7171" max="7171" width="22" style="1" customWidth="1"/>
    <col min="7172" max="7172" width="17.140625" style="1" customWidth="1"/>
    <col min="7173" max="7173" width="21.42578125" style="1" customWidth="1"/>
    <col min="7174" max="7174" width="19.5703125" style="1" customWidth="1"/>
    <col min="7175" max="7175" width="14.140625" style="1" bestFit="1" customWidth="1"/>
    <col min="7176" max="7176" width="8.42578125" style="1" customWidth="1"/>
    <col min="7177" max="7177" width="14.42578125" style="1" bestFit="1" customWidth="1"/>
    <col min="7178" max="7178" width="4.42578125" style="1" customWidth="1"/>
    <col min="7179" max="7179" width="14.42578125" style="1" bestFit="1" customWidth="1"/>
    <col min="7180" max="7180" width="13.42578125" style="1" customWidth="1"/>
    <col min="7181" max="7181" width="14.7109375" style="1" bestFit="1" customWidth="1"/>
    <col min="7182" max="7182" width="14.28515625" style="1" bestFit="1" customWidth="1"/>
    <col min="7183" max="7183" width="14.28515625" style="1" customWidth="1"/>
    <col min="7184" max="7184" width="14" style="1" bestFit="1" customWidth="1"/>
    <col min="7185" max="7185" width="11.5703125" style="1" bestFit="1" customWidth="1"/>
    <col min="7186" max="7186" width="13.85546875" style="1" bestFit="1" customWidth="1"/>
    <col min="7187" max="7424" width="11.42578125" style="1"/>
    <col min="7425" max="7425" width="20.28515625" style="1" customWidth="1"/>
    <col min="7426" max="7426" width="21.7109375" style="1" customWidth="1"/>
    <col min="7427" max="7427" width="22" style="1" customWidth="1"/>
    <col min="7428" max="7428" width="17.140625" style="1" customWidth="1"/>
    <col min="7429" max="7429" width="21.42578125" style="1" customWidth="1"/>
    <col min="7430" max="7430" width="19.5703125" style="1" customWidth="1"/>
    <col min="7431" max="7431" width="14.140625" style="1" bestFit="1" customWidth="1"/>
    <col min="7432" max="7432" width="8.42578125" style="1" customWidth="1"/>
    <col min="7433" max="7433" width="14.42578125" style="1" bestFit="1" customWidth="1"/>
    <col min="7434" max="7434" width="4.42578125" style="1" customWidth="1"/>
    <col min="7435" max="7435" width="14.42578125" style="1" bestFit="1" customWidth="1"/>
    <col min="7436" max="7436" width="13.42578125" style="1" customWidth="1"/>
    <col min="7437" max="7437" width="14.7109375" style="1" bestFit="1" customWidth="1"/>
    <col min="7438" max="7438" width="14.28515625" style="1" bestFit="1" customWidth="1"/>
    <col min="7439" max="7439" width="14.28515625" style="1" customWidth="1"/>
    <col min="7440" max="7440" width="14" style="1" bestFit="1" customWidth="1"/>
    <col min="7441" max="7441" width="11.5703125" style="1" bestFit="1" customWidth="1"/>
    <col min="7442" max="7442" width="13.85546875" style="1" bestFit="1" customWidth="1"/>
    <col min="7443" max="7680" width="11.42578125" style="1"/>
    <col min="7681" max="7681" width="20.28515625" style="1" customWidth="1"/>
    <col min="7682" max="7682" width="21.7109375" style="1" customWidth="1"/>
    <col min="7683" max="7683" width="22" style="1" customWidth="1"/>
    <col min="7684" max="7684" width="17.140625" style="1" customWidth="1"/>
    <col min="7685" max="7685" width="21.42578125" style="1" customWidth="1"/>
    <col min="7686" max="7686" width="19.5703125" style="1" customWidth="1"/>
    <col min="7687" max="7687" width="14.140625" style="1" bestFit="1" customWidth="1"/>
    <col min="7688" max="7688" width="8.42578125" style="1" customWidth="1"/>
    <col min="7689" max="7689" width="14.42578125" style="1" bestFit="1" customWidth="1"/>
    <col min="7690" max="7690" width="4.42578125" style="1" customWidth="1"/>
    <col min="7691" max="7691" width="14.42578125" style="1" bestFit="1" customWidth="1"/>
    <col min="7692" max="7692" width="13.42578125" style="1" customWidth="1"/>
    <col min="7693" max="7693" width="14.7109375" style="1" bestFit="1" customWidth="1"/>
    <col min="7694" max="7694" width="14.28515625" style="1" bestFit="1" customWidth="1"/>
    <col min="7695" max="7695" width="14.28515625" style="1" customWidth="1"/>
    <col min="7696" max="7696" width="14" style="1" bestFit="1" customWidth="1"/>
    <col min="7697" max="7697" width="11.5703125" style="1" bestFit="1" customWidth="1"/>
    <col min="7698" max="7698" width="13.85546875" style="1" bestFit="1" customWidth="1"/>
    <col min="7699" max="7936" width="11.42578125" style="1"/>
    <col min="7937" max="7937" width="20.28515625" style="1" customWidth="1"/>
    <col min="7938" max="7938" width="21.7109375" style="1" customWidth="1"/>
    <col min="7939" max="7939" width="22" style="1" customWidth="1"/>
    <col min="7940" max="7940" width="17.140625" style="1" customWidth="1"/>
    <col min="7941" max="7941" width="21.42578125" style="1" customWidth="1"/>
    <col min="7942" max="7942" width="19.5703125" style="1" customWidth="1"/>
    <col min="7943" max="7943" width="14.140625" style="1" bestFit="1" customWidth="1"/>
    <col min="7944" max="7944" width="8.42578125" style="1" customWidth="1"/>
    <col min="7945" max="7945" width="14.42578125" style="1" bestFit="1" customWidth="1"/>
    <col min="7946" max="7946" width="4.42578125" style="1" customWidth="1"/>
    <col min="7947" max="7947" width="14.42578125" style="1" bestFit="1" customWidth="1"/>
    <col min="7948" max="7948" width="13.42578125" style="1" customWidth="1"/>
    <col min="7949" max="7949" width="14.7109375" style="1" bestFit="1" customWidth="1"/>
    <col min="7950" max="7950" width="14.28515625" style="1" bestFit="1" customWidth="1"/>
    <col min="7951" max="7951" width="14.28515625" style="1" customWidth="1"/>
    <col min="7952" max="7952" width="14" style="1" bestFit="1" customWidth="1"/>
    <col min="7953" max="7953" width="11.5703125" style="1" bestFit="1" customWidth="1"/>
    <col min="7954" max="7954" width="13.85546875" style="1" bestFit="1" customWidth="1"/>
    <col min="7955" max="8192" width="11.42578125" style="1"/>
    <col min="8193" max="8193" width="20.28515625" style="1" customWidth="1"/>
    <col min="8194" max="8194" width="21.7109375" style="1" customWidth="1"/>
    <col min="8195" max="8195" width="22" style="1" customWidth="1"/>
    <col min="8196" max="8196" width="17.140625" style="1" customWidth="1"/>
    <col min="8197" max="8197" width="21.42578125" style="1" customWidth="1"/>
    <col min="8198" max="8198" width="19.5703125" style="1" customWidth="1"/>
    <col min="8199" max="8199" width="14.140625" style="1" bestFit="1" customWidth="1"/>
    <col min="8200" max="8200" width="8.42578125" style="1" customWidth="1"/>
    <col min="8201" max="8201" width="14.42578125" style="1" bestFit="1" customWidth="1"/>
    <col min="8202" max="8202" width="4.42578125" style="1" customWidth="1"/>
    <col min="8203" max="8203" width="14.42578125" style="1" bestFit="1" customWidth="1"/>
    <col min="8204" max="8204" width="13.42578125" style="1" customWidth="1"/>
    <col min="8205" max="8205" width="14.7109375" style="1" bestFit="1" customWidth="1"/>
    <col min="8206" max="8206" width="14.28515625" style="1" bestFit="1" customWidth="1"/>
    <col min="8207" max="8207" width="14.28515625" style="1" customWidth="1"/>
    <col min="8208" max="8208" width="14" style="1" bestFit="1" customWidth="1"/>
    <col min="8209" max="8209" width="11.5703125" style="1" bestFit="1" customWidth="1"/>
    <col min="8210" max="8210" width="13.85546875" style="1" bestFit="1" customWidth="1"/>
    <col min="8211" max="8448" width="11.42578125" style="1"/>
    <col min="8449" max="8449" width="20.28515625" style="1" customWidth="1"/>
    <col min="8450" max="8450" width="21.7109375" style="1" customWidth="1"/>
    <col min="8451" max="8451" width="22" style="1" customWidth="1"/>
    <col min="8452" max="8452" width="17.140625" style="1" customWidth="1"/>
    <col min="8453" max="8453" width="21.42578125" style="1" customWidth="1"/>
    <col min="8454" max="8454" width="19.5703125" style="1" customWidth="1"/>
    <col min="8455" max="8455" width="14.140625" style="1" bestFit="1" customWidth="1"/>
    <col min="8456" max="8456" width="8.42578125" style="1" customWidth="1"/>
    <col min="8457" max="8457" width="14.42578125" style="1" bestFit="1" customWidth="1"/>
    <col min="8458" max="8458" width="4.42578125" style="1" customWidth="1"/>
    <col min="8459" max="8459" width="14.42578125" style="1" bestFit="1" customWidth="1"/>
    <col min="8460" max="8460" width="13.42578125" style="1" customWidth="1"/>
    <col min="8461" max="8461" width="14.7109375" style="1" bestFit="1" customWidth="1"/>
    <col min="8462" max="8462" width="14.28515625" style="1" bestFit="1" customWidth="1"/>
    <col min="8463" max="8463" width="14.28515625" style="1" customWidth="1"/>
    <col min="8464" max="8464" width="14" style="1" bestFit="1" customWidth="1"/>
    <col min="8465" max="8465" width="11.5703125" style="1" bestFit="1" customWidth="1"/>
    <col min="8466" max="8466" width="13.85546875" style="1" bestFit="1" customWidth="1"/>
    <col min="8467" max="8704" width="11.42578125" style="1"/>
    <col min="8705" max="8705" width="20.28515625" style="1" customWidth="1"/>
    <col min="8706" max="8706" width="21.7109375" style="1" customWidth="1"/>
    <col min="8707" max="8707" width="22" style="1" customWidth="1"/>
    <col min="8708" max="8708" width="17.140625" style="1" customWidth="1"/>
    <col min="8709" max="8709" width="21.42578125" style="1" customWidth="1"/>
    <col min="8710" max="8710" width="19.5703125" style="1" customWidth="1"/>
    <col min="8711" max="8711" width="14.140625" style="1" bestFit="1" customWidth="1"/>
    <col min="8712" max="8712" width="8.42578125" style="1" customWidth="1"/>
    <col min="8713" max="8713" width="14.42578125" style="1" bestFit="1" customWidth="1"/>
    <col min="8714" max="8714" width="4.42578125" style="1" customWidth="1"/>
    <col min="8715" max="8715" width="14.42578125" style="1" bestFit="1" customWidth="1"/>
    <col min="8716" max="8716" width="13.42578125" style="1" customWidth="1"/>
    <col min="8717" max="8717" width="14.7109375" style="1" bestFit="1" customWidth="1"/>
    <col min="8718" max="8718" width="14.28515625" style="1" bestFit="1" customWidth="1"/>
    <col min="8719" max="8719" width="14.28515625" style="1" customWidth="1"/>
    <col min="8720" max="8720" width="14" style="1" bestFit="1" customWidth="1"/>
    <col min="8721" max="8721" width="11.5703125" style="1" bestFit="1" customWidth="1"/>
    <col min="8722" max="8722" width="13.85546875" style="1" bestFit="1" customWidth="1"/>
    <col min="8723" max="8960" width="11.42578125" style="1"/>
    <col min="8961" max="8961" width="20.28515625" style="1" customWidth="1"/>
    <col min="8962" max="8962" width="21.7109375" style="1" customWidth="1"/>
    <col min="8963" max="8963" width="22" style="1" customWidth="1"/>
    <col min="8964" max="8964" width="17.140625" style="1" customWidth="1"/>
    <col min="8965" max="8965" width="21.42578125" style="1" customWidth="1"/>
    <col min="8966" max="8966" width="19.5703125" style="1" customWidth="1"/>
    <col min="8967" max="8967" width="14.140625" style="1" bestFit="1" customWidth="1"/>
    <col min="8968" max="8968" width="8.42578125" style="1" customWidth="1"/>
    <col min="8969" max="8969" width="14.42578125" style="1" bestFit="1" customWidth="1"/>
    <col min="8970" max="8970" width="4.42578125" style="1" customWidth="1"/>
    <col min="8971" max="8971" width="14.42578125" style="1" bestFit="1" customWidth="1"/>
    <col min="8972" max="8972" width="13.42578125" style="1" customWidth="1"/>
    <col min="8973" max="8973" width="14.7109375" style="1" bestFit="1" customWidth="1"/>
    <col min="8974" max="8974" width="14.28515625" style="1" bestFit="1" customWidth="1"/>
    <col min="8975" max="8975" width="14.28515625" style="1" customWidth="1"/>
    <col min="8976" max="8976" width="14" style="1" bestFit="1" customWidth="1"/>
    <col min="8977" max="8977" width="11.5703125" style="1" bestFit="1" customWidth="1"/>
    <col min="8978" max="8978" width="13.85546875" style="1" bestFit="1" customWidth="1"/>
    <col min="8979" max="9216" width="11.42578125" style="1"/>
    <col min="9217" max="9217" width="20.28515625" style="1" customWidth="1"/>
    <col min="9218" max="9218" width="21.7109375" style="1" customWidth="1"/>
    <col min="9219" max="9219" width="22" style="1" customWidth="1"/>
    <col min="9220" max="9220" width="17.140625" style="1" customWidth="1"/>
    <col min="9221" max="9221" width="21.42578125" style="1" customWidth="1"/>
    <col min="9222" max="9222" width="19.5703125" style="1" customWidth="1"/>
    <col min="9223" max="9223" width="14.140625" style="1" bestFit="1" customWidth="1"/>
    <col min="9224" max="9224" width="8.42578125" style="1" customWidth="1"/>
    <col min="9225" max="9225" width="14.42578125" style="1" bestFit="1" customWidth="1"/>
    <col min="9226" max="9226" width="4.42578125" style="1" customWidth="1"/>
    <col min="9227" max="9227" width="14.42578125" style="1" bestFit="1" customWidth="1"/>
    <col min="9228" max="9228" width="13.42578125" style="1" customWidth="1"/>
    <col min="9229" max="9229" width="14.7109375" style="1" bestFit="1" customWidth="1"/>
    <col min="9230" max="9230" width="14.28515625" style="1" bestFit="1" customWidth="1"/>
    <col min="9231" max="9231" width="14.28515625" style="1" customWidth="1"/>
    <col min="9232" max="9232" width="14" style="1" bestFit="1" customWidth="1"/>
    <col min="9233" max="9233" width="11.5703125" style="1" bestFit="1" customWidth="1"/>
    <col min="9234" max="9234" width="13.85546875" style="1" bestFit="1" customWidth="1"/>
    <col min="9235" max="9472" width="11.42578125" style="1"/>
    <col min="9473" max="9473" width="20.28515625" style="1" customWidth="1"/>
    <col min="9474" max="9474" width="21.7109375" style="1" customWidth="1"/>
    <col min="9475" max="9475" width="22" style="1" customWidth="1"/>
    <col min="9476" max="9476" width="17.140625" style="1" customWidth="1"/>
    <col min="9477" max="9477" width="21.42578125" style="1" customWidth="1"/>
    <col min="9478" max="9478" width="19.5703125" style="1" customWidth="1"/>
    <col min="9479" max="9479" width="14.140625" style="1" bestFit="1" customWidth="1"/>
    <col min="9480" max="9480" width="8.42578125" style="1" customWidth="1"/>
    <col min="9481" max="9481" width="14.42578125" style="1" bestFit="1" customWidth="1"/>
    <col min="9482" max="9482" width="4.42578125" style="1" customWidth="1"/>
    <col min="9483" max="9483" width="14.42578125" style="1" bestFit="1" customWidth="1"/>
    <col min="9484" max="9484" width="13.42578125" style="1" customWidth="1"/>
    <col min="9485" max="9485" width="14.7109375" style="1" bestFit="1" customWidth="1"/>
    <col min="9486" max="9486" width="14.28515625" style="1" bestFit="1" customWidth="1"/>
    <col min="9487" max="9487" width="14.28515625" style="1" customWidth="1"/>
    <col min="9488" max="9488" width="14" style="1" bestFit="1" customWidth="1"/>
    <col min="9489" max="9489" width="11.5703125" style="1" bestFit="1" customWidth="1"/>
    <col min="9490" max="9490" width="13.85546875" style="1" bestFit="1" customWidth="1"/>
    <col min="9491" max="9728" width="11.42578125" style="1"/>
    <col min="9729" max="9729" width="20.28515625" style="1" customWidth="1"/>
    <col min="9730" max="9730" width="21.7109375" style="1" customWidth="1"/>
    <col min="9731" max="9731" width="22" style="1" customWidth="1"/>
    <col min="9732" max="9732" width="17.140625" style="1" customWidth="1"/>
    <col min="9733" max="9733" width="21.42578125" style="1" customWidth="1"/>
    <col min="9734" max="9734" width="19.5703125" style="1" customWidth="1"/>
    <col min="9735" max="9735" width="14.140625" style="1" bestFit="1" customWidth="1"/>
    <col min="9736" max="9736" width="8.42578125" style="1" customWidth="1"/>
    <col min="9737" max="9737" width="14.42578125" style="1" bestFit="1" customWidth="1"/>
    <col min="9738" max="9738" width="4.42578125" style="1" customWidth="1"/>
    <col min="9739" max="9739" width="14.42578125" style="1" bestFit="1" customWidth="1"/>
    <col min="9740" max="9740" width="13.42578125" style="1" customWidth="1"/>
    <col min="9741" max="9741" width="14.7109375" style="1" bestFit="1" customWidth="1"/>
    <col min="9742" max="9742" width="14.28515625" style="1" bestFit="1" customWidth="1"/>
    <col min="9743" max="9743" width="14.28515625" style="1" customWidth="1"/>
    <col min="9744" max="9744" width="14" style="1" bestFit="1" customWidth="1"/>
    <col min="9745" max="9745" width="11.5703125" style="1" bestFit="1" customWidth="1"/>
    <col min="9746" max="9746" width="13.85546875" style="1" bestFit="1" customWidth="1"/>
    <col min="9747" max="9984" width="11.42578125" style="1"/>
    <col min="9985" max="9985" width="20.28515625" style="1" customWidth="1"/>
    <col min="9986" max="9986" width="21.7109375" style="1" customWidth="1"/>
    <col min="9987" max="9987" width="22" style="1" customWidth="1"/>
    <col min="9988" max="9988" width="17.140625" style="1" customWidth="1"/>
    <col min="9989" max="9989" width="21.42578125" style="1" customWidth="1"/>
    <col min="9990" max="9990" width="19.5703125" style="1" customWidth="1"/>
    <col min="9991" max="9991" width="14.140625" style="1" bestFit="1" customWidth="1"/>
    <col min="9992" max="9992" width="8.42578125" style="1" customWidth="1"/>
    <col min="9993" max="9993" width="14.42578125" style="1" bestFit="1" customWidth="1"/>
    <col min="9994" max="9994" width="4.42578125" style="1" customWidth="1"/>
    <col min="9995" max="9995" width="14.42578125" style="1" bestFit="1" customWidth="1"/>
    <col min="9996" max="9996" width="13.42578125" style="1" customWidth="1"/>
    <col min="9997" max="9997" width="14.7109375" style="1" bestFit="1" customWidth="1"/>
    <col min="9998" max="9998" width="14.28515625" style="1" bestFit="1" customWidth="1"/>
    <col min="9999" max="9999" width="14.28515625" style="1" customWidth="1"/>
    <col min="10000" max="10000" width="14" style="1" bestFit="1" customWidth="1"/>
    <col min="10001" max="10001" width="11.5703125" style="1" bestFit="1" customWidth="1"/>
    <col min="10002" max="10002" width="13.85546875" style="1" bestFit="1" customWidth="1"/>
    <col min="10003" max="10240" width="11.42578125" style="1"/>
    <col min="10241" max="10241" width="20.28515625" style="1" customWidth="1"/>
    <col min="10242" max="10242" width="21.7109375" style="1" customWidth="1"/>
    <col min="10243" max="10243" width="22" style="1" customWidth="1"/>
    <col min="10244" max="10244" width="17.140625" style="1" customWidth="1"/>
    <col min="10245" max="10245" width="21.42578125" style="1" customWidth="1"/>
    <col min="10246" max="10246" width="19.5703125" style="1" customWidth="1"/>
    <col min="10247" max="10247" width="14.140625" style="1" bestFit="1" customWidth="1"/>
    <col min="10248" max="10248" width="8.42578125" style="1" customWidth="1"/>
    <col min="10249" max="10249" width="14.42578125" style="1" bestFit="1" customWidth="1"/>
    <col min="10250" max="10250" width="4.42578125" style="1" customWidth="1"/>
    <col min="10251" max="10251" width="14.42578125" style="1" bestFit="1" customWidth="1"/>
    <col min="10252" max="10252" width="13.42578125" style="1" customWidth="1"/>
    <col min="10253" max="10253" width="14.7109375" style="1" bestFit="1" customWidth="1"/>
    <col min="10254" max="10254" width="14.28515625" style="1" bestFit="1" customWidth="1"/>
    <col min="10255" max="10255" width="14.28515625" style="1" customWidth="1"/>
    <col min="10256" max="10256" width="14" style="1" bestFit="1" customWidth="1"/>
    <col min="10257" max="10257" width="11.5703125" style="1" bestFit="1" customWidth="1"/>
    <col min="10258" max="10258" width="13.85546875" style="1" bestFit="1" customWidth="1"/>
    <col min="10259" max="10496" width="11.42578125" style="1"/>
    <col min="10497" max="10497" width="20.28515625" style="1" customWidth="1"/>
    <col min="10498" max="10498" width="21.7109375" style="1" customWidth="1"/>
    <col min="10499" max="10499" width="22" style="1" customWidth="1"/>
    <col min="10500" max="10500" width="17.140625" style="1" customWidth="1"/>
    <col min="10501" max="10501" width="21.42578125" style="1" customWidth="1"/>
    <col min="10502" max="10502" width="19.5703125" style="1" customWidth="1"/>
    <col min="10503" max="10503" width="14.140625" style="1" bestFit="1" customWidth="1"/>
    <col min="10504" max="10504" width="8.42578125" style="1" customWidth="1"/>
    <col min="10505" max="10505" width="14.42578125" style="1" bestFit="1" customWidth="1"/>
    <col min="10506" max="10506" width="4.42578125" style="1" customWidth="1"/>
    <col min="10507" max="10507" width="14.42578125" style="1" bestFit="1" customWidth="1"/>
    <col min="10508" max="10508" width="13.42578125" style="1" customWidth="1"/>
    <col min="10509" max="10509" width="14.7109375" style="1" bestFit="1" customWidth="1"/>
    <col min="10510" max="10510" width="14.28515625" style="1" bestFit="1" customWidth="1"/>
    <col min="10511" max="10511" width="14.28515625" style="1" customWidth="1"/>
    <col min="10512" max="10512" width="14" style="1" bestFit="1" customWidth="1"/>
    <col min="10513" max="10513" width="11.5703125" style="1" bestFit="1" customWidth="1"/>
    <col min="10514" max="10514" width="13.85546875" style="1" bestFit="1" customWidth="1"/>
    <col min="10515" max="10752" width="11.42578125" style="1"/>
    <col min="10753" max="10753" width="20.28515625" style="1" customWidth="1"/>
    <col min="10754" max="10754" width="21.7109375" style="1" customWidth="1"/>
    <col min="10755" max="10755" width="22" style="1" customWidth="1"/>
    <col min="10756" max="10756" width="17.140625" style="1" customWidth="1"/>
    <col min="10757" max="10757" width="21.42578125" style="1" customWidth="1"/>
    <col min="10758" max="10758" width="19.5703125" style="1" customWidth="1"/>
    <col min="10759" max="10759" width="14.140625" style="1" bestFit="1" customWidth="1"/>
    <col min="10760" max="10760" width="8.42578125" style="1" customWidth="1"/>
    <col min="10761" max="10761" width="14.42578125" style="1" bestFit="1" customWidth="1"/>
    <col min="10762" max="10762" width="4.42578125" style="1" customWidth="1"/>
    <col min="10763" max="10763" width="14.42578125" style="1" bestFit="1" customWidth="1"/>
    <col min="10764" max="10764" width="13.42578125" style="1" customWidth="1"/>
    <col min="10765" max="10765" width="14.7109375" style="1" bestFit="1" customWidth="1"/>
    <col min="10766" max="10766" width="14.28515625" style="1" bestFit="1" customWidth="1"/>
    <col min="10767" max="10767" width="14.28515625" style="1" customWidth="1"/>
    <col min="10768" max="10768" width="14" style="1" bestFit="1" customWidth="1"/>
    <col min="10769" max="10769" width="11.5703125" style="1" bestFit="1" customWidth="1"/>
    <col min="10770" max="10770" width="13.85546875" style="1" bestFit="1" customWidth="1"/>
    <col min="10771" max="11008" width="11.42578125" style="1"/>
    <col min="11009" max="11009" width="20.28515625" style="1" customWidth="1"/>
    <col min="11010" max="11010" width="21.7109375" style="1" customWidth="1"/>
    <col min="11011" max="11011" width="22" style="1" customWidth="1"/>
    <col min="11012" max="11012" width="17.140625" style="1" customWidth="1"/>
    <col min="11013" max="11013" width="21.42578125" style="1" customWidth="1"/>
    <col min="11014" max="11014" width="19.5703125" style="1" customWidth="1"/>
    <col min="11015" max="11015" width="14.140625" style="1" bestFit="1" customWidth="1"/>
    <col min="11016" max="11016" width="8.42578125" style="1" customWidth="1"/>
    <col min="11017" max="11017" width="14.42578125" style="1" bestFit="1" customWidth="1"/>
    <col min="11018" max="11018" width="4.42578125" style="1" customWidth="1"/>
    <col min="11019" max="11019" width="14.42578125" style="1" bestFit="1" customWidth="1"/>
    <col min="11020" max="11020" width="13.42578125" style="1" customWidth="1"/>
    <col min="11021" max="11021" width="14.7109375" style="1" bestFit="1" customWidth="1"/>
    <col min="11022" max="11022" width="14.28515625" style="1" bestFit="1" customWidth="1"/>
    <col min="11023" max="11023" width="14.28515625" style="1" customWidth="1"/>
    <col min="11024" max="11024" width="14" style="1" bestFit="1" customWidth="1"/>
    <col min="11025" max="11025" width="11.5703125" style="1" bestFit="1" customWidth="1"/>
    <col min="11026" max="11026" width="13.85546875" style="1" bestFit="1" customWidth="1"/>
    <col min="11027" max="11264" width="11.42578125" style="1"/>
    <col min="11265" max="11265" width="20.28515625" style="1" customWidth="1"/>
    <col min="11266" max="11266" width="21.7109375" style="1" customWidth="1"/>
    <col min="11267" max="11267" width="22" style="1" customWidth="1"/>
    <col min="11268" max="11268" width="17.140625" style="1" customWidth="1"/>
    <col min="11269" max="11269" width="21.42578125" style="1" customWidth="1"/>
    <col min="11270" max="11270" width="19.5703125" style="1" customWidth="1"/>
    <col min="11271" max="11271" width="14.140625" style="1" bestFit="1" customWidth="1"/>
    <col min="11272" max="11272" width="8.42578125" style="1" customWidth="1"/>
    <col min="11273" max="11273" width="14.42578125" style="1" bestFit="1" customWidth="1"/>
    <col min="11274" max="11274" width="4.42578125" style="1" customWidth="1"/>
    <col min="11275" max="11275" width="14.42578125" style="1" bestFit="1" customWidth="1"/>
    <col min="11276" max="11276" width="13.42578125" style="1" customWidth="1"/>
    <col min="11277" max="11277" width="14.7109375" style="1" bestFit="1" customWidth="1"/>
    <col min="11278" max="11278" width="14.28515625" style="1" bestFit="1" customWidth="1"/>
    <col min="11279" max="11279" width="14.28515625" style="1" customWidth="1"/>
    <col min="11280" max="11280" width="14" style="1" bestFit="1" customWidth="1"/>
    <col min="11281" max="11281" width="11.5703125" style="1" bestFit="1" customWidth="1"/>
    <col min="11282" max="11282" width="13.85546875" style="1" bestFit="1" customWidth="1"/>
    <col min="11283" max="11520" width="11.42578125" style="1"/>
    <col min="11521" max="11521" width="20.28515625" style="1" customWidth="1"/>
    <col min="11522" max="11522" width="21.7109375" style="1" customWidth="1"/>
    <col min="11523" max="11523" width="22" style="1" customWidth="1"/>
    <col min="11524" max="11524" width="17.140625" style="1" customWidth="1"/>
    <col min="11525" max="11525" width="21.42578125" style="1" customWidth="1"/>
    <col min="11526" max="11526" width="19.5703125" style="1" customWidth="1"/>
    <col min="11527" max="11527" width="14.140625" style="1" bestFit="1" customWidth="1"/>
    <col min="11528" max="11528" width="8.42578125" style="1" customWidth="1"/>
    <col min="11529" max="11529" width="14.42578125" style="1" bestFit="1" customWidth="1"/>
    <col min="11530" max="11530" width="4.42578125" style="1" customWidth="1"/>
    <col min="11531" max="11531" width="14.42578125" style="1" bestFit="1" customWidth="1"/>
    <col min="11532" max="11532" width="13.42578125" style="1" customWidth="1"/>
    <col min="11533" max="11533" width="14.7109375" style="1" bestFit="1" customWidth="1"/>
    <col min="11534" max="11534" width="14.28515625" style="1" bestFit="1" customWidth="1"/>
    <col min="11535" max="11535" width="14.28515625" style="1" customWidth="1"/>
    <col min="11536" max="11536" width="14" style="1" bestFit="1" customWidth="1"/>
    <col min="11537" max="11537" width="11.5703125" style="1" bestFit="1" customWidth="1"/>
    <col min="11538" max="11538" width="13.85546875" style="1" bestFit="1" customWidth="1"/>
    <col min="11539" max="11776" width="11.42578125" style="1"/>
    <col min="11777" max="11777" width="20.28515625" style="1" customWidth="1"/>
    <col min="11778" max="11778" width="21.7109375" style="1" customWidth="1"/>
    <col min="11779" max="11779" width="22" style="1" customWidth="1"/>
    <col min="11780" max="11780" width="17.140625" style="1" customWidth="1"/>
    <col min="11781" max="11781" width="21.42578125" style="1" customWidth="1"/>
    <col min="11782" max="11782" width="19.5703125" style="1" customWidth="1"/>
    <col min="11783" max="11783" width="14.140625" style="1" bestFit="1" customWidth="1"/>
    <col min="11784" max="11784" width="8.42578125" style="1" customWidth="1"/>
    <col min="11785" max="11785" width="14.42578125" style="1" bestFit="1" customWidth="1"/>
    <col min="11786" max="11786" width="4.42578125" style="1" customWidth="1"/>
    <col min="11787" max="11787" width="14.42578125" style="1" bestFit="1" customWidth="1"/>
    <col min="11788" max="11788" width="13.42578125" style="1" customWidth="1"/>
    <col min="11789" max="11789" width="14.7109375" style="1" bestFit="1" customWidth="1"/>
    <col min="11790" max="11790" width="14.28515625" style="1" bestFit="1" customWidth="1"/>
    <col min="11791" max="11791" width="14.28515625" style="1" customWidth="1"/>
    <col min="11792" max="11792" width="14" style="1" bestFit="1" customWidth="1"/>
    <col min="11793" max="11793" width="11.5703125" style="1" bestFit="1" customWidth="1"/>
    <col min="11794" max="11794" width="13.85546875" style="1" bestFit="1" customWidth="1"/>
    <col min="11795" max="12032" width="11.42578125" style="1"/>
    <col min="12033" max="12033" width="20.28515625" style="1" customWidth="1"/>
    <col min="12034" max="12034" width="21.7109375" style="1" customWidth="1"/>
    <col min="12035" max="12035" width="22" style="1" customWidth="1"/>
    <col min="12036" max="12036" width="17.140625" style="1" customWidth="1"/>
    <col min="12037" max="12037" width="21.42578125" style="1" customWidth="1"/>
    <col min="12038" max="12038" width="19.5703125" style="1" customWidth="1"/>
    <col min="12039" max="12039" width="14.140625" style="1" bestFit="1" customWidth="1"/>
    <col min="12040" max="12040" width="8.42578125" style="1" customWidth="1"/>
    <col min="12041" max="12041" width="14.42578125" style="1" bestFit="1" customWidth="1"/>
    <col min="12042" max="12042" width="4.42578125" style="1" customWidth="1"/>
    <col min="12043" max="12043" width="14.42578125" style="1" bestFit="1" customWidth="1"/>
    <col min="12044" max="12044" width="13.42578125" style="1" customWidth="1"/>
    <col min="12045" max="12045" width="14.7109375" style="1" bestFit="1" customWidth="1"/>
    <col min="12046" max="12046" width="14.28515625" style="1" bestFit="1" customWidth="1"/>
    <col min="12047" max="12047" width="14.28515625" style="1" customWidth="1"/>
    <col min="12048" max="12048" width="14" style="1" bestFit="1" customWidth="1"/>
    <col min="12049" max="12049" width="11.5703125" style="1" bestFit="1" customWidth="1"/>
    <col min="12050" max="12050" width="13.85546875" style="1" bestFit="1" customWidth="1"/>
    <col min="12051" max="12288" width="11.42578125" style="1"/>
    <col min="12289" max="12289" width="20.28515625" style="1" customWidth="1"/>
    <col min="12290" max="12290" width="21.7109375" style="1" customWidth="1"/>
    <col min="12291" max="12291" width="22" style="1" customWidth="1"/>
    <col min="12292" max="12292" width="17.140625" style="1" customWidth="1"/>
    <col min="12293" max="12293" width="21.42578125" style="1" customWidth="1"/>
    <col min="12294" max="12294" width="19.5703125" style="1" customWidth="1"/>
    <col min="12295" max="12295" width="14.140625" style="1" bestFit="1" customWidth="1"/>
    <col min="12296" max="12296" width="8.42578125" style="1" customWidth="1"/>
    <col min="12297" max="12297" width="14.42578125" style="1" bestFit="1" customWidth="1"/>
    <col min="12298" max="12298" width="4.42578125" style="1" customWidth="1"/>
    <col min="12299" max="12299" width="14.42578125" style="1" bestFit="1" customWidth="1"/>
    <col min="12300" max="12300" width="13.42578125" style="1" customWidth="1"/>
    <col min="12301" max="12301" width="14.7109375" style="1" bestFit="1" customWidth="1"/>
    <col min="12302" max="12302" width="14.28515625" style="1" bestFit="1" customWidth="1"/>
    <col min="12303" max="12303" width="14.28515625" style="1" customWidth="1"/>
    <col min="12304" max="12304" width="14" style="1" bestFit="1" customWidth="1"/>
    <col min="12305" max="12305" width="11.5703125" style="1" bestFit="1" customWidth="1"/>
    <col min="12306" max="12306" width="13.85546875" style="1" bestFit="1" customWidth="1"/>
    <col min="12307" max="12544" width="11.42578125" style="1"/>
    <col min="12545" max="12545" width="20.28515625" style="1" customWidth="1"/>
    <col min="12546" max="12546" width="21.7109375" style="1" customWidth="1"/>
    <col min="12547" max="12547" width="22" style="1" customWidth="1"/>
    <col min="12548" max="12548" width="17.140625" style="1" customWidth="1"/>
    <col min="12549" max="12549" width="21.42578125" style="1" customWidth="1"/>
    <col min="12550" max="12550" width="19.5703125" style="1" customWidth="1"/>
    <col min="12551" max="12551" width="14.140625" style="1" bestFit="1" customWidth="1"/>
    <col min="12552" max="12552" width="8.42578125" style="1" customWidth="1"/>
    <col min="12553" max="12553" width="14.42578125" style="1" bestFit="1" customWidth="1"/>
    <col min="12554" max="12554" width="4.42578125" style="1" customWidth="1"/>
    <col min="12555" max="12555" width="14.42578125" style="1" bestFit="1" customWidth="1"/>
    <col min="12556" max="12556" width="13.42578125" style="1" customWidth="1"/>
    <col min="12557" max="12557" width="14.7109375" style="1" bestFit="1" customWidth="1"/>
    <col min="12558" max="12558" width="14.28515625" style="1" bestFit="1" customWidth="1"/>
    <col min="12559" max="12559" width="14.28515625" style="1" customWidth="1"/>
    <col min="12560" max="12560" width="14" style="1" bestFit="1" customWidth="1"/>
    <col min="12561" max="12561" width="11.5703125" style="1" bestFit="1" customWidth="1"/>
    <col min="12562" max="12562" width="13.85546875" style="1" bestFit="1" customWidth="1"/>
    <col min="12563" max="12800" width="11.42578125" style="1"/>
    <col min="12801" max="12801" width="20.28515625" style="1" customWidth="1"/>
    <col min="12802" max="12802" width="21.7109375" style="1" customWidth="1"/>
    <col min="12803" max="12803" width="22" style="1" customWidth="1"/>
    <col min="12804" max="12804" width="17.140625" style="1" customWidth="1"/>
    <col min="12805" max="12805" width="21.42578125" style="1" customWidth="1"/>
    <col min="12806" max="12806" width="19.5703125" style="1" customWidth="1"/>
    <col min="12807" max="12807" width="14.140625" style="1" bestFit="1" customWidth="1"/>
    <col min="12808" max="12808" width="8.42578125" style="1" customWidth="1"/>
    <col min="12809" max="12809" width="14.42578125" style="1" bestFit="1" customWidth="1"/>
    <col min="12810" max="12810" width="4.42578125" style="1" customWidth="1"/>
    <col min="12811" max="12811" width="14.42578125" style="1" bestFit="1" customWidth="1"/>
    <col min="12812" max="12812" width="13.42578125" style="1" customWidth="1"/>
    <col min="12813" max="12813" width="14.7109375" style="1" bestFit="1" customWidth="1"/>
    <col min="12814" max="12814" width="14.28515625" style="1" bestFit="1" customWidth="1"/>
    <col min="12815" max="12815" width="14.28515625" style="1" customWidth="1"/>
    <col min="12816" max="12816" width="14" style="1" bestFit="1" customWidth="1"/>
    <col min="12817" max="12817" width="11.5703125" style="1" bestFit="1" customWidth="1"/>
    <col min="12818" max="12818" width="13.85546875" style="1" bestFit="1" customWidth="1"/>
    <col min="12819" max="13056" width="11.42578125" style="1"/>
    <col min="13057" max="13057" width="20.28515625" style="1" customWidth="1"/>
    <col min="13058" max="13058" width="21.7109375" style="1" customWidth="1"/>
    <col min="13059" max="13059" width="22" style="1" customWidth="1"/>
    <col min="13060" max="13060" width="17.140625" style="1" customWidth="1"/>
    <col min="13061" max="13061" width="21.42578125" style="1" customWidth="1"/>
    <col min="13062" max="13062" width="19.5703125" style="1" customWidth="1"/>
    <col min="13063" max="13063" width="14.140625" style="1" bestFit="1" customWidth="1"/>
    <col min="13064" max="13064" width="8.42578125" style="1" customWidth="1"/>
    <col min="13065" max="13065" width="14.42578125" style="1" bestFit="1" customWidth="1"/>
    <col min="13066" max="13066" width="4.42578125" style="1" customWidth="1"/>
    <col min="13067" max="13067" width="14.42578125" style="1" bestFit="1" customWidth="1"/>
    <col min="13068" max="13068" width="13.42578125" style="1" customWidth="1"/>
    <col min="13069" max="13069" width="14.7109375" style="1" bestFit="1" customWidth="1"/>
    <col min="13070" max="13070" width="14.28515625" style="1" bestFit="1" customWidth="1"/>
    <col min="13071" max="13071" width="14.28515625" style="1" customWidth="1"/>
    <col min="13072" max="13072" width="14" style="1" bestFit="1" customWidth="1"/>
    <col min="13073" max="13073" width="11.5703125" style="1" bestFit="1" customWidth="1"/>
    <col min="13074" max="13074" width="13.85546875" style="1" bestFit="1" customWidth="1"/>
    <col min="13075" max="13312" width="11.42578125" style="1"/>
    <col min="13313" max="13313" width="20.28515625" style="1" customWidth="1"/>
    <col min="13314" max="13314" width="21.7109375" style="1" customWidth="1"/>
    <col min="13315" max="13315" width="22" style="1" customWidth="1"/>
    <col min="13316" max="13316" width="17.140625" style="1" customWidth="1"/>
    <col min="13317" max="13317" width="21.42578125" style="1" customWidth="1"/>
    <col min="13318" max="13318" width="19.5703125" style="1" customWidth="1"/>
    <col min="13319" max="13319" width="14.140625" style="1" bestFit="1" customWidth="1"/>
    <col min="13320" max="13320" width="8.42578125" style="1" customWidth="1"/>
    <col min="13321" max="13321" width="14.42578125" style="1" bestFit="1" customWidth="1"/>
    <col min="13322" max="13322" width="4.42578125" style="1" customWidth="1"/>
    <col min="13323" max="13323" width="14.42578125" style="1" bestFit="1" customWidth="1"/>
    <col min="13324" max="13324" width="13.42578125" style="1" customWidth="1"/>
    <col min="13325" max="13325" width="14.7109375" style="1" bestFit="1" customWidth="1"/>
    <col min="13326" max="13326" width="14.28515625" style="1" bestFit="1" customWidth="1"/>
    <col min="13327" max="13327" width="14.28515625" style="1" customWidth="1"/>
    <col min="13328" max="13328" width="14" style="1" bestFit="1" customWidth="1"/>
    <col min="13329" max="13329" width="11.5703125" style="1" bestFit="1" customWidth="1"/>
    <col min="13330" max="13330" width="13.85546875" style="1" bestFit="1" customWidth="1"/>
    <col min="13331" max="13568" width="11.42578125" style="1"/>
    <col min="13569" max="13569" width="20.28515625" style="1" customWidth="1"/>
    <col min="13570" max="13570" width="21.7109375" style="1" customWidth="1"/>
    <col min="13571" max="13571" width="22" style="1" customWidth="1"/>
    <col min="13572" max="13572" width="17.140625" style="1" customWidth="1"/>
    <col min="13573" max="13573" width="21.42578125" style="1" customWidth="1"/>
    <col min="13574" max="13574" width="19.5703125" style="1" customWidth="1"/>
    <col min="13575" max="13575" width="14.140625" style="1" bestFit="1" customWidth="1"/>
    <col min="13576" max="13576" width="8.42578125" style="1" customWidth="1"/>
    <col min="13577" max="13577" width="14.42578125" style="1" bestFit="1" customWidth="1"/>
    <col min="13578" max="13578" width="4.42578125" style="1" customWidth="1"/>
    <col min="13579" max="13579" width="14.42578125" style="1" bestFit="1" customWidth="1"/>
    <col min="13580" max="13580" width="13.42578125" style="1" customWidth="1"/>
    <col min="13581" max="13581" width="14.7109375" style="1" bestFit="1" customWidth="1"/>
    <col min="13582" max="13582" width="14.28515625" style="1" bestFit="1" customWidth="1"/>
    <col min="13583" max="13583" width="14.28515625" style="1" customWidth="1"/>
    <col min="13584" max="13584" width="14" style="1" bestFit="1" customWidth="1"/>
    <col min="13585" max="13585" width="11.5703125" style="1" bestFit="1" customWidth="1"/>
    <col min="13586" max="13586" width="13.85546875" style="1" bestFit="1" customWidth="1"/>
    <col min="13587" max="13824" width="11.42578125" style="1"/>
    <col min="13825" max="13825" width="20.28515625" style="1" customWidth="1"/>
    <col min="13826" max="13826" width="21.7109375" style="1" customWidth="1"/>
    <col min="13827" max="13827" width="22" style="1" customWidth="1"/>
    <col min="13828" max="13828" width="17.140625" style="1" customWidth="1"/>
    <col min="13829" max="13829" width="21.42578125" style="1" customWidth="1"/>
    <col min="13830" max="13830" width="19.5703125" style="1" customWidth="1"/>
    <col min="13831" max="13831" width="14.140625" style="1" bestFit="1" customWidth="1"/>
    <col min="13832" max="13832" width="8.42578125" style="1" customWidth="1"/>
    <col min="13833" max="13833" width="14.42578125" style="1" bestFit="1" customWidth="1"/>
    <col min="13834" max="13834" width="4.42578125" style="1" customWidth="1"/>
    <col min="13835" max="13835" width="14.42578125" style="1" bestFit="1" customWidth="1"/>
    <col min="13836" max="13836" width="13.42578125" style="1" customWidth="1"/>
    <col min="13837" max="13837" width="14.7109375" style="1" bestFit="1" customWidth="1"/>
    <col min="13838" max="13838" width="14.28515625" style="1" bestFit="1" customWidth="1"/>
    <col min="13839" max="13839" width="14.28515625" style="1" customWidth="1"/>
    <col min="13840" max="13840" width="14" style="1" bestFit="1" customWidth="1"/>
    <col min="13841" max="13841" width="11.5703125" style="1" bestFit="1" customWidth="1"/>
    <col min="13842" max="13842" width="13.85546875" style="1" bestFit="1" customWidth="1"/>
    <col min="13843" max="14080" width="11.42578125" style="1"/>
    <col min="14081" max="14081" width="20.28515625" style="1" customWidth="1"/>
    <col min="14082" max="14082" width="21.7109375" style="1" customWidth="1"/>
    <col min="14083" max="14083" width="22" style="1" customWidth="1"/>
    <col min="14084" max="14084" width="17.140625" style="1" customWidth="1"/>
    <col min="14085" max="14085" width="21.42578125" style="1" customWidth="1"/>
    <col min="14086" max="14086" width="19.5703125" style="1" customWidth="1"/>
    <col min="14087" max="14087" width="14.140625" style="1" bestFit="1" customWidth="1"/>
    <col min="14088" max="14088" width="8.42578125" style="1" customWidth="1"/>
    <col min="14089" max="14089" width="14.42578125" style="1" bestFit="1" customWidth="1"/>
    <col min="14090" max="14090" width="4.42578125" style="1" customWidth="1"/>
    <col min="14091" max="14091" width="14.42578125" style="1" bestFit="1" customWidth="1"/>
    <col min="14092" max="14092" width="13.42578125" style="1" customWidth="1"/>
    <col min="14093" max="14093" width="14.7109375" style="1" bestFit="1" customWidth="1"/>
    <col min="14094" max="14094" width="14.28515625" style="1" bestFit="1" customWidth="1"/>
    <col min="14095" max="14095" width="14.28515625" style="1" customWidth="1"/>
    <col min="14096" max="14096" width="14" style="1" bestFit="1" customWidth="1"/>
    <col min="14097" max="14097" width="11.5703125" style="1" bestFit="1" customWidth="1"/>
    <col min="14098" max="14098" width="13.85546875" style="1" bestFit="1" customWidth="1"/>
    <col min="14099" max="14336" width="11.42578125" style="1"/>
    <col min="14337" max="14337" width="20.28515625" style="1" customWidth="1"/>
    <col min="14338" max="14338" width="21.7109375" style="1" customWidth="1"/>
    <col min="14339" max="14339" width="22" style="1" customWidth="1"/>
    <col min="14340" max="14340" width="17.140625" style="1" customWidth="1"/>
    <col min="14341" max="14341" width="21.42578125" style="1" customWidth="1"/>
    <col min="14342" max="14342" width="19.5703125" style="1" customWidth="1"/>
    <col min="14343" max="14343" width="14.140625" style="1" bestFit="1" customWidth="1"/>
    <col min="14344" max="14344" width="8.42578125" style="1" customWidth="1"/>
    <col min="14345" max="14345" width="14.42578125" style="1" bestFit="1" customWidth="1"/>
    <col min="14346" max="14346" width="4.42578125" style="1" customWidth="1"/>
    <col min="14347" max="14347" width="14.42578125" style="1" bestFit="1" customWidth="1"/>
    <col min="14348" max="14348" width="13.42578125" style="1" customWidth="1"/>
    <col min="14349" max="14349" width="14.7109375" style="1" bestFit="1" customWidth="1"/>
    <col min="14350" max="14350" width="14.28515625" style="1" bestFit="1" customWidth="1"/>
    <col min="14351" max="14351" width="14.28515625" style="1" customWidth="1"/>
    <col min="14352" max="14352" width="14" style="1" bestFit="1" customWidth="1"/>
    <col min="14353" max="14353" width="11.5703125" style="1" bestFit="1" customWidth="1"/>
    <col min="14354" max="14354" width="13.85546875" style="1" bestFit="1" customWidth="1"/>
    <col min="14355" max="14592" width="11.42578125" style="1"/>
    <col min="14593" max="14593" width="20.28515625" style="1" customWidth="1"/>
    <col min="14594" max="14594" width="21.7109375" style="1" customWidth="1"/>
    <col min="14595" max="14595" width="22" style="1" customWidth="1"/>
    <col min="14596" max="14596" width="17.140625" style="1" customWidth="1"/>
    <col min="14597" max="14597" width="21.42578125" style="1" customWidth="1"/>
    <col min="14598" max="14598" width="19.5703125" style="1" customWidth="1"/>
    <col min="14599" max="14599" width="14.140625" style="1" bestFit="1" customWidth="1"/>
    <col min="14600" max="14600" width="8.42578125" style="1" customWidth="1"/>
    <col min="14601" max="14601" width="14.42578125" style="1" bestFit="1" customWidth="1"/>
    <col min="14602" max="14602" width="4.42578125" style="1" customWidth="1"/>
    <col min="14603" max="14603" width="14.42578125" style="1" bestFit="1" customWidth="1"/>
    <col min="14604" max="14604" width="13.42578125" style="1" customWidth="1"/>
    <col min="14605" max="14605" width="14.7109375" style="1" bestFit="1" customWidth="1"/>
    <col min="14606" max="14606" width="14.28515625" style="1" bestFit="1" customWidth="1"/>
    <col min="14607" max="14607" width="14.28515625" style="1" customWidth="1"/>
    <col min="14608" max="14608" width="14" style="1" bestFit="1" customWidth="1"/>
    <col min="14609" max="14609" width="11.5703125" style="1" bestFit="1" customWidth="1"/>
    <col min="14610" max="14610" width="13.85546875" style="1" bestFit="1" customWidth="1"/>
    <col min="14611" max="14848" width="11.42578125" style="1"/>
    <col min="14849" max="14849" width="20.28515625" style="1" customWidth="1"/>
    <col min="14850" max="14850" width="21.7109375" style="1" customWidth="1"/>
    <col min="14851" max="14851" width="22" style="1" customWidth="1"/>
    <col min="14852" max="14852" width="17.140625" style="1" customWidth="1"/>
    <col min="14853" max="14853" width="21.42578125" style="1" customWidth="1"/>
    <col min="14854" max="14854" width="19.5703125" style="1" customWidth="1"/>
    <col min="14855" max="14855" width="14.140625" style="1" bestFit="1" customWidth="1"/>
    <col min="14856" max="14856" width="8.42578125" style="1" customWidth="1"/>
    <col min="14857" max="14857" width="14.42578125" style="1" bestFit="1" customWidth="1"/>
    <col min="14858" max="14858" width="4.42578125" style="1" customWidth="1"/>
    <col min="14859" max="14859" width="14.42578125" style="1" bestFit="1" customWidth="1"/>
    <col min="14860" max="14860" width="13.42578125" style="1" customWidth="1"/>
    <col min="14861" max="14861" width="14.7109375" style="1" bestFit="1" customWidth="1"/>
    <col min="14862" max="14862" width="14.28515625" style="1" bestFit="1" customWidth="1"/>
    <col min="14863" max="14863" width="14.28515625" style="1" customWidth="1"/>
    <col min="14864" max="14864" width="14" style="1" bestFit="1" customWidth="1"/>
    <col min="14865" max="14865" width="11.5703125" style="1" bestFit="1" customWidth="1"/>
    <col min="14866" max="14866" width="13.85546875" style="1" bestFit="1" customWidth="1"/>
    <col min="14867" max="15104" width="11.42578125" style="1"/>
    <col min="15105" max="15105" width="20.28515625" style="1" customWidth="1"/>
    <col min="15106" max="15106" width="21.7109375" style="1" customWidth="1"/>
    <col min="15107" max="15107" width="22" style="1" customWidth="1"/>
    <col min="15108" max="15108" width="17.140625" style="1" customWidth="1"/>
    <col min="15109" max="15109" width="21.42578125" style="1" customWidth="1"/>
    <col min="15110" max="15110" width="19.5703125" style="1" customWidth="1"/>
    <col min="15111" max="15111" width="14.140625" style="1" bestFit="1" customWidth="1"/>
    <col min="15112" max="15112" width="8.42578125" style="1" customWidth="1"/>
    <col min="15113" max="15113" width="14.42578125" style="1" bestFit="1" customWidth="1"/>
    <col min="15114" max="15114" width="4.42578125" style="1" customWidth="1"/>
    <col min="15115" max="15115" width="14.42578125" style="1" bestFit="1" customWidth="1"/>
    <col min="15116" max="15116" width="13.42578125" style="1" customWidth="1"/>
    <col min="15117" max="15117" width="14.7109375" style="1" bestFit="1" customWidth="1"/>
    <col min="15118" max="15118" width="14.28515625" style="1" bestFit="1" customWidth="1"/>
    <col min="15119" max="15119" width="14.28515625" style="1" customWidth="1"/>
    <col min="15120" max="15120" width="14" style="1" bestFit="1" customWidth="1"/>
    <col min="15121" max="15121" width="11.5703125" style="1" bestFit="1" customWidth="1"/>
    <col min="15122" max="15122" width="13.85546875" style="1" bestFit="1" customWidth="1"/>
    <col min="15123" max="15360" width="11.42578125" style="1"/>
    <col min="15361" max="15361" width="20.28515625" style="1" customWidth="1"/>
    <col min="15362" max="15362" width="21.7109375" style="1" customWidth="1"/>
    <col min="15363" max="15363" width="22" style="1" customWidth="1"/>
    <col min="15364" max="15364" width="17.140625" style="1" customWidth="1"/>
    <col min="15365" max="15365" width="21.42578125" style="1" customWidth="1"/>
    <col min="15366" max="15366" width="19.5703125" style="1" customWidth="1"/>
    <col min="15367" max="15367" width="14.140625" style="1" bestFit="1" customWidth="1"/>
    <col min="15368" max="15368" width="8.42578125" style="1" customWidth="1"/>
    <col min="15369" max="15369" width="14.42578125" style="1" bestFit="1" customWidth="1"/>
    <col min="15370" max="15370" width="4.42578125" style="1" customWidth="1"/>
    <col min="15371" max="15371" width="14.42578125" style="1" bestFit="1" customWidth="1"/>
    <col min="15372" max="15372" width="13.42578125" style="1" customWidth="1"/>
    <col min="15373" max="15373" width="14.7109375" style="1" bestFit="1" customWidth="1"/>
    <col min="15374" max="15374" width="14.28515625" style="1" bestFit="1" customWidth="1"/>
    <col min="15375" max="15375" width="14.28515625" style="1" customWidth="1"/>
    <col min="15376" max="15376" width="14" style="1" bestFit="1" customWidth="1"/>
    <col min="15377" max="15377" width="11.5703125" style="1" bestFit="1" customWidth="1"/>
    <col min="15378" max="15378" width="13.85546875" style="1" bestFit="1" customWidth="1"/>
    <col min="15379" max="15616" width="11.42578125" style="1"/>
    <col min="15617" max="15617" width="20.28515625" style="1" customWidth="1"/>
    <col min="15618" max="15618" width="21.7109375" style="1" customWidth="1"/>
    <col min="15619" max="15619" width="22" style="1" customWidth="1"/>
    <col min="15620" max="15620" width="17.140625" style="1" customWidth="1"/>
    <col min="15621" max="15621" width="21.42578125" style="1" customWidth="1"/>
    <col min="15622" max="15622" width="19.5703125" style="1" customWidth="1"/>
    <col min="15623" max="15623" width="14.140625" style="1" bestFit="1" customWidth="1"/>
    <col min="15624" max="15624" width="8.42578125" style="1" customWidth="1"/>
    <col min="15625" max="15625" width="14.42578125" style="1" bestFit="1" customWidth="1"/>
    <col min="15626" max="15626" width="4.42578125" style="1" customWidth="1"/>
    <col min="15627" max="15627" width="14.42578125" style="1" bestFit="1" customWidth="1"/>
    <col min="15628" max="15628" width="13.42578125" style="1" customWidth="1"/>
    <col min="15629" max="15629" width="14.7109375" style="1" bestFit="1" customWidth="1"/>
    <col min="15630" max="15630" width="14.28515625" style="1" bestFit="1" customWidth="1"/>
    <col min="15631" max="15631" width="14.28515625" style="1" customWidth="1"/>
    <col min="15632" max="15632" width="14" style="1" bestFit="1" customWidth="1"/>
    <col min="15633" max="15633" width="11.5703125" style="1" bestFit="1" customWidth="1"/>
    <col min="15634" max="15634" width="13.85546875" style="1" bestFit="1" customWidth="1"/>
    <col min="15635" max="15872" width="11.42578125" style="1"/>
    <col min="15873" max="15873" width="20.28515625" style="1" customWidth="1"/>
    <col min="15874" max="15874" width="21.7109375" style="1" customWidth="1"/>
    <col min="15875" max="15875" width="22" style="1" customWidth="1"/>
    <col min="15876" max="15876" width="17.140625" style="1" customWidth="1"/>
    <col min="15877" max="15877" width="21.42578125" style="1" customWidth="1"/>
    <col min="15878" max="15878" width="19.5703125" style="1" customWidth="1"/>
    <col min="15879" max="15879" width="14.140625" style="1" bestFit="1" customWidth="1"/>
    <col min="15880" max="15880" width="8.42578125" style="1" customWidth="1"/>
    <col min="15881" max="15881" width="14.42578125" style="1" bestFit="1" customWidth="1"/>
    <col min="15882" max="15882" width="4.42578125" style="1" customWidth="1"/>
    <col min="15883" max="15883" width="14.42578125" style="1" bestFit="1" customWidth="1"/>
    <col min="15884" max="15884" width="13.42578125" style="1" customWidth="1"/>
    <col min="15885" max="15885" width="14.7109375" style="1" bestFit="1" customWidth="1"/>
    <col min="15886" max="15886" width="14.28515625" style="1" bestFit="1" customWidth="1"/>
    <col min="15887" max="15887" width="14.28515625" style="1" customWidth="1"/>
    <col min="15888" max="15888" width="14" style="1" bestFit="1" customWidth="1"/>
    <col min="15889" max="15889" width="11.5703125" style="1" bestFit="1" customWidth="1"/>
    <col min="15890" max="15890" width="13.85546875" style="1" bestFit="1" customWidth="1"/>
    <col min="15891" max="16128" width="11.42578125" style="1"/>
    <col min="16129" max="16129" width="20.28515625" style="1" customWidth="1"/>
    <col min="16130" max="16130" width="21.7109375" style="1" customWidth="1"/>
    <col min="16131" max="16131" width="22" style="1" customWidth="1"/>
    <col min="16132" max="16132" width="17.140625" style="1" customWidth="1"/>
    <col min="16133" max="16133" width="21.42578125" style="1" customWidth="1"/>
    <col min="16134" max="16134" width="19.5703125" style="1" customWidth="1"/>
    <col min="16135" max="16135" width="14.140625" style="1" bestFit="1" customWidth="1"/>
    <col min="16136" max="16136" width="8.42578125" style="1" customWidth="1"/>
    <col min="16137" max="16137" width="14.42578125" style="1" bestFit="1" customWidth="1"/>
    <col min="16138" max="16138" width="4.42578125" style="1" customWidth="1"/>
    <col min="16139" max="16139" width="14.42578125" style="1" bestFit="1" customWidth="1"/>
    <col min="16140" max="16140" width="13.42578125" style="1" customWidth="1"/>
    <col min="16141" max="16141" width="14.7109375" style="1" bestFit="1" customWidth="1"/>
    <col min="16142" max="16142" width="14.28515625" style="1" bestFit="1" customWidth="1"/>
    <col min="16143" max="16143" width="14.28515625" style="1" customWidth="1"/>
    <col min="16144" max="16144" width="14" style="1" bestFit="1" customWidth="1"/>
    <col min="16145" max="16145" width="11.5703125" style="1" bestFit="1" customWidth="1"/>
    <col min="16146" max="16146" width="13.85546875" style="1" bestFit="1" customWidth="1"/>
    <col min="16147" max="16384" width="11.42578125" style="1"/>
  </cols>
  <sheetData>
    <row r="1" spans="1:29" s="7" customFormat="1" ht="8.25" customHeight="1" thickBot="1" x14ac:dyDescent="0.25">
      <c r="A1" s="61"/>
      <c r="B1" s="62"/>
      <c r="C1" s="61"/>
      <c r="D1" s="63"/>
      <c r="E1" s="1"/>
      <c r="F1" s="1"/>
      <c r="G1" s="64"/>
      <c r="H1" s="64"/>
      <c r="I1" s="64"/>
      <c r="J1" s="64"/>
      <c r="K1" s="65"/>
      <c r="L1" s="66"/>
      <c r="M1" s="66"/>
      <c r="N1" s="4"/>
      <c r="O1" s="4"/>
      <c r="P1" s="67"/>
      <c r="W1" s="68"/>
      <c r="X1" s="68"/>
      <c r="Y1" s="68"/>
      <c r="Z1" s="68"/>
      <c r="AA1" s="68"/>
      <c r="AB1" s="68"/>
    </row>
    <row r="2" spans="1:29" ht="31.5" customHeight="1" thickBot="1" x14ac:dyDescent="0.25">
      <c r="A2" s="464" t="s">
        <v>130</v>
      </c>
      <c r="B2" s="465"/>
      <c r="C2" s="465"/>
      <c r="D2" s="465"/>
      <c r="E2" s="466"/>
      <c r="F2" s="69"/>
      <c r="G2" s="332" t="s">
        <v>16</v>
      </c>
      <c r="H2" s="71">
        <v>0.95</v>
      </c>
      <c r="I2" s="69"/>
      <c r="J2" s="72"/>
      <c r="K2" s="65"/>
      <c r="L2" s="73"/>
      <c r="M2" s="73"/>
      <c r="N2" s="74"/>
      <c r="O2" s="74"/>
      <c r="P2" s="75"/>
      <c r="Q2" s="409" t="s">
        <v>146</v>
      </c>
      <c r="R2" s="4"/>
      <c r="S2" s="363" t="s">
        <v>134</v>
      </c>
      <c r="T2" s="362" t="s">
        <v>132</v>
      </c>
      <c r="U2" s="361" t="s">
        <v>133</v>
      </c>
      <c r="V2" s="68"/>
      <c r="W2" s="6"/>
      <c r="X2" s="6"/>
      <c r="Y2" s="6"/>
      <c r="Z2" s="6"/>
      <c r="AA2" s="6"/>
      <c r="AB2" s="6"/>
      <c r="AC2" s="6"/>
    </row>
    <row r="3" spans="1:29" ht="27.75" customHeight="1" thickBot="1" x14ac:dyDescent="0.25">
      <c r="A3" s="526" t="s">
        <v>142</v>
      </c>
      <c r="B3" s="527"/>
      <c r="C3" s="527"/>
      <c r="D3" s="527"/>
      <c r="E3" s="528"/>
      <c r="F3" s="76"/>
      <c r="J3" s="72"/>
      <c r="K3" s="65"/>
      <c r="L3" s="73"/>
      <c r="M3" s="73"/>
      <c r="N3" s="74"/>
      <c r="O3" s="74"/>
      <c r="P3" s="75"/>
      <c r="Q3" s="364" t="s">
        <v>11</v>
      </c>
      <c r="R3" s="365">
        <f>U3+T3+S3</f>
        <v>54.656695470858324</v>
      </c>
      <c r="S3" s="406">
        <f>I32</f>
        <v>7.1189526234536977</v>
      </c>
      <c r="T3" s="407">
        <f>I31</f>
        <v>1</v>
      </c>
      <c r="U3" s="408">
        <f>I30</f>
        <v>46.537742847404623</v>
      </c>
      <c r="V3" s="74"/>
      <c r="W3" s="6"/>
      <c r="X3" s="6"/>
      <c r="Y3" s="6"/>
      <c r="Z3" s="6"/>
      <c r="AA3" s="6"/>
      <c r="AB3" s="6"/>
      <c r="AC3" s="6"/>
    </row>
    <row r="4" spans="1:29" ht="14.25" customHeight="1" x14ac:dyDescent="0.5">
      <c r="A4" s="77"/>
      <c r="B4" s="78"/>
      <c r="C4" s="66"/>
      <c r="D4" s="66"/>
      <c r="E4" s="5"/>
      <c r="F4" s="383" t="s">
        <v>125</v>
      </c>
      <c r="G4" s="334">
        <v>46</v>
      </c>
      <c r="H4" s="382" t="s">
        <v>148</v>
      </c>
      <c r="J4" s="79"/>
      <c r="K4" s="80"/>
      <c r="N4" s="74"/>
      <c r="O4" s="74"/>
      <c r="P4" s="81"/>
      <c r="Q4" s="74"/>
      <c r="R4" s="74"/>
      <c r="S4" s="74"/>
      <c r="T4" s="74"/>
      <c r="U4" s="74"/>
      <c r="V4" s="74"/>
      <c r="W4" s="6"/>
      <c r="X4" s="82"/>
      <c r="Y4" s="83"/>
      <c r="Z4" s="6"/>
      <c r="AA4" s="6"/>
      <c r="AB4" s="6"/>
      <c r="AC4" s="6"/>
    </row>
    <row r="5" spans="1:29" x14ac:dyDescent="0.2">
      <c r="A5" s="84"/>
      <c r="B5" s="85"/>
      <c r="C5" s="86" t="s">
        <v>17</v>
      </c>
      <c r="D5" s="86" t="s">
        <v>18</v>
      </c>
      <c r="E5" s="87"/>
      <c r="J5" s="88"/>
      <c r="K5" s="89"/>
      <c r="L5" s="89"/>
      <c r="M5" s="89"/>
      <c r="N5" s="74"/>
      <c r="O5" s="74"/>
      <c r="P5" s="74"/>
      <c r="Q5" s="410" t="s">
        <v>147</v>
      </c>
      <c r="R5" s="360" t="str">
        <f>H4</f>
        <v>meses</v>
      </c>
      <c r="U5" s="2" t="s">
        <v>0</v>
      </c>
      <c r="V5" s="82"/>
      <c r="W5" s="6"/>
      <c r="X5" s="82"/>
      <c r="Y5" s="83"/>
      <c r="Z5" s="6"/>
      <c r="AA5" s="6"/>
      <c r="AB5" s="6"/>
      <c r="AC5" s="6"/>
    </row>
    <row r="6" spans="1:29" x14ac:dyDescent="0.2">
      <c r="A6" s="84"/>
      <c r="B6" s="91"/>
      <c r="C6" s="92" t="s">
        <v>19</v>
      </c>
      <c r="D6" s="92" t="s">
        <v>20</v>
      </c>
      <c r="E6" s="93" t="s">
        <v>21</v>
      </c>
      <c r="F6" s="420"/>
      <c r="G6" s="421" t="s">
        <v>154</v>
      </c>
      <c r="H6" s="421" t="s">
        <v>155</v>
      </c>
      <c r="J6" s="88"/>
      <c r="K6" s="89"/>
      <c r="L6" s="89"/>
      <c r="M6" s="89"/>
      <c r="N6" s="421" t="s">
        <v>156</v>
      </c>
      <c r="O6" s="74"/>
      <c r="P6" s="74"/>
      <c r="Q6" s="11" t="s">
        <v>1</v>
      </c>
      <c r="R6" s="12">
        <f>R14</f>
        <v>3.4165239726027394</v>
      </c>
      <c r="S6" s="13">
        <f>R6/R9</f>
        <v>7.4272260273972601E-2</v>
      </c>
      <c r="U6" s="455">
        <f>R6*365.25/12</f>
        <v>103.99044841609589</v>
      </c>
      <c r="V6" s="82"/>
      <c r="W6" s="6"/>
      <c r="X6" s="82"/>
      <c r="Y6" s="6"/>
      <c r="Z6" s="6"/>
      <c r="AA6" s="6"/>
      <c r="AB6" s="6"/>
      <c r="AC6" s="6"/>
    </row>
    <row r="7" spans="1:29" ht="12.75" customHeight="1" x14ac:dyDescent="0.2">
      <c r="A7" s="84"/>
      <c r="B7" s="94" t="s">
        <v>190</v>
      </c>
      <c r="C7" s="95">
        <v>608</v>
      </c>
      <c r="D7" s="96">
        <f>E7-C7</f>
        <v>4060</v>
      </c>
      <c r="E7" s="97">
        <v>4668</v>
      </c>
      <c r="F7" s="422">
        <f>C7/E7</f>
        <v>0.13024850042844902</v>
      </c>
      <c r="G7" s="423">
        <v>3.4000000000000002E-2</v>
      </c>
      <c r="H7" s="441">
        <f>(F7/G7)</f>
        <v>3.8308382478955592</v>
      </c>
      <c r="J7" s="88"/>
      <c r="K7" s="89"/>
      <c r="L7" s="89"/>
      <c r="M7" s="89"/>
      <c r="N7" s="442">
        <f>H7*12</f>
        <v>45.970058974746706</v>
      </c>
      <c r="O7" s="424"/>
      <c r="P7" s="74"/>
      <c r="Q7" s="14" t="s">
        <v>3</v>
      </c>
      <c r="R7" s="15">
        <f>Q14</f>
        <v>0.4208084627484121</v>
      </c>
      <c r="S7" s="16">
        <f>R7/R9</f>
        <v>9.14801005974809E-3</v>
      </c>
      <c r="U7" s="456">
        <f>R7*365.25/12</f>
        <v>12.808357584904792</v>
      </c>
      <c r="V7" s="82"/>
      <c r="W7" s="6"/>
      <c r="X7" s="82"/>
      <c r="Y7" s="6"/>
      <c r="Z7" s="6"/>
      <c r="AA7" s="6"/>
      <c r="AB7" s="6"/>
      <c r="AC7" s="6"/>
    </row>
    <row r="8" spans="1:29" ht="12.75" customHeight="1" x14ac:dyDescent="0.2">
      <c r="A8" s="84"/>
      <c r="B8" s="94" t="s">
        <v>14</v>
      </c>
      <c r="C8" s="95">
        <v>694</v>
      </c>
      <c r="D8" s="96">
        <f>E8-C8</f>
        <v>3978</v>
      </c>
      <c r="E8" s="97">
        <v>4672</v>
      </c>
      <c r="F8" s="422">
        <f>C8/E8</f>
        <v>0.1485445205479452</v>
      </c>
      <c r="G8" s="423">
        <v>3.9E-2</v>
      </c>
      <c r="H8" s="441">
        <f>(F8/G8)</f>
        <v>3.8088338602037233</v>
      </c>
      <c r="J8" s="88"/>
      <c r="K8" s="89"/>
      <c r="L8" s="98"/>
      <c r="M8" s="89"/>
      <c r="N8" s="442">
        <f t="shared" ref="N8:N9" si="0">H8*12</f>
        <v>45.706006322444679</v>
      </c>
      <c r="O8" s="424"/>
      <c r="P8" s="74"/>
      <c r="Q8" s="17" t="s">
        <v>2</v>
      </c>
      <c r="R8" s="18">
        <f>P14</f>
        <v>42.162667564648849</v>
      </c>
      <c r="S8" s="19">
        <f>R8/R9</f>
        <v>0.91657972966627932</v>
      </c>
      <c r="U8" s="457">
        <f>R8*365.26/12</f>
        <v>1283.3613295553032</v>
      </c>
      <c r="V8" s="82"/>
      <c r="W8" s="6"/>
      <c r="X8" s="82"/>
      <c r="Y8" s="6"/>
      <c r="Z8" s="6"/>
      <c r="AA8" s="6"/>
      <c r="AB8" s="6"/>
      <c r="AC8" s="6"/>
    </row>
    <row r="9" spans="1:29" x14ac:dyDescent="0.2">
      <c r="A9" s="426"/>
      <c r="B9" s="99" t="s">
        <v>21</v>
      </c>
      <c r="C9" s="100">
        <f>SUM(C7:C8)</f>
        <v>1302</v>
      </c>
      <c r="D9" s="101">
        <f>SUM(D7:D8)</f>
        <v>8038</v>
      </c>
      <c r="E9" s="102">
        <f>SUM(E7:E8)</f>
        <v>9340</v>
      </c>
      <c r="F9" s="443">
        <f>C9/E9</f>
        <v>0.13940042826552462</v>
      </c>
      <c r="G9" s="391"/>
      <c r="H9" s="444">
        <f>((H7*E7)+(H8*E8))/E9</f>
        <v>3.819831342189322</v>
      </c>
      <c r="J9" s="88"/>
      <c r="K9" s="89"/>
      <c r="L9" s="98"/>
      <c r="M9" s="89"/>
      <c r="N9" s="440">
        <f t="shared" si="0"/>
        <v>45.837976106271867</v>
      </c>
      <c r="O9" s="424"/>
      <c r="P9" s="104"/>
      <c r="R9" s="9">
        <f>SUM(R6:R8)</f>
        <v>46</v>
      </c>
      <c r="U9" s="20">
        <f>SUM(U6:U8)</f>
        <v>1400.1601355563039</v>
      </c>
      <c r="V9" s="82"/>
      <c r="W9" s="6"/>
      <c r="X9" s="82"/>
      <c r="Y9" s="6"/>
      <c r="Z9" s="6"/>
      <c r="AA9" s="6"/>
      <c r="AB9" s="6"/>
      <c r="AC9" s="6"/>
    </row>
    <row r="10" spans="1:29" ht="12.75" customHeight="1" x14ac:dyDescent="0.2">
      <c r="A10" s="426"/>
      <c r="B10" s="426"/>
      <c r="C10" s="426"/>
      <c r="D10" s="478"/>
      <c r="E10" s="478"/>
      <c r="F10" s="426"/>
      <c r="G10" s="89"/>
      <c r="H10" s="88"/>
      <c r="I10" s="88"/>
      <c r="J10" s="88"/>
      <c r="K10" s="89"/>
      <c r="L10" s="98"/>
      <c r="M10" s="89"/>
      <c r="O10" s="103"/>
      <c r="P10" s="104"/>
      <c r="Q10" s="104"/>
      <c r="R10" s="104"/>
      <c r="S10" s="82"/>
      <c r="U10" s="82"/>
      <c r="V10" s="82"/>
      <c r="W10" s="6"/>
      <c r="X10" s="82"/>
      <c r="Y10" s="6"/>
      <c r="Z10" s="6"/>
      <c r="AA10" s="6"/>
      <c r="AB10" s="6"/>
      <c r="AC10" s="6"/>
    </row>
    <row r="11" spans="1:29" s="7" customFormat="1" ht="14.25" hidden="1" customHeight="1" x14ac:dyDescent="0.2">
      <c r="A11" s="105" t="s">
        <v>22</v>
      </c>
      <c r="B11" s="106"/>
      <c r="C11" s="107"/>
      <c r="D11" s="4"/>
      <c r="E11" s="108"/>
      <c r="F11" s="109"/>
      <c r="G11" s="98"/>
      <c r="H11" s="109"/>
      <c r="I11" s="98"/>
      <c r="J11" s="110"/>
      <c r="K11" s="110"/>
      <c r="L11" s="109"/>
      <c r="M11" s="110"/>
      <c r="O11" s="4"/>
      <c r="P11" s="111"/>
      <c r="Q11" s="111"/>
      <c r="R11" s="111"/>
      <c r="S11" s="4"/>
      <c r="T11" s="4"/>
      <c r="U11" s="4"/>
      <c r="V11" s="4"/>
    </row>
    <row r="12" spans="1:29" s="7" customFormat="1" ht="12.75" hidden="1" customHeight="1" x14ac:dyDescent="0.2">
      <c r="A12" s="90" t="s">
        <v>23</v>
      </c>
      <c r="B12" s="106"/>
      <c r="C12" s="107"/>
      <c r="D12" s="4"/>
      <c r="E12" s="108"/>
      <c r="F12" s="109"/>
      <c r="G12" s="98"/>
      <c r="H12" s="109"/>
      <c r="I12" s="98"/>
      <c r="J12" s="112"/>
      <c r="K12" s="110"/>
      <c r="L12" s="110"/>
      <c r="M12" s="110"/>
      <c r="N12" s="7" t="s">
        <v>122</v>
      </c>
      <c r="O12" s="4"/>
      <c r="P12" s="111"/>
      <c r="Q12" s="67"/>
      <c r="R12" s="67"/>
      <c r="S12" s="4"/>
      <c r="T12" s="4"/>
      <c r="U12" s="4"/>
      <c r="V12" s="4"/>
    </row>
    <row r="13" spans="1:29" s="7" customFormat="1" ht="45" hidden="1" customHeight="1" x14ac:dyDescent="0.2">
      <c r="A13" s="113" t="s">
        <v>24</v>
      </c>
      <c r="B13" s="113" t="s">
        <v>25</v>
      </c>
      <c r="C13" s="113" t="s">
        <v>26</v>
      </c>
      <c r="D13" s="113" t="s">
        <v>27</v>
      </c>
      <c r="E13" s="113" t="s">
        <v>28</v>
      </c>
      <c r="F13" s="113" t="s">
        <v>29</v>
      </c>
      <c r="G13" s="113" t="s">
        <v>30</v>
      </c>
      <c r="H13" s="113" t="s">
        <v>31</v>
      </c>
      <c r="I13" s="98"/>
      <c r="J13" s="114" t="s">
        <v>32</v>
      </c>
      <c r="K13" s="115" t="s">
        <v>33</v>
      </c>
      <c r="L13" s="115" t="s">
        <v>34</v>
      </c>
      <c r="M13" s="110"/>
      <c r="N13" s="333" t="s">
        <v>123</v>
      </c>
      <c r="O13" s="333" t="s">
        <v>124</v>
      </c>
      <c r="P13" s="337" t="s">
        <v>2</v>
      </c>
      <c r="Q13" s="338" t="s">
        <v>3</v>
      </c>
      <c r="R13" s="339" t="s">
        <v>1</v>
      </c>
      <c r="S13" s="4"/>
      <c r="V13" s="4"/>
    </row>
    <row r="14" spans="1:29" s="7" customFormat="1" ht="12.75" hidden="1" customHeight="1" x14ac:dyDescent="0.2">
      <c r="A14" s="116">
        <f>LN((C7/E7)/(C8/E8))</f>
        <v>-0.13144054743902103</v>
      </c>
      <c r="B14" s="116">
        <f>SQRT((D7/(C7*E7)+(D8/(C8*E8))))</f>
        <v>5.1549912018673205E-2</v>
      </c>
      <c r="C14" s="117">
        <f>-NORMSINV((1-H2)/2)</f>
        <v>1.9599639845400536</v>
      </c>
      <c r="D14" s="118">
        <f>A14-(C14*B14)</f>
        <v>-0.23247651840182898</v>
      </c>
      <c r="E14" s="119">
        <f>A14+(C14*B14)</f>
        <v>-3.0404576476213099E-2</v>
      </c>
      <c r="F14" s="120">
        <f>(C7/E7)/(C8/E8)</f>
        <v>0.87683140346068278</v>
      </c>
      <c r="G14" s="120">
        <f>EXP(D14)</f>
        <v>0.79256835990002472</v>
      </c>
      <c r="H14" s="120">
        <f>EXP(E14)</f>
        <v>0.97005299352577223</v>
      </c>
      <c r="I14" s="98"/>
      <c r="J14" s="121">
        <f>1-F14</f>
        <v>0.12316859653931722</v>
      </c>
      <c r="K14" s="120">
        <f>1-G14</f>
        <v>0.20743164009997528</v>
      </c>
      <c r="L14" s="120">
        <f>1-H14</f>
        <v>2.9947006474227766E-2</v>
      </c>
      <c r="M14" s="122"/>
      <c r="N14" s="335">
        <f>(C7/E7)*G4/2</f>
        <v>2.9957155098543273</v>
      </c>
      <c r="O14" s="336">
        <f>(C8/E8)*G4/2</f>
        <v>3.4165239726027394</v>
      </c>
      <c r="P14" s="340">
        <f>G4-Q14-R14</f>
        <v>42.162667564648849</v>
      </c>
      <c r="Q14" s="340">
        <f>O14-N14</f>
        <v>0.4208084627484121</v>
      </c>
      <c r="R14" s="340">
        <f>O14</f>
        <v>3.4165239726027394</v>
      </c>
      <c r="S14" s="4" t="str">
        <f>H4</f>
        <v>meses</v>
      </c>
      <c r="V14" s="4"/>
    </row>
    <row r="15" spans="1:29" s="7" customFormat="1" ht="12.75" hidden="1" customHeight="1" x14ac:dyDescent="0.2">
      <c r="A15" s="123"/>
      <c r="B15" s="106"/>
      <c r="C15" s="106"/>
      <c r="D15" s="106"/>
      <c r="E15" s="124"/>
      <c r="F15" s="125"/>
      <c r="G15" s="98"/>
      <c r="H15" s="109"/>
      <c r="I15" s="98"/>
      <c r="J15" s="109"/>
      <c r="K15" s="109"/>
      <c r="L15" s="109"/>
      <c r="M15" s="110"/>
      <c r="O15" s="4"/>
      <c r="P15" s="4"/>
      <c r="Q15" s="4"/>
      <c r="R15" s="4"/>
      <c r="S15" s="4"/>
      <c r="T15" s="4"/>
      <c r="U15" s="4"/>
      <c r="V15" s="4"/>
    </row>
    <row r="16" spans="1:29" s="6" customFormat="1" ht="12.75" hidden="1" customHeight="1" x14ac:dyDescent="0.2">
      <c r="A16" s="126"/>
      <c r="B16" s="127"/>
      <c r="C16" s="128"/>
      <c r="D16" s="129"/>
      <c r="E16" s="130"/>
      <c r="F16" s="131"/>
      <c r="G16" s="132"/>
      <c r="H16" s="133"/>
      <c r="I16" s="133"/>
      <c r="J16" s="134"/>
      <c r="K16" s="134"/>
      <c r="L16" s="135"/>
      <c r="M16" s="135"/>
    </row>
    <row r="17" spans="1:29" ht="15.75" hidden="1" customHeight="1" x14ac:dyDescent="0.2">
      <c r="A17" s="136" t="s">
        <v>35</v>
      </c>
      <c r="B17" s="4"/>
      <c r="C17" s="137"/>
      <c r="D17" s="137"/>
      <c r="E17" s="66"/>
      <c r="F17" s="66"/>
      <c r="G17" s="138"/>
      <c r="H17" s="139"/>
      <c r="I17" s="140"/>
      <c r="J17" s="140"/>
      <c r="K17" s="7"/>
      <c r="L17" s="110"/>
      <c r="M17" s="98"/>
      <c r="N17" s="139"/>
      <c r="O17" s="4"/>
      <c r="P17" s="4"/>
      <c r="Q17" s="141"/>
      <c r="R17" s="139"/>
      <c r="S17" s="142"/>
      <c r="T17" s="142"/>
      <c r="U17" s="142"/>
      <c r="V17" s="6"/>
      <c r="W17" s="6"/>
      <c r="X17" s="6"/>
      <c r="Y17" s="6"/>
      <c r="Z17" s="6"/>
      <c r="AA17" s="6"/>
      <c r="AB17" s="6"/>
    </row>
    <row r="18" spans="1:29" ht="12.75" hidden="1" customHeight="1" x14ac:dyDescent="0.2">
      <c r="A18" s="143" t="s">
        <v>36</v>
      </c>
      <c r="B18" s="4"/>
      <c r="C18" s="139"/>
      <c r="D18" s="139"/>
      <c r="E18" s="4"/>
      <c r="F18" s="4"/>
      <c r="G18" s="141"/>
      <c r="H18" s="139"/>
      <c r="I18" s="142"/>
      <c r="J18" s="142"/>
      <c r="K18" s="142"/>
      <c r="L18" s="110"/>
      <c r="M18" s="98"/>
      <c r="N18" s="4"/>
      <c r="O18" s="4"/>
      <c r="P18" s="141"/>
      <c r="Q18" s="139"/>
      <c r="R18" s="142"/>
      <c r="S18" s="142"/>
      <c r="T18" s="142"/>
      <c r="V18" s="6" t="s">
        <v>37</v>
      </c>
      <c r="W18" s="6"/>
      <c r="X18" s="6"/>
      <c r="Y18" s="6"/>
      <c r="Z18" s="6"/>
      <c r="AA18" s="6"/>
    </row>
    <row r="19" spans="1:29" ht="25.5" hidden="1" customHeight="1" x14ac:dyDescent="0.2">
      <c r="A19" s="144" t="s">
        <v>38</v>
      </c>
      <c r="B19" s="1" t="s">
        <v>39</v>
      </c>
      <c r="C19" s="7"/>
      <c r="D19" s="1" t="s">
        <v>40</v>
      </c>
      <c r="F19" s="1" t="s">
        <v>41</v>
      </c>
      <c r="H19" s="1" t="s">
        <v>42</v>
      </c>
      <c r="I19" s="142"/>
      <c r="J19" s="142"/>
      <c r="K19" s="142"/>
      <c r="L19" s="110"/>
      <c r="M19" s="134"/>
      <c r="O19" s="1"/>
      <c r="S19" s="6"/>
      <c r="U19" s="1"/>
      <c r="V19" s="1" t="s">
        <v>43</v>
      </c>
      <c r="X19" s="6"/>
      <c r="Y19" s="6"/>
      <c r="Z19" s="6"/>
      <c r="AA19" s="6"/>
      <c r="AB19" s="6"/>
      <c r="AC19" s="6"/>
    </row>
    <row r="20" spans="1:29" ht="38.25" hidden="1" customHeight="1" x14ac:dyDescent="0.25">
      <c r="A20" s="113" t="s">
        <v>44</v>
      </c>
      <c r="B20" s="113" t="s">
        <v>45</v>
      </c>
      <c r="C20" s="145" t="s">
        <v>46</v>
      </c>
      <c r="D20" s="145" t="s">
        <v>39</v>
      </c>
      <c r="E20" s="145" t="s">
        <v>47</v>
      </c>
      <c r="F20" s="145" t="s">
        <v>41</v>
      </c>
      <c r="G20" s="145" t="s">
        <v>42</v>
      </c>
      <c r="H20" s="146" t="s">
        <v>48</v>
      </c>
      <c r="I20" s="145" t="s">
        <v>49</v>
      </c>
      <c r="J20" s="145" t="s">
        <v>33</v>
      </c>
      <c r="K20" s="145" t="s">
        <v>34</v>
      </c>
      <c r="L20" s="147"/>
      <c r="M20" s="148"/>
      <c r="N20" s="149" t="s">
        <v>50</v>
      </c>
      <c r="O20" s="150" t="s">
        <v>51</v>
      </c>
      <c r="P20" s="151"/>
      <c r="Q20" s="152"/>
      <c r="R20" s="153"/>
      <c r="S20" s="153"/>
      <c r="T20" s="154"/>
      <c r="V20" s="155"/>
      <c r="W20" s="149" t="s">
        <v>52</v>
      </c>
      <c r="X20" s="150" t="s">
        <v>53</v>
      </c>
      <c r="Y20" s="156"/>
      <c r="Z20" s="156"/>
      <c r="AA20" s="156" t="s">
        <v>54</v>
      </c>
      <c r="AB20" s="156"/>
      <c r="AC20" s="157"/>
    </row>
    <row r="21" spans="1:29" ht="12.75" hidden="1" customHeight="1" x14ac:dyDescent="0.2">
      <c r="A21" s="158">
        <f>C7</f>
        <v>608</v>
      </c>
      <c r="B21" s="159">
        <f>E7</f>
        <v>4668</v>
      </c>
      <c r="C21" s="160">
        <f>A21/B21</f>
        <v>0.13024850042844902</v>
      </c>
      <c r="D21" s="161">
        <f>2*A21+H21^2</f>
        <v>1219.841458820694</v>
      </c>
      <c r="E21" s="161">
        <f>H21*SQRT((H21^2)+(4*A21*(1-C21)))</f>
        <v>90.223874000868449</v>
      </c>
      <c r="F21" s="162">
        <f>2*(B21+H21^2)</f>
        <v>9343.6829176413885</v>
      </c>
      <c r="G21" s="163" t="s">
        <v>55</v>
      </c>
      <c r="H21" s="117">
        <f>-NORMSINV((1-H2)/2)</f>
        <v>1.9599639845400536</v>
      </c>
      <c r="I21" s="164">
        <f>C21</f>
        <v>0.13024850042844902</v>
      </c>
      <c r="J21" s="164">
        <f>(D21-E21)/F21</f>
        <v>0.12089639543386531</v>
      </c>
      <c r="K21" s="164">
        <f>(D21+E21)/F21</f>
        <v>0.14020866764946474</v>
      </c>
      <c r="L21" s="147"/>
      <c r="M21" s="165">
        <f>E9/2</f>
        <v>4670</v>
      </c>
      <c r="N21" s="8" t="s">
        <v>56</v>
      </c>
      <c r="O21" s="4"/>
      <c r="P21" s="141"/>
      <c r="Q21" s="139"/>
      <c r="R21" s="142"/>
      <c r="S21" s="142"/>
      <c r="T21" s="166"/>
      <c r="V21" s="167">
        <f>ABS(C21-C22)</f>
        <v>1.8296020119496187E-2</v>
      </c>
      <c r="W21" s="8" t="s">
        <v>57</v>
      </c>
      <c r="X21" s="4"/>
      <c r="Y21" s="8"/>
      <c r="Z21" s="8"/>
      <c r="AA21" s="8" t="s">
        <v>58</v>
      </c>
      <c r="AB21" s="8"/>
      <c r="AC21" s="168"/>
    </row>
    <row r="22" spans="1:29" ht="14.25" hidden="1" customHeight="1" x14ac:dyDescent="0.25">
      <c r="A22" s="158">
        <f>C8</f>
        <v>694</v>
      </c>
      <c r="B22" s="159">
        <f>E8</f>
        <v>4672</v>
      </c>
      <c r="C22" s="160">
        <f>A22/B22</f>
        <v>0.1485445205479452</v>
      </c>
      <c r="D22" s="161">
        <f>2*A22+H22^2</f>
        <v>1391.841458820694</v>
      </c>
      <c r="E22" s="161">
        <f>H22*SQRT((H22^2)+(4*A22*(1-C22)))</f>
        <v>95.365528947823989</v>
      </c>
      <c r="F22" s="162">
        <f>2*(B22+H22^2)</f>
        <v>9351.6829176413885</v>
      </c>
      <c r="G22" s="163" t="s">
        <v>55</v>
      </c>
      <c r="H22" s="117">
        <f>-NORMSINV((1-H2)/2)</f>
        <v>1.9599639845400536</v>
      </c>
      <c r="I22" s="164">
        <f>C22</f>
        <v>0.1485445205479452</v>
      </c>
      <c r="J22" s="164">
        <f>(D22-E22)/F22</f>
        <v>0.13863557407695529</v>
      </c>
      <c r="K22" s="164">
        <f>(D22+E22)/F22</f>
        <v>0.15903094671473422</v>
      </c>
      <c r="L22" s="147"/>
      <c r="M22" s="169">
        <f>I26</f>
        <v>1.8296020119496187E-2</v>
      </c>
      <c r="N22" s="8" t="s">
        <v>59</v>
      </c>
      <c r="O22" s="8"/>
      <c r="P22" s="8"/>
      <c r="Q22" s="8"/>
      <c r="R22" s="8"/>
      <c r="S22" s="8"/>
      <c r="T22" s="170"/>
      <c r="V22" s="171">
        <f>SQRT((C23*(1-C23)/B21)+(C23*(1-C23)/B22))</f>
        <v>7.1678550475149008E-3</v>
      </c>
      <c r="W22" s="143" t="s">
        <v>60</v>
      </c>
      <c r="X22" s="8"/>
      <c r="Y22" s="8"/>
      <c r="Z22" s="8"/>
      <c r="AA22" s="8"/>
      <c r="AB22" s="8"/>
      <c r="AC22" s="168"/>
    </row>
    <row r="23" spans="1:29" ht="12.75" hidden="1" customHeight="1" x14ac:dyDescent="0.2">
      <c r="A23" s="158">
        <f>C9</f>
        <v>1302</v>
      </c>
      <c r="B23" s="159">
        <f>E9</f>
        <v>9340</v>
      </c>
      <c r="C23" s="160">
        <f>A23/B23</f>
        <v>0.13940042826552462</v>
      </c>
      <c r="D23" s="161">
        <f>2*A23+H23^2</f>
        <v>2607.8414588206942</v>
      </c>
      <c r="E23" s="161">
        <f>H23*SQRT((H23^2)+(4*A23*(1-C23)))</f>
        <v>131.27141772376962</v>
      </c>
      <c r="F23" s="162">
        <f>2*(B23+H23^2)</f>
        <v>18687.682917641388</v>
      </c>
      <c r="G23" s="163" t="s">
        <v>55</v>
      </c>
      <c r="H23" s="117">
        <f>-NORMSINV((1-H2)/2)</f>
        <v>1.9599639845400536</v>
      </c>
      <c r="I23" s="164">
        <f>C23</f>
        <v>0.13940042826552462</v>
      </c>
      <c r="J23" s="164">
        <f>(D23-E23)/F23</f>
        <v>0.13252418997108592</v>
      </c>
      <c r="K23" s="164">
        <f>(D23+E23)/F23</f>
        <v>0.14657316739673004</v>
      </c>
      <c r="L23" s="147"/>
      <c r="M23" s="172">
        <f>(A21+A22)/(B21+B22)</f>
        <v>0.13940042826552462</v>
      </c>
      <c r="N23" s="8" t="s">
        <v>61</v>
      </c>
      <c r="O23" s="4"/>
      <c r="P23" s="141"/>
      <c r="Q23" s="139"/>
      <c r="R23" s="142"/>
      <c r="S23" s="142"/>
      <c r="T23" s="168"/>
      <c r="V23" s="173">
        <f>V21/V22</f>
        <v>2.5525097812684461</v>
      </c>
      <c r="W23" s="8" t="s">
        <v>62</v>
      </c>
      <c r="X23" s="4"/>
      <c r="Y23" s="8"/>
      <c r="Z23" s="8"/>
      <c r="AA23" s="8"/>
      <c r="AB23" s="8"/>
      <c r="AC23" s="168"/>
    </row>
    <row r="24" spans="1:29" ht="15" hidden="1" customHeight="1" x14ac:dyDescent="0.2">
      <c r="A24" s="90"/>
      <c r="B24" s="174" t="s">
        <v>63</v>
      </c>
      <c r="E24" s="175"/>
      <c r="F24" s="133"/>
      <c r="G24" s="133"/>
      <c r="H24" s="133"/>
      <c r="I24" s="133"/>
      <c r="J24" s="134"/>
      <c r="K24" s="89"/>
      <c r="L24" s="147"/>
      <c r="M24" s="176">
        <f>SQRT(M21*M22^2/(2*M23*(1-M23)))-H21</f>
        <v>0.59254603080806945</v>
      </c>
      <c r="N24" s="8" t="s">
        <v>64</v>
      </c>
      <c r="O24" s="8"/>
      <c r="P24" s="8"/>
      <c r="Q24" s="8"/>
      <c r="R24" s="8"/>
      <c r="S24" s="7"/>
      <c r="T24" s="166"/>
      <c r="V24" s="177">
        <f>NORMSDIST(-V23)</f>
        <v>5.3474953254808088E-3</v>
      </c>
      <c r="W24" s="136" t="s">
        <v>65</v>
      </c>
      <c r="X24" s="8"/>
      <c r="Y24" s="7"/>
      <c r="Z24" s="7"/>
      <c r="AA24" s="7"/>
      <c r="AB24" s="7"/>
      <c r="AC24" s="170"/>
    </row>
    <row r="25" spans="1:29" ht="13.5" hidden="1" customHeight="1" x14ac:dyDescent="0.2">
      <c r="A25" s="90"/>
      <c r="B25" s="174" t="s">
        <v>66</v>
      </c>
      <c r="C25" s="2"/>
      <c r="D25" s="178"/>
      <c r="E25" s="175"/>
      <c r="F25" s="133"/>
      <c r="G25" s="89"/>
      <c r="H25" s="89"/>
      <c r="I25" s="179"/>
      <c r="J25" s="179"/>
      <c r="K25" s="179"/>
      <c r="L25" s="147"/>
      <c r="M25" s="180">
        <f>NORMSDIST(M24)</f>
        <v>0.7232574967612142</v>
      </c>
      <c r="N25" s="136" t="s">
        <v>67</v>
      </c>
      <c r="O25" s="181"/>
      <c r="P25" s="8"/>
      <c r="Q25" s="8"/>
      <c r="R25" s="8"/>
      <c r="S25" s="8"/>
      <c r="T25" s="168"/>
      <c r="V25" s="182">
        <f>1-V24</f>
        <v>0.99465250467451916</v>
      </c>
      <c r="W25" s="183" t="s">
        <v>68</v>
      </c>
      <c r="X25" s="181"/>
      <c r="Y25" s="7"/>
      <c r="Z25" s="7"/>
      <c r="AA25" s="7"/>
      <c r="AB25" s="7"/>
      <c r="AC25" s="170"/>
    </row>
    <row r="26" spans="1:29" ht="15" hidden="1" customHeight="1" x14ac:dyDescent="0.25">
      <c r="E26" s="184"/>
      <c r="F26" s="89"/>
      <c r="G26" s="89"/>
      <c r="H26" s="70" t="s">
        <v>69</v>
      </c>
      <c r="I26" s="185">
        <f>C22-C21</f>
        <v>1.8296020119496187E-2</v>
      </c>
      <c r="J26" s="186">
        <f>I26+SQRT((C22-J22)^2+(K21-C21)^2)</f>
        <v>3.234565183123652E-2</v>
      </c>
      <c r="K26" s="187">
        <f>I26-SQRT((C21-J21)^2+(K22-C22)^2)</f>
        <v>4.2451482041581563E-3</v>
      </c>
      <c r="L26" s="88"/>
      <c r="M26" s="188">
        <f>1-M25</f>
        <v>0.2767425032387858</v>
      </c>
      <c r="N26" s="189" t="s">
        <v>70</v>
      </c>
      <c r="O26" s="190"/>
      <c r="P26" s="191"/>
      <c r="Q26" s="190"/>
      <c r="R26" s="190"/>
      <c r="S26" s="190"/>
      <c r="T26" s="192"/>
      <c r="V26" s="193"/>
      <c r="W26" s="194"/>
      <c r="X26" s="190"/>
      <c r="Y26" s="194"/>
      <c r="Z26" s="194"/>
      <c r="AA26" s="194"/>
      <c r="AB26" s="194"/>
      <c r="AC26" s="195"/>
    </row>
    <row r="27" spans="1:29" ht="13.5" hidden="1" customHeight="1" x14ac:dyDescent="0.2">
      <c r="E27" s="196"/>
      <c r="F27" s="89"/>
      <c r="G27" s="89"/>
      <c r="H27" s="70" t="s">
        <v>71</v>
      </c>
      <c r="I27" s="197">
        <f>1/I26</f>
        <v>54.656695470858324</v>
      </c>
      <c r="J27" s="198">
        <f>1/J26</f>
        <v>30.91605651410277</v>
      </c>
      <c r="K27" s="199">
        <f>1/K26</f>
        <v>235.56303617868795</v>
      </c>
      <c r="L27" s="88"/>
      <c r="M27" s="89"/>
      <c r="N27" s="1"/>
      <c r="O27" s="1"/>
      <c r="T27" s="1"/>
      <c r="U27" s="1"/>
      <c r="V27" s="6"/>
      <c r="W27" s="6"/>
      <c r="X27" s="6"/>
      <c r="Y27" s="6"/>
      <c r="Z27" s="6"/>
      <c r="AA27" s="6"/>
      <c r="AB27" s="6"/>
    </row>
    <row r="28" spans="1:29" ht="14.25" hidden="1" customHeight="1" x14ac:dyDescent="0.25">
      <c r="F28" s="89"/>
      <c r="G28" s="89"/>
      <c r="J28" s="200"/>
      <c r="K28" s="200"/>
      <c r="L28" s="201"/>
      <c r="M28" s="148"/>
      <c r="N28" s="202"/>
      <c r="O28" s="202" t="s">
        <v>60</v>
      </c>
      <c r="P28" s="203">
        <f>SQRT((C23*(1-C23)/B21)+(C23*(1-C23)/B22))</f>
        <v>7.1678550475149008E-3</v>
      </c>
      <c r="Q28" s="204"/>
      <c r="R28" s="204"/>
      <c r="S28" s="204"/>
      <c r="T28" s="157"/>
      <c r="U28" s="1"/>
    </row>
    <row r="29" spans="1:29" ht="31.5" hidden="1" customHeight="1" x14ac:dyDescent="0.25">
      <c r="E29" s="205"/>
      <c r="F29" s="206"/>
      <c r="G29" s="207" t="s">
        <v>72</v>
      </c>
      <c r="H29" s="208" t="s">
        <v>11</v>
      </c>
      <c r="I29" s="209">
        <f>I27</f>
        <v>54.656695470858324</v>
      </c>
      <c r="J29" s="209">
        <f>J27</f>
        <v>30.91605651410277</v>
      </c>
      <c r="K29" s="209">
        <f>K27</f>
        <v>235.56303617868795</v>
      </c>
      <c r="L29" s="89"/>
      <c r="M29" s="210" t="s">
        <v>73</v>
      </c>
      <c r="N29" s="211"/>
      <c r="O29" s="8" t="s">
        <v>74</v>
      </c>
      <c r="P29" s="8"/>
      <c r="Q29" s="141"/>
      <c r="R29" s="212" t="s">
        <v>75</v>
      </c>
      <c r="S29" s="8"/>
      <c r="T29" s="168"/>
      <c r="U29" s="1"/>
    </row>
    <row r="30" spans="1:29" s="7" customFormat="1" ht="14.25" hidden="1" customHeight="1" x14ac:dyDescent="0.25">
      <c r="E30" s="213"/>
      <c r="F30" s="214"/>
      <c r="G30" s="215"/>
      <c r="H30" s="216" t="s">
        <v>76</v>
      </c>
      <c r="I30" s="358">
        <f>(1-C22)*I27</f>
        <v>46.537742847404623</v>
      </c>
      <c r="J30" s="217">
        <f>(1-C22)*J27</f>
        <v>26.323645721982196</v>
      </c>
      <c r="K30" s="217">
        <f>(1-C22)*K27</f>
        <v>200.57143791070649</v>
      </c>
      <c r="L30" s="89"/>
      <c r="M30" s="218"/>
      <c r="N30" s="219" t="s">
        <v>77</v>
      </c>
      <c r="P30" s="220" t="s">
        <v>78</v>
      </c>
      <c r="Q30" s="219" t="s">
        <v>79</v>
      </c>
      <c r="R30" s="8"/>
      <c r="S30" s="8"/>
      <c r="T30" s="170"/>
    </row>
    <row r="31" spans="1:29" s="7" customFormat="1" ht="14.25" hidden="1" customHeight="1" x14ac:dyDescent="0.25">
      <c r="E31" s="221"/>
      <c r="F31" s="222"/>
      <c r="G31" s="223"/>
      <c r="H31" s="224" t="s">
        <v>80</v>
      </c>
      <c r="I31" s="225">
        <f>I27*I26</f>
        <v>1</v>
      </c>
      <c r="J31" s="225">
        <f>J27*J26</f>
        <v>1</v>
      </c>
      <c r="K31" s="225">
        <f>K27*K26</f>
        <v>1</v>
      </c>
      <c r="L31" s="110"/>
      <c r="M31" s="176">
        <f>ABS((I26/P28))-H21</f>
        <v>0.59254579672839247</v>
      </c>
      <c r="N31" s="219" t="s">
        <v>81</v>
      </c>
      <c r="O31" s="8"/>
      <c r="P31" s="8"/>
      <c r="Q31" s="139"/>
      <c r="R31" s="142"/>
      <c r="S31" s="142"/>
      <c r="T31" s="166"/>
    </row>
    <row r="32" spans="1:29" s="7" customFormat="1" ht="12.75" hidden="1" customHeight="1" x14ac:dyDescent="0.2">
      <c r="A32" s="226"/>
      <c r="B32" s="227"/>
      <c r="D32" s="228"/>
      <c r="F32" s="229"/>
      <c r="G32" s="230"/>
      <c r="H32" s="231" t="s">
        <v>82</v>
      </c>
      <c r="I32" s="357">
        <f>(C22-I26)*I27</f>
        <v>7.1189526234536977</v>
      </c>
      <c r="J32" s="232">
        <f>(C22-J26)*J27</f>
        <v>3.5924107921205737</v>
      </c>
      <c r="K32" s="232">
        <f>(C22-K26)*K27</f>
        <v>33.991598267981466</v>
      </c>
      <c r="L32" s="110"/>
      <c r="M32" s="180">
        <f>NORMSDIST(M31)</f>
        <v>0.72325741841264601</v>
      </c>
      <c r="N32" s="143" t="s">
        <v>83</v>
      </c>
      <c r="O32" s="181"/>
      <c r="P32" s="8"/>
      <c r="Q32" s="8"/>
      <c r="R32" s="8"/>
      <c r="S32" s="8"/>
      <c r="T32" s="170"/>
    </row>
    <row r="33" spans="1:21" s="7" customFormat="1" ht="12.75" hidden="1" customHeight="1" x14ac:dyDescent="0.2">
      <c r="A33" s="226"/>
      <c r="F33" s="233"/>
      <c r="G33" s="234"/>
      <c r="H33" s="234"/>
      <c r="I33" s="235"/>
      <c r="J33" s="235"/>
      <c r="K33" s="235"/>
      <c r="L33" s="110"/>
      <c r="M33" s="188">
        <f>1-M32</f>
        <v>0.27674258158735399</v>
      </c>
      <c r="N33" s="190" t="s">
        <v>84</v>
      </c>
      <c r="O33" s="190"/>
      <c r="P33" s="191"/>
      <c r="Q33" s="236"/>
      <c r="R33" s="237"/>
      <c r="S33" s="237"/>
      <c r="T33" s="192"/>
    </row>
    <row r="34" spans="1:21" s="7" customFormat="1" ht="31.5" hidden="1" customHeight="1" x14ac:dyDescent="0.2">
      <c r="A34" s="123"/>
      <c r="E34" s="107"/>
      <c r="F34" s="238"/>
      <c r="G34" s="207" t="s">
        <v>85</v>
      </c>
      <c r="H34" s="239" t="s">
        <v>86</v>
      </c>
      <c r="I34" s="240">
        <f>ABS(I27)</f>
        <v>54.656695470858324</v>
      </c>
      <c r="J34" s="240">
        <f>ABS(K27)</f>
        <v>235.56303617868795</v>
      </c>
      <c r="K34" s="240">
        <f>ABS(J27)</f>
        <v>30.91605651410277</v>
      </c>
      <c r="L34" s="110"/>
      <c r="M34" s="88"/>
      <c r="N34" s="8"/>
      <c r="O34" s="8"/>
      <c r="P34" s="8"/>
      <c r="Q34" s="8"/>
      <c r="R34" s="8"/>
      <c r="S34" s="8"/>
      <c r="T34" s="8"/>
      <c r="U34" s="8"/>
    </row>
    <row r="35" spans="1:21" s="7" customFormat="1" ht="13.5" hidden="1" customHeight="1" x14ac:dyDescent="0.2">
      <c r="A35" s="123"/>
      <c r="F35" s="214"/>
      <c r="G35" s="215"/>
      <c r="H35" s="216" t="s">
        <v>76</v>
      </c>
      <c r="I35" s="217">
        <f>ABS((1-(C22-I26))*I27)</f>
        <v>47.537742847404623</v>
      </c>
      <c r="J35" s="217">
        <f>ABS((1-(C22-K26))*K27)</f>
        <v>201.57143791070646</v>
      </c>
      <c r="K35" s="217">
        <f>ABS((1-(C22-J26))*J27)</f>
        <v>27.323645721982196</v>
      </c>
      <c r="L35" s="110"/>
      <c r="M35" s="88"/>
      <c r="N35" s="8"/>
      <c r="O35" s="8"/>
      <c r="P35" s="8"/>
      <c r="Q35" s="8"/>
      <c r="R35" s="8"/>
      <c r="S35" s="8"/>
      <c r="T35" s="8"/>
      <c r="U35" s="8"/>
    </row>
    <row r="36" spans="1:21" s="7" customFormat="1" ht="12.75" hidden="1" customHeight="1" x14ac:dyDescent="0.2">
      <c r="A36" s="123"/>
      <c r="E36" s="241"/>
      <c r="F36" s="242"/>
      <c r="G36" s="243"/>
      <c r="H36" s="244" t="s">
        <v>87</v>
      </c>
      <c r="I36" s="245">
        <f>I27*I26</f>
        <v>1</v>
      </c>
      <c r="J36" s="245">
        <f>K27*K26</f>
        <v>1</v>
      </c>
      <c r="K36" s="245">
        <f>J27*J26</f>
        <v>1</v>
      </c>
      <c r="L36" s="110"/>
      <c r="M36" s="88"/>
      <c r="N36" s="8"/>
      <c r="O36" s="8"/>
      <c r="P36" s="8"/>
      <c r="Q36" s="8"/>
      <c r="R36" s="8"/>
      <c r="S36" s="8"/>
      <c r="T36" s="8"/>
      <c r="U36" s="8"/>
    </row>
    <row r="37" spans="1:21" ht="15.75" hidden="1" customHeight="1" x14ac:dyDescent="0.25">
      <c r="A37" s="246" t="s">
        <v>88</v>
      </c>
      <c r="B37" s="247"/>
      <c r="C37" s="247"/>
      <c r="D37" s="247"/>
      <c r="E37" s="248"/>
      <c r="F37" s="229"/>
      <c r="G37" s="230"/>
      <c r="H37" s="231" t="s">
        <v>89</v>
      </c>
      <c r="I37" s="232">
        <f>ABS(C22*I27)</f>
        <v>8.1189526234536977</v>
      </c>
      <c r="J37" s="232">
        <f>ABS(C22*K27)</f>
        <v>34.991598267981473</v>
      </c>
      <c r="K37" s="232">
        <f>ABS(C22*J27)</f>
        <v>4.5924107921205737</v>
      </c>
      <c r="L37" s="89"/>
      <c r="M37" s="88"/>
      <c r="N37" s="8"/>
      <c r="O37" s="8"/>
      <c r="P37" s="8"/>
      <c r="Q37" s="8"/>
      <c r="R37" s="8"/>
      <c r="S37" s="8"/>
      <c r="T37" s="8"/>
      <c r="U37" s="8"/>
    </row>
    <row r="38" spans="1:21" s="6" customFormat="1" ht="12.75" hidden="1" customHeight="1" x14ac:dyDescent="0.2">
      <c r="A38" s="90"/>
      <c r="B38" s="249" t="s">
        <v>17</v>
      </c>
      <c r="C38" s="250" t="s">
        <v>18</v>
      </c>
      <c r="D38" s="8"/>
      <c r="E38" s="248"/>
      <c r="F38" s="251"/>
      <c r="G38" s="252"/>
      <c r="H38" s="253"/>
      <c r="I38" s="254"/>
      <c r="J38" s="254"/>
      <c r="K38" s="254"/>
      <c r="L38" s="134"/>
      <c r="M38" s="110"/>
      <c r="N38" s="7"/>
      <c r="O38" s="7"/>
      <c r="P38" s="7"/>
      <c r="Q38" s="7"/>
    </row>
    <row r="39" spans="1:21" ht="12.75" hidden="1" customHeight="1" x14ac:dyDescent="0.2">
      <c r="A39" s="255" t="s">
        <v>90</v>
      </c>
      <c r="B39" s="256" t="s">
        <v>19</v>
      </c>
      <c r="C39" s="257" t="s">
        <v>20</v>
      </c>
      <c r="D39" s="3" t="s">
        <v>21</v>
      </c>
      <c r="F39" s="89"/>
      <c r="G39" s="89"/>
      <c r="H39" s="89"/>
      <c r="I39" s="89"/>
      <c r="J39" s="89"/>
      <c r="K39" s="89"/>
      <c r="L39" s="89"/>
      <c r="M39" s="110"/>
      <c r="N39" s="7"/>
      <c r="O39" s="7"/>
      <c r="P39" s="7"/>
      <c r="Q39" s="7"/>
      <c r="T39" s="1"/>
      <c r="U39" s="1"/>
    </row>
    <row r="40" spans="1:21" ht="12.75" hidden="1" customHeight="1" x14ac:dyDescent="0.2">
      <c r="A40" s="258" t="s">
        <v>91</v>
      </c>
      <c r="B40" s="259">
        <f>E7*C9/E9</f>
        <v>650.72119914346899</v>
      </c>
      <c r="C40" s="259">
        <f>E7*D9/E9</f>
        <v>4017.2788008565312</v>
      </c>
      <c r="D40" s="259">
        <f>E7</f>
        <v>4668</v>
      </c>
      <c r="F40" s="10"/>
      <c r="G40" s="260" t="s">
        <v>92</v>
      </c>
      <c r="H40" s="261">
        <f>CHIINV(0.05,J41)</f>
        <v>3.8414588206941236</v>
      </c>
      <c r="I40" s="89"/>
      <c r="J40" s="89"/>
      <c r="K40" s="89"/>
      <c r="L40" s="89"/>
      <c r="M40" s="110"/>
      <c r="N40" s="262"/>
      <c r="O40" s="262"/>
      <c r="P40" s="262"/>
      <c r="Q40" s="7"/>
      <c r="T40" s="1"/>
      <c r="U40" s="1"/>
    </row>
    <row r="41" spans="1:21" ht="12.75" hidden="1" customHeight="1" x14ac:dyDescent="0.2">
      <c r="A41" s="263" t="s">
        <v>93</v>
      </c>
      <c r="B41" s="259">
        <f>E8*C9/E9</f>
        <v>651.27880085653101</v>
      </c>
      <c r="C41" s="259">
        <f>E8*D9/E9</f>
        <v>4020.7211991434688</v>
      </c>
      <c r="D41" s="259">
        <f>E8</f>
        <v>4672</v>
      </c>
      <c r="E41" s="6"/>
      <c r="F41" s="264"/>
      <c r="G41" s="264"/>
      <c r="H41" s="265"/>
      <c r="I41" s="266" t="s">
        <v>94</v>
      </c>
      <c r="J41" s="267">
        <f>(COUNT(B40:C40)-1)*(COUNT(B40:B41)-1)</f>
        <v>1</v>
      </c>
      <c r="K41" s="89"/>
      <c r="L41" s="89"/>
      <c r="M41" s="89"/>
      <c r="N41" s="262"/>
      <c r="O41" s="262"/>
      <c r="P41" s="262"/>
      <c r="Q41" s="7"/>
      <c r="T41" s="1"/>
      <c r="U41" s="1"/>
    </row>
    <row r="42" spans="1:21" ht="12.75" hidden="1" customHeight="1" x14ac:dyDescent="0.2">
      <c r="A42" s="268" t="s">
        <v>95</v>
      </c>
      <c r="B42" s="259">
        <f>SUM(B40:B41)</f>
        <v>1302</v>
      </c>
      <c r="C42" s="259">
        <f>SUM(C40:C41)</f>
        <v>8038</v>
      </c>
      <c r="D42" s="269">
        <f>SUM(D40:D41)</f>
        <v>9340</v>
      </c>
      <c r="E42" s="6"/>
      <c r="F42" s="134"/>
      <c r="G42" s="270" t="s">
        <v>96</v>
      </c>
      <c r="H42" s="271" t="s">
        <v>97</v>
      </c>
      <c r="I42" s="89"/>
      <c r="J42" s="89"/>
      <c r="K42" s="89"/>
      <c r="L42" s="89"/>
      <c r="M42" s="89"/>
      <c r="N42" s="262"/>
      <c r="O42" s="272"/>
      <c r="P42" s="262"/>
      <c r="Q42" s="7"/>
      <c r="T42" s="1"/>
      <c r="U42" s="1"/>
    </row>
    <row r="43" spans="1:21" ht="12.75" hidden="1" customHeight="1" x14ac:dyDescent="0.2">
      <c r="A43" s="268"/>
      <c r="B43" s="273"/>
      <c r="C43" s="273"/>
      <c r="D43" s="274"/>
      <c r="E43" s="6"/>
      <c r="F43" s="134"/>
      <c r="G43" s="270" t="s">
        <v>98</v>
      </c>
      <c r="H43" s="271" t="s">
        <v>99</v>
      </c>
      <c r="I43" s="89"/>
      <c r="J43" s="89"/>
      <c r="K43" s="89"/>
      <c r="L43" s="89"/>
      <c r="M43" s="89"/>
      <c r="N43" s="275"/>
      <c r="O43" s="275"/>
      <c r="P43" s="275"/>
      <c r="Q43" s="7"/>
      <c r="T43" s="1"/>
      <c r="U43" s="1"/>
    </row>
    <row r="44" spans="1:21" ht="26.25" hidden="1" customHeight="1" x14ac:dyDescent="0.2">
      <c r="A44" s="276"/>
      <c r="B44" s="529" t="s">
        <v>100</v>
      </c>
      <c r="C44" s="530"/>
      <c r="F44" s="89"/>
      <c r="G44" s="277"/>
      <c r="H44" s="89"/>
      <c r="I44" s="89"/>
      <c r="J44" s="89"/>
      <c r="K44" s="89"/>
      <c r="L44" s="89"/>
      <c r="M44" s="89"/>
      <c r="N44" s="1"/>
      <c r="O44" s="1"/>
      <c r="T44" s="1"/>
      <c r="U44" s="1"/>
    </row>
    <row r="45" spans="1:21" ht="12.75" hidden="1" customHeight="1" x14ac:dyDescent="0.2">
      <c r="A45" s="276"/>
      <c r="B45" s="278">
        <f>(C7-B40)^2/B40</f>
        <v>2.8047355129328486</v>
      </c>
      <c r="C45" s="278">
        <f>(D7-C40)^2/C40</f>
        <v>0.45431271931307915</v>
      </c>
      <c r="E45" s="279"/>
      <c r="F45" s="280"/>
      <c r="G45" s="89"/>
      <c r="H45" s="89"/>
      <c r="I45" s="110"/>
      <c r="J45" s="110"/>
      <c r="K45" s="281"/>
      <c r="L45" s="89"/>
      <c r="M45" s="89"/>
      <c r="N45" s="1"/>
      <c r="O45" s="1"/>
      <c r="T45" s="1"/>
      <c r="U45" s="1"/>
    </row>
    <row r="46" spans="1:21" ht="12.75" hidden="1" customHeight="1" x14ac:dyDescent="0.2">
      <c r="A46" s="276"/>
      <c r="B46" s="278">
        <f>(C8-B41)^2/B41</f>
        <v>2.8023341982813657</v>
      </c>
      <c r="C46" s="278">
        <f>(D8-C41)^2/C41</f>
        <v>0.45392375294380427</v>
      </c>
      <c r="D46" s="80"/>
      <c r="E46" s="282" t="s">
        <v>101</v>
      </c>
      <c r="F46" s="283">
        <f>B48-H40</f>
        <v>2.673847362776975</v>
      </c>
      <c r="G46" s="89"/>
      <c r="H46" s="89"/>
      <c r="I46" s="110"/>
      <c r="J46" s="110"/>
      <c r="K46" s="89"/>
      <c r="L46" s="89"/>
      <c r="M46" s="89"/>
      <c r="N46" s="1"/>
      <c r="O46" s="1"/>
      <c r="T46" s="1"/>
      <c r="U46" s="1"/>
    </row>
    <row r="47" spans="1:21" ht="12.75" hidden="1" customHeight="1" x14ac:dyDescent="0.2">
      <c r="A47" s="271" t="s">
        <v>102</v>
      </c>
      <c r="C47" s="284"/>
      <c r="F47" s="285" t="s">
        <v>103</v>
      </c>
      <c r="G47" s="89"/>
      <c r="H47" s="89"/>
      <c r="I47" s="110"/>
      <c r="J47" s="110"/>
      <c r="K47" s="89"/>
      <c r="L47" s="89"/>
      <c r="M47" s="89"/>
      <c r="N47" s="1"/>
      <c r="O47" s="1"/>
      <c r="T47" s="1"/>
      <c r="U47" s="1"/>
    </row>
    <row r="48" spans="1:21" ht="13.5" hidden="1" customHeight="1" x14ac:dyDescent="0.2">
      <c r="A48" s="286" t="s">
        <v>104</v>
      </c>
      <c r="B48" s="287">
        <f>SUM(B45:C46)</f>
        <v>6.5153061834710986</v>
      </c>
      <c r="C48" s="8"/>
      <c r="F48" s="285" t="s">
        <v>105</v>
      </c>
      <c r="G48" s="89"/>
      <c r="H48" s="288"/>
      <c r="I48" s="110"/>
      <c r="J48" s="110"/>
      <c r="K48" s="289"/>
      <c r="L48" s="89"/>
      <c r="M48" s="89"/>
      <c r="N48" s="1"/>
      <c r="O48" s="1"/>
      <c r="T48" s="1"/>
      <c r="U48" s="1"/>
    </row>
    <row r="49" spans="1:21" ht="12.75" hidden="1" customHeight="1" x14ac:dyDescent="0.2">
      <c r="A49" s="290" t="s">
        <v>106</v>
      </c>
      <c r="B49" s="291">
        <f>CHIDIST(B48,1)</f>
        <v>1.0694990650961569E-2</v>
      </c>
      <c r="D49" s="8"/>
      <c r="E49" s="8"/>
      <c r="F49" s="88"/>
      <c r="G49" s="292"/>
      <c r="H49" s="88"/>
      <c r="I49" s="110"/>
      <c r="J49" s="110"/>
      <c r="K49" s="88"/>
      <c r="L49" s="89"/>
      <c r="M49" s="89"/>
      <c r="N49" s="1"/>
      <c r="O49" s="1"/>
      <c r="T49" s="1"/>
      <c r="U49" s="1"/>
    </row>
    <row r="50" spans="1:21" s="7" customFormat="1" ht="12.75" hidden="1" customHeight="1" x14ac:dyDescent="0.2">
      <c r="A50" s="123"/>
      <c r="D50" s="293"/>
      <c r="E50" s="293"/>
      <c r="F50" s="110"/>
      <c r="G50" s="110"/>
      <c r="H50" s="294"/>
      <c r="I50" s="110"/>
      <c r="J50" s="110"/>
      <c r="K50" s="110"/>
      <c r="L50" s="110"/>
      <c r="M50" s="110"/>
    </row>
    <row r="51" spans="1:21" ht="13.5" hidden="1" customHeight="1" x14ac:dyDescent="0.2">
      <c r="A51" s="90"/>
      <c r="F51" s="89"/>
      <c r="G51" s="89"/>
      <c r="H51" s="89"/>
      <c r="I51" s="110"/>
      <c r="J51" s="110"/>
      <c r="K51" s="89"/>
      <c r="L51" s="89"/>
      <c r="M51" s="89"/>
      <c r="N51" s="1"/>
      <c r="O51" s="1"/>
      <c r="T51" s="1"/>
      <c r="U51" s="1"/>
    </row>
    <row r="52" spans="1:21" ht="12.75" hidden="1" customHeight="1" x14ac:dyDescent="0.2">
      <c r="A52" s="295" t="s">
        <v>107</v>
      </c>
      <c r="B52" s="296"/>
      <c r="C52" s="296"/>
      <c r="D52" s="296"/>
      <c r="E52" s="296"/>
      <c r="F52" s="296"/>
      <c r="G52" s="297"/>
      <c r="H52" s="89"/>
      <c r="I52" s="298" t="s">
        <v>108</v>
      </c>
      <c r="J52" s="299"/>
      <c r="K52" s="300"/>
      <c r="L52" s="300"/>
      <c r="M52" s="300"/>
      <c r="N52" s="157"/>
      <c r="O52" s="1"/>
      <c r="T52" s="1"/>
      <c r="U52" s="1"/>
    </row>
    <row r="53" spans="1:21" ht="12.75" hidden="1" customHeight="1" x14ac:dyDescent="0.2">
      <c r="A53" s="301">
        <f>H2*100</f>
        <v>95</v>
      </c>
      <c r="B53" s="248"/>
      <c r="C53" s="248"/>
      <c r="D53" s="7"/>
      <c r="E53" s="7"/>
      <c r="F53" s="7"/>
      <c r="G53" s="170"/>
      <c r="H53" s="89"/>
      <c r="I53" s="302"/>
      <c r="J53" s="110"/>
      <c r="K53" s="88"/>
      <c r="L53" s="88"/>
      <c r="M53" s="88"/>
      <c r="N53" s="168"/>
      <c r="O53" s="1"/>
      <c r="T53" s="1"/>
      <c r="U53" s="1"/>
    </row>
    <row r="54" spans="1:21" ht="12.75" hidden="1" customHeight="1" x14ac:dyDescent="0.2">
      <c r="A54" s="303" t="s">
        <v>109</v>
      </c>
      <c r="B54" s="304"/>
      <c r="C54" s="304"/>
      <c r="D54" s="305">
        <f>ROUND(F14,2)</f>
        <v>0.88</v>
      </c>
      <c r="E54" s="306">
        <f>ROUND(I26,4)</f>
        <v>1.83E-2</v>
      </c>
      <c r="F54" s="307">
        <f>ROUND(I27,0)</f>
        <v>55</v>
      </c>
      <c r="G54" s="308"/>
      <c r="H54" s="89"/>
      <c r="I54" s="309" t="s">
        <v>109</v>
      </c>
      <c r="J54" s="7"/>
      <c r="K54" s="7"/>
      <c r="L54" s="7"/>
      <c r="M54" s="88"/>
      <c r="N54" s="168"/>
      <c r="O54" s="1"/>
      <c r="T54" s="1"/>
      <c r="U54" s="1"/>
    </row>
    <row r="55" spans="1:21" ht="12.75" hidden="1" customHeight="1" x14ac:dyDescent="0.2">
      <c r="A55" s="303" t="s">
        <v>110</v>
      </c>
      <c r="B55" s="8"/>
      <c r="C55" s="8"/>
      <c r="D55" s="305">
        <f>ROUND(G14,2)</f>
        <v>0.79</v>
      </c>
      <c r="E55" s="306">
        <f>ROUND(K26,4)</f>
        <v>4.1999999999999997E-3</v>
      </c>
      <c r="F55" s="307">
        <f>ROUND(K27,0)</f>
        <v>236</v>
      </c>
      <c r="G55" s="308"/>
      <c r="H55" s="89"/>
      <c r="I55" s="309" t="s">
        <v>110</v>
      </c>
      <c r="J55" s="310" t="str">
        <f>ROUND(I21,4)*100&amp;I57</f>
        <v>13,02%</v>
      </c>
      <c r="K55" s="310" t="str">
        <f>ROUND(J21,4)*100&amp;I57</f>
        <v>12,09%</v>
      </c>
      <c r="L55" s="310" t="str">
        <f>ROUND(K21,4)*100&amp;I57</f>
        <v>14,02%</v>
      </c>
      <c r="M55" s="311" t="str">
        <f>CONCATENATE(J55," ",I54,K55," ",I58," ",L55,I56)</f>
        <v>13,02% (12,09% a 14,02%)</v>
      </c>
      <c r="N55" s="168"/>
      <c r="O55" s="1"/>
      <c r="T55" s="1"/>
      <c r="U55" s="1"/>
    </row>
    <row r="56" spans="1:21" s="6" customFormat="1" ht="12.75" hidden="1" customHeight="1" x14ac:dyDescent="0.2">
      <c r="A56" s="303" t="s">
        <v>111</v>
      </c>
      <c r="B56" s="304">
        <f>ROUND(C7,0)</f>
        <v>608</v>
      </c>
      <c r="C56" s="304">
        <f>ROUND(C8,0)</f>
        <v>694</v>
      </c>
      <c r="D56" s="305">
        <f>ROUND(H14,2)</f>
        <v>0.97</v>
      </c>
      <c r="E56" s="306">
        <f>ROUND(J26,4)</f>
        <v>3.2300000000000002E-2</v>
      </c>
      <c r="F56" s="307">
        <f>ROUND(J27,0)</f>
        <v>31</v>
      </c>
      <c r="G56" s="312">
        <f>ROUND(M32,4)</f>
        <v>0.72330000000000005</v>
      </c>
      <c r="H56" s="134"/>
      <c r="I56" s="309" t="s">
        <v>111</v>
      </c>
      <c r="J56" s="313" t="str">
        <f>ROUND(I22,4)*100&amp;I57</f>
        <v>14,85%</v>
      </c>
      <c r="K56" s="313" t="str">
        <f>ROUND(J22,4)*100&amp;I57</f>
        <v>13,86%</v>
      </c>
      <c r="L56" s="313" t="str">
        <f>ROUND(K22,4)*100&amp;I57</f>
        <v>15,9%</v>
      </c>
      <c r="M56" s="311" t="str">
        <f>CONCATENATE(J56," ",I54,K56," ",I58," ",L56,I56)</f>
        <v>14,85% (13,86% a 15,9%)</v>
      </c>
      <c r="N56" s="170"/>
    </row>
    <row r="57" spans="1:21" ht="12.75" hidden="1" customHeight="1" x14ac:dyDescent="0.2">
      <c r="A57" s="303" t="s">
        <v>112</v>
      </c>
      <c r="B57" s="314" t="s">
        <v>113</v>
      </c>
      <c r="C57" s="314" t="s">
        <v>114</v>
      </c>
      <c r="D57" s="314" t="s">
        <v>29</v>
      </c>
      <c r="E57" s="314" t="s">
        <v>115</v>
      </c>
      <c r="F57" s="315" t="s">
        <v>11</v>
      </c>
      <c r="G57" s="10" t="s">
        <v>116</v>
      </c>
      <c r="H57" s="89"/>
      <c r="I57" s="309" t="s">
        <v>112</v>
      </c>
      <c r="J57" s="313" t="str">
        <f>ROUND(I23,4)*100&amp;I57</f>
        <v>13,94%</v>
      </c>
      <c r="K57" s="313" t="str">
        <f>ROUND(J23,4)*100&amp;I57</f>
        <v>13,25%</v>
      </c>
      <c r="L57" s="313" t="str">
        <f>ROUND(K23,4)*100&amp;I57</f>
        <v>14,66%</v>
      </c>
      <c r="M57" s="311" t="str">
        <f>CONCATENATE(J57," ",I54,K57," ",I58," ",L57,I56)</f>
        <v>13,94% (13,25% a 14,66%)</v>
      </c>
      <c r="N57" s="170"/>
    </row>
    <row r="58" spans="1:21" ht="12.75" hidden="1" customHeight="1" x14ac:dyDescent="0.2">
      <c r="A58" s="316" t="s">
        <v>117</v>
      </c>
      <c r="B58" s="317" t="str">
        <f>CONCATENATE(B56,A59,B21," ",A54,J55,A56)</f>
        <v>608/4668 (13,02%)</v>
      </c>
      <c r="C58" s="70" t="str">
        <f>CONCATENATE(C56,A59,B22," ",A54,J56,A56)</f>
        <v>694/4672 (14,85%)</v>
      </c>
      <c r="D58" s="317" t="str">
        <f>CONCATENATE(D54," ",A54,D55,A55,D56,A56)</f>
        <v>0,88 (0,79-0,97)</v>
      </c>
      <c r="E58" s="317" t="str">
        <f>CONCATENATE(E54*100,A57," ",A54,E55*100,A57," ",A58," ",E56*100,A57,A56)</f>
        <v>1,83% (0,42% a 3,23%)</v>
      </c>
      <c r="F58" s="10" t="str">
        <f>CONCATENATE(F54," ",A54,F56," ",A58," ",F55,A56)</f>
        <v>55 (31 a 236)</v>
      </c>
      <c r="G58" s="10" t="str">
        <f>CONCATENATE(G56*100,A57)</f>
        <v>72,33%</v>
      </c>
      <c r="H58" s="89"/>
      <c r="I58" s="318" t="s">
        <v>117</v>
      </c>
      <c r="J58" s="8"/>
      <c r="K58" s="8"/>
      <c r="L58" s="8"/>
      <c r="M58" s="88"/>
      <c r="N58" s="168"/>
      <c r="O58" s="1"/>
      <c r="T58" s="1"/>
      <c r="U58" s="1"/>
    </row>
    <row r="59" spans="1:21" ht="13.5" hidden="1" customHeight="1" x14ac:dyDescent="0.2">
      <c r="A59" s="319" t="s">
        <v>118</v>
      </c>
      <c r="B59" s="194"/>
      <c r="C59" s="194"/>
      <c r="D59" s="194"/>
      <c r="E59" s="194"/>
      <c r="F59" s="320"/>
      <c r="G59" s="321"/>
      <c r="H59" s="89"/>
      <c r="I59" s="322" t="s">
        <v>118</v>
      </c>
      <c r="J59" s="194"/>
      <c r="K59" s="194"/>
      <c r="L59" s="194"/>
      <c r="M59" s="323"/>
      <c r="N59" s="192"/>
      <c r="O59" s="1"/>
      <c r="T59" s="1"/>
      <c r="U59" s="1"/>
    </row>
    <row r="60" spans="1:21" x14ac:dyDescent="0.2">
      <c r="A60" s="90"/>
      <c r="F60" s="89"/>
      <c r="G60" s="89"/>
      <c r="H60" s="89"/>
      <c r="I60" s="89"/>
      <c r="J60" s="89"/>
      <c r="K60" s="110"/>
      <c r="L60" s="89"/>
      <c r="M60" s="89"/>
      <c r="N60" s="1"/>
      <c r="O60" s="1"/>
      <c r="T60" s="1"/>
      <c r="U60" s="1"/>
    </row>
    <row r="61" spans="1:21" ht="27" customHeight="1" x14ac:dyDescent="0.2">
      <c r="A61" s="90"/>
      <c r="B61" s="324" t="s">
        <v>113</v>
      </c>
      <c r="C61" s="324" t="s">
        <v>114</v>
      </c>
      <c r="D61" s="325" t="str">
        <f>CONCATENATE(D57," ",A54,G2," ",A53,A57,A56)</f>
        <v>RR (IC 95%)</v>
      </c>
      <c r="E61" s="325" t="str">
        <f>CONCATENATE(E57," ",A54,G2," ",A53,A57,A56)</f>
        <v>RAR (IC 95%)</v>
      </c>
      <c r="F61" s="325" t="str">
        <f>CONCATENATE(F57," ",A54,G2," ",A53,A57,A56)</f>
        <v>NNT (IC 95%)</v>
      </c>
      <c r="G61" s="325" t="s">
        <v>73</v>
      </c>
      <c r="H61" s="326"/>
      <c r="I61" s="359" t="s">
        <v>129</v>
      </c>
      <c r="K61" s="331" t="s">
        <v>120</v>
      </c>
      <c r="L61" s="331" t="s">
        <v>121</v>
      </c>
      <c r="N61" s="390" t="s">
        <v>141</v>
      </c>
      <c r="O61" s="390" t="s">
        <v>121</v>
      </c>
      <c r="Q61" s="341" t="s">
        <v>2</v>
      </c>
      <c r="R61" s="342" t="s">
        <v>3</v>
      </c>
      <c r="S61" s="385" t="s">
        <v>1</v>
      </c>
      <c r="T61" s="332" t="s">
        <v>139</v>
      </c>
      <c r="U61" s="1"/>
    </row>
    <row r="62" spans="1:21" ht="21" customHeight="1" x14ac:dyDescent="0.2">
      <c r="A62" s="90"/>
      <c r="B62" s="70" t="str">
        <f t="shared" ref="B62:G62" si="1">B58</f>
        <v>608/4668 (13,02%)</v>
      </c>
      <c r="C62" s="70" t="str">
        <f t="shared" si="1"/>
        <v>694/4672 (14,85%)</v>
      </c>
      <c r="D62" s="70" t="str">
        <f t="shared" si="1"/>
        <v>0,88 (0,79-0,97)</v>
      </c>
      <c r="E62" s="70" t="str">
        <f t="shared" si="1"/>
        <v>1,83% (0,42% a 3,23%)</v>
      </c>
      <c r="F62" s="70" t="str">
        <f t="shared" si="1"/>
        <v>55 (31 a 236)</v>
      </c>
      <c r="G62" s="70" t="str">
        <f t="shared" si="1"/>
        <v>72,33%</v>
      </c>
      <c r="H62" s="327"/>
      <c r="I62" s="328">
        <f>B49</f>
        <v>1.0694990650961569E-2</v>
      </c>
      <c r="K62" s="329">
        <f>IF((J26*K26&lt;0),I23,I21)</f>
        <v>0.13024850042844902</v>
      </c>
      <c r="L62" s="329">
        <f>IF((J26*K26&lt;0),I23,I22)</f>
        <v>0.1485445205479452</v>
      </c>
      <c r="N62" s="388">
        <f>K62*100</f>
        <v>13.024850042844902</v>
      </c>
      <c r="O62" s="389">
        <f>L62*100</f>
        <v>14.854452054794521</v>
      </c>
      <c r="Q62" s="343">
        <f>P14</f>
        <v>42.162667564648849</v>
      </c>
      <c r="R62" s="344">
        <f>Q14</f>
        <v>0.4208084627484121</v>
      </c>
      <c r="S62" s="386">
        <f>R14</f>
        <v>3.4165239726027394</v>
      </c>
      <c r="T62" s="387">
        <f>Q62+R62+S62</f>
        <v>46</v>
      </c>
      <c r="U62" s="285" t="str">
        <f>H4</f>
        <v>meses</v>
      </c>
    </row>
    <row r="63" spans="1:21" x14ac:dyDescent="0.2">
      <c r="A63" s="90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330"/>
    </row>
    <row r="64" spans="1:21" x14ac:dyDescent="0.2">
      <c r="A64" s="482" t="s">
        <v>172</v>
      </c>
      <c r="B64" s="371"/>
      <c r="C64" s="371"/>
      <c r="D64" s="371"/>
      <c r="E64" s="371"/>
      <c r="F64" s="371"/>
      <c r="G64" s="371"/>
      <c r="H64" s="366"/>
      <c r="I64" s="431"/>
      <c r="J64" s="367"/>
      <c r="K64" s="367"/>
      <c r="L64" s="367"/>
      <c r="M64" s="367"/>
      <c r="N64" s="367"/>
      <c r="O64" s="395"/>
      <c r="P64" s="395"/>
      <c r="Q64" s="395"/>
      <c r="R64" s="395"/>
      <c r="S64" s="395"/>
      <c r="T64" s="395"/>
      <c r="U64" s="395"/>
    </row>
    <row r="65" spans="1:22" ht="13.5" thickBot="1" x14ac:dyDescent="0.25">
      <c r="A65" s="483" t="s">
        <v>253</v>
      </c>
      <c r="B65" s="371"/>
      <c r="C65" s="371"/>
      <c r="D65" s="371"/>
      <c r="E65" s="371"/>
      <c r="F65" s="371"/>
      <c r="G65" s="371"/>
      <c r="H65" s="366"/>
      <c r="I65" s="431"/>
      <c r="J65" s="367"/>
      <c r="K65" s="367"/>
      <c r="L65" s="367"/>
      <c r="M65" s="367"/>
      <c r="N65" s="367"/>
      <c r="O65" s="395"/>
      <c r="P65" s="395"/>
      <c r="Q65" s="395"/>
      <c r="R65" s="395"/>
      <c r="S65" s="395"/>
      <c r="T65" s="395"/>
      <c r="U65" s="395"/>
    </row>
    <row r="66" spans="1:22" ht="33.75" customHeight="1" thickBot="1" x14ac:dyDescent="0.25">
      <c r="A66" s="546" t="s">
        <v>188</v>
      </c>
      <c r="B66" s="547"/>
      <c r="C66" s="547"/>
      <c r="D66" s="547"/>
      <c r="E66" s="547"/>
      <c r="F66" s="547"/>
      <c r="G66" s="548"/>
      <c r="H66" s="395"/>
      <c r="I66" s="395"/>
      <c r="J66" s="395"/>
      <c r="K66" s="395"/>
      <c r="L66" s="395"/>
      <c r="M66" s="395"/>
      <c r="N66" s="537" t="s">
        <v>143</v>
      </c>
      <c r="O66" s="538"/>
      <c r="P66" s="395"/>
      <c r="Q66" s="531" t="s">
        <v>136</v>
      </c>
      <c r="R66" s="534" t="s">
        <v>137</v>
      </c>
      <c r="S66" s="555" t="s">
        <v>138</v>
      </c>
      <c r="T66" s="558" t="s">
        <v>140</v>
      </c>
      <c r="U66" s="395"/>
    </row>
    <row r="67" spans="1:22" ht="38.25" customHeight="1" thickBot="1" x14ac:dyDescent="0.25">
      <c r="A67" s="544" t="s">
        <v>175</v>
      </c>
      <c r="B67" s="484" t="s">
        <v>173</v>
      </c>
      <c r="C67" s="485" t="s">
        <v>174</v>
      </c>
      <c r="D67" s="539" t="s">
        <v>152</v>
      </c>
      <c r="E67" s="540"/>
      <c r="F67" s="540"/>
      <c r="G67" s="541"/>
      <c r="H67" s="395"/>
      <c r="I67" s="395"/>
      <c r="J67" s="395"/>
      <c r="K67" s="395"/>
      <c r="L67" s="395"/>
      <c r="M67" s="395"/>
      <c r="N67" s="542" t="s">
        <v>189</v>
      </c>
      <c r="O67" s="543"/>
      <c r="P67" s="395"/>
      <c r="Q67" s="532"/>
      <c r="R67" s="535"/>
      <c r="S67" s="556"/>
      <c r="T67" s="559"/>
      <c r="U67" s="395"/>
    </row>
    <row r="68" spans="1:22" ht="26.25" customHeight="1" thickBot="1" x14ac:dyDescent="0.25">
      <c r="A68" s="545"/>
      <c r="B68" s="486" t="s">
        <v>144</v>
      </c>
      <c r="C68" s="487" t="s">
        <v>144</v>
      </c>
      <c r="D68" s="488" t="s">
        <v>135</v>
      </c>
      <c r="E68" s="489" t="s">
        <v>153</v>
      </c>
      <c r="F68" s="489" t="s">
        <v>176</v>
      </c>
      <c r="G68" s="490" t="s">
        <v>119</v>
      </c>
      <c r="H68" s="395"/>
      <c r="I68" s="491" t="s">
        <v>145</v>
      </c>
      <c r="J68" s="395"/>
      <c r="K68" s="492" t="s">
        <v>120</v>
      </c>
      <c r="L68" s="492" t="s">
        <v>121</v>
      </c>
      <c r="M68" s="395"/>
      <c r="N68" s="493" t="s">
        <v>190</v>
      </c>
      <c r="O68" s="494" t="s">
        <v>14</v>
      </c>
      <c r="P68" s="395"/>
      <c r="Q68" s="533"/>
      <c r="R68" s="536"/>
      <c r="S68" s="557"/>
      <c r="T68" s="560"/>
      <c r="U68" s="395"/>
    </row>
    <row r="69" spans="1:22" ht="21.75" customHeight="1" x14ac:dyDescent="0.2">
      <c r="A69" s="480" t="s">
        <v>252</v>
      </c>
      <c r="B69" s="368"/>
      <c r="C69" s="368"/>
      <c r="D69" s="369"/>
      <c r="E69" s="369"/>
      <c r="F69" s="369"/>
      <c r="G69" s="369"/>
      <c r="H69" s="366"/>
      <c r="I69" s="370"/>
      <c r="J69" s="371"/>
      <c r="K69" s="371"/>
      <c r="L69" s="371"/>
      <c r="M69" s="371"/>
      <c r="N69" s="371"/>
      <c r="O69" s="371"/>
      <c r="P69" s="395"/>
      <c r="Q69" s="395"/>
      <c r="R69" s="395"/>
      <c r="S69" s="395"/>
      <c r="T69" s="395"/>
      <c r="U69" s="395"/>
    </row>
    <row r="70" spans="1:22" ht="21" x14ac:dyDescent="0.2">
      <c r="A70" s="373" t="s">
        <v>151</v>
      </c>
      <c r="B70" s="374" t="s">
        <v>183</v>
      </c>
      <c r="C70" s="374" t="s">
        <v>184</v>
      </c>
      <c r="D70" s="374" t="s">
        <v>185</v>
      </c>
      <c r="E70" s="374" t="s">
        <v>186</v>
      </c>
      <c r="F70" s="503" t="s">
        <v>187</v>
      </c>
      <c r="G70" s="428">
        <v>0.6663</v>
      </c>
      <c r="H70" s="366"/>
      <c r="I70" s="384">
        <v>1.6861283327622802E-2</v>
      </c>
      <c r="J70" s="367"/>
      <c r="K70" s="372">
        <v>8.1619537275064269E-2</v>
      </c>
      <c r="L70" s="372">
        <v>9.5676369863013699E-2</v>
      </c>
      <c r="M70" s="367"/>
      <c r="N70" s="467">
        <v>8.1619537275064271</v>
      </c>
      <c r="O70" s="468">
        <v>9.5676369863013697</v>
      </c>
      <c r="P70" s="395"/>
      <c r="Q70" s="458">
        <v>43.476136343627843</v>
      </c>
      <c r="R70" s="459">
        <v>0.32330714952283701</v>
      </c>
      <c r="S70" s="460">
        <v>2.2005565068493151</v>
      </c>
      <c r="T70" s="416">
        <v>46</v>
      </c>
      <c r="U70" s="499" t="s">
        <v>148</v>
      </c>
    </row>
    <row r="71" spans="1:22" ht="21" x14ac:dyDescent="0.2">
      <c r="A71" s="373" t="s">
        <v>171</v>
      </c>
      <c r="B71" s="374" t="s">
        <v>192</v>
      </c>
      <c r="C71" s="374" t="s">
        <v>193</v>
      </c>
      <c r="D71" s="374" t="s">
        <v>194</v>
      </c>
      <c r="E71" s="374" t="s">
        <v>195</v>
      </c>
      <c r="F71" s="503" t="s">
        <v>196</v>
      </c>
      <c r="G71" s="428">
        <v>0.77339999999999998</v>
      </c>
      <c r="H71" s="366"/>
      <c r="I71" s="384">
        <v>6.7272321027625585E-3</v>
      </c>
      <c r="J71" s="367"/>
      <c r="K71" s="372">
        <v>4.691516709511568E-2</v>
      </c>
      <c r="L71" s="372">
        <v>5.9503424657534248E-2</v>
      </c>
      <c r="M71" s="367"/>
      <c r="N71" s="414">
        <v>4.6915167095115677</v>
      </c>
      <c r="O71" s="415">
        <v>5.9503424657534252</v>
      </c>
      <c r="P71" s="395"/>
      <c r="Q71" s="458">
        <v>44.341891308941086</v>
      </c>
      <c r="R71" s="459">
        <v>0.28952992393562704</v>
      </c>
      <c r="S71" s="460">
        <v>1.3685787671232876</v>
      </c>
      <c r="T71" s="416">
        <v>46</v>
      </c>
      <c r="U71" s="499" t="s">
        <v>148</v>
      </c>
    </row>
    <row r="72" spans="1:22" ht="21" x14ac:dyDescent="0.2">
      <c r="A72" s="373" t="s">
        <v>202</v>
      </c>
      <c r="B72" s="374" t="s">
        <v>203</v>
      </c>
      <c r="C72" s="374" t="s">
        <v>204</v>
      </c>
      <c r="D72" s="374" t="s">
        <v>205</v>
      </c>
      <c r="E72" s="374" t="s">
        <v>206</v>
      </c>
      <c r="F72" s="374" t="s">
        <v>207</v>
      </c>
      <c r="G72" s="428" t="s">
        <v>208</v>
      </c>
      <c r="H72" s="366"/>
      <c r="I72" s="384">
        <v>5.4042397038108411E-2</v>
      </c>
      <c r="J72" s="367"/>
      <c r="K72" s="372">
        <v>6.7558886509635971E-2</v>
      </c>
      <c r="L72" s="372">
        <v>6.7558886509635971E-2</v>
      </c>
      <c r="M72" s="367"/>
      <c r="N72" s="416">
        <v>6.7558886509635974</v>
      </c>
      <c r="O72" s="416">
        <v>6.7558886509635974</v>
      </c>
      <c r="P72" s="395"/>
      <c r="Q72" s="395"/>
      <c r="R72" s="395"/>
      <c r="S72" s="395"/>
      <c r="T72" s="395"/>
      <c r="U72" s="497"/>
      <c r="V72" s="395"/>
    </row>
    <row r="73" spans="1:22" ht="21" x14ac:dyDescent="0.2">
      <c r="A73" s="373" t="s">
        <v>209</v>
      </c>
      <c r="B73" s="374" t="s">
        <v>210</v>
      </c>
      <c r="C73" s="374" t="s">
        <v>211</v>
      </c>
      <c r="D73" s="374" t="s">
        <v>212</v>
      </c>
      <c r="E73" s="374" t="s">
        <v>213</v>
      </c>
      <c r="F73" s="374" t="s">
        <v>214</v>
      </c>
      <c r="G73" s="428">
        <v>0.2767</v>
      </c>
      <c r="H73" s="366"/>
      <c r="I73" s="384">
        <v>0.17153679576005051</v>
      </c>
      <c r="J73" s="367"/>
      <c r="K73" s="372">
        <v>3.9828693790149895E-2</v>
      </c>
      <c r="L73" s="372">
        <v>3.9828693790149895E-2</v>
      </c>
      <c r="M73" s="367"/>
      <c r="N73" s="416">
        <v>3.9828693790149896</v>
      </c>
      <c r="O73" s="416">
        <v>3.9828693790149896</v>
      </c>
      <c r="P73" s="395"/>
      <c r="Q73" s="395"/>
      <c r="R73" s="395"/>
      <c r="S73" s="395"/>
      <c r="T73" s="395"/>
      <c r="U73" s="497"/>
      <c r="V73" s="395"/>
    </row>
    <row r="74" spans="1:22" ht="21" x14ac:dyDescent="0.2">
      <c r="A74" s="373" t="s">
        <v>161</v>
      </c>
      <c r="B74" s="374" t="s">
        <v>215</v>
      </c>
      <c r="C74" s="374" t="s">
        <v>216</v>
      </c>
      <c r="D74" s="374" t="s">
        <v>217</v>
      </c>
      <c r="E74" s="374" t="s">
        <v>218</v>
      </c>
      <c r="F74" s="374" t="s">
        <v>219</v>
      </c>
      <c r="G74" s="428">
        <v>0.21099999999999999</v>
      </c>
      <c r="H74" s="366"/>
      <c r="I74" s="384">
        <v>0.24728932394673661</v>
      </c>
      <c r="J74" s="367"/>
      <c r="K74" s="372">
        <v>1.1563169164882228E-2</v>
      </c>
      <c r="L74" s="372">
        <v>1.1563169164882228E-2</v>
      </c>
      <c r="M74" s="367"/>
      <c r="N74" s="416">
        <v>1.1563169164882228</v>
      </c>
      <c r="O74" s="416">
        <v>1.1563169164882228</v>
      </c>
      <c r="P74" s="395"/>
      <c r="Q74" s="395"/>
      <c r="R74" s="395"/>
      <c r="S74" s="395"/>
      <c r="T74" s="395"/>
      <c r="U74" s="497"/>
      <c r="V74" s="395"/>
    </row>
    <row r="75" spans="1:22" ht="21" x14ac:dyDescent="0.2">
      <c r="A75" s="373" t="s">
        <v>160</v>
      </c>
      <c r="B75" s="374" t="s">
        <v>220</v>
      </c>
      <c r="C75" s="374" t="s">
        <v>221</v>
      </c>
      <c r="D75" s="374" t="s">
        <v>222</v>
      </c>
      <c r="E75" s="374" t="s">
        <v>223</v>
      </c>
      <c r="F75" s="374" t="s">
        <v>224</v>
      </c>
      <c r="G75" s="428">
        <v>0.24979999999999999</v>
      </c>
      <c r="H75" s="366"/>
      <c r="I75" s="384">
        <v>0.19885581903512325</v>
      </c>
      <c r="J75" s="367"/>
      <c r="K75" s="372">
        <v>9.0578158458244115E-2</v>
      </c>
      <c r="L75" s="372">
        <v>9.0578158458244115E-2</v>
      </c>
      <c r="M75" s="367"/>
      <c r="N75" s="416">
        <v>9.0578158458244111</v>
      </c>
      <c r="O75" s="416">
        <v>9.0578158458244111</v>
      </c>
      <c r="P75" s="395"/>
      <c r="Q75" s="395"/>
      <c r="R75" s="395"/>
      <c r="S75" s="395"/>
      <c r="T75" s="395"/>
      <c r="U75" s="497"/>
      <c r="V75" s="395"/>
    </row>
    <row r="76" spans="1:22" ht="21" x14ac:dyDescent="0.2">
      <c r="A76" s="373" t="s">
        <v>158</v>
      </c>
      <c r="B76" s="374" t="s">
        <v>225</v>
      </c>
      <c r="C76" s="374" t="s">
        <v>226</v>
      </c>
      <c r="D76" s="374" t="s">
        <v>227</v>
      </c>
      <c r="E76" s="374" t="s">
        <v>228</v>
      </c>
      <c r="F76" s="374" t="s">
        <v>229</v>
      </c>
      <c r="G76" s="428">
        <v>3.3099999999999997E-2</v>
      </c>
      <c r="H76" s="366"/>
      <c r="I76" s="384">
        <v>0.90256543831750324</v>
      </c>
      <c r="J76" s="367"/>
      <c r="K76" s="372">
        <v>2.6338329764453963E-2</v>
      </c>
      <c r="L76" s="372">
        <v>2.6338329764453963E-2</v>
      </c>
      <c r="M76" s="367"/>
      <c r="N76" s="416">
        <v>2.633832976445396</v>
      </c>
      <c r="O76" s="416">
        <v>2.633832976445396</v>
      </c>
      <c r="P76" s="395"/>
      <c r="Q76" s="395"/>
      <c r="R76" s="395"/>
      <c r="S76" s="395"/>
      <c r="T76" s="395"/>
      <c r="U76" s="497"/>
      <c r="V76" s="395"/>
    </row>
    <row r="77" spans="1:22" ht="21" x14ac:dyDescent="0.2">
      <c r="A77" s="373" t="s">
        <v>230</v>
      </c>
      <c r="B77" s="374" t="s">
        <v>231</v>
      </c>
      <c r="C77" s="374" t="s">
        <v>232</v>
      </c>
      <c r="D77" s="374" t="s">
        <v>233</v>
      </c>
      <c r="E77" s="374" t="s">
        <v>234</v>
      </c>
      <c r="F77" s="374" t="s">
        <v>235</v>
      </c>
      <c r="G77" s="428" t="s">
        <v>236</v>
      </c>
      <c r="H77" s="366"/>
      <c r="I77" s="472">
        <v>0.15669908585698206</v>
      </c>
      <c r="J77" s="367"/>
      <c r="K77" s="372">
        <v>4.9892933618843685E-2</v>
      </c>
      <c r="L77" s="372">
        <v>4.9892933618843685E-2</v>
      </c>
      <c r="M77" s="367"/>
      <c r="N77" s="416">
        <v>4.9892933618843687</v>
      </c>
      <c r="O77" s="416">
        <v>4.9892933618843687</v>
      </c>
      <c r="P77" s="395"/>
      <c r="Q77" s="395"/>
      <c r="R77" s="395"/>
      <c r="S77" s="395"/>
      <c r="T77" s="395"/>
      <c r="U77" s="497"/>
      <c r="V77" s="395"/>
    </row>
    <row r="78" spans="1:22" ht="19.5" customHeight="1" x14ac:dyDescent="0.2">
      <c r="A78" s="480" t="s">
        <v>251</v>
      </c>
      <c r="B78" s="473"/>
      <c r="C78" s="473"/>
      <c r="D78" s="473"/>
      <c r="E78" s="473"/>
      <c r="F78" s="473"/>
      <c r="G78" s="474"/>
      <c r="H78" s="366"/>
      <c r="I78" s="431"/>
      <c r="J78" s="371"/>
      <c r="K78" s="475"/>
      <c r="L78" s="475"/>
      <c r="M78" s="371"/>
      <c r="N78" s="476"/>
      <c r="O78" s="476"/>
      <c r="P78" s="477"/>
      <c r="Q78" s="477"/>
      <c r="R78" s="477"/>
      <c r="S78" s="477"/>
      <c r="T78" s="477"/>
      <c r="U78" s="497"/>
      <c r="V78" s="395"/>
    </row>
    <row r="79" spans="1:22" ht="57" customHeight="1" x14ac:dyDescent="0.2">
      <c r="A79" s="479" t="s">
        <v>250</v>
      </c>
      <c r="B79" s="445" t="s">
        <v>237</v>
      </c>
      <c r="C79" s="445" t="s">
        <v>238</v>
      </c>
      <c r="D79" s="445" t="s">
        <v>239</v>
      </c>
      <c r="E79" s="445" t="s">
        <v>240</v>
      </c>
      <c r="F79" s="445" t="s">
        <v>241</v>
      </c>
      <c r="G79" s="481">
        <v>0.17150000000000001</v>
      </c>
      <c r="H79" s="366"/>
      <c r="I79" s="384">
        <v>0.31166023142052107</v>
      </c>
      <c r="J79" s="367"/>
      <c r="K79" s="372">
        <v>2.119914346895075E-2</v>
      </c>
      <c r="L79" s="372">
        <v>2.119914346895075E-2</v>
      </c>
      <c r="M79" s="367"/>
      <c r="N79" s="448">
        <v>2.119914346895075</v>
      </c>
      <c r="O79" s="448">
        <v>2.119914346895075</v>
      </c>
      <c r="P79" s="395"/>
      <c r="Q79" s="477"/>
      <c r="R79" s="477"/>
      <c r="S79" s="477"/>
      <c r="T79" s="477"/>
      <c r="U79" s="497"/>
      <c r="V79" s="395"/>
    </row>
    <row r="80" spans="1:22" ht="62.25" customHeight="1" x14ac:dyDescent="0.2">
      <c r="A80" s="495" t="s">
        <v>249</v>
      </c>
      <c r="B80" s="445" t="s">
        <v>197</v>
      </c>
      <c r="C80" s="445" t="s">
        <v>198</v>
      </c>
      <c r="D80" s="445" t="s">
        <v>199</v>
      </c>
      <c r="E80" s="445" t="s">
        <v>200</v>
      </c>
      <c r="F80" s="446" t="s">
        <v>201</v>
      </c>
      <c r="G80" s="447">
        <v>0.82379999999999998</v>
      </c>
      <c r="H80" s="366"/>
      <c r="I80" s="384">
        <v>3.85391059231547E-3</v>
      </c>
      <c r="J80" s="367"/>
      <c r="K80" s="372">
        <v>5.7412167952013711E-2</v>
      </c>
      <c r="L80" s="372">
        <v>7.2131849315068497E-2</v>
      </c>
      <c r="M80" s="367"/>
      <c r="N80" s="388">
        <v>5.7412167952013711</v>
      </c>
      <c r="O80" s="389">
        <v>7.2131849315068495</v>
      </c>
      <c r="P80" s="395"/>
      <c r="Q80" s="461">
        <v>44.002414794403165</v>
      </c>
      <c r="R80" s="462">
        <v>0.33855267135026024</v>
      </c>
      <c r="S80" s="463">
        <v>1.6590325342465755</v>
      </c>
      <c r="T80" s="448">
        <v>46</v>
      </c>
      <c r="U80" s="498" t="s">
        <v>148</v>
      </c>
      <c r="V80" s="395"/>
    </row>
    <row r="81" spans="1:21" ht="20.25" customHeight="1" x14ac:dyDescent="0.2">
      <c r="A81" s="496" t="s">
        <v>169</v>
      </c>
      <c r="B81" s="445" t="s">
        <v>177</v>
      </c>
      <c r="C81" s="445" t="s">
        <v>178</v>
      </c>
      <c r="D81" s="445" t="s">
        <v>179</v>
      </c>
      <c r="E81" s="445" t="s">
        <v>180</v>
      </c>
      <c r="F81" s="446" t="s">
        <v>181</v>
      </c>
      <c r="G81" s="447" t="s">
        <v>182</v>
      </c>
      <c r="H81" s="366"/>
      <c r="I81" s="384">
        <v>1.0694990650961569E-2</v>
      </c>
      <c r="J81" s="367"/>
      <c r="K81" s="372">
        <v>0.13024850042844902</v>
      </c>
      <c r="L81" s="372">
        <v>0.1485445205479452</v>
      </c>
      <c r="M81" s="367"/>
      <c r="N81" s="388">
        <v>13.024850042844902</v>
      </c>
      <c r="O81" s="389">
        <v>14.854452054794521</v>
      </c>
      <c r="P81" s="395"/>
      <c r="Q81" s="461">
        <v>42.162667564648849</v>
      </c>
      <c r="R81" s="462">
        <v>0.4208084627484121</v>
      </c>
      <c r="S81" s="463">
        <v>3.4165239726027394</v>
      </c>
      <c r="T81" s="448">
        <v>46</v>
      </c>
      <c r="U81" s="498" t="s">
        <v>148</v>
      </c>
    </row>
    <row r="82" spans="1:21" ht="20.25" customHeight="1" x14ac:dyDescent="0.2">
      <c r="A82" s="496" t="s">
        <v>242</v>
      </c>
      <c r="B82" s="445" t="s">
        <v>243</v>
      </c>
      <c r="C82" s="445" t="s">
        <v>244</v>
      </c>
      <c r="D82" s="445" t="s">
        <v>245</v>
      </c>
      <c r="E82" s="445" t="s">
        <v>246</v>
      </c>
      <c r="F82" s="446" t="s">
        <v>247</v>
      </c>
      <c r="G82" s="447" t="s">
        <v>248</v>
      </c>
      <c r="H82" s="366"/>
      <c r="I82" s="384">
        <v>4.3907486317268487E-3</v>
      </c>
      <c r="J82" s="367"/>
      <c r="K82" s="372">
        <v>0.20308483290488433</v>
      </c>
      <c r="L82" s="372">
        <v>0.22731164383561644</v>
      </c>
      <c r="M82" s="367"/>
      <c r="N82" s="388">
        <v>20.308483290488432</v>
      </c>
      <c r="O82" s="389">
        <v>22.731164383561644</v>
      </c>
      <c r="P82" s="395"/>
      <c r="Q82" s="461">
        <v>40.214615540373984</v>
      </c>
      <c r="R82" s="462">
        <v>0.55721665140683818</v>
      </c>
      <c r="S82" s="463">
        <v>5.2281678082191778</v>
      </c>
      <c r="T82" s="448">
        <v>46</v>
      </c>
      <c r="U82" s="498" t="s">
        <v>148</v>
      </c>
    </row>
    <row r="83" spans="1:21" ht="4.5" customHeight="1" x14ac:dyDescent="0.2">
      <c r="A83" s="377"/>
      <c r="B83" s="371"/>
      <c r="C83" s="371"/>
      <c r="D83" s="371"/>
      <c r="E83" s="371"/>
      <c r="F83" s="435"/>
      <c r="G83" s="430"/>
      <c r="H83" s="366"/>
      <c r="I83" s="431"/>
      <c r="J83" s="367"/>
      <c r="K83" s="372"/>
      <c r="L83" s="372"/>
      <c r="M83" s="367"/>
      <c r="N83" s="432"/>
      <c r="O83" s="433"/>
      <c r="P83" s="395"/>
      <c r="Q83" s="436"/>
      <c r="R83" s="437"/>
      <c r="S83" s="438"/>
      <c r="T83" s="439"/>
      <c r="U83" s="498"/>
    </row>
    <row r="84" spans="1:21" ht="43.5" customHeight="1" x14ac:dyDescent="0.2">
      <c r="A84" s="552" t="s">
        <v>170</v>
      </c>
      <c r="B84" s="553"/>
      <c r="C84" s="553"/>
      <c r="D84" s="553"/>
      <c r="E84" s="553"/>
      <c r="F84" s="553"/>
      <c r="G84" s="554"/>
      <c r="H84" s="366"/>
      <c r="I84" s="431"/>
      <c r="J84" s="367"/>
      <c r="K84" s="372"/>
      <c r="L84" s="372"/>
      <c r="M84" s="367"/>
      <c r="N84" s="432"/>
      <c r="O84" s="433"/>
      <c r="P84" s="395"/>
      <c r="Q84" s="436"/>
      <c r="R84" s="437"/>
      <c r="S84" s="438"/>
      <c r="T84" s="439"/>
      <c r="U84" s="367"/>
    </row>
    <row r="85" spans="1:21" ht="24.75" customHeight="1" thickBot="1" x14ac:dyDescent="0.25">
      <c r="A85" s="451"/>
      <c r="B85" s="451"/>
      <c r="C85" s="451"/>
      <c r="D85" s="451"/>
      <c r="E85" s="451"/>
      <c r="F85" s="451"/>
      <c r="G85" s="451"/>
      <c r="H85" s="366"/>
      <c r="I85" s="431"/>
      <c r="J85" s="367"/>
      <c r="K85" s="372"/>
      <c r="L85" s="372"/>
      <c r="M85" s="367"/>
      <c r="N85" s="432"/>
      <c r="O85" s="433"/>
      <c r="P85" s="395"/>
      <c r="Q85" s="436"/>
      <c r="R85" s="437"/>
      <c r="S85" s="438"/>
      <c r="T85" s="439"/>
      <c r="U85" s="367"/>
    </row>
    <row r="86" spans="1:21" ht="33" customHeight="1" thickBot="1" x14ac:dyDescent="0.25">
      <c r="A86" s="561" t="s">
        <v>167</v>
      </c>
      <c r="B86" s="562"/>
      <c r="C86" s="562"/>
      <c r="D86" s="563"/>
      <c r="E86" s="563"/>
      <c r="F86" s="563"/>
      <c r="G86" s="564"/>
      <c r="H86" s="395"/>
      <c r="K86" s="565" t="s">
        <v>162</v>
      </c>
      <c r="L86" s="566"/>
      <c r="N86" s="567" t="s">
        <v>143</v>
      </c>
      <c r="O86" s="568"/>
      <c r="P86" s="395"/>
      <c r="Q86" s="436"/>
      <c r="R86" s="437"/>
      <c r="S86" s="438"/>
      <c r="T86" s="439"/>
      <c r="U86" s="367"/>
    </row>
    <row r="87" spans="1:21" ht="30" customHeight="1" thickBot="1" x14ac:dyDescent="0.25">
      <c r="A87" s="569" t="s">
        <v>175</v>
      </c>
      <c r="B87" s="413" t="s">
        <v>173</v>
      </c>
      <c r="C87" s="396" t="s">
        <v>174</v>
      </c>
      <c r="D87" s="571" t="s">
        <v>152</v>
      </c>
      <c r="E87" s="572"/>
      <c r="F87" s="572"/>
      <c r="G87" s="573"/>
      <c r="H87" s="395"/>
      <c r="K87" s="574" t="s">
        <v>163</v>
      </c>
      <c r="L87" s="575"/>
      <c r="N87" s="574" t="s">
        <v>189</v>
      </c>
      <c r="O87" s="575"/>
      <c r="P87" s="395"/>
      <c r="Q87" s="436"/>
      <c r="R87" s="437"/>
      <c r="S87" s="438"/>
      <c r="T87" s="439"/>
      <c r="U87" s="367"/>
    </row>
    <row r="88" spans="1:21" ht="30" customHeight="1" thickBot="1" x14ac:dyDescent="0.25">
      <c r="A88" s="570"/>
      <c r="B88" s="397" t="s">
        <v>144</v>
      </c>
      <c r="C88" s="398" t="s">
        <v>144</v>
      </c>
      <c r="D88" s="399" t="s">
        <v>135</v>
      </c>
      <c r="E88" s="400" t="s">
        <v>153</v>
      </c>
      <c r="F88" s="400" t="s">
        <v>176</v>
      </c>
      <c r="G88" s="401" t="s">
        <v>119</v>
      </c>
      <c r="H88" s="395"/>
      <c r="I88" s="452" t="s">
        <v>164</v>
      </c>
      <c r="J88" s="7"/>
      <c r="K88" s="453" t="s">
        <v>165</v>
      </c>
      <c r="L88" s="454" t="s">
        <v>166</v>
      </c>
      <c r="N88" s="402" t="s">
        <v>190</v>
      </c>
      <c r="O88" s="403" t="s">
        <v>14</v>
      </c>
      <c r="P88" s="395"/>
      <c r="Q88" s="436"/>
      <c r="R88" s="437"/>
      <c r="S88" s="438"/>
      <c r="T88" s="439"/>
      <c r="U88" s="367"/>
    </row>
    <row r="89" spans="1:21" ht="6.75" customHeight="1" x14ac:dyDescent="0.2">
      <c r="A89" s="434"/>
      <c r="B89" s="371"/>
      <c r="C89" s="371"/>
      <c r="D89" s="371"/>
      <c r="E89" s="371"/>
      <c r="F89" s="435"/>
      <c r="G89" s="430"/>
      <c r="H89" s="366"/>
      <c r="I89" s="431"/>
      <c r="J89" s="367"/>
      <c r="K89" s="372"/>
      <c r="L89" s="372"/>
      <c r="M89" s="367"/>
      <c r="N89" s="432"/>
      <c r="O89" s="433"/>
      <c r="P89" s="395"/>
      <c r="Q89" s="436"/>
      <c r="R89" s="437"/>
      <c r="S89" s="438"/>
      <c r="T89" s="439"/>
      <c r="U89" s="367"/>
    </row>
    <row r="90" spans="1:21" ht="21" customHeight="1" x14ac:dyDescent="0.2">
      <c r="A90" s="429" t="s">
        <v>293</v>
      </c>
      <c r="B90" s="374" t="s">
        <v>272</v>
      </c>
      <c r="C90" s="374" t="s">
        <v>273</v>
      </c>
      <c r="D90" s="374" t="s">
        <v>274</v>
      </c>
      <c r="E90" s="374" t="s">
        <v>275</v>
      </c>
      <c r="F90" s="375" t="s">
        <v>276</v>
      </c>
      <c r="G90" s="428" t="s">
        <v>277</v>
      </c>
      <c r="H90" s="366"/>
      <c r="I90" s="384">
        <v>0.1232713345411426</v>
      </c>
      <c r="J90" s="367"/>
      <c r="K90" s="372">
        <v>0.61541755888650962</v>
      </c>
      <c r="L90" s="372">
        <v>0.61541755888650962</v>
      </c>
      <c r="M90" s="367"/>
      <c r="N90" s="416">
        <v>61.541755888650961</v>
      </c>
      <c r="O90" s="416">
        <v>61.541755888650961</v>
      </c>
      <c r="P90" s="395"/>
      <c r="Q90" s="436"/>
      <c r="R90" s="437"/>
      <c r="S90" s="438"/>
      <c r="T90" s="439"/>
      <c r="U90" s="367"/>
    </row>
    <row r="91" spans="1:21" ht="21" customHeight="1" x14ac:dyDescent="0.2">
      <c r="A91" s="429" t="s">
        <v>159</v>
      </c>
      <c r="B91" s="374" t="s">
        <v>261</v>
      </c>
      <c r="C91" s="374" t="s">
        <v>262</v>
      </c>
      <c r="D91" s="374" t="s">
        <v>263</v>
      </c>
      <c r="E91" s="374" t="s">
        <v>264</v>
      </c>
      <c r="F91" s="375" t="s">
        <v>265</v>
      </c>
      <c r="G91" s="428">
        <v>0.45900000000000002</v>
      </c>
      <c r="H91" s="366"/>
      <c r="I91" s="384">
        <v>6.3314742940728419E-2</v>
      </c>
      <c r="J91" s="367"/>
      <c r="K91" s="372">
        <v>0.44635974304068521</v>
      </c>
      <c r="L91" s="372">
        <v>0.44635974304068521</v>
      </c>
      <c r="M91" s="367"/>
      <c r="N91" s="416">
        <v>44.635974304068519</v>
      </c>
      <c r="O91" s="416">
        <v>44.635974304068519</v>
      </c>
      <c r="P91" s="395"/>
      <c r="Q91" s="436"/>
      <c r="R91" s="437"/>
      <c r="S91" s="438"/>
      <c r="T91" s="439"/>
      <c r="U91" s="367"/>
    </row>
    <row r="92" spans="1:21" ht="21" customHeight="1" x14ac:dyDescent="0.2">
      <c r="A92" s="286" t="s">
        <v>330</v>
      </c>
      <c r="B92" s="473"/>
      <c r="C92" s="473"/>
      <c r="D92" s="473"/>
      <c r="E92" s="473"/>
      <c r="F92" s="505"/>
      <c r="G92" s="474"/>
      <c r="H92" s="366"/>
      <c r="I92" s="431"/>
      <c r="J92" s="371"/>
      <c r="K92" s="475"/>
      <c r="L92" s="475"/>
      <c r="M92" s="371"/>
      <c r="N92" s="476"/>
      <c r="O92" s="476"/>
      <c r="P92" s="395"/>
      <c r="Q92" s="436"/>
      <c r="R92" s="437"/>
      <c r="S92" s="438"/>
      <c r="T92" s="439"/>
      <c r="U92" s="367"/>
    </row>
    <row r="93" spans="1:21" ht="25.5" x14ac:dyDescent="0.2">
      <c r="A93" s="429" t="s">
        <v>331</v>
      </c>
      <c r="B93" s="374" t="s">
        <v>256</v>
      </c>
      <c r="C93" s="374" t="s">
        <v>257</v>
      </c>
      <c r="D93" s="374" t="s">
        <v>258</v>
      </c>
      <c r="E93" s="374" t="s">
        <v>259</v>
      </c>
      <c r="F93" s="375" t="s">
        <v>260</v>
      </c>
      <c r="G93" s="428">
        <v>9.7199999999999995E-2</v>
      </c>
      <c r="H93" s="366"/>
      <c r="I93" s="384">
        <v>0.50784861487553123</v>
      </c>
      <c r="J93" s="367"/>
      <c r="K93" s="372">
        <v>0.50042826552462527</v>
      </c>
      <c r="L93" s="372">
        <v>0.50042826552462527</v>
      </c>
      <c r="M93" s="367"/>
      <c r="N93" s="416">
        <v>50.042826552462529</v>
      </c>
      <c r="O93" s="416">
        <v>50.042826552462529</v>
      </c>
      <c r="P93" s="395"/>
      <c r="Q93" s="395"/>
      <c r="R93" s="395"/>
      <c r="S93" s="395"/>
      <c r="T93" s="395"/>
      <c r="U93" s="395"/>
    </row>
    <row r="94" spans="1:21" ht="18" customHeight="1" x14ac:dyDescent="0.2">
      <c r="A94" s="506" t="s">
        <v>278</v>
      </c>
      <c r="B94" s="511" t="s">
        <v>280</v>
      </c>
      <c r="C94" s="511" t="s">
        <v>281</v>
      </c>
      <c r="D94" s="511" t="s">
        <v>282</v>
      </c>
      <c r="E94" s="511" t="s">
        <v>283</v>
      </c>
      <c r="F94" s="512" t="s">
        <v>284</v>
      </c>
      <c r="G94" s="513" t="s">
        <v>285</v>
      </c>
      <c r="H94" s="507"/>
      <c r="I94" s="508">
        <v>0.4354849605804042</v>
      </c>
      <c r="J94" s="509"/>
      <c r="K94" s="510">
        <v>4.3897216274089938E-3</v>
      </c>
      <c r="L94" s="510">
        <v>4.3897216274089938E-3</v>
      </c>
      <c r="M94" s="509"/>
      <c r="N94" s="515">
        <v>0.4389721627408994</v>
      </c>
      <c r="O94" s="515">
        <v>0.4389721627408994</v>
      </c>
      <c r="P94" s="395"/>
      <c r="Q94" s="395"/>
      <c r="R94" s="395"/>
      <c r="S94" s="395"/>
      <c r="T94" s="395"/>
      <c r="U94" s="395"/>
    </row>
    <row r="95" spans="1:21" ht="18" customHeight="1" x14ac:dyDescent="0.2">
      <c r="A95" s="506" t="s">
        <v>279</v>
      </c>
      <c r="B95" s="511" t="s">
        <v>286</v>
      </c>
      <c r="C95" s="511" t="s">
        <v>287</v>
      </c>
      <c r="D95" s="511" t="s">
        <v>291</v>
      </c>
      <c r="E95" s="511" t="s">
        <v>288</v>
      </c>
      <c r="F95" s="512" t="s">
        <v>289</v>
      </c>
      <c r="G95" s="513" t="s">
        <v>290</v>
      </c>
      <c r="H95" s="507"/>
      <c r="I95" s="508">
        <v>0.15743255587931612</v>
      </c>
      <c r="J95" s="509"/>
      <c r="K95" s="510">
        <v>2.1413276231263382E-4</v>
      </c>
      <c r="L95" s="510">
        <v>2.1413276231263382E-4</v>
      </c>
      <c r="M95" s="509"/>
      <c r="N95" s="514">
        <v>2.1413276231263382E-2</v>
      </c>
      <c r="O95" s="516">
        <v>2.1413276231263382E-2</v>
      </c>
      <c r="P95" s="395"/>
      <c r="Q95" s="395"/>
      <c r="R95" s="395"/>
      <c r="S95" s="395"/>
      <c r="T95" s="395"/>
      <c r="U95" s="395"/>
    </row>
    <row r="96" spans="1:21" ht="18" customHeight="1" x14ac:dyDescent="0.2">
      <c r="A96" s="506" t="s">
        <v>324</v>
      </c>
      <c r="B96" s="511" t="s">
        <v>318</v>
      </c>
      <c r="C96" s="511" t="s">
        <v>319</v>
      </c>
      <c r="D96" s="511" t="s">
        <v>320</v>
      </c>
      <c r="E96" s="511" t="s">
        <v>321</v>
      </c>
      <c r="F96" s="512" t="s">
        <v>322</v>
      </c>
      <c r="G96" s="513" t="s">
        <v>323</v>
      </c>
      <c r="H96" s="507"/>
      <c r="I96" s="508">
        <v>5.8857454726425194E-2</v>
      </c>
      <c r="J96" s="509"/>
      <c r="K96" s="510">
        <v>1.9271948608137045E-3</v>
      </c>
      <c r="L96" s="510">
        <v>1.9271948608137045E-3</v>
      </c>
      <c r="M96" s="509"/>
      <c r="N96" s="515">
        <v>0.19271948608137046</v>
      </c>
      <c r="O96" s="515">
        <v>0.19271948608137046</v>
      </c>
      <c r="P96" s="395"/>
      <c r="Q96" s="395"/>
      <c r="R96" s="395"/>
      <c r="S96" s="395"/>
      <c r="T96" s="395"/>
      <c r="U96" s="395"/>
    </row>
    <row r="97" spans="1:21" ht="25.5" x14ac:dyDescent="0.2">
      <c r="A97" s="504" t="s">
        <v>294</v>
      </c>
      <c r="B97" s="473"/>
      <c r="C97" s="473"/>
      <c r="D97" s="473"/>
      <c r="E97" s="473"/>
      <c r="F97" s="505"/>
      <c r="G97" s="474"/>
      <c r="H97" s="366"/>
      <c r="I97" s="431"/>
      <c r="J97" s="371"/>
      <c r="K97" s="475"/>
      <c r="L97" s="475"/>
      <c r="M97" s="371"/>
      <c r="N97" s="476"/>
      <c r="O97" s="476"/>
      <c r="P97" s="395"/>
      <c r="Q97" s="395"/>
      <c r="R97" s="395"/>
      <c r="S97" s="395"/>
      <c r="T97" s="395"/>
      <c r="U97" s="395"/>
    </row>
    <row r="98" spans="1:21" ht="25.5" x14ac:dyDescent="0.2">
      <c r="A98" s="429" t="s">
        <v>298</v>
      </c>
      <c r="B98" s="374" t="s">
        <v>325</v>
      </c>
      <c r="C98" s="374" t="s">
        <v>204</v>
      </c>
      <c r="D98" s="374" t="s">
        <v>326</v>
      </c>
      <c r="E98" s="374" t="s">
        <v>327</v>
      </c>
      <c r="F98" s="375" t="s">
        <v>328</v>
      </c>
      <c r="G98" s="428" t="s">
        <v>329</v>
      </c>
      <c r="H98" s="366"/>
      <c r="I98" s="384">
        <v>8.3949318070975122E-5</v>
      </c>
      <c r="J98" s="367"/>
      <c r="K98" s="372">
        <v>9.5115681233933158E-2</v>
      </c>
      <c r="L98" s="372">
        <v>7.2559931506849321E-2</v>
      </c>
      <c r="M98" s="367"/>
      <c r="N98" s="415">
        <v>9.5115681233933156</v>
      </c>
      <c r="O98" s="414">
        <v>7.2559931506849322</v>
      </c>
      <c r="P98" s="395"/>
      <c r="Q98" s="395"/>
      <c r="R98" s="395"/>
      <c r="S98" s="395"/>
      <c r="T98" s="395"/>
      <c r="U98" s="395"/>
    </row>
    <row r="99" spans="1:21" ht="18" customHeight="1" x14ac:dyDescent="0.2">
      <c r="A99" s="506" t="s">
        <v>295</v>
      </c>
      <c r="B99" s="511" t="s">
        <v>266</v>
      </c>
      <c r="C99" s="511" t="s">
        <v>267</v>
      </c>
      <c r="D99" s="511" t="s">
        <v>268</v>
      </c>
      <c r="E99" s="511" t="s">
        <v>269</v>
      </c>
      <c r="F99" s="512" t="s">
        <v>270</v>
      </c>
      <c r="G99" s="513" t="s">
        <v>271</v>
      </c>
      <c r="H99" s="507"/>
      <c r="I99" s="508">
        <v>1.5755721745814313E-2</v>
      </c>
      <c r="J99" s="509"/>
      <c r="K99" s="510">
        <v>2.4421593830334189E-2</v>
      </c>
      <c r="L99" s="510">
        <v>3.2748287671232876E-2</v>
      </c>
      <c r="M99" s="509"/>
      <c r="N99" s="517">
        <v>2.442159383033419</v>
      </c>
      <c r="O99" s="518">
        <v>3.2748287671232874</v>
      </c>
      <c r="P99" s="395"/>
      <c r="Q99" s="395"/>
      <c r="R99" s="395"/>
      <c r="S99" s="395"/>
      <c r="T99" s="395"/>
      <c r="U99" s="395"/>
    </row>
    <row r="100" spans="1:21" ht="15.75" customHeight="1" x14ac:dyDescent="0.2">
      <c r="A100" s="506" t="s">
        <v>296</v>
      </c>
      <c r="B100" s="511" t="s">
        <v>299</v>
      </c>
      <c r="C100" s="511" t="s">
        <v>300</v>
      </c>
      <c r="D100" s="511" t="s">
        <v>301</v>
      </c>
      <c r="E100" s="511" t="s">
        <v>302</v>
      </c>
      <c r="F100" s="512" t="s">
        <v>303</v>
      </c>
      <c r="G100" s="513" t="s">
        <v>304</v>
      </c>
      <c r="H100" s="507"/>
      <c r="I100" s="508">
        <v>9.4468358018689594E-2</v>
      </c>
      <c r="J100" s="509"/>
      <c r="K100" s="510">
        <v>1.2633832976445396E-2</v>
      </c>
      <c r="L100" s="510">
        <v>1.2633832976445396E-2</v>
      </c>
      <c r="M100" s="509"/>
      <c r="N100" s="514">
        <v>1.2633832976445396</v>
      </c>
      <c r="O100" s="514">
        <v>1.2633832976445396</v>
      </c>
      <c r="P100" s="395"/>
      <c r="Q100" s="395"/>
      <c r="R100" s="395"/>
      <c r="S100" s="395"/>
      <c r="T100" s="395"/>
      <c r="U100" s="395"/>
    </row>
    <row r="101" spans="1:21" ht="18" customHeight="1" x14ac:dyDescent="0.2">
      <c r="A101" s="506" t="s">
        <v>297</v>
      </c>
      <c r="B101" s="511" t="s">
        <v>305</v>
      </c>
      <c r="C101" s="511" t="s">
        <v>306</v>
      </c>
      <c r="D101" s="511" t="s">
        <v>307</v>
      </c>
      <c r="E101" s="511" t="s">
        <v>308</v>
      </c>
      <c r="F101" s="512" t="s">
        <v>309</v>
      </c>
      <c r="G101" s="513" t="s">
        <v>310</v>
      </c>
      <c r="H101" s="507"/>
      <c r="I101" s="508">
        <v>4.5919518031148472E-2</v>
      </c>
      <c r="J101" s="509"/>
      <c r="K101" s="510">
        <v>6.1027837259100643E-3</v>
      </c>
      <c r="L101" s="510">
        <v>6.1027837259100643E-3</v>
      </c>
      <c r="M101" s="509"/>
      <c r="N101" s="514">
        <v>0.61027837259100648</v>
      </c>
      <c r="O101" s="514">
        <v>0.61027837259100648</v>
      </c>
      <c r="P101" s="395"/>
      <c r="Q101" s="395"/>
      <c r="R101" s="395"/>
      <c r="S101" s="395"/>
      <c r="T101" s="395"/>
      <c r="U101" s="395"/>
    </row>
    <row r="102" spans="1:21" ht="18" customHeight="1" x14ac:dyDescent="0.2">
      <c r="A102" s="506" t="s">
        <v>311</v>
      </c>
      <c r="B102" s="511" t="s">
        <v>312</v>
      </c>
      <c r="C102" s="511" t="s">
        <v>313</v>
      </c>
      <c r="D102" s="511" t="s">
        <v>314</v>
      </c>
      <c r="E102" s="511" t="s">
        <v>315</v>
      </c>
      <c r="F102" s="512" t="s">
        <v>316</v>
      </c>
      <c r="G102" s="513" t="s">
        <v>317</v>
      </c>
      <c r="H102" s="507"/>
      <c r="I102" s="508">
        <v>0.3772391581947323</v>
      </c>
      <c r="J102" s="509"/>
      <c r="K102" s="510">
        <v>4.0578158458244112E-2</v>
      </c>
      <c r="L102" s="510">
        <v>4.0578158458244112E-2</v>
      </c>
      <c r="M102" s="509"/>
      <c r="N102" s="514">
        <v>4.0578158458244111</v>
      </c>
      <c r="O102" s="514">
        <v>4.0578158458244111</v>
      </c>
      <c r="P102" s="395"/>
      <c r="Q102" s="395"/>
      <c r="R102" s="395"/>
      <c r="S102" s="395"/>
      <c r="T102" s="395"/>
      <c r="U102" s="395"/>
    </row>
    <row r="103" spans="1:21" ht="6" customHeight="1" x14ac:dyDescent="0.2">
      <c r="A103" s="395"/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</row>
    <row r="104" spans="1:21" ht="44.25" customHeight="1" x14ac:dyDescent="0.2">
      <c r="A104" s="549" t="s">
        <v>150</v>
      </c>
      <c r="B104" s="550"/>
      <c r="C104" s="550"/>
      <c r="D104" s="550"/>
      <c r="E104" s="550"/>
      <c r="F104" s="550"/>
      <c r="G104" s="551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</row>
    <row r="105" spans="1:21" ht="33.75" customHeight="1" x14ac:dyDescent="0.2">
      <c r="A105" s="549" t="s">
        <v>292</v>
      </c>
      <c r="B105" s="550"/>
      <c r="C105" s="550"/>
      <c r="D105" s="550"/>
      <c r="E105" s="550"/>
      <c r="F105" s="550"/>
      <c r="G105" s="551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</row>
    <row r="106" spans="1:21" ht="27" customHeight="1" x14ac:dyDescent="0.2">
      <c r="A106" s="552" t="s">
        <v>168</v>
      </c>
      <c r="B106" s="553"/>
      <c r="C106" s="553"/>
      <c r="D106" s="553"/>
      <c r="E106" s="553"/>
      <c r="F106" s="553"/>
      <c r="G106" s="554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</row>
  </sheetData>
  <mergeCells count="22">
    <mergeCell ref="A105:G105"/>
    <mergeCell ref="A106:G106"/>
    <mergeCell ref="A104:G104"/>
    <mergeCell ref="S66:S68"/>
    <mergeCell ref="T66:T68"/>
    <mergeCell ref="A84:G84"/>
    <mergeCell ref="A86:G86"/>
    <mergeCell ref="K86:L86"/>
    <mergeCell ref="N86:O86"/>
    <mergeCell ref="A87:A88"/>
    <mergeCell ref="D87:G87"/>
    <mergeCell ref="K87:L87"/>
    <mergeCell ref="N87:O87"/>
    <mergeCell ref="A3:E3"/>
    <mergeCell ref="B44:C44"/>
    <mergeCell ref="Q66:Q68"/>
    <mergeCell ref="R66:R68"/>
    <mergeCell ref="N66:O66"/>
    <mergeCell ref="D67:G67"/>
    <mergeCell ref="N67:O67"/>
    <mergeCell ref="A67:A68"/>
    <mergeCell ref="A66:G66"/>
  </mergeCells>
  <pageMargins left="0.7" right="0.7" top="0.75" bottom="0.75" header="0.3" footer="0.3"/>
  <pageSetup paperSize="9" orientation="portrait" horizontalDpi="300" verticalDpi="300" r:id="rId1"/>
  <ignoredErrors>
    <ignoredError sqref="G72 G81:G82 G77 G90 G98:G102 G93 G94:G9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2"/>
  <sheetViews>
    <sheetView topLeftCell="A3" zoomScaleNormal="100" workbookViewId="0">
      <selection activeCell="A3" sqref="A3"/>
    </sheetView>
  </sheetViews>
  <sheetFormatPr baseColWidth="10" defaultRowHeight="15" x14ac:dyDescent="0.25"/>
  <cols>
    <col min="1" max="1" width="13" customWidth="1"/>
    <col min="3" max="4" width="10.5703125" customWidth="1"/>
    <col min="5" max="5" width="5.85546875" customWidth="1"/>
    <col min="6" max="6" width="5.140625" customWidth="1"/>
    <col min="7" max="99" width="3.28515625" customWidth="1"/>
    <col min="100" max="100" width="5.42578125" style="23" customWidth="1"/>
    <col min="101" max="108" width="3.7109375" style="23" customWidth="1"/>
  </cols>
  <sheetData>
    <row r="1" spans="1:104" hidden="1" x14ac:dyDescent="0.2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22"/>
      <c r="CV1"/>
      <c r="CW1"/>
      <c r="CX1"/>
      <c r="CY1"/>
      <c r="CZ1"/>
    </row>
    <row r="2" spans="1:104" hidden="1" x14ac:dyDescent="0.2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71 pacientes, a los 46 meses</v>
      </c>
      <c r="F2" s="2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CV2"/>
      <c r="CW2"/>
      <c r="CX2"/>
      <c r="CY2"/>
      <c r="CZ2"/>
    </row>
    <row r="3" spans="1:104" ht="8.25" customHeight="1" x14ac:dyDescent="0.25">
      <c r="A3" s="59"/>
      <c r="B3" s="5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6"/>
      <c r="CV3"/>
      <c r="CW3"/>
      <c r="CX3"/>
      <c r="CY3"/>
      <c r="CZ3"/>
    </row>
    <row r="4" spans="1:104" ht="24" customHeight="1" x14ac:dyDescent="0.25">
      <c r="A4" s="523" t="s">
        <v>255</v>
      </c>
      <c r="B4" s="519"/>
      <c r="C4" s="56"/>
      <c r="D4" s="524"/>
      <c r="E4" s="524"/>
      <c r="F4" s="524"/>
      <c r="G4" s="525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CV4"/>
      <c r="CW4"/>
      <c r="CX4"/>
      <c r="CY4"/>
      <c r="CZ4"/>
    </row>
    <row r="5" spans="1:104" ht="25.5" x14ac:dyDescent="0.25">
      <c r="A5" s="411" t="s">
        <v>146</v>
      </c>
      <c r="B5" s="27">
        <f>C5+D5+E5</f>
        <v>71</v>
      </c>
      <c r="C5" s="500">
        <v>6</v>
      </c>
      <c r="D5" s="501">
        <v>1</v>
      </c>
      <c r="E5" s="502">
        <v>64</v>
      </c>
      <c r="G5" s="25"/>
      <c r="H5" s="25"/>
      <c r="I5" s="25"/>
      <c r="J5" s="405" t="s">
        <v>172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CV5"/>
      <c r="CW5"/>
      <c r="CX5"/>
      <c r="CY5"/>
      <c r="CZ5"/>
    </row>
    <row r="6" spans="1:104" ht="15" customHeight="1" x14ac:dyDescent="0.25">
      <c r="A6" s="25"/>
      <c r="C6" s="30"/>
      <c r="D6" s="31"/>
      <c r="E6" s="32"/>
      <c r="F6" s="25"/>
      <c r="G6" s="25"/>
      <c r="H6" s="25"/>
      <c r="I6" s="25"/>
      <c r="J6" s="404" t="s">
        <v>253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CV6"/>
      <c r="CW6"/>
      <c r="CX6"/>
      <c r="CY6"/>
      <c r="CZ6"/>
    </row>
    <row r="7" spans="1:104" ht="39.75" customHeight="1" x14ac:dyDescent="0.25">
      <c r="A7" s="412" t="s">
        <v>147</v>
      </c>
      <c r="B7" s="33" t="s">
        <v>148</v>
      </c>
      <c r="C7" s="34" t="str">
        <f>CONCATENATE(A1," ",B1," ",B5," ",C1)</f>
        <v>meses de los 71 del grupo Interv</v>
      </c>
      <c r="D7" s="34" t="str">
        <f>CONCATENATE(A1," ",B1," ",B5," ",D1)</f>
        <v>meses de los 71 del grupo Contr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CV7"/>
      <c r="CW7"/>
      <c r="CX7"/>
      <c r="CY7"/>
      <c r="CZ7"/>
    </row>
    <row r="8" spans="1:104" ht="26.25" x14ac:dyDescent="0.25">
      <c r="A8" s="35" t="s">
        <v>1</v>
      </c>
      <c r="B8" s="36">
        <v>2.2005565068493151</v>
      </c>
      <c r="C8" s="449">
        <f>B8*B5</f>
        <v>156.23951198630138</v>
      </c>
      <c r="D8" s="576">
        <f>(B8+B9)*B5</f>
        <v>179.19431960242281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25"/>
      <c r="CV8"/>
      <c r="CW8"/>
      <c r="CX8"/>
      <c r="CY8"/>
      <c r="CZ8"/>
    </row>
    <row r="9" spans="1:104" ht="26.25" x14ac:dyDescent="0.25">
      <c r="A9" s="39" t="s">
        <v>3</v>
      </c>
      <c r="B9" s="40">
        <v>0.32330714952283701</v>
      </c>
      <c r="C9" s="577">
        <f>(B10+B9)*B5</f>
        <v>3109.7604880136987</v>
      </c>
      <c r="D9" s="576"/>
      <c r="E9" s="31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25"/>
      <c r="CV9"/>
      <c r="CW9"/>
      <c r="CX9"/>
      <c r="CY9"/>
      <c r="CZ9"/>
    </row>
    <row r="10" spans="1:104" ht="26.25" x14ac:dyDescent="0.25">
      <c r="A10" s="42" t="s">
        <v>2</v>
      </c>
      <c r="B10" s="43">
        <v>43.476136343627843</v>
      </c>
      <c r="C10" s="577"/>
      <c r="D10" s="44">
        <f>B10*B5</f>
        <v>3086.8056803975769</v>
      </c>
      <c r="E10" s="30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25"/>
      <c r="CV10"/>
      <c r="CW10"/>
      <c r="CX10"/>
      <c r="CY10"/>
      <c r="CZ10"/>
    </row>
    <row r="11" spans="1:104" x14ac:dyDescent="0.25">
      <c r="A11" s="2"/>
      <c r="B11" s="46">
        <v>45.999999999999993</v>
      </c>
      <c r="C11" s="47">
        <f>C8+C9</f>
        <v>3266</v>
      </c>
      <c r="D11" s="47">
        <f>D8+D10</f>
        <v>3265.9999999999995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04" ht="9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</row>
    <row r="13" spans="1:104" x14ac:dyDescent="0.25">
      <c r="A13" s="25"/>
      <c r="B13" s="25"/>
      <c r="C13" s="21">
        <f>(E5+D5)*B11</f>
        <v>2989.9999999999995</v>
      </c>
      <c r="D13" s="21">
        <f>E5*B11</f>
        <v>2943.9999999999995</v>
      </c>
      <c r="E13" s="25"/>
      <c r="F13" s="49" t="s">
        <v>12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</row>
    <row r="14" spans="1:104" ht="36" customHeight="1" x14ac:dyDescent="0.25">
      <c r="A14" s="578" t="s">
        <v>13</v>
      </c>
      <c r="B14" s="578"/>
      <c r="C14" s="50">
        <f>C9-C13</f>
        <v>119.76048801369916</v>
      </c>
      <c r="D14" s="50">
        <f>D10-D13</f>
        <v>142.80568039757736</v>
      </c>
      <c r="F14" s="579" t="str">
        <f>IF((AND(((B9+B10)/B11)&gt;((D5+E5)/B5),(B10/B11)&gt;(E5/B5))),E2,#REF!)</f>
        <v>puede representarse llegando los 71 pacientes, a los 46 meses</v>
      </c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</row>
    <row r="15" spans="1:104" ht="18.75" customHeight="1" thickBot="1" x14ac:dyDescent="0.3">
      <c r="A15" s="51"/>
      <c r="B15" s="51"/>
      <c r="C15" s="51"/>
      <c r="D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25"/>
      <c r="CZ15" s="25"/>
    </row>
    <row r="16" spans="1:104" ht="17.25" customHeight="1" thickBot="1" x14ac:dyDescent="0.3">
      <c r="A16" s="427" t="s">
        <v>157</v>
      </c>
      <c r="B16" s="378"/>
      <c r="C16" s="379"/>
      <c r="G16" s="53" t="s">
        <v>190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2"/>
      <c r="BB16" s="53" t="s">
        <v>14</v>
      </c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2"/>
      <c r="CW16" s="52"/>
      <c r="CX16" s="52"/>
      <c r="CY16" s="52"/>
      <c r="CZ16" s="52"/>
    </row>
    <row r="17" spans="1:108" x14ac:dyDescent="0.25">
      <c r="A17" s="377" t="s">
        <v>173</v>
      </c>
      <c r="G17" s="53" t="s">
        <v>149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B17" s="53" t="s">
        <v>149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108" x14ac:dyDescent="0.25">
      <c r="A18" s="377" t="s">
        <v>174</v>
      </c>
      <c r="F18" s="23"/>
      <c r="G18" s="417">
        <v>1</v>
      </c>
      <c r="H18" s="417">
        <v>2</v>
      </c>
      <c r="I18" s="419">
        <v>3</v>
      </c>
      <c r="J18" s="419">
        <v>4</v>
      </c>
      <c r="K18" s="419">
        <v>5</v>
      </c>
      <c r="L18" s="419">
        <v>6</v>
      </c>
      <c r="M18" s="419">
        <v>7</v>
      </c>
      <c r="N18" s="419">
        <v>8</v>
      </c>
      <c r="O18" s="419">
        <v>9</v>
      </c>
      <c r="P18" s="419">
        <v>10</v>
      </c>
      <c r="Q18" s="419">
        <v>11</v>
      </c>
      <c r="R18" s="419">
        <v>12</v>
      </c>
      <c r="S18" s="419">
        <v>13</v>
      </c>
      <c r="T18" s="419">
        <v>14</v>
      </c>
      <c r="U18" s="419">
        <v>15</v>
      </c>
      <c r="V18" s="419">
        <v>16</v>
      </c>
      <c r="W18" s="419">
        <v>17</v>
      </c>
      <c r="X18" s="419">
        <v>18</v>
      </c>
      <c r="Y18" s="419">
        <v>19</v>
      </c>
      <c r="Z18" s="419">
        <v>20</v>
      </c>
      <c r="AA18" s="419">
        <v>21</v>
      </c>
      <c r="AB18" s="419">
        <v>22</v>
      </c>
      <c r="AC18" s="419">
        <v>23</v>
      </c>
      <c r="AD18" s="419">
        <v>24</v>
      </c>
      <c r="AE18" s="419">
        <v>25</v>
      </c>
      <c r="AF18" s="419">
        <v>26</v>
      </c>
      <c r="AG18" s="419">
        <v>27</v>
      </c>
      <c r="AH18" s="419">
        <v>28</v>
      </c>
      <c r="AI18" s="419">
        <v>29</v>
      </c>
      <c r="AJ18" s="419">
        <v>30</v>
      </c>
      <c r="AK18" s="419">
        <v>31</v>
      </c>
      <c r="AL18" s="419">
        <v>32</v>
      </c>
      <c r="AM18" s="419">
        <v>33</v>
      </c>
      <c r="AN18" s="419">
        <v>34</v>
      </c>
      <c r="AO18" s="419">
        <v>35</v>
      </c>
      <c r="AP18" s="419">
        <v>36</v>
      </c>
      <c r="AQ18" s="419">
        <v>37</v>
      </c>
      <c r="AR18" s="419">
        <v>38</v>
      </c>
      <c r="AS18" s="419">
        <v>39</v>
      </c>
      <c r="AT18" s="419">
        <v>40</v>
      </c>
      <c r="AU18" s="419">
        <v>41</v>
      </c>
      <c r="AV18" s="419">
        <v>42</v>
      </c>
      <c r="AW18" s="419">
        <v>43</v>
      </c>
      <c r="AX18" s="419">
        <v>44</v>
      </c>
      <c r="AY18" s="419">
        <v>45</v>
      </c>
      <c r="AZ18" s="419">
        <v>46</v>
      </c>
      <c r="BA18" s="418"/>
      <c r="BB18" s="419">
        <v>1</v>
      </c>
      <c r="BC18" s="419">
        <v>2</v>
      </c>
      <c r="BD18" s="419">
        <v>3</v>
      </c>
      <c r="BE18" s="419">
        <v>4</v>
      </c>
      <c r="BF18" s="419">
        <v>5</v>
      </c>
      <c r="BG18" s="419">
        <v>6</v>
      </c>
      <c r="BH18" s="419">
        <v>7</v>
      </c>
      <c r="BI18" s="419">
        <v>8</v>
      </c>
      <c r="BJ18" s="419">
        <v>9</v>
      </c>
      <c r="BK18" s="419">
        <v>10</v>
      </c>
      <c r="BL18" s="419">
        <v>11</v>
      </c>
      <c r="BM18" s="419">
        <v>12</v>
      </c>
      <c r="BN18" s="419">
        <v>13</v>
      </c>
      <c r="BO18" s="419">
        <v>14</v>
      </c>
      <c r="BP18" s="419">
        <v>15</v>
      </c>
      <c r="BQ18" s="419">
        <v>16</v>
      </c>
      <c r="BR18" s="419">
        <v>17</v>
      </c>
      <c r="BS18" s="419">
        <v>18</v>
      </c>
      <c r="BT18" s="419">
        <v>19</v>
      </c>
      <c r="BU18" s="419">
        <v>20</v>
      </c>
      <c r="BV18" s="419">
        <v>21</v>
      </c>
      <c r="BW18" s="419">
        <v>22</v>
      </c>
      <c r="BX18" s="419">
        <v>23</v>
      </c>
      <c r="BY18" s="419">
        <v>24</v>
      </c>
      <c r="BZ18" s="419">
        <v>25</v>
      </c>
      <c r="CA18" s="419">
        <v>26</v>
      </c>
      <c r="CB18" s="419">
        <v>27</v>
      </c>
      <c r="CC18" s="419">
        <v>28</v>
      </c>
      <c r="CD18" s="419">
        <v>29</v>
      </c>
      <c r="CE18" s="419">
        <v>30</v>
      </c>
      <c r="CF18" s="419">
        <v>31</v>
      </c>
      <c r="CG18" s="419">
        <v>32</v>
      </c>
      <c r="CH18" s="419">
        <v>33</v>
      </c>
      <c r="CI18" s="419">
        <v>34</v>
      </c>
      <c r="CJ18" s="419">
        <v>35</v>
      </c>
      <c r="CK18" s="419">
        <v>36</v>
      </c>
      <c r="CL18" s="419">
        <v>37</v>
      </c>
      <c r="CM18" s="419">
        <v>38</v>
      </c>
      <c r="CN18" s="419">
        <v>39</v>
      </c>
      <c r="CO18" s="419">
        <v>40</v>
      </c>
      <c r="CP18" s="419">
        <v>41</v>
      </c>
      <c r="CQ18" s="419">
        <v>42</v>
      </c>
      <c r="CR18" s="419">
        <v>43</v>
      </c>
      <c r="CS18" s="419">
        <v>44</v>
      </c>
      <c r="CT18" s="419">
        <v>45</v>
      </c>
      <c r="CU18" s="419">
        <v>46</v>
      </c>
    </row>
    <row r="19" spans="1:108" x14ac:dyDescent="0.25">
      <c r="E19" s="54" t="s">
        <v>15</v>
      </c>
      <c r="F19" s="60">
        <v>71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392"/>
      <c r="AB19" s="392"/>
      <c r="AC19" s="392"/>
      <c r="AD19" s="392"/>
      <c r="AE19" s="470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23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60">
        <v>71</v>
      </c>
      <c r="CW19" s="55" t="s">
        <v>15</v>
      </c>
      <c r="CX19" s="56"/>
      <c r="CY19" s="56"/>
      <c r="CZ19" s="56"/>
      <c r="DA19" s="56"/>
      <c r="DB19" s="56"/>
      <c r="DC19" s="56"/>
      <c r="DD19" s="56"/>
    </row>
    <row r="20" spans="1:108" x14ac:dyDescent="0.25">
      <c r="F20" s="60">
        <v>70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392"/>
      <c r="AB20" s="392"/>
      <c r="AC20" s="392"/>
      <c r="AD20" s="392"/>
      <c r="AE20" s="470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60">
        <v>70</v>
      </c>
      <c r="CW20" s="56"/>
      <c r="CX20" s="56"/>
      <c r="CY20" s="56"/>
      <c r="CZ20" s="56"/>
      <c r="DA20" s="56"/>
      <c r="DB20" s="56"/>
      <c r="DC20" s="56"/>
      <c r="DD20" s="56"/>
    </row>
    <row r="21" spans="1:108" ht="15.75" thickBot="1" x14ac:dyDescent="0.3">
      <c r="F21" s="60">
        <v>69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392"/>
      <c r="AB21" s="392"/>
      <c r="AC21" s="392"/>
      <c r="AD21" s="392"/>
      <c r="AE21" s="470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23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60">
        <v>69</v>
      </c>
      <c r="CW21" s="56"/>
      <c r="CX21" s="56"/>
      <c r="CY21" s="56"/>
      <c r="CZ21" s="56"/>
      <c r="DA21" s="56"/>
      <c r="DB21" s="56"/>
      <c r="DC21" s="56"/>
      <c r="DD21" s="56"/>
    </row>
    <row r="22" spans="1:108" x14ac:dyDescent="0.25">
      <c r="A22" s="345" t="s">
        <v>131</v>
      </c>
      <c r="B22" s="346"/>
      <c r="C22" s="346"/>
      <c r="D22" s="347"/>
      <c r="F22" s="60">
        <v>68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392"/>
      <c r="AB22" s="392"/>
      <c r="AC22" s="392"/>
      <c r="AD22" s="392"/>
      <c r="AE22" s="470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23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60">
        <v>68</v>
      </c>
      <c r="CW22" s="56"/>
      <c r="CX22" s="56"/>
      <c r="CY22" s="56"/>
      <c r="CZ22" s="56"/>
      <c r="DA22" s="56"/>
      <c r="DB22" s="56"/>
      <c r="DC22" s="56"/>
      <c r="DD22" s="56"/>
    </row>
    <row r="23" spans="1:108" x14ac:dyDescent="0.25">
      <c r="A23" s="348" t="s">
        <v>126</v>
      </c>
      <c r="B23" s="349" t="s">
        <v>127</v>
      </c>
      <c r="C23" s="349" t="s">
        <v>115</v>
      </c>
      <c r="D23" s="350" t="s">
        <v>11</v>
      </c>
      <c r="F23" s="60">
        <v>67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392"/>
      <c r="AB23" s="392"/>
      <c r="AC23" s="392"/>
      <c r="AD23" s="392"/>
      <c r="AE23" s="470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23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60">
        <v>67</v>
      </c>
      <c r="CW23" s="56"/>
      <c r="CX23" s="56"/>
      <c r="CY23" s="56"/>
      <c r="CZ23" s="56"/>
      <c r="DA23" s="56"/>
      <c r="DB23" s="56"/>
      <c r="DC23" s="56"/>
      <c r="DD23" s="56"/>
    </row>
    <row r="24" spans="1:108" x14ac:dyDescent="0.25">
      <c r="A24" s="351">
        <v>8.1619537275064269E-2</v>
      </c>
      <c r="B24" s="352">
        <v>9.5676369863013699E-2</v>
      </c>
      <c r="C24" s="353">
        <f>B24-A24</f>
        <v>1.405683258794943E-2</v>
      </c>
      <c r="D24" s="354">
        <f>1/C24</f>
        <v>71.139781579050378</v>
      </c>
      <c r="F24" s="60">
        <v>66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392"/>
      <c r="AB24" s="392"/>
      <c r="AC24" s="392"/>
      <c r="AD24" s="392"/>
      <c r="AE24" s="470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23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60">
        <v>66</v>
      </c>
      <c r="CW24" s="56"/>
      <c r="CX24" s="56"/>
      <c r="CY24" s="56"/>
      <c r="CZ24" s="56"/>
      <c r="DA24" s="56"/>
      <c r="DB24" s="56"/>
      <c r="DC24" s="56"/>
      <c r="DD24" s="56"/>
    </row>
    <row r="25" spans="1:108" ht="16.5" thickBot="1" x14ac:dyDescent="0.3">
      <c r="A25" s="355" t="s">
        <v>128</v>
      </c>
      <c r="B25" s="394">
        <f>A24*D24</f>
        <v>5.8063960543312332</v>
      </c>
      <c r="C25" s="356">
        <f>C24*D24</f>
        <v>1</v>
      </c>
      <c r="D25" s="393">
        <f>(1-B24)*D24</f>
        <v>64.333385524719148</v>
      </c>
      <c r="F25" s="380">
        <v>65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23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92"/>
      <c r="BZ25" s="392"/>
      <c r="CA25" s="392"/>
      <c r="CB25" s="392"/>
      <c r="CC25" s="392"/>
      <c r="CD25" s="392"/>
      <c r="CE25" s="392"/>
      <c r="CF25" s="392"/>
      <c r="CG25" s="392"/>
      <c r="CH25" s="392"/>
      <c r="CI25" s="392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450">
        <v>65</v>
      </c>
      <c r="CW25" s="56"/>
      <c r="CX25" s="56"/>
      <c r="CY25" s="56"/>
      <c r="CZ25" s="56"/>
      <c r="DA25" s="56"/>
      <c r="DB25" s="56"/>
      <c r="DC25" s="56"/>
      <c r="DD25" s="56"/>
    </row>
    <row r="26" spans="1:108" x14ac:dyDescent="0.25">
      <c r="F26" s="58">
        <v>64</v>
      </c>
      <c r="G26" s="42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9"/>
      <c r="BB26" s="425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8">
        <v>64</v>
      </c>
      <c r="CW26" s="56"/>
      <c r="CX26" s="56"/>
      <c r="CY26" s="56"/>
      <c r="CZ26" s="56"/>
      <c r="DA26" s="56"/>
      <c r="DB26" s="56"/>
      <c r="DC26" s="56"/>
      <c r="DD26" s="56"/>
    </row>
    <row r="27" spans="1:108" x14ac:dyDescent="0.25">
      <c r="F27" s="58">
        <v>63</v>
      </c>
      <c r="G27" s="425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9"/>
      <c r="BB27" s="425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8">
        <v>63</v>
      </c>
      <c r="CW27" s="56"/>
      <c r="CX27" s="56"/>
      <c r="CY27" s="56"/>
      <c r="CZ27" s="56"/>
      <c r="DA27" s="56"/>
      <c r="DB27" s="56"/>
      <c r="DC27" s="56"/>
      <c r="DD27" s="56"/>
    </row>
    <row r="28" spans="1:108" x14ac:dyDescent="0.25">
      <c r="F28" s="58">
        <v>62</v>
      </c>
      <c r="G28" s="42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B28" s="425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8">
        <v>62</v>
      </c>
    </row>
    <row r="29" spans="1:108" x14ac:dyDescent="0.25">
      <c r="A29" s="469"/>
      <c r="F29" s="58">
        <v>61</v>
      </c>
      <c r="G29" s="425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B29" s="42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8">
        <v>61</v>
      </c>
    </row>
    <row r="30" spans="1:108" x14ac:dyDescent="0.25">
      <c r="F30" s="58">
        <v>60</v>
      </c>
      <c r="G30" s="42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B30" s="425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8">
        <v>60</v>
      </c>
    </row>
    <row r="31" spans="1:108" x14ac:dyDescent="0.25">
      <c r="F31" s="58">
        <v>59</v>
      </c>
      <c r="G31" s="425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B31" s="425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8">
        <v>59</v>
      </c>
    </row>
    <row r="32" spans="1:108" x14ac:dyDescent="0.25">
      <c r="F32" s="58">
        <v>58</v>
      </c>
      <c r="G32" s="425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B32" s="425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8">
        <v>58</v>
      </c>
    </row>
    <row r="33" spans="6:100" x14ac:dyDescent="0.25">
      <c r="F33" s="58">
        <v>57</v>
      </c>
      <c r="G33" s="425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B33" s="425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8">
        <v>57</v>
      </c>
    </row>
    <row r="34" spans="6:100" x14ac:dyDescent="0.25">
      <c r="F34" s="58">
        <v>56</v>
      </c>
      <c r="G34" s="425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B34" s="425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8">
        <v>56</v>
      </c>
    </row>
    <row r="35" spans="6:100" x14ac:dyDescent="0.25">
      <c r="F35" s="58">
        <v>55</v>
      </c>
      <c r="G35" s="425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B35" s="425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8">
        <v>55</v>
      </c>
    </row>
    <row r="36" spans="6:100" x14ac:dyDescent="0.25">
      <c r="F36" s="58">
        <v>54</v>
      </c>
      <c r="G36" s="425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B36" s="42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8">
        <v>54</v>
      </c>
    </row>
    <row r="37" spans="6:100" x14ac:dyDescent="0.25">
      <c r="F37" s="58">
        <v>53</v>
      </c>
      <c r="G37" s="42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B37" s="42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8">
        <v>53</v>
      </c>
    </row>
    <row r="38" spans="6:100" x14ac:dyDescent="0.25">
      <c r="F38" s="58">
        <v>52</v>
      </c>
      <c r="G38" s="425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58">
        <v>52</v>
      </c>
    </row>
    <row r="39" spans="6:100" x14ac:dyDescent="0.25">
      <c r="F39" s="58">
        <v>51</v>
      </c>
      <c r="G39" s="42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418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5"/>
      <c r="CL39" s="425"/>
      <c r="CM39" s="425"/>
      <c r="CN39" s="425"/>
      <c r="CO39" s="425"/>
      <c r="CP39" s="425"/>
      <c r="CQ39" s="425"/>
      <c r="CR39" s="425"/>
      <c r="CS39" s="425"/>
      <c r="CT39" s="425"/>
      <c r="CU39" s="425"/>
      <c r="CV39" s="58">
        <v>51</v>
      </c>
    </row>
    <row r="40" spans="6:100" x14ac:dyDescent="0.25">
      <c r="F40" s="58">
        <v>50</v>
      </c>
      <c r="G40" s="425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58">
        <v>50</v>
      </c>
    </row>
    <row r="41" spans="6:100" x14ac:dyDescent="0.25">
      <c r="F41" s="58">
        <v>49</v>
      </c>
      <c r="G41" s="425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2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425"/>
      <c r="CS41" s="425"/>
      <c r="CT41" s="425"/>
      <c r="CU41" s="425"/>
      <c r="CV41" s="58">
        <v>49</v>
      </c>
    </row>
    <row r="42" spans="6:100" x14ac:dyDescent="0.25">
      <c r="F42" s="58">
        <v>48</v>
      </c>
      <c r="G42" s="425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58">
        <v>48</v>
      </c>
    </row>
    <row r="43" spans="6:100" x14ac:dyDescent="0.25">
      <c r="F43" s="58">
        <v>47</v>
      </c>
      <c r="G43" s="42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58">
        <v>47</v>
      </c>
    </row>
    <row r="44" spans="6:100" x14ac:dyDescent="0.25">
      <c r="F44" s="58">
        <v>46</v>
      </c>
      <c r="G44" s="42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5"/>
      <c r="CG44" s="425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58">
        <v>46</v>
      </c>
    </row>
    <row r="45" spans="6:100" x14ac:dyDescent="0.25">
      <c r="F45" s="58">
        <v>45</v>
      </c>
      <c r="G45" s="42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  <c r="CF45" s="425"/>
      <c r="CG45" s="425"/>
      <c r="CH45" s="425"/>
      <c r="CI45" s="425"/>
      <c r="CJ45" s="425"/>
      <c r="CK45" s="425"/>
      <c r="CL45" s="425"/>
      <c r="CM45" s="425"/>
      <c r="CN45" s="425"/>
      <c r="CO45" s="425"/>
      <c r="CP45" s="425"/>
      <c r="CQ45" s="425"/>
      <c r="CR45" s="425"/>
      <c r="CS45" s="425"/>
      <c r="CT45" s="425"/>
      <c r="CU45" s="425"/>
      <c r="CV45" s="58">
        <v>45</v>
      </c>
    </row>
    <row r="46" spans="6:100" x14ac:dyDescent="0.25">
      <c r="F46" s="58">
        <v>44</v>
      </c>
      <c r="G46" s="42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58">
        <v>44</v>
      </c>
    </row>
    <row r="47" spans="6:100" x14ac:dyDescent="0.25">
      <c r="F47" s="58">
        <v>43</v>
      </c>
      <c r="G47" s="42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  <c r="CC47" s="425"/>
      <c r="CD47" s="425"/>
      <c r="CE47" s="425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5"/>
      <c r="CS47" s="425"/>
      <c r="CT47" s="425"/>
      <c r="CU47" s="425"/>
      <c r="CV47" s="58">
        <v>43</v>
      </c>
    </row>
    <row r="48" spans="6:100" x14ac:dyDescent="0.25">
      <c r="F48" s="58">
        <v>42</v>
      </c>
      <c r="G48" s="42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58">
        <v>42</v>
      </c>
    </row>
    <row r="49" spans="6:100" x14ac:dyDescent="0.25">
      <c r="F49" s="58">
        <v>41</v>
      </c>
      <c r="G49" s="42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5"/>
      <c r="CG49" s="425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58">
        <v>41</v>
      </c>
    </row>
    <row r="50" spans="6:100" x14ac:dyDescent="0.25">
      <c r="F50" s="58">
        <v>40</v>
      </c>
      <c r="G50" s="42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58">
        <v>40</v>
      </c>
    </row>
    <row r="51" spans="6:100" x14ac:dyDescent="0.25">
      <c r="F51" s="58">
        <v>39</v>
      </c>
      <c r="G51" s="42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58">
        <v>39</v>
      </c>
    </row>
    <row r="52" spans="6:100" x14ac:dyDescent="0.25">
      <c r="F52" s="58">
        <v>38</v>
      </c>
      <c r="G52" s="42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58">
        <v>38</v>
      </c>
    </row>
    <row r="53" spans="6:100" x14ac:dyDescent="0.25">
      <c r="F53" s="58">
        <v>37</v>
      </c>
      <c r="G53" s="425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5"/>
      <c r="CS53" s="425"/>
      <c r="CT53" s="425"/>
      <c r="CU53" s="425"/>
      <c r="CV53" s="58">
        <v>37</v>
      </c>
    </row>
    <row r="54" spans="6:100" x14ac:dyDescent="0.25">
      <c r="F54" s="58">
        <v>36</v>
      </c>
      <c r="G54" s="425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/>
      <c r="BN54" s="425"/>
      <c r="BO54" s="425"/>
      <c r="BP54" s="425"/>
      <c r="BQ54" s="425"/>
      <c r="BR54" s="425"/>
      <c r="BS54" s="425"/>
      <c r="BT54" s="425"/>
      <c r="BU54" s="425"/>
      <c r="BV54" s="425"/>
      <c r="BW54" s="425"/>
      <c r="BX54" s="425"/>
      <c r="BY54" s="425"/>
      <c r="BZ54" s="425"/>
      <c r="CA54" s="425"/>
      <c r="CB54" s="425"/>
      <c r="CC54" s="425"/>
      <c r="CD54" s="425"/>
      <c r="CE54" s="425"/>
      <c r="CF54" s="425"/>
      <c r="CG54" s="425"/>
      <c r="CH54" s="425"/>
      <c r="CI54" s="425"/>
      <c r="CJ54" s="425"/>
      <c r="CK54" s="425"/>
      <c r="CL54" s="425"/>
      <c r="CM54" s="425"/>
      <c r="CN54" s="425"/>
      <c r="CO54" s="425"/>
      <c r="CP54" s="425"/>
      <c r="CQ54" s="425"/>
      <c r="CR54" s="425"/>
      <c r="CS54" s="425"/>
      <c r="CT54" s="425"/>
      <c r="CU54" s="425"/>
      <c r="CV54" s="58">
        <v>36</v>
      </c>
    </row>
    <row r="55" spans="6:100" x14ac:dyDescent="0.25">
      <c r="F55" s="58">
        <v>35</v>
      </c>
      <c r="G55" s="42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/>
      <c r="CU55" s="425"/>
      <c r="CV55" s="58">
        <v>35</v>
      </c>
    </row>
    <row r="56" spans="6:100" x14ac:dyDescent="0.25">
      <c r="F56" s="58">
        <v>34</v>
      </c>
      <c r="G56" s="42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  <c r="BQ56" s="425"/>
      <c r="BR56" s="425"/>
      <c r="BS56" s="425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5"/>
      <c r="CS56" s="425"/>
      <c r="CT56" s="425"/>
      <c r="CU56" s="425"/>
      <c r="CV56" s="58">
        <v>34</v>
      </c>
    </row>
    <row r="57" spans="6:100" x14ac:dyDescent="0.25">
      <c r="F57" s="58">
        <v>33</v>
      </c>
      <c r="G57" s="42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/>
      <c r="CU57" s="425"/>
      <c r="CV57" s="58">
        <v>33</v>
      </c>
    </row>
    <row r="58" spans="6:100" x14ac:dyDescent="0.25">
      <c r="F58" s="58">
        <v>32</v>
      </c>
      <c r="G58" s="42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58">
        <v>32</v>
      </c>
    </row>
    <row r="59" spans="6:100" x14ac:dyDescent="0.25">
      <c r="F59" s="58">
        <v>31</v>
      </c>
      <c r="G59" s="42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58">
        <v>31</v>
      </c>
    </row>
    <row r="60" spans="6:100" x14ac:dyDescent="0.25">
      <c r="F60" s="58">
        <v>30</v>
      </c>
      <c r="G60" s="42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58">
        <v>30</v>
      </c>
    </row>
    <row r="61" spans="6:100" x14ac:dyDescent="0.25">
      <c r="F61" s="58">
        <v>29</v>
      </c>
      <c r="G61" s="42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/>
      <c r="CU61" s="425"/>
      <c r="CV61" s="58">
        <v>29</v>
      </c>
    </row>
    <row r="62" spans="6:100" x14ac:dyDescent="0.25">
      <c r="F62" s="58">
        <v>28</v>
      </c>
      <c r="G62" s="42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5"/>
      <c r="CE62" s="425"/>
      <c r="CF62" s="425"/>
      <c r="CG62" s="425"/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/>
      <c r="CU62" s="425"/>
      <c r="CV62" s="58">
        <v>28</v>
      </c>
    </row>
    <row r="63" spans="6:100" x14ac:dyDescent="0.25">
      <c r="F63" s="58">
        <v>27</v>
      </c>
      <c r="G63" s="42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425"/>
      <c r="CU63" s="425"/>
      <c r="CV63" s="58">
        <v>27</v>
      </c>
    </row>
    <row r="64" spans="6:100" x14ac:dyDescent="0.25">
      <c r="F64" s="58">
        <v>26</v>
      </c>
      <c r="G64" s="42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58">
        <v>26</v>
      </c>
    </row>
    <row r="65" spans="6:100" x14ac:dyDescent="0.25">
      <c r="F65" s="58">
        <v>25</v>
      </c>
      <c r="G65" s="42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58">
        <v>25</v>
      </c>
    </row>
    <row r="66" spans="6:100" x14ac:dyDescent="0.25">
      <c r="F66" s="58">
        <v>24</v>
      </c>
      <c r="G66" s="425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5"/>
      <c r="CG66" s="425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58">
        <v>24</v>
      </c>
    </row>
    <row r="67" spans="6:100" x14ac:dyDescent="0.25">
      <c r="F67" s="58">
        <v>23</v>
      </c>
      <c r="G67" s="42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/>
      <c r="CU67" s="425"/>
      <c r="CV67" s="58">
        <v>23</v>
      </c>
    </row>
    <row r="68" spans="6:100" x14ac:dyDescent="0.25">
      <c r="F68" s="58">
        <v>22</v>
      </c>
      <c r="G68" s="425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5"/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58">
        <v>22</v>
      </c>
    </row>
    <row r="69" spans="6:100" x14ac:dyDescent="0.25">
      <c r="F69" s="58">
        <v>21</v>
      </c>
      <c r="G69" s="42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58">
        <v>21</v>
      </c>
    </row>
    <row r="70" spans="6:100" x14ac:dyDescent="0.25">
      <c r="F70" s="58">
        <v>20</v>
      </c>
      <c r="G70" s="425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/>
      <c r="CP70" s="425"/>
      <c r="CQ70" s="425"/>
      <c r="CR70" s="425"/>
      <c r="CS70" s="425"/>
      <c r="CT70" s="425"/>
      <c r="CU70" s="425"/>
      <c r="CV70" s="58">
        <v>20</v>
      </c>
    </row>
    <row r="71" spans="6:100" x14ac:dyDescent="0.25">
      <c r="F71" s="58">
        <v>19</v>
      </c>
      <c r="G71" s="42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  <c r="BR71" s="425"/>
      <c r="BS71" s="425"/>
      <c r="BT71" s="425"/>
      <c r="BU71" s="425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58">
        <v>19</v>
      </c>
    </row>
    <row r="72" spans="6:100" x14ac:dyDescent="0.25">
      <c r="F72" s="58">
        <v>18</v>
      </c>
      <c r="G72" s="425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  <c r="BQ72" s="425"/>
      <c r="BR72" s="425"/>
      <c r="BS72" s="425"/>
      <c r="BT72" s="425"/>
      <c r="BU72" s="425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58">
        <v>18</v>
      </c>
    </row>
    <row r="73" spans="6:100" x14ac:dyDescent="0.25">
      <c r="F73" s="58">
        <v>17</v>
      </c>
      <c r="G73" s="425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5"/>
      <c r="BS73" s="425"/>
      <c r="BT73" s="425"/>
      <c r="BU73" s="425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/>
      <c r="CU73" s="425"/>
      <c r="CV73" s="58">
        <v>17</v>
      </c>
    </row>
    <row r="74" spans="6:100" x14ac:dyDescent="0.25">
      <c r="F74" s="58">
        <v>16</v>
      </c>
      <c r="G74" s="425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5"/>
      <c r="CN74" s="425"/>
      <c r="CO74" s="425"/>
      <c r="CP74" s="425"/>
      <c r="CQ74" s="425"/>
      <c r="CR74" s="425"/>
      <c r="CS74" s="425"/>
      <c r="CT74" s="425"/>
      <c r="CU74" s="425"/>
      <c r="CV74" s="58">
        <v>16</v>
      </c>
    </row>
    <row r="75" spans="6:100" x14ac:dyDescent="0.25">
      <c r="F75" s="58">
        <v>15</v>
      </c>
      <c r="G75" s="425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/>
      <c r="CP75" s="425"/>
      <c r="CQ75" s="425"/>
      <c r="CR75" s="425"/>
      <c r="CS75" s="425"/>
      <c r="CT75" s="425"/>
      <c r="CU75" s="425"/>
      <c r="CV75" s="58">
        <v>15</v>
      </c>
    </row>
    <row r="76" spans="6:100" x14ac:dyDescent="0.25">
      <c r="F76" s="58">
        <v>14</v>
      </c>
      <c r="G76" s="42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58">
        <v>14</v>
      </c>
    </row>
    <row r="77" spans="6:100" x14ac:dyDescent="0.25">
      <c r="F77" s="58">
        <v>13</v>
      </c>
      <c r="G77" s="42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58">
        <v>13</v>
      </c>
    </row>
    <row r="78" spans="6:100" x14ac:dyDescent="0.25">
      <c r="F78" s="58">
        <v>12</v>
      </c>
      <c r="G78" s="42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/>
      <c r="CU78" s="425"/>
      <c r="CV78" s="58">
        <v>12</v>
      </c>
    </row>
    <row r="79" spans="6:100" x14ac:dyDescent="0.25">
      <c r="F79" s="58">
        <v>11</v>
      </c>
      <c r="G79" s="42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58">
        <v>11</v>
      </c>
    </row>
    <row r="80" spans="6:100" x14ac:dyDescent="0.25">
      <c r="F80" s="58">
        <v>10</v>
      </c>
      <c r="G80" s="42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5"/>
      <c r="BX80" s="425"/>
      <c r="BY80" s="425"/>
      <c r="BZ80" s="425"/>
      <c r="CA80" s="425"/>
      <c r="CB80" s="425"/>
      <c r="CC80" s="425"/>
      <c r="CD80" s="425"/>
      <c r="CE80" s="425"/>
      <c r="CF80" s="425"/>
      <c r="CG80" s="425"/>
      <c r="CH80" s="425"/>
      <c r="CI80" s="425"/>
      <c r="CJ80" s="425"/>
      <c r="CK80" s="425"/>
      <c r="CL80" s="425"/>
      <c r="CM80" s="425"/>
      <c r="CN80" s="425"/>
      <c r="CO80" s="425"/>
      <c r="CP80" s="425"/>
      <c r="CQ80" s="425"/>
      <c r="CR80" s="425"/>
      <c r="CS80" s="425"/>
      <c r="CT80" s="425"/>
      <c r="CU80" s="425"/>
      <c r="CV80" s="58">
        <v>10</v>
      </c>
    </row>
    <row r="81" spans="6:100" x14ac:dyDescent="0.25">
      <c r="F81" s="58">
        <v>9</v>
      </c>
      <c r="G81" s="42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5"/>
      <c r="CA81" s="425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5"/>
      <c r="CS81" s="425"/>
      <c r="CT81" s="425"/>
      <c r="CU81" s="425"/>
      <c r="CV81" s="58">
        <v>9</v>
      </c>
    </row>
    <row r="82" spans="6:100" x14ac:dyDescent="0.25">
      <c r="F82" s="58">
        <v>8</v>
      </c>
      <c r="G82" s="42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5"/>
      <c r="BX82" s="425"/>
      <c r="BY82" s="425"/>
      <c r="BZ82" s="425"/>
      <c r="CA82" s="425"/>
      <c r="CB82" s="425"/>
      <c r="CC82" s="425"/>
      <c r="CD82" s="425"/>
      <c r="CE82" s="425"/>
      <c r="CF82" s="425"/>
      <c r="CG82" s="425"/>
      <c r="CH82" s="425"/>
      <c r="CI82" s="425"/>
      <c r="CJ82" s="425"/>
      <c r="CK82" s="425"/>
      <c r="CL82" s="425"/>
      <c r="CM82" s="425"/>
      <c r="CN82" s="425"/>
      <c r="CO82" s="425"/>
      <c r="CP82" s="425"/>
      <c r="CQ82" s="425"/>
      <c r="CR82" s="425"/>
      <c r="CS82" s="425"/>
      <c r="CT82" s="425"/>
      <c r="CU82" s="425"/>
      <c r="CV82" s="58">
        <v>8</v>
      </c>
    </row>
    <row r="83" spans="6:100" x14ac:dyDescent="0.25">
      <c r="F83" s="58">
        <v>7</v>
      </c>
      <c r="G83" s="425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5"/>
      <c r="BX83" s="425"/>
      <c r="BY83" s="425"/>
      <c r="BZ83" s="425"/>
      <c r="CA83" s="425"/>
      <c r="CB83" s="425"/>
      <c r="CC83" s="425"/>
      <c r="CD83" s="425"/>
      <c r="CE83" s="425"/>
      <c r="CF83" s="425"/>
      <c r="CG83" s="425"/>
      <c r="CH83" s="425"/>
      <c r="CI83" s="425"/>
      <c r="CJ83" s="425"/>
      <c r="CK83" s="425"/>
      <c r="CL83" s="425"/>
      <c r="CM83" s="425"/>
      <c r="CN83" s="425"/>
      <c r="CO83" s="425"/>
      <c r="CP83" s="425"/>
      <c r="CQ83" s="425"/>
      <c r="CR83" s="425"/>
      <c r="CS83" s="425"/>
      <c r="CT83" s="425"/>
      <c r="CU83" s="425"/>
      <c r="CV83" s="58">
        <v>7</v>
      </c>
    </row>
    <row r="84" spans="6:100" x14ac:dyDescent="0.25">
      <c r="F84" s="58">
        <v>6</v>
      </c>
      <c r="G84" s="425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  <c r="BR84" s="425"/>
      <c r="BS84" s="425"/>
      <c r="BT84" s="425"/>
      <c r="BU84" s="425"/>
      <c r="BV84" s="425"/>
      <c r="BW84" s="425"/>
      <c r="BX84" s="425"/>
      <c r="BY84" s="425"/>
      <c r="BZ84" s="425"/>
      <c r="CA84" s="425"/>
      <c r="CB84" s="425"/>
      <c r="CC84" s="425"/>
      <c r="CD84" s="425"/>
      <c r="CE84" s="425"/>
      <c r="CF84" s="425"/>
      <c r="CG84" s="425"/>
      <c r="CH84" s="425"/>
      <c r="CI84" s="425"/>
      <c r="CJ84" s="425"/>
      <c r="CK84" s="425"/>
      <c r="CL84" s="425"/>
      <c r="CM84" s="425"/>
      <c r="CN84" s="425"/>
      <c r="CO84" s="425"/>
      <c r="CP84" s="425"/>
      <c r="CQ84" s="425"/>
      <c r="CR84" s="425"/>
      <c r="CS84" s="425"/>
      <c r="CT84" s="425"/>
      <c r="CU84" s="425"/>
      <c r="CV84" s="58">
        <v>6</v>
      </c>
    </row>
    <row r="85" spans="6:100" x14ac:dyDescent="0.25">
      <c r="F85" s="58">
        <v>5</v>
      </c>
      <c r="G85" s="425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5"/>
      <c r="BX85" s="425"/>
      <c r="BY85" s="425"/>
      <c r="BZ85" s="425"/>
      <c r="CA85" s="425"/>
      <c r="CB85" s="425"/>
      <c r="CC85" s="425"/>
      <c r="CD85" s="425"/>
      <c r="CE85" s="425"/>
      <c r="CF85" s="425"/>
      <c r="CG85" s="425"/>
      <c r="CH85" s="425"/>
      <c r="CI85" s="425"/>
      <c r="CJ85" s="425"/>
      <c r="CK85" s="425"/>
      <c r="CL85" s="425"/>
      <c r="CM85" s="425"/>
      <c r="CN85" s="425"/>
      <c r="CO85" s="425"/>
      <c r="CP85" s="425"/>
      <c r="CQ85" s="425"/>
      <c r="CR85" s="425"/>
      <c r="CS85" s="425"/>
      <c r="CT85" s="425"/>
      <c r="CU85" s="425"/>
      <c r="CV85" s="58">
        <v>5</v>
      </c>
    </row>
    <row r="86" spans="6:100" x14ac:dyDescent="0.25">
      <c r="F86" s="58">
        <v>4</v>
      </c>
      <c r="G86" s="425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5"/>
      <c r="BY86" s="425"/>
      <c r="BZ86" s="425"/>
      <c r="CA86" s="425"/>
      <c r="CB86" s="425"/>
      <c r="CC86" s="425"/>
      <c r="CD86" s="425"/>
      <c r="CE86" s="425"/>
      <c r="CF86" s="425"/>
      <c r="CG86" s="425"/>
      <c r="CH86" s="425"/>
      <c r="CI86" s="425"/>
      <c r="CJ86" s="425"/>
      <c r="CK86" s="425"/>
      <c r="CL86" s="425"/>
      <c r="CM86" s="425"/>
      <c r="CN86" s="425"/>
      <c r="CO86" s="425"/>
      <c r="CP86" s="425"/>
      <c r="CQ86" s="425"/>
      <c r="CR86" s="425"/>
      <c r="CS86" s="425"/>
      <c r="CT86" s="425"/>
      <c r="CU86" s="425"/>
      <c r="CV86" s="58">
        <v>4</v>
      </c>
    </row>
    <row r="87" spans="6:100" x14ac:dyDescent="0.25">
      <c r="F87" s="58">
        <v>3</v>
      </c>
      <c r="G87" s="42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425"/>
      <c r="CE87" s="425"/>
      <c r="CF87" s="425"/>
      <c r="CG87" s="425"/>
      <c r="CH87" s="425"/>
      <c r="CI87" s="425"/>
      <c r="CJ87" s="425"/>
      <c r="CK87" s="425"/>
      <c r="CL87" s="425"/>
      <c r="CM87" s="425"/>
      <c r="CN87" s="425"/>
      <c r="CO87" s="425"/>
      <c r="CP87" s="425"/>
      <c r="CQ87" s="425"/>
      <c r="CR87" s="425"/>
      <c r="CS87" s="425"/>
      <c r="CT87" s="425"/>
      <c r="CU87" s="425"/>
      <c r="CV87" s="58">
        <v>3</v>
      </c>
    </row>
    <row r="88" spans="6:100" x14ac:dyDescent="0.25">
      <c r="F88" s="58">
        <v>2</v>
      </c>
      <c r="G88" s="42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5"/>
      <c r="BT88" s="425"/>
      <c r="BU88" s="425"/>
      <c r="BV88" s="425"/>
      <c r="BW88" s="425"/>
      <c r="BX88" s="425"/>
      <c r="BY88" s="425"/>
      <c r="BZ88" s="425"/>
      <c r="CA88" s="425"/>
      <c r="CB88" s="425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5"/>
      <c r="CO88" s="425"/>
      <c r="CP88" s="425"/>
      <c r="CQ88" s="425"/>
      <c r="CR88" s="425"/>
      <c r="CS88" s="425"/>
      <c r="CT88" s="425"/>
      <c r="CU88" s="425"/>
      <c r="CV88" s="58">
        <v>2</v>
      </c>
    </row>
    <row r="89" spans="6:100" x14ac:dyDescent="0.25">
      <c r="F89" s="58">
        <v>1</v>
      </c>
      <c r="G89" s="42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  <c r="BM89" s="425"/>
      <c r="BN89" s="425"/>
      <c r="BO89" s="425"/>
      <c r="BP89" s="425"/>
      <c r="BQ89" s="425"/>
      <c r="BR89" s="425"/>
      <c r="BS89" s="425"/>
      <c r="BT89" s="425"/>
      <c r="BU89" s="425"/>
      <c r="BV89" s="425"/>
      <c r="BW89" s="425"/>
      <c r="BX89" s="425"/>
      <c r="BY89" s="425"/>
      <c r="BZ89" s="425"/>
      <c r="CA89" s="425"/>
      <c r="CB89" s="425"/>
      <c r="CC89" s="425"/>
      <c r="CD89" s="425"/>
      <c r="CE89" s="425"/>
      <c r="CF89" s="425"/>
      <c r="CG89" s="425"/>
      <c r="CH89" s="425"/>
      <c r="CI89" s="425"/>
      <c r="CJ89" s="425"/>
      <c r="CK89" s="425"/>
      <c r="CL89" s="425"/>
      <c r="CM89" s="425"/>
      <c r="CN89" s="425"/>
      <c r="CO89" s="425"/>
      <c r="CP89" s="425"/>
      <c r="CQ89" s="425"/>
      <c r="CR89" s="425"/>
      <c r="CS89" s="425"/>
      <c r="CT89" s="425"/>
      <c r="CU89" s="425"/>
      <c r="CV89" s="58">
        <v>1</v>
      </c>
    </row>
    <row r="90" spans="6:100" x14ac:dyDescent="0.25">
      <c r="G90" s="417">
        <v>1</v>
      </c>
      <c r="H90" s="417">
        <v>2</v>
      </c>
      <c r="I90" s="419">
        <v>3</v>
      </c>
      <c r="J90" s="419">
        <v>4</v>
      </c>
      <c r="K90" s="419">
        <v>5</v>
      </c>
      <c r="L90" s="419">
        <v>6</v>
      </c>
      <c r="M90" s="419">
        <v>7</v>
      </c>
      <c r="N90" s="419">
        <v>8</v>
      </c>
      <c r="O90" s="419">
        <v>9</v>
      </c>
      <c r="P90" s="419">
        <v>10</v>
      </c>
      <c r="Q90" s="419">
        <v>11</v>
      </c>
      <c r="R90" s="419">
        <v>12</v>
      </c>
      <c r="S90" s="419">
        <v>13</v>
      </c>
      <c r="T90" s="419">
        <v>14</v>
      </c>
      <c r="U90" s="419">
        <v>15</v>
      </c>
      <c r="V90" s="419">
        <v>16</v>
      </c>
      <c r="W90" s="419">
        <v>17</v>
      </c>
      <c r="X90" s="419">
        <v>18</v>
      </c>
      <c r="Y90" s="419">
        <v>19</v>
      </c>
      <c r="Z90" s="419">
        <v>20</v>
      </c>
      <c r="AA90" s="419">
        <v>21</v>
      </c>
      <c r="AB90" s="419">
        <v>22</v>
      </c>
      <c r="AC90" s="419">
        <v>23</v>
      </c>
      <c r="AD90" s="419">
        <v>24</v>
      </c>
      <c r="AE90" s="419">
        <v>25</v>
      </c>
      <c r="AF90" s="419">
        <v>26</v>
      </c>
      <c r="AG90" s="419">
        <v>27</v>
      </c>
      <c r="AH90" s="419">
        <v>28</v>
      </c>
      <c r="AI90" s="419">
        <v>29</v>
      </c>
      <c r="AJ90" s="419">
        <v>30</v>
      </c>
      <c r="AK90" s="419">
        <v>31</v>
      </c>
      <c r="AL90" s="419">
        <v>32</v>
      </c>
      <c r="AM90" s="419">
        <v>33</v>
      </c>
      <c r="AN90" s="419">
        <v>34</v>
      </c>
      <c r="AO90" s="419">
        <v>35</v>
      </c>
      <c r="AP90" s="419">
        <v>36</v>
      </c>
      <c r="AQ90" s="419">
        <v>37</v>
      </c>
      <c r="AR90" s="419">
        <v>38</v>
      </c>
      <c r="AS90" s="419">
        <v>39</v>
      </c>
      <c r="AT90" s="419">
        <v>40</v>
      </c>
      <c r="AU90" s="419">
        <v>41</v>
      </c>
      <c r="AV90" s="419">
        <v>42</v>
      </c>
      <c r="AW90" s="419">
        <v>43</v>
      </c>
      <c r="AX90" s="419">
        <v>44</v>
      </c>
      <c r="AY90" s="419">
        <v>45</v>
      </c>
      <c r="AZ90" s="419">
        <v>46</v>
      </c>
      <c r="BB90">
        <v>1</v>
      </c>
      <c r="BC90">
        <v>2</v>
      </c>
      <c r="BD90">
        <v>3</v>
      </c>
      <c r="BE90">
        <v>4</v>
      </c>
      <c r="BF90">
        <v>5</v>
      </c>
      <c r="BG90">
        <v>6</v>
      </c>
      <c r="BH90">
        <v>7</v>
      </c>
      <c r="BI90">
        <v>8</v>
      </c>
      <c r="BJ90">
        <v>9</v>
      </c>
      <c r="BK90">
        <v>10</v>
      </c>
      <c r="BL90">
        <v>11</v>
      </c>
      <c r="BM90">
        <v>12</v>
      </c>
      <c r="BN90">
        <v>13</v>
      </c>
      <c r="BO90">
        <v>14</v>
      </c>
      <c r="BP90">
        <v>15</v>
      </c>
      <c r="BQ90">
        <v>16</v>
      </c>
      <c r="BR90">
        <v>17</v>
      </c>
      <c r="BS90">
        <v>18</v>
      </c>
      <c r="BT90">
        <v>19</v>
      </c>
      <c r="BU90">
        <v>20</v>
      </c>
      <c r="BV90">
        <v>21</v>
      </c>
      <c r="BW90">
        <v>22</v>
      </c>
      <c r="BX90">
        <v>23</v>
      </c>
      <c r="BY90">
        <v>24</v>
      </c>
      <c r="BZ90">
        <v>25</v>
      </c>
      <c r="CA90">
        <v>26</v>
      </c>
      <c r="CB90">
        <v>27</v>
      </c>
      <c r="CC90">
        <v>28</v>
      </c>
      <c r="CD90">
        <v>29</v>
      </c>
      <c r="CE90">
        <v>30</v>
      </c>
      <c r="CF90">
        <v>31</v>
      </c>
      <c r="CG90">
        <v>32</v>
      </c>
      <c r="CH90">
        <v>33</v>
      </c>
      <c r="CI90">
        <v>34</v>
      </c>
      <c r="CJ90">
        <v>35</v>
      </c>
      <c r="CK90">
        <v>36</v>
      </c>
      <c r="CL90">
        <v>37</v>
      </c>
      <c r="CM90">
        <v>38</v>
      </c>
      <c r="CN90">
        <v>39</v>
      </c>
      <c r="CO90">
        <v>40</v>
      </c>
      <c r="CP90">
        <v>41</v>
      </c>
      <c r="CQ90">
        <v>42</v>
      </c>
      <c r="CR90">
        <v>43</v>
      </c>
      <c r="CS90">
        <v>44</v>
      </c>
      <c r="CT90">
        <v>45</v>
      </c>
      <c r="CU90">
        <v>46</v>
      </c>
    </row>
    <row r="91" spans="6:100" x14ac:dyDescent="0.25">
      <c r="G91" s="53" t="s">
        <v>149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BB91" s="53" t="s">
        <v>149</v>
      </c>
    </row>
    <row r="92" spans="6:100" x14ac:dyDescent="0.25">
      <c r="G92" s="53" t="s">
        <v>190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BB92" s="53" t="s">
        <v>14</v>
      </c>
    </row>
  </sheetData>
  <mergeCells count="4">
    <mergeCell ref="D8:D9"/>
    <mergeCell ref="C9:C10"/>
    <mergeCell ref="A14:B14"/>
    <mergeCell ref="F14:R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0"/>
  <sheetViews>
    <sheetView topLeftCell="A3" workbookViewId="0">
      <selection activeCell="A4" sqref="A4"/>
    </sheetView>
  </sheetViews>
  <sheetFormatPr baseColWidth="10" defaultRowHeight="15" x14ac:dyDescent="0.25"/>
  <cols>
    <col min="1" max="1" width="13" customWidth="1"/>
    <col min="3" max="4" width="10.5703125" customWidth="1"/>
    <col min="5" max="5" width="5.85546875" customWidth="1"/>
    <col min="6" max="6" width="5.140625" customWidth="1"/>
    <col min="7" max="99" width="3.28515625" customWidth="1"/>
    <col min="100" max="100" width="5.42578125" style="23" customWidth="1"/>
    <col min="101" max="108" width="3.7109375" style="23" customWidth="1"/>
  </cols>
  <sheetData>
    <row r="1" spans="1:104" hidden="1" x14ac:dyDescent="0.2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22"/>
      <c r="CV1"/>
      <c r="CW1"/>
      <c r="CX1"/>
      <c r="CY1"/>
      <c r="CZ1"/>
    </row>
    <row r="2" spans="1:104" hidden="1" x14ac:dyDescent="0.2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79 pacientes, a los 46 meses</v>
      </c>
      <c r="F2" s="2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CV2"/>
      <c r="CW2"/>
      <c r="CX2"/>
      <c r="CY2"/>
      <c r="CZ2"/>
    </row>
    <row r="3" spans="1:104" ht="8.25" customHeight="1" x14ac:dyDescent="0.25">
      <c r="A3" s="519"/>
      <c r="B3" s="5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6"/>
      <c r="CV3"/>
      <c r="CW3"/>
      <c r="CX3"/>
      <c r="CY3"/>
      <c r="CZ3"/>
    </row>
    <row r="4" spans="1:104" ht="24" customHeight="1" x14ac:dyDescent="0.25">
      <c r="A4" s="520" t="s">
        <v>254</v>
      </c>
      <c r="B4" s="59"/>
      <c r="C4" s="59"/>
      <c r="D4" s="519"/>
      <c r="E4" s="519"/>
      <c r="F4" s="519"/>
      <c r="G4" s="521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CV4"/>
      <c r="CW4"/>
      <c r="CX4"/>
      <c r="CY4"/>
      <c r="CZ4"/>
    </row>
    <row r="5" spans="1:104" ht="25.5" x14ac:dyDescent="0.25">
      <c r="A5" s="411" t="s">
        <v>146</v>
      </c>
      <c r="B5" s="27">
        <f>C5+D5+E5</f>
        <v>79</v>
      </c>
      <c r="C5" s="376">
        <v>4</v>
      </c>
      <c r="D5" s="28">
        <v>1</v>
      </c>
      <c r="E5" s="29">
        <v>74</v>
      </c>
      <c r="G5" s="25"/>
      <c r="H5" s="25"/>
      <c r="I5" s="25"/>
      <c r="J5" s="405" t="s">
        <v>172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CV5"/>
      <c r="CW5"/>
      <c r="CX5"/>
      <c r="CY5"/>
      <c r="CZ5"/>
    </row>
    <row r="6" spans="1:104" ht="15" customHeight="1" x14ac:dyDescent="0.25">
      <c r="A6" s="25"/>
      <c r="C6" s="30"/>
      <c r="D6" s="31"/>
      <c r="E6" s="32"/>
      <c r="F6" s="25"/>
      <c r="G6" s="25"/>
      <c r="H6" s="25"/>
      <c r="I6" s="25"/>
      <c r="J6" s="404" t="s">
        <v>253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CV6"/>
      <c r="CW6"/>
      <c r="CX6"/>
      <c r="CY6"/>
      <c r="CZ6"/>
    </row>
    <row r="7" spans="1:104" ht="39.75" customHeight="1" x14ac:dyDescent="0.25">
      <c r="A7" s="412" t="s">
        <v>147</v>
      </c>
      <c r="B7" s="33" t="s">
        <v>148</v>
      </c>
      <c r="C7" s="34" t="str">
        <f>CONCATENATE(A1," ",B1," ",B5," ",C1)</f>
        <v>meses de los 79 del grupo Interv</v>
      </c>
      <c r="D7" s="34" t="str">
        <f>CONCATENATE(A1," ",B1," ",B5," ",D1)</f>
        <v>meses de los 79 del grupo Contr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CV7"/>
      <c r="CW7"/>
      <c r="CX7"/>
      <c r="CY7"/>
      <c r="CZ7"/>
    </row>
    <row r="8" spans="1:104" ht="26.25" x14ac:dyDescent="0.25">
      <c r="A8" s="35" t="s">
        <v>1</v>
      </c>
      <c r="B8" s="36">
        <v>1.3685787671232876</v>
      </c>
      <c r="C8" s="449">
        <f>B8*B5</f>
        <v>108.11772260273972</v>
      </c>
      <c r="D8" s="576">
        <f>(B8+B9)*B5</f>
        <v>130.99058659365426</v>
      </c>
      <c r="E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25"/>
      <c r="CV8"/>
      <c r="CW8"/>
      <c r="CX8"/>
      <c r="CY8"/>
      <c r="CZ8"/>
    </row>
    <row r="9" spans="1:104" ht="26.25" x14ac:dyDescent="0.25">
      <c r="A9" s="39" t="s">
        <v>3</v>
      </c>
      <c r="B9" s="40">
        <v>0.28952992393562704</v>
      </c>
      <c r="C9" s="577">
        <f>(B10+B9)*B5</f>
        <v>3525.8822773972602</v>
      </c>
      <c r="D9" s="576"/>
      <c r="E9" s="31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25"/>
      <c r="CV9"/>
      <c r="CW9"/>
      <c r="CX9"/>
      <c r="CY9"/>
      <c r="CZ9"/>
    </row>
    <row r="10" spans="1:104" ht="26.25" x14ac:dyDescent="0.25">
      <c r="A10" s="42" t="s">
        <v>2</v>
      </c>
      <c r="B10" s="43">
        <v>44.341891308941086</v>
      </c>
      <c r="C10" s="577"/>
      <c r="D10" s="44">
        <f>B10*B5</f>
        <v>3503.0094134063456</v>
      </c>
      <c r="E10" s="30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25"/>
      <c r="CV10"/>
      <c r="CW10"/>
      <c r="CX10"/>
      <c r="CY10"/>
      <c r="CZ10"/>
    </row>
    <row r="11" spans="1:104" x14ac:dyDescent="0.25">
      <c r="A11" s="2"/>
      <c r="B11" s="46">
        <v>46</v>
      </c>
      <c r="C11" s="47">
        <f>C8+C9</f>
        <v>3634</v>
      </c>
      <c r="D11" s="47">
        <f>D8+D10</f>
        <v>3634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04" ht="9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</row>
    <row r="13" spans="1:104" x14ac:dyDescent="0.25">
      <c r="A13" s="25"/>
      <c r="B13" s="25"/>
      <c r="C13" s="21">
        <f>(E5+D5)*B11</f>
        <v>3450</v>
      </c>
      <c r="D13" s="21">
        <f>E5*B11</f>
        <v>3404</v>
      </c>
      <c r="E13" s="25"/>
      <c r="F13" s="49" t="s">
        <v>12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</row>
    <row r="14" spans="1:104" ht="36" customHeight="1" x14ac:dyDescent="0.25">
      <c r="A14" s="578" t="s">
        <v>13</v>
      </c>
      <c r="B14" s="578"/>
      <c r="C14" s="50">
        <f>C9-C13</f>
        <v>75.882277397260168</v>
      </c>
      <c r="D14" s="50">
        <f>D10-D13</f>
        <v>99.009413406345629</v>
      </c>
      <c r="F14" s="579" t="str">
        <f>IF((AND(((B9+B10)/B11)&gt;((D5+E5)/B5),(B10/B11)&gt;(E5/B5))),E2,#REF!)</f>
        <v>puede representarse llegando los 79 pacientes, a los 46 meses</v>
      </c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</row>
    <row r="15" spans="1:104" ht="18.75" customHeight="1" thickBot="1" x14ac:dyDescent="0.3">
      <c r="A15" s="51"/>
      <c r="B15" s="51"/>
      <c r="C15" s="51"/>
      <c r="D15" s="51"/>
      <c r="F15" s="52"/>
      <c r="BA15" s="25"/>
      <c r="CV15" s="25"/>
      <c r="CW15" s="25"/>
      <c r="CX15" s="25"/>
      <c r="CY15" s="25"/>
      <c r="CZ15" s="25"/>
    </row>
    <row r="16" spans="1:104" ht="17.25" customHeight="1" thickBot="1" x14ac:dyDescent="0.3">
      <c r="A16" s="427" t="s">
        <v>191</v>
      </c>
      <c r="B16" s="378"/>
      <c r="C16" s="379"/>
      <c r="G16" s="53" t="s">
        <v>190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2"/>
      <c r="BB16" s="53" t="s">
        <v>14</v>
      </c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2"/>
      <c r="CW16" s="52"/>
      <c r="CX16" s="52"/>
      <c r="CY16" s="52"/>
      <c r="CZ16" s="52"/>
    </row>
    <row r="17" spans="1:108" x14ac:dyDescent="0.25">
      <c r="A17" s="377" t="s">
        <v>173</v>
      </c>
      <c r="G17" s="53" t="s">
        <v>149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B17" s="53" t="s">
        <v>149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108" x14ac:dyDescent="0.25">
      <c r="A18" s="377" t="s">
        <v>174</v>
      </c>
      <c r="F18" s="23"/>
      <c r="G18" s="419">
        <v>1</v>
      </c>
      <c r="H18" s="419">
        <v>2</v>
      </c>
      <c r="I18" s="419">
        <v>3</v>
      </c>
      <c r="J18" s="419">
        <v>4</v>
      </c>
      <c r="K18" s="419">
        <v>5</v>
      </c>
      <c r="L18" s="419">
        <v>6</v>
      </c>
      <c r="M18" s="419">
        <v>7</v>
      </c>
      <c r="N18" s="419">
        <v>8</v>
      </c>
      <c r="O18" s="419">
        <v>9</v>
      </c>
      <c r="P18" s="419">
        <v>10</v>
      </c>
      <c r="Q18" s="419">
        <v>11</v>
      </c>
      <c r="R18" s="419">
        <v>12</v>
      </c>
      <c r="S18" s="419">
        <v>13</v>
      </c>
      <c r="T18" s="419">
        <v>14</v>
      </c>
      <c r="U18" s="419">
        <v>15</v>
      </c>
      <c r="V18" s="419">
        <v>16</v>
      </c>
      <c r="W18" s="419">
        <v>17</v>
      </c>
      <c r="X18" s="419">
        <v>18</v>
      </c>
      <c r="Y18" s="419">
        <v>19</v>
      </c>
      <c r="Z18" s="419">
        <v>20</v>
      </c>
      <c r="AA18" s="419">
        <v>21</v>
      </c>
      <c r="AB18" s="419">
        <v>22</v>
      </c>
      <c r="AC18" s="419">
        <v>23</v>
      </c>
      <c r="AD18" s="419">
        <v>24</v>
      </c>
      <c r="AE18" s="419">
        <v>25</v>
      </c>
      <c r="AF18" s="419">
        <v>26</v>
      </c>
      <c r="AG18" s="419">
        <v>27</v>
      </c>
      <c r="AH18" s="419">
        <v>28</v>
      </c>
      <c r="AI18" s="419">
        <v>29</v>
      </c>
      <c r="AJ18" s="419">
        <v>30</v>
      </c>
      <c r="AK18" s="419">
        <v>31</v>
      </c>
      <c r="AL18" s="419">
        <v>32</v>
      </c>
      <c r="AM18" s="419">
        <v>33</v>
      </c>
      <c r="AN18" s="419">
        <v>34</v>
      </c>
      <c r="AO18" s="419">
        <v>35</v>
      </c>
      <c r="AP18" s="419">
        <v>36</v>
      </c>
      <c r="AQ18" s="419">
        <v>37</v>
      </c>
      <c r="AR18" s="419">
        <v>38</v>
      </c>
      <c r="AS18" s="419">
        <v>39</v>
      </c>
      <c r="AT18" s="419">
        <v>40</v>
      </c>
      <c r="AU18" s="419">
        <v>41</v>
      </c>
      <c r="AV18" s="419">
        <v>42</v>
      </c>
      <c r="AW18" s="419">
        <v>43</v>
      </c>
      <c r="AX18" s="419">
        <v>44</v>
      </c>
      <c r="AY18" s="419">
        <v>45</v>
      </c>
      <c r="AZ18" s="419">
        <v>46</v>
      </c>
      <c r="BA18" s="418"/>
      <c r="BB18" s="419">
        <v>1</v>
      </c>
      <c r="BC18" s="419">
        <v>2</v>
      </c>
      <c r="BD18" s="419">
        <v>3</v>
      </c>
      <c r="BE18" s="419">
        <v>4</v>
      </c>
      <c r="BF18" s="419">
        <v>5</v>
      </c>
      <c r="BG18" s="419">
        <v>6</v>
      </c>
      <c r="BH18" s="419">
        <v>7</v>
      </c>
      <c r="BI18" s="419">
        <v>8</v>
      </c>
      <c r="BJ18" s="419">
        <v>9</v>
      </c>
      <c r="BK18" s="419">
        <v>10</v>
      </c>
      <c r="BL18" s="419">
        <v>11</v>
      </c>
      <c r="BM18" s="419">
        <v>12</v>
      </c>
      <c r="BN18" s="419">
        <v>13</v>
      </c>
      <c r="BO18" s="419">
        <v>14</v>
      </c>
      <c r="BP18" s="419">
        <v>15</v>
      </c>
      <c r="BQ18" s="419">
        <v>16</v>
      </c>
      <c r="BR18" s="419">
        <v>17</v>
      </c>
      <c r="BS18" s="419">
        <v>18</v>
      </c>
      <c r="BT18" s="419">
        <v>19</v>
      </c>
      <c r="BU18" s="419">
        <v>20</v>
      </c>
      <c r="BV18" s="419">
        <v>21</v>
      </c>
      <c r="BW18" s="419">
        <v>22</v>
      </c>
      <c r="BX18" s="419">
        <v>23</v>
      </c>
      <c r="BY18" s="419">
        <v>24</v>
      </c>
      <c r="BZ18" s="419">
        <v>25</v>
      </c>
      <c r="CA18" s="419">
        <v>26</v>
      </c>
      <c r="CB18" s="419">
        <v>27</v>
      </c>
      <c r="CC18" s="419">
        <v>28</v>
      </c>
      <c r="CD18" s="419">
        <v>29</v>
      </c>
      <c r="CE18" s="419">
        <v>30</v>
      </c>
      <c r="CF18" s="419">
        <v>31</v>
      </c>
      <c r="CG18" s="419">
        <v>32</v>
      </c>
      <c r="CH18" s="419">
        <v>33</v>
      </c>
      <c r="CI18" s="419">
        <v>34</v>
      </c>
      <c r="CJ18" s="419">
        <v>35</v>
      </c>
      <c r="CK18" s="419">
        <v>36</v>
      </c>
      <c r="CL18" s="419">
        <v>37</v>
      </c>
      <c r="CM18" s="419">
        <v>38</v>
      </c>
      <c r="CN18" s="419">
        <v>39</v>
      </c>
      <c r="CO18" s="419">
        <v>40</v>
      </c>
      <c r="CP18" s="419">
        <v>41</v>
      </c>
      <c r="CQ18" s="419">
        <v>42</v>
      </c>
      <c r="CR18" s="419">
        <v>43</v>
      </c>
      <c r="CS18" s="419">
        <v>44</v>
      </c>
      <c r="CT18" s="419">
        <v>45</v>
      </c>
      <c r="CU18" s="419">
        <v>46</v>
      </c>
    </row>
    <row r="19" spans="1:108" x14ac:dyDescent="0.25">
      <c r="E19" s="54" t="s">
        <v>15</v>
      </c>
      <c r="F19" s="60">
        <v>79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392"/>
      <c r="AA19" s="392"/>
      <c r="AB19" s="392"/>
      <c r="AC19" s="392"/>
      <c r="AD19" s="392"/>
      <c r="AE19" s="470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23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392"/>
      <c r="BV19" s="392"/>
      <c r="BW19" s="392"/>
      <c r="BX19" s="392"/>
      <c r="BY19" s="392"/>
      <c r="BZ19" s="470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60">
        <v>79</v>
      </c>
      <c r="CW19" s="55" t="s">
        <v>15</v>
      </c>
      <c r="CX19" s="56"/>
      <c r="CY19" s="56"/>
      <c r="CZ19" s="56"/>
      <c r="DA19" s="56"/>
      <c r="DB19" s="56"/>
      <c r="DC19" s="56"/>
      <c r="DD19" s="56"/>
    </row>
    <row r="20" spans="1:108" x14ac:dyDescent="0.25">
      <c r="F20" s="60">
        <v>78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392"/>
      <c r="AA20" s="392"/>
      <c r="AB20" s="392"/>
      <c r="AC20" s="392"/>
      <c r="AD20" s="392"/>
      <c r="AE20" s="470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392"/>
      <c r="BV20" s="392"/>
      <c r="BW20" s="392"/>
      <c r="BX20" s="392"/>
      <c r="BY20" s="392"/>
      <c r="BZ20" s="470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60">
        <v>78</v>
      </c>
      <c r="CW20" s="56"/>
      <c r="CX20" s="56"/>
      <c r="CY20" s="56"/>
      <c r="CZ20" s="56"/>
      <c r="DA20" s="56"/>
      <c r="DB20" s="56"/>
      <c r="DC20" s="56"/>
      <c r="DD20" s="56"/>
    </row>
    <row r="21" spans="1:108" ht="15.75" thickBot="1" x14ac:dyDescent="0.3">
      <c r="F21" s="60">
        <v>77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392"/>
      <c r="AA21" s="392"/>
      <c r="AB21" s="392"/>
      <c r="AC21" s="392"/>
      <c r="AD21" s="392"/>
      <c r="AE21" s="470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23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392"/>
      <c r="BV21" s="392"/>
      <c r="BW21" s="392"/>
      <c r="BX21" s="392"/>
      <c r="BY21" s="392"/>
      <c r="BZ21" s="470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60">
        <v>77</v>
      </c>
      <c r="CW21" s="56"/>
      <c r="CX21" s="56"/>
      <c r="CY21" s="56"/>
      <c r="CZ21" s="56"/>
      <c r="DA21" s="56"/>
      <c r="DB21" s="56"/>
      <c r="DC21" s="56"/>
      <c r="DD21" s="56"/>
    </row>
    <row r="22" spans="1:108" x14ac:dyDescent="0.25">
      <c r="A22" s="345" t="s">
        <v>131</v>
      </c>
      <c r="B22" s="346"/>
      <c r="C22" s="346"/>
      <c r="D22" s="347"/>
      <c r="F22" s="60">
        <v>76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392"/>
      <c r="AA22" s="392"/>
      <c r="AB22" s="392"/>
      <c r="AC22" s="392"/>
      <c r="AD22" s="392"/>
      <c r="AE22" s="470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23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60">
        <v>76</v>
      </c>
      <c r="CW22" s="56"/>
      <c r="CX22" s="56"/>
      <c r="CY22" s="56"/>
      <c r="CZ22" s="56"/>
      <c r="DA22" s="56"/>
      <c r="DB22" s="56"/>
      <c r="DC22" s="56"/>
      <c r="DD22" s="56"/>
    </row>
    <row r="23" spans="1:108" ht="15.75" x14ac:dyDescent="0.25">
      <c r="A23" s="348" t="s">
        <v>126</v>
      </c>
      <c r="B23" s="349" t="s">
        <v>127</v>
      </c>
      <c r="C23" s="349" t="s">
        <v>115</v>
      </c>
      <c r="D23" s="350" t="s">
        <v>11</v>
      </c>
      <c r="F23" s="380">
        <v>75</v>
      </c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23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450">
        <v>75</v>
      </c>
      <c r="CW23" s="56"/>
      <c r="CX23" s="56"/>
      <c r="CY23" s="56"/>
      <c r="CZ23" s="56"/>
      <c r="DA23" s="56"/>
      <c r="DB23" s="56"/>
      <c r="DC23" s="56"/>
      <c r="DD23" s="56"/>
    </row>
    <row r="24" spans="1:108" x14ac:dyDescent="0.25">
      <c r="A24" s="351">
        <v>4.691516709511568E-2</v>
      </c>
      <c r="B24" s="352">
        <v>5.9503424657534248E-2</v>
      </c>
      <c r="C24" s="353">
        <f>B24-A24</f>
        <v>1.2588257562418569E-2</v>
      </c>
      <c r="D24" s="354">
        <f>1/C24</f>
        <v>79.439111810472923</v>
      </c>
      <c r="F24" s="58">
        <v>74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23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8">
        <v>74</v>
      </c>
      <c r="CW24" s="56"/>
      <c r="CX24" s="56"/>
      <c r="CY24" s="56"/>
      <c r="CZ24" s="56"/>
      <c r="DA24" s="56"/>
      <c r="DB24" s="56"/>
      <c r="DC24" s="56"/>
      <c r="DD24" s="56"/>
    </row>
    <row r="25" spans="1:108" ht="15.75" thickBot="1" x14ac:dyDescent="0.3">
      <c r="A25" s="355" t="s">
        <v>128</v>
      </c>
      <c r="B25" s="394">
        <f>A24*D24</f>
        <v>3.7268992044759148</v>
      </c>
      <c r="C25" s="356">
        <f>C24*D24</f>
        <v>1</v>
      </c>
      <c r="D25" s="393">
        <f>(1-B24)*D24</f>
        <v>74.71221260599701</v>
      </c>
      <c r="F25" s="58">
        <v>73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23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8">
        <v>73</v>
      </c>
      <c r="CW25" s="56"/>
      <c r="CX25" s="56"/>
      <c r="CY25" s="56"/>
      <c r="CZ25" s="56"/>
      <c r="DA25" s="56"/>
      <c r="DB25" s="56"/>
      <c r="DC25" s="56"/>
      <c r="DD25" s="56"/>
    </row>
    <row r="26" spans="1:108" x14ac:dyDescent="0.25">
      <c r="F26" s="58">
        <v>72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9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8">
        <v>72</v>
      </c>
      <c r="CW26" s="56"/>
      <c r="CX26" s="56"/>
      <c r="CY26" s="56"/>
      <c r="CZ26" s="56"/>
      <c r="DA26" s="56"/>
      <c r="DB26" s="56"/>
      <c r="DC26" s="56"/>
      <c r="DD26" s="56"/>
    </row>
    <row r="27" spans="1:108" x14ac:dyDescent="0.25">
      <c r="F27" s="58">
        <v>71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9"/>
      <c r="BB27" s="425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8">
        <v>71</v>
      </c>
      <c r="CW27" s="56"/>
      <c r="CX27" s="56"/>
      <c r="CY27" s="56"/>
      <c r="CZ27" s="56"/>
      <c r="DA27" s="56"/>
      <c r="DB27" s="56"/>
      <c r="DC27" s="56"/>
      <c r="DD27" s="56"/>
    </row>
    <row r="28" spans="1:108" x14ac:dyDescent="0.25">
      <c r="F28" s="58">
        <v>70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B28" s="425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8">
        <v>70</v>
      </c>
    </row>
    <row r="29" spans="1:108" x14ac:dyDescent="0.25">
      <c r="F29" s="58">
        <v>69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B29" s="42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8">
        <v>69</v>
      </c>
    </row>
    <row r="30" spans="1:108" x14ac:dyDescent="0.25">
      <c r="F30" s="58">
        <v>68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B30" s="425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8">
        <v>68</v>
      </c>
    </row>
    <row r="31" spans="1:108" x14ac:dyDescent="0.25">
      <c r="F31" s="58">
        <v>67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B31" s="425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8">
        <v>67</v>
      </c>
    </row>
    <row r="32" spans="1:108" x14ac:dyDescent="0.25">
      <c r="F32" s="58">
        <v>66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B32" s="425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8">
        <v>66</v>
      </c>
    </row>
    <row r="33" spans="6:100" x14ac:dyDescent="0.25">
      <c r="F33" s="58">
        <v>65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B33" s="425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8">
        <v>65</v>
      </c>
    </row>
    <row r="34" spans="6:100" x14ac:dyDescent="0.25">
      <c r="F34" s="58">
        <v>64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B34" s="425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8">
        <v>64</v>
      </c>
    </row>
    <row r="35" spans="6:100" x14ac:dyDescent="0.25">
      <c r="F35" s="58">
        <v>63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B35" s="425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8">
        <v>63</v>
      </c>
    </row>
    <row r="36" spans="6:100" x14ac:dyDescent="0.25">
      <c r="F36" s="58">
        <v>62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B36" s="42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8">
        <v>62</v>
      </c>
    </row>
    <row r="37" spans="6:100" x14ac:dyDescent="0.25">
      <c r="F37" s="58">
        <v>61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B37" s="42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8">
        <v>61</v>
      </c>
    </row>
    <row r="38" spans="6:100" x14ac:dyDescent="0.25">
      <c r="F38" s="58">
        <v>60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58">
        <v>60</v>
      </c>
    </row>
    <row r="39" spans="6:100" x14ac:dyDescent="0.25">
      <c r="F39" s="58">
        <v>59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418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5"/>
      <c r="CL39" s="425"/>
      <c r="CM39" s="425"/>
      <c r="CN39" s="425"/>
      <c r="CO39" s="425"/>
      <c r="CP39" s="425"/>
      <c r="CQ39" s="425"/>
      <c r="CR39" s="425"/>
      <c r="CS39" s="425"/>
      <c r="CT39" s="425"/>
      <c r="CU39" s="425"/>
      <c r="CV39" s="58">
        <v>59</v>
      </c>
    </row>
    <row r="40" spans="6:100" x14ac:dyDescent="0.25">
      <c r="F40" s="58">
        <v>58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58">
        <v>58</v>
      </c>
    </row>
    <row r="41" spans="6:100" x14ac:dyDescent="0.25">
      <c r="F41" s="58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2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425"/>
      <c r="CS41" s="425"/>
      <c r="CT41" s="425"/>
      <c r="CU41" s="425"/>
      <c r="CV41" s="58">
        <v>57</v>
      </c>
    </row>
    <row r="42" spans="6:100" x14ac:dyDescent="0.25">
      <c r="F42" s="58">
        <v>56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58">
        <v>56</v>
      </c>
    </row>
    <row r="43" spans="6:100" x14ac:dyDescent="0.25">
      <c r="F43" s="58">
        <v>55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58">
        <v>55</v>
      </c>
    </row>
    <row r="44" spans="6:100" x14ac:dyDescent="0.25">
      <c r="F44" s="58">
        <v>54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5"/>
      <c r="CG44" s="425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58">
        <v>54</v>
      </c>
    </row>
    <row r="45" spans="6:100" x14ac:dyDescent="0.25">
      <c r="F45" s="58">
        <v>53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  <c r="CF45" s="425"/>
      <c r="CG45" s="425"/>
      <c r="CH45" s="425"/>
      <c r="CI45" s="425"/>
      <c r="CJ45" s="425"/>
      <c r="CK45" s="425"/>
      <c r="CL45" s="425"/>
      <c r="CM45" s="425"/>
      <c r="CN45" s="425"/>
      <c r="CO45" s="425"/>
      <c r="CP45" s="425"/>
      <c r="CQ45" s="425"/>
      <c r="CR45" s="425"/>
      <c r="CS45" s="425"/>
      <c r="CT45" s="425"/>
      <c r="CU45" s="425"/>
      <c r="CV45" s="58">
        <v>53</v>
      </c>
    </row>
    <row r="46" spans="6:100" x14ac:dyDescent="0.25">
      <c r="F46" s="58">
        <v>52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58">
        <v>52</v>
      </c>
    </row>
    <row r="47" spans="6:100" x14ac:dyDescent="0.25">
      <c r="F47" s="58">
        <v>51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  <c r="CC47" s="425"/>
      <c r="CD47" s="425"/>
      <c r="CE47" s="425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5"/>
      <c r="CS47" s="425"/>
      <c r="CT47" s="425"/>
      <c r="CU47" s="425"/>
      <c r="CV47" s="58">
        <v>51</v>
      </c>
    </row>
    <row r="48" spans="6:100" x14ac:dyDescent="0.25">
      <c r="F48" s="58">
        <v>50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58">
        <v>50</v>
      </c>
    </row>
    <row r="49" spans="6:100" x14ac:dyDescent="0.25">
      <c r="F49" s="58">
        <v>49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5"/>
      <c r="CG49" s="425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58">
        <v>49</v>
      </c>
    </row>
    <row r="50" spans="6:100" x14ac:dyDescent="0.25">
      <c r="F50" s="58">
        <v>48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58">
        <v>48</v>
      </c>
    </row>
    <row r="51" spans="6:100" x14ac:dyDescent="0.25">
      <c r="F51" s="58">
        <v>47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58">
        <v>47</v>
      </c>
    </row>
    <row r="52" spans="6:100" x14ac:dyDescent="0.25">
      <c r="F52" s="58">
        <v>46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58">
        <v>46</v>
      </c>
    </row>
    <row r="53" spans="6:100" x14ac:dyDescent="0.25">
      <c r="F53" s="58">
        <v>45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5"/>
      <c r="CS53" s="425"/>
      <c r="CT53" s="425"/>
      <c r="CU53" s="425"/>
      <c r="CV53" s="58">
        <v>45</v>
      </c>
    </row>
    <row r="54" spans="6:100" x14ac:dyDescent="0.25">
      <c r="F54" s="58">
        <v>44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/>
      <c r="BN54" s="425"/>
      <c r="BO54" s="425"/>
      <c r="BP54" s="425"/>
      <c r="BQ54" s="425"/>
      <c r="BR54" s="425"/>
      <c r="BS54" s="425"/>
      <c r="BT54" s="425"/>
      <c r="BU54" s="425"/>
      <c r="BV54" s="425"/>
      <c r="BW54" s="425"/>
      <c r="BX54" s="425"/>
      <c r="BY54" s="425"/>
      <c r="BZ54" s="425"/>
      <c r="CA54" s="425"/>
      <c r="CB54" s="425"/>
      <c r="CC54" s="425"/>
      <c r="CD54" s="425"/>
      <c r="CE54" s="425"/>
      <c r="CF54" s="425"/>
      <c r="CG54" s="425"/>
      <c r="CH54" s="425"/>
      <c r="CI54" s="425"/>
      <c r="CJ54" s="425"/>
      <c r="CK54" s="425"/>
      <c r="CL54" s="425"/>
      <c r="CM54" s="425"/>
      <c r="CN54" s="425"/>
      <c r="CO54" s="425"/>
      <c r="CP54" s="425"/>
      <c r="CQ54" s="425"/>
      <c r="CR54" s="425"/>
      <c r="CS54" s="425"/>
      <c r="CT54" s="425"/>
      <c r="CU54" s="425"/>
      <c r="CV54" s="58">
        <v>44</v>
      </c>
    </row>
    <row r="55" spans="6:100" x14ac:dyDescent="0.25">
      <c r="F55" s="58">
        <v>43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/>
      <c r="CU55" s="425"/>
      <c r="CV55" s="58">
        <v>43</v>
      </c>
    </row>
    <row r="56" spans="6:100" x14ac:dyDescent="0.25">
      <c r="F56" s="58">
        <v>42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  <c r="BQ56" s="425"/>
      <c r="BR56" s="425"/>
      <c r="BS56" s="425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5"/>
      <c r="CS56" s="425"/>
      <c r="CT56" s="425"/>
      <c r="CU56" s="425"/>
      <c r="CV56" s="58">
        <v>42</v>
      </c>
    </row>
    <row r="57" spans="6:100" x14ac:dyDescent="0.25">
      <c r="F57" s="58">
        <v>41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/>
      <c r="CU57" s="425"/>
      <c r="CV57" s="58">
        <v>41</v>
      </c>
    </row>
    <row r="58" spans="6:100" x14ac:dyDescent="0.25">
      <c r="F58" s="58">
        <v>40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58">
        <v>40</v>
      </c>
    </row>
    <row r="59" spans="6:100" x14ac:dyDescent="0.25">
      <c r="F59" s="58">
        <v>39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58">
        <v>39</v>
      </c>
    </row>
    <row r="60" spans="6:100" x14ac:dyDescent="0.25">
      <c r="F60" s="58">
        <v>38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58">
        <v>38</v>
      </c>
    </row>
    <row r="61" spans="6:100" x14ac:dyDescent="0.25">
      <c r="F61" s="58">
        <v>37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/>
      <c r="CU61" s="425"/>
      <c r="CV61" s="58">
        <v>37</v>
      </c>
    </row>
    <row r="62" spans="6:100" x14ac:dyDescent="0.25">
      <c r="F62" s="58">
        <v>36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5"/>
      <c r="CE62" s="425"/>
      <c r="CF62" s="425"/>
      <c r="CG62" s="425"/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/>
      <c r="CU62" s="425"/>
      <c r="CV62" s="58">
        <v>36</v>
      </c>
    </row>
    <row r="63" spans="6:100" x14ac:dyDescent="0.25">
      <c r="F63" s="58">
        <v>35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425"/>
      <c r="CU63" s="425"/>
      <c r="CV63" s="58">
        <v>35</v>
      </c>
    </row>
    <row r="64" spans="6:100" x14ac:dyDescent="0.25">
      <c r="F64" s="58">
        <v>34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58">
        <v>34</v>
      </c>
    </row>
    <row r="65" spans="6:100" x14ac:dyDescent="0.25">
      <c r="F65" s="58">
        <v>33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58">
        <v>33</v>
      </c>
    </row>
    <row r="66" spans="6:100" x14ac:dyDescent="0.25">
      <c r="F66" s="58">
        <v>32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5"/>
      <c r="CG66" s="425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58">
        <v>32</v>
      </c>
    </row>
    <row r="67" spans="6:100" x14ac:dyDescent="0.25">
      <c r="F67" s="58">
        <v>31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/>
      <c r="CU67" s="425"/>
      <c r="CV67" s="58">
        <v>31</v>
      </c>
    </row>
    <row r="68" spans="6:100" x14ac:dyDescent="0.25">
      <c r="F68" s="58">
        <v>30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5"/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58">
        <v>30</v>
      </c>
    </row>
    <row r="69" spans="6:100" x14ac:dyDescent="0.25">
      <c r="F69" s="58">
        <v>29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58">
        <v>29</v>
      </c>
    </row>
    <row r="70" spans="6:100" x14ac:dyDescent="0.25">
      <c r="F70" s="58">
        <v>28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/>
      <c r="CP70" s="425"/>
      <c r="CQ70" s="425"/>
      <c r="CR70" s="425"/>
      <c r="CS70" s="425"/>
      <c r="CT70" s="425"/>
      <c r="CU70" s="425"/>
      <c r="CV70" s="58">
        <v>28</v>
      </c>
    </row>
    <row r="71" spans="6:100" x14ac:dyDescent="0.25">
      <c r="F71" s="58">
        <v>27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  <c r="BR71" s="425"/>
      <c r="BS71" s="425"/>
      <c r="BT71" s="425"/>
      <c r="BU71" s="425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58">
        <v>27</v>
      </c>
    </row>
    <row r="72" spans="6:100" x14ac:dyDescent="0.25">
      <c r="F72" s="58">
        <v>26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  <c r="BQ72" s="425"/>
      <c r="BR72" s="425"/>
      <c r="BS72" s="425"/>
      <c r="BT72" s="425"/>
      <c r="BU72" s="425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58">
        <v>26</v>
      </c>
    </row>
    <row r="73" spans="6:100" x14ac:dyDescent="0.25">
      <c r="F73" s="58">
        <v>25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5"/>
      <c r="BS73" s="425"/>
      <c r="BT73" s="425"/>
      <c r="BU73" s="425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/>
      <c r="CU73" s="425"/>
      <c r="CV73" s="58">
        <v>25</v>
      </c>
    </row>
    <row r="74" spans="6:100" x14ac:dyDescent="0.25">
      <c r="F74" s="58">
        <v>24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5"/>
      <c r="CN74" s="425"/>
      <c r="CO74" s="425"/>
      <c r="CP74" s="425"/>
      <c r="CQ74" s="425"/>
      <c r="CR74" s="425"/>
      <c r="CS74" s="425"/>
      <c r="CT74" s="425"/>
      <c r="CU74" s="425"/>
      <c r="CV74" s="58">
        <v>24</v>
      </c>
    </row>
    <row r="75" spans="6:100" x14ac:dyDescent="0.25">
      <c r="F75" s="58">
        <v>23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/>
      <c r="CP75" s="425"/>
      <c r="CQ75" s="425"/>
      <c r="CR75" s="425"/>
      <c r="CS75" s="425"/>
      <c r="CT75" s="425"/>
      <c r="CU75" s="425"/>
      <c r="CV75" s="58">
        <v>23</v>
      </c>
    </row>
    <row r="76" spans="6:100" x14ac:dyDescent="0.25">
      <c r="F76" s="58">
        <v>22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58">
        <v>22</v>
      </c>
    </row>
    <row r="77" spans="6:100" x14ac:dyDescent="0.25">
      <c r="F77" s="58">
        <v>21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58">
        <v>21</v>
      </c>
    </row>
    <row r="78" spans="6:100" x14ac:dyDescent="0.25">
      <c r="F78" s="58">
        <v>20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/>
      <c r="CU78" s="425"/>
      <c r="CV78" s="58">
        <v>20</v>
      </c>
    </row>
    <row r="79" spans="6:100" x14ac:dyDescent="0.25">
      <c r="F79" s="58">
        <v>19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58">
        <v>19</v>
      </c>
    </row>
    <row r="80" spans="6:100" x14ac:dyDescent="0.25">
      <c r="F80" s="58">
        <v>18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5"/>
      <c r="BX80" s="425"/>
      <c r="BY80" s="425"/>
      <c r="BZ80" s="425"/>
      <c r="CA80" s="425"/>
      <c r="CB80" s="425"/>
      <c r="CC80" s="425"/>
      <c r="CD80" s="425"/>
      <c r="CE80" s="425"/>
      <c r="CF80" s="425"/>
      <c r="CG80" s="425"/>
      <c r="CH80" s="425"/>
      <c r="CI80" s="425"/>
      <c r="CJ80" s="425"/>
      <c r="CK80" s="425"/>
      <c r="CL80" s="425"/>
      <c r="CM80" s="425"/>
      <c r="CN80" s="425"/>
      <c r="CO80" s="425"/>
      <c r="CP80" s="425"/>
      <c r="CQ80" s="425"/>
      <c r="CR80" s="425"/>
      <c r="CS80" s="425"/>
      <c r="CT80" s="425"/>
      <c r="CU80" s="425"/>
      <c r="CV80" s="58">
        <v>18</v>
      </c>
    </row>
    <row r="81" spans="6:100" x14ac:dyDescent="0.25">
      <c r="F81" s="58">
        <v>17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5"/>
      <c r="CA81" s="425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5"/>
      <c r="CS81" s="425"/>
      <c r="CT81" s="425"/>
      <c r="CU81" s="425"/>
      <c r="CV81" s="58">
        <v>17</v>
      </c>
    </row>
    <row r="82" spans="6:100" x14ac:dyDescent="0.25">
      <c r="F82" s="58">
        <v>16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5"/>
      <c r="BX82" s="425"/>
      <c r="BY82" s="425"/>
      <c r="BZ82" s="425"/>
      <c r="CA82" s="425"/>
      <c r="CB82" s="425"/>
      <c r="CC82" s="425"/>
      <c r="CD82" s="425"/>
      <c r="CE82" s="425"/>
      <c r="CF82" s="425"/>
      <c r="CG82" s="425"/>
      <c r="CH82" s="425"/>
      <c r="CI82" s="425"/>
      <c r="CJ82" s="425"/>
      <c r="CK82" s="425"/>
      <c r="CL82" s="425"/>
      <c r="CM82" s="425"/>
      <c r="CN82" s="425"/>
      <c r="CO82" s="425"/>
      <c r="CP82" s="425"/>
      <c r="CQ82" s="425"/>
      <c r="CR82" s="425"/>
      <c r="CS82" s="425"/>
      <c r="CT82" s="425"/>
      <c r="CU82" s="425"/>
      <c r="CV82" s="58">
        <v>16</v>
      </c>
    </row>
    <row r="83" spans="6:100" x14ac:dyDescent="0.25">
      <c r="F83" s="58">
        <v>15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5"/>
      <c r="BX83" s="425"/>
      <c r="BY83" s="425"/>
      <c r="BZ83" s="425"/>
      <c r="CA83" s="425"/>
      <c r="CB83" s="425"/>
      <c r="CC83" s="425"/>
      <c r="CD83" s="425"/>
      <c r="CE83" s="425"/>
      <c r="CF83" s="425"/>
      <c r="CG83" s="425"/>
      <c r="CH83" s="425"/>
      <c r="CI83" s="425"/>
      <c r="CJ83" s="425"/>
      <c r="CK83" s="425"/>
      <c r="CL83" s="425"/>
      <c r="CM83" s="425"/>
      <c r="CN83" s="425"/>
      <c r="CO83" s="425"/>
      <c r="CP83" s="425"/>
      <c r="CQ83" s="425"/>
      <c r="CR83" s="425"/>
      <c r="CS83" s="425"/>
      <c r="CT83" s="425"/>
      <c r="CU83" s="425"/>
      <c r="CV83" s="58">
        <v>15</v>
      </c>
    </row>
    <row r="84" spans="6:100" x14ac:dyDescent="0.25">
      <c r="F84" s="58">
        <v>14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  <c r="BR84" s="425"/>
      <c r="BS84" s="425"/>
      <c r="BT84" s="425"/>
      <c r="BU84" s="425"/>
      <c r="BV84" s="425"/>
      <c r="BW84" s="425"/>
      <c r="BX84" s="425"/>
      <c r="BY84" s="425"/>
      <c r="BZ84" s="425"/>
      <c r="CA84" s="425"/>
      <c r="CB84" s="425"/>
      <c r="CC84" s="425"/>
      <c r="CD84" s="425"/>
      <c r="CE84" s="425"/>
      <c r="CF84" s="425"/>
      <c r="CG84" s="425"/>
      <c r="CH84" s="425"/>
      <c r="CI84" s="425"/>
      <c r="CJ84" s="425"/>
      <c r="CK84" s="425"/>
      <c r="CL84" s="425"/>
      <c r="CM84" s="425"/>
      <c r="CN84" s="425"/>
      <c r="CO84" s="425"/>
      <c r="CP84" s="425"/>
      <c r="CQ84" s="425"/>
      <c r="CR84" s="425"/>
      <c r="CS84" s="425"/>
      <c r="CT84" s="425"/>
      <c r="CU84" s="425"/>
      <c r="CV84" s="58">
        <v>14</v>
      </c>
    </row>
    <row r="85" spans="6:100" x14ac:dyDescent="0.25">
      <c r="F85" s="58">
        <v>13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5"/>
      <c r="BX85" s="425"/>
      <c r="BY85" s="425"/>
      <c r="BZ85" s="425"/>
      <c r="CA85" s="425"/>
      <c r="CB85" s="425"/>
      <c r="CC85" s="425"/>
      <c r="CD85" s="425"/>
      <c r="CE85" s="425"/>
      <c r="CF85" s="425"/>
      <c r="CG85" s="425"/>
      <c r="CH85" s="425"/>
      <c r="CI85" s="425"/>
      <c r="CJ85" s="425"/>
      <c r="CK85" s="425"/>
      <c r="CL85" s="425"/>
      <c r="CM85" s="425"/>
      <c r="CN85" s="425"/>
      <c r="CO85" s="425"/>
      <c r="CP85" s="425"/>
      <c r="CQ85" s="425"/>
      <c r="CR85" s="425"/>
      <c r="CS85" s="425"/>
      <c r="CT85" s="425"/>
      <c r="CU85" s="425"/>
      <c r="CV85" s="58">
        <v>13</v>
      </c>
    </row>
    <row r="86" spans="6:100" x14ac:dyDescent="0.25">
      <c r="F86" s="58">
        <v>12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5"/>
      <c r="BY86" s="425"/>
      <c r="BZ86" s="425"/>
      <c r="CA86" s="425"/>
      <c r="CB86" s="425"/>
      <c r="CC86" s="425"/>
      <c r="CD86" s="425"/>
      <c r="CE86" s="425"/>
      <c r="CF86" s="425"/>
      <c r="CG86" s="425"/>
      <c r="CH86" s="425"/>
      <c r="CI86" s="425"/>
      <c r="CJ86" s="425"/>
      <c r="CK86" s="425"/>
      <c r="CL86" s="425"/>
      <c r="CM86" s="425"/>
      <c r="CN86" s="425"/>
      <c r="CO86" s="425"/>
      <c r="CP86" s="425"/>
      <c r="CQ86" s="425"/>
      <c r="CR86" s="425"/>
      <c r="CS86" s="425"/>
      <c r="CT86" s="425"/>
      <c r="CU86" s="425"/>
      <c r="CV86" s="58">
        <v>12</v>
      </c>
    </row>
    <row r="87" spans="6:100" x14ac:dyDescent="0.25">
      <c r="F87" s="58">
        <v>11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425"/>
      <c r="CE87" s="425"/>
      <c r="CF87" s="425"/>
      <c r="CG87" s="425"/>
      <c r="CH87" s="425"/>
      <c r="CI87" s="425"/>
      <c r="CJ87" s="425"/>
      <c r="CK87" s="425"/>
      <c r="CL87" s="425"/>
      <c r="CM87" s="425"/>
      <c r="CN87" s="425"/>
      <c r="CO87" s="425"/>
      <c r="CP87" s="425"/>
      <c r="CQ87" s="425"/>
      <c r="CR87" s="425"/>
      <c r="CS87" s="425"/>
      <c r="CT87" s="425"/>
      <c r="CU87" s="425"/>
      <c r="CV87" s="58">
        <v>11</v>
      </c>
    </row>
    <row r="88" spans="6:100" x14ac:dyDescent="0.25">
      <c r="F88" s="58">
        <v>10</v>
      </c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5"/>
      <c r="BT88" s="425"/>
      <c r="BU88" s="425"/>
      <c r="BV88" s="425"/>
      <c r="BW88" s="425"/>
      <c r="BX88" s="425"/>
      <c r="BY88" s="425"/>
      <c r="BZ88" s="425"/>
      <c r="CA88" s="425"/>
      <c r="CB88" s="425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5"/>
      <c r="CO88" s="425"/>
      <c r="CP88" s="425"/>
      <c r="CQ88" s="425"/>
      <c r="CR88" s="425"/>
      <c r="CS88" s="425"/>
      <c r="CT88" s="425"/>
      <c r="CU88" s="425"/>
      <c r="CV88" s="58">
        <v>10</v>
      </c>
    </row>
    <row r="89" spans="6:100" x14ac:dyDescent="0.25">
      <c r="F89" s="58">
        <v>9</v>
      </c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  <c r="BM89" s="425"/>
      <c r="BN89" s="425"/>
      <c r="BO89" s="425"/>
      <c r="BP89" s="425"/>
      <c r="BQ89" s="425"/>
      <c r="BR89" s="425"/>
      <c r="BS89" s="425"/>
      <c r="BT89" s="425"/>
      <c r="BU89" s="425"/>
      <c r="BV89" s="425"/>
      <c r="BW89" s="425"/>
      <c r="BX89" s="425"/>
      <c r="BY89" s="425"/>
      <c r="BZ89" s="425"/>
      <c r="CA89" s="425"/>
      <c r="CB89" s="425"/>
      <c r="CC89" s="425"/>
      <c r="CD89" s="425"/>
      <c r="CE89" s="425"/>
      <c r="CF89" s="425"/>
      <c r="CG89" s="425"/>
      <c r="CH89" s="425"/>
      <c r="CI89" s="425"/>
      <c r="CJ89" s="425"/>
      <c r="CK89" s="425"/>
      <c r="CL89" s="425"/>
      <c r="CM89" s="425"/>
      <c r="CN89" s="425"/>
      <c r="CO89" s="425"/>
      <c r="CP89" s="425"/>
      <c r="CQ89" s="425"/>
      <c r="CR89" s="425"/>
      <c r="CS89" s="425"/>
      <c r="CT89" s="425"/>
      <c r="CU89" s="425"/>
      <c r="CV89" s="58">
        <v>9</v>
      </c>
    </row>
    <row r="90" spans="6:100" x14ac:dyDescent="0.25">
      <c r="F90" s="58">
        <v>8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5"/>
      <c r="BQ90" s="425"/>
      <c r="BR90" s="425"/>
      <c r="BS90" s="425"/>
      <c r="BT90" s="425"/>
      <c r="BU90" s="425"/>
      <c r="BV90" s="425"/>
      <c r="BW90" s="425"/>
      <c r="BX90" s="425"/>
      <c r="BY90" s="425"/>
      <c r="BZ90" s="425"/>
      <c r="CA90" s="425"/>
      <c r="CB90" s="425"/>
      <c r="CC90" s="425"/>
      <c r="CD90" s="425"/>
      <c r="CE90" s="425"/>
      <c r="CF90" s="425"/>
      <c r="CG90" s="425"/>
      <c r="CH90" s="425"/>
      <c r="CI90" s="425"/>
      <c r="CJ90" s="425"/>
      <c r="CK90" s="425"/>
      <c r="CL90" s="425"/>
      <c r="CM90" s="425"/>
      <c r="CN90" s="425"/>
      <c r="CO90" s="425"/>
      <c r="CP90" s="425"/>
      <c r="CQ90" s="425"/>
      <c r="CR90" s="425"/>
      <c r="CS90" s="425"/>
      <c r="CT90" s="425"/>
      <c r="CU90" s="425"/>
      <c r="CV90" s="58">
        <v>8</v>
      </c>
    </row>
    <row r="91" spans="6:100" x14ac:dyDescent="0.25">
      <c r="F91" s="58">
        <v>7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B91" s="425"/>
      <c r="BC91" s="425"/>
      <c r="BD91" s="425"/>
      <c r="BE91" s="425"/>
      <c r="BF91" s="425"/>
      <c r="BG91" s="425"/>
      <c r="BH91" s="425"/>
      <c r="BI91" s="425"/>
      <c r="BJ91" s="425"/>
      <c r="BK91" s="425"/>
      <c r="BL91" s="425"/>
      <c r="BM91" s="425"/>
      <c r="BN91" s="425"/>
      <c r="BO91" s="425"/>
      <c r="BP91" s="425"/>
      <c r="BQ91" s="425"/>
      <c r="BR91" s="425"/>
      <c r="BS91" s="425"/>
      <c r="BT91" s="425"/>
      <c r="BU91" s="425"/>
      <c r="BV91" s="425"/>
      <c r="BW91" s="425"/>
      <c r="BX91" s="425"/>
      <c r="BY91" s="425"/>
      <c r="BZ91" s="425"/>
      <c r="CA91" s="425"/>
      <c r="CB91" s="425"/>
      <c r="CC91" s="425"/>
      <c r="CD91" s="425"/>
      <c r="CE91" s="425"/>
      <c r="CF91" s="425"/>
      <c r="CG91" s="425"/>
      <c r="CH91" s="425"/>
      <c r="CI91" s="425"/>
      <c r="CJ91" s="425"/>
      <c r="CK91" s="425"/>
      <c r="CL91" s="425"/>
      <c r="CM91" s="425"/>
      <c r="CN91" s="425"/>
      <c r="CO91" s="425"/>
      <c r="CP91" s="425"/>
      <c r="CQ91" s="425"/>
      <c r="CR91" s="425"/>
      <c r="CS91" s="425"/>
      <c r="CT91" s="425"/>
      <c r="CU91" s="425"/>
      <c r="CV91" s="58">
        <v>7</v>
      </c>
    </row>
    <row r="92" spans="6:100" x14ac:dyDescent="0.25">
      <c r="F92" s="58">
        <v>6</v>
      </c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  <c r="BM92" s="425"/>
      <c r="BN92" s="425"/>
      <c r="BO92" s="425"/>
      <c r="BP92" s="425"/>
      <c r="BQ92" s="425"/>
      <c r="BR92" s="425"/>
      <c r="BS92" s="425"/>
      <c r="BT92" s="425"/>
      <c r="BU92" s="425"/>
      <c r="BV92" s="425"/>
      <c r="BW92" s="425"/>
      <c r="BX92" s="425"/>
      <c r="BY92" s="425"/>
      <c r="BZ92" s="425"/>
      <c r="CA92" s="425"/>
      <c r="CB92" s="425"/>
      <c r="CC92" s="425"/>
      <c r="CD92" s="425"/>
      <c r="CE92" s="425"/>
      <c r="CF92" s="425"/>
      <c r="CG92" s="425"/>
      <c r="CH92" s="425"/>
      <c r="CI92" s="425"/>
      <c r="CJ92" s="425"/>
      <c r="CK92" s="425"/>
      <c r="CL92" s="425"/>
      <c r="CM92" s="425"/>
      <c r="CN92" s="425"/>
      <c r="CO92" s="425"/>
      <c r="CP92" s="425"/>
      <c r="CQ92" s="425"/>
      <c r="CR92" s="425"/>
      <c r="CS92" s="425"/>
      <c r="CT92" s="425"/>
      <c r="CU92" s="425"/>
      <c r="CV92" s="58">
        <v>6</v>
      </c>
    </row>
    <row r="93" spans="6:100" x14ac:dyDescent="0.25">
      <c r="F93" s="58">
        <v>5</v>
      </c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  <c r="BM93" s="425"/>
      <c r="BN93" s="425"/>
      <c r="BO93" s="425"/>
      <c r="BP93" s="425"/>
      <c r="BQ93" s="425"/>
      <c r="BR93" s="425"/>
      <c r="BS93" s="425"/>
      <c r="BT93" s="425"/>
      <c r="BU93" s="425"/>
      <c r="BV93" s="425"/>
      <c r="BW93" s="425"/>
      <c r="BX93" s="425"/>
      <c r="BY93" s="425"/>
      <c r="BZ93" s="425"/>
      <c r="CA93" s="425"/>
      <c r="CB93" s="425"/>
      <c r="CC93" s="425"/>
      <c r="CD93" s="425"/>
      <c r="CE93" s="425"/>
      <c r="CF93" s="425"/>
      <c r="CG93" s="425"/>
      <c r="CH93" s="425"/>
      <c r="CI93" s="425"/>
      <c r="CJ93" s="425"/>
      <c r="CK93" s="425"/>
      <c r="CL93" s="425"/>
      <c r="CM93" s="425"/>
      <c r="CN93" s="425"/>
      <c r="CO93" s="425"/>
      <c r="CP93" s="425"/>
      <c r="CQ93" s="425"/>
      <c r="CR93" s="425"/>
      <c r="CS93" s="425"/>
      <c r="CT93" s="425"/>
      <c r="CU93" s="425"/>
      <c r="CV93" s="58">
        <v>5</v>
      </c>
    </row>
    <row r="94" spans="6:100" x14ac:dyDescent="0.25">
      <c r="F94" s="58">
        <v>4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B94" s="425"/>
      <c r="BC94" s="425"/>
      <c r="BD94" s="425"/>
      <c r="BE94" s="425"/>
      <c r="BF94" s="425"/>
      <c r="BG94" s="425"/>
      <c r="BH94" s="425"/>
      <c r="BI94" s="425"/>
      <c r="BJ94" s="425"/>
      <c r="BK94" s="425"/>
      <c r="BL94" s="425"/>
      <c r="BM94" s="425"/>
      <c r="BN94" s="425"/>
      <c r="BO94" s="425"/>
      <c r="BP94" s="425"/>
      <c r="BQ94" s="425"/>
      <c r="BR94" s="425"/>
      <c r="BS94" s="425"/>
      <c r="BT94" s="425"/>
      <c r="BU94" s="425"/>
      <c r="BV94" s="425"/>
      <c r="BW94" s="425"/>
      <c r="BX94" s="425"/>
      <c r="BY94" s="425"/>
      <c r="BZ94" s="425"/>
      <c r="CA94" s="425"/>
      <c r="CB94" s="425"/>
      <c r="CC94" s="425"/>
      <c r="CD94" s="425"/>
      <c r="CE94" s="425"/>
      <c r="CF94" s="425"/>
      <c r="CG94" s="425"/>
      <c r="CH94" s="425"/>
      <c r="CI94" s="425"/>
      <c r="CJ94" s="425"/>
      <c r="CK94" s="425"/>
      <c r="CL94" s="425"/>
      <c r="CM94" s="425"/>
      <c r="CN94" s="425"/>
      <c r="CO94" s="425"/>
      <c r="CP94" s="425"/>
      <c r="CQ94" s="425"/>
      <c r="CR94" s="425"/>
      <c r="CS94" s="425"/>
      <c r="CT94" s="425"/>
      <c r="CU94" s="425"/>
      <c r="CV94" s="58">
        <v>4</v>
      </c>
    </row>
    <row r="95" spans="6:100" x14ac:dyDescent="0.25">
      <c r="F95" s="58">
        <v>3</v>
      </c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B95" s="425"/>
      <c r="BC95" s="425"/>
      <c r="BD95" s="425"/>
      <c r="BE95" s="425"/>
      <c r="BF95" s="425"/>
      <c r="BG95" s="425"/>
      <c r="BH95" s="425"/>
      <c r="BI95" s="425"/>
      <c r="BJ95" s="425"/>
      <c r="BK95" s="425"/>
      <c r="BL95" s="425"/>
      <c r="BM95" s="425"/>
      <c r="BN95" s="425"/>
      <c r="BO95" s="425"/>
      <c r="BP95" s="425"/>
      <c r="BQ95" s="425"/>
      <c r="BR95" s="425"/>
      <c r="BS95" s="425"/>
      <c r="BT95" s="425"/>
      <c r="BU95" s="425"/>
      <c r="BV95" s="425"/>
      <c r="BW95" s="425"/>
      <c r="BX95" s="425"/>
      <c r="BY95" s="425"/>
      <c r="BZ95" s="425"/>
      <c r="CA95" s="425"/>
      <c r="CB95" s="425"/>
      <c r="CC95" s="425"/>
      <c r="CD95" s="425"/>
      <c r="CE95" s="425"/>
      <c r="CF95" s="425"/>
      <c r="CG95" s="425"/>
      <c r="CH95" s="425"/>
      <c r="CI95" s="425"/>
      <c r="CJ95" s="425"/>
      <c r="CK95" s="425"/>
      <c r="CL95" s="425"/>
      <c r="CM95" s="425"/>
      <c r="CN95" s="425"/>
      <c r="CO95" s="425"/>
      <c r="CP95" s="425"/>
      <c r="CQ95" s="425"/>
      <c r="CR95" s="425"/>
      <c r="CS95" s="425"/>
      <c r="CT95" s="425"/>
      <c r="CU95" s="425"/>
      <c r="CV95" s="58">
        <v>3</v>
      </c>
    </row>
    <row r="96" spans="6:100" x14ac:dyDescent="0.25">
      <c r="F96" s="58">
        <v>2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  <c r="BM96" s="425"/>
      <c r="BN96" s="425"/>
      <c r="BO96" s="425"/>
      <c r="BP96" s="425"/>
      <c r="BQ96" s="425"/>
      <c r="BR96" s="425"/>
      <c r="BS96" s="425"/>
      <c r="BT96" s="425"/>
      <c r="BU96" s="425"/>
      <c r="BV96" s="425"/>
      <c r="BW96" s="425"/>
      <c r="BX96" s="425"/>
      <c r="BY96" s="425"/>
      <c r="BZ96" s="425"/>
      <c r="CA96" s="425"/>
      <c r="CB96" s="425"/>
      <c r="CC96" s="425"/>
      <c r="CD96" s="425"/>
      <c r="CE96" s="425"/>
      <c r="CF96" s="425"/>
      <c r="CG96" s="425"/>
      <c r="CH96" s="425"/>
      <c r="CI96" s="425"/>
      <c r="CJ96" s="425"/>
      <c r="CK96" s="425"/>
      <c r="CL96" s="425"/>
      <c r="CM96" s="425"/>
      <c r="CN96" s="425"/>
      <c r="CO96" s="425"/>
      <c r="CP96" s="425"/>
      <c r="CQ96" s="425"/>
      <c r="CR96" s="425"/>
      <c r="CS96" s="425"/>
      <c r="CT96" s="425"/>
      <c r="CU96" s="425"/>
      <c r="CV96" s="58">
        <v>2</v>
      </c>
    </row>
    <row r="97" spans="6:100" x14ac:dyDescent="0.25">
      <c r="F97" s="58">
        <v>1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B97" s="425"/>
      <c r="BC97" s="425"/>
      <c r="BD97" s="425"/>
      <c r="BE97" s="425"/>
      <c r="BF97" s="425"/>
      <c r="BG97" s="425"/>
      <c r="BH97" s="425"/>
      <c r="BI97" s="425"/>
      <c r="BJ97" s="425"/>
      <c r="BK97" s="425"/>
      <c r="BL97" s="425"/>
      <c r="BM97" s="425"/>
      <c r="BN97" s="425"/>
      <c r="BO97" s="425"/>
      <c r="BP97" s="425"/>
      <c r="BQ97" s="425"/>
      <c r="BR97" s="425"/>
      <c r="BS97" s="425"/>
      <c r="BT97" s="425"/>
      <c r="BU97" s="425"/>
      <c r="BV97" s="425"/>
      <c r="BW97" s="425"/>
      <c r="BX97" s="425"/>
      <c r="BY97" s="425"/>
      <c r="BZ97" s="425"/>
      <c r="CA97" s="425"/>
      <c r="CB97" s="425"/>
      <c r="CC97" s="425"/>
      <c r="CD97" s="425"/>
      <c r="CE97" s="425"/>
      <c r="CF97" s="425"/>
      <c r="CG97" s="425"/>
      <c r="CH97" s="425"/>
      <c r="CI97" s="425"/>
      <c r="CJ97" s="425"/>
      <c r="CK97" s="425"/>
      <c r="CL97" s="425"/>
      <c r="CM97" s="425"/>
      <c r="CN97" s="425"/>
      <c r="CO97" s="425"/>
      <c r="CP97" s="425"/>
      <c r="CQ97" s="425"/>
      <c r="CR97" s="425"/>
      <c r="CS97" s="425"/>
      <c r="CT97" s="425"/>
      <c r="CU97" s="425"/>
      <c r="CV97" s="58">
        <v>1</v>
      </c>
    </row>
    <row r="98" spans="6:100" x14ac:dyDescent="0.25">
      <c r="G98" s="419">
        <v>1</v>
      </c>
      <c r="H98" s="419">
        <v>2</v>
      </c>
      <c r="I98" s="419">
        <v>3</v>
      </c>
      <c r="J98" s="419">
        <v>4</v>
      </c>
      <c r="K98" s="419">
        <v>5</v>
      </c>
      <c r="L98" s="419">
        <v>6</v>
      </c>
      <c r="M98" s="419">
        <v>7</v>
      </c>
      <c r="N98" s="419">
        <v>8</v>
      </c>
      <c r="O98" s="419">
        <v>9</v>
      </c>
      <c r="P98" s="419">
        <v>10</v>
      </c>
      <c r="Q98" s="419">
        <v>11</v>
      </c>
      <c r="R98" s="419">
        <v>12</v>
      </c>
      <c r="S98" s="419">
        <v>13</v>
      </c>
      <c r="T98" s="419">
        <v>14</v>
      </c>
      <c r="U98" s="419">
        <v>15</v>
      </c>
      <c r="V98" s="419">
        <v>16</v>
      </c>
      <c r="W98" s="419">
        <v>17</v>
      </c>
      <c r="X98" s="419">
        <v>18</v>
      </c>
      <c r="Y98" s="419">
        <v>19</v>
      </c>
      <c r="Z98" s="419">
        <v>20</v>
      </c>
      <c r="AA98" s="419">
        <v>21</v>
      </c>
      <c r="AB98" s="419">
        <v>22</v>
      </c>
      <c r="AC98" s="419">
        <v>23</v>
      </c>
      <c r="AD98" s="419">
        <v>24</v>
      </c>
      <c r="AE98" s="419">
        <v>25</v>
      </c>
      <c r="AF98" s="419">
        <v>26</v>
      </c>
      <c r="AG98" s="419">
        <v>27</v>
      </c>
      <c r="AH98" s="419">
        <v>28</v>
      </c>
      <c r="AI98" s="419">
        <v>29</v>
      </c>
      <c r="AJ98" s="419">
        <v>30</v>
      </c>
      <c r="AK98" s="419">
        <v>31</v>
      </c>
      <c r="AL98" s="419">
        <v>32</v>
      </c>
      <c r="AM98" s="419">
        <v>33</v>
      </c>
      <c r="AN98" s="419">
        <v>34</v>
      </c>
      <c r="AO98" s="419">
        <v>35</v>
      </c>
      <c r="AP98" s="419">
        <v>36</v>
      </c>
      <c r="AQ98" s="419">
        <v>37</v>
      </c>
      <c r="AR98" s="419">
        <v>38</v>
      </c>
      <c r="AS98" s="419">
        <v>39</v>
      </c>
      <c r="AT98" s="419">
        <v>40</v>
      </c>
      <c r="AU98" s="419">
        <v>41</v>
      </c>
      <c r="AV98" s="419">
        <v>42</v>
      </c>
      <c r="AW98" s="419">
        <v>43</v>
      </c>
      <c r="AX98" s="419">
        <v>44</v>
      </c>
      <c r="AY98" s="419">
        <v>45</v>
      </c>
      <c r="AZ98" s="419">
        <v>46</v>
      </c>
      <c r="BB98">
        <v>1</v>
      </c>
      <c r="BC98">
        <v>2</v>
      </c>
      <c r="BD98">
        <v>3</v>
      </c>
      <c r="BE98">
        <v>4</v>
      </c>
      <c r="BF98">
        <v>5</v>
      </c>
      <c r="BG98">
        <v>6</v>
      </c>
      <c r="BH98">
        <v>7</v>
      </c>
      <c r="BI98">
        <v>8</v>
      </c>
      <c r="BJ98">
        <v>9</v>
      </c>
      <c r="BK98">
        <v>10</v>
      </c>
      <c r="BL98">
        <v>11</v>
      </c>
      <c r="BM98">
        <v>12</v>
      </c>
      <c r="BN98">
        <v>13</v>
      </c>
      <c r="BO98">
        <v>14</v>
      </c>
      <c r="BP98">
        <v>15</v>
      </c>
      <c r="BQ98">
        <v>16</v>
      </c>
      <c r="BR98">
        <v>17</v>
      </c>
      <c r="BS98">
        <v>18</v>
      </c>
      <c r="BT98">
        <v>19</v>
      </c>
      <c r="BU98">
        <v>20</v>
      </c>
      <c r="BV98">
        <v>21</v>
      </c>
      <c r="BW98">
        <v>22</v>
      </c>
      <c r="BX98">
        <v>23</v>
      </c>
      <c r="BY98">
        <v>24</v>
      </c>
      <c r="BZ98">
        <v>25</v>
      </c>
      <c r="CA98">
        <v>26</v>
      </c>
      <c r="CB98">
        <v>27</v>
      </c>
      <c r="CC98">
        <v>28</v>
      </c>
      <c r="CD98">
        <v>29</v>
      </c>
      <c r="CE98">
        <v>30</v>
      </c>
      <c r="CF98">
        <v>31</v>
      </c>
      <c r="CG98">
        <v>32</v>
      </c>
      <c r="CH98">
        <v>33</v>
      </c>
      <c r="CI98">
        <v>34</v>
      </c>
      <c r="CJ98">
        <v>35</v>
      </c>
      <c r="CK98">
        <v>36</v>
      </c>
      <c r="CL98">
        <v>37</v>
      </c>
      <c r="CM98">
        <v>38</v>
      </c>
      <c r="CN98">
        <v>39</v>
      </c>
      <c r="CO98">
        <v>40</v>
      </c>
      <c r="CP98">
        <v>41</v>
      </c>
      <c r="CQ98">
        <v>42</v>
      </c>
      <c r="CR98">
        <v>43</v>
      </c>
      <c r="CS98">
        <v>44</v>
      </c>
      <c r="CT98">
        <v>45</v>
      </c>
      <c r="CU98">
        <v>46</v>
      </c>
    </row>
    <row r="99" spans="6:100" x14ac:dyDescent="0.25">
      <c r="G99" s="53" t="s">
        <v>149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BB99" s="53" t="s">
        <v>149</v>
      </c>
    </row>
    <row r="100" spans="6:100" x14ac:dyDescent="0.25">
      <c r="G100" s="53" t="s">
        <v>190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BB100" s="53" t="s">
        <v>14</v>
      </c>
    </row>
  </sheetData>
  <mergeCells count="4"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9"/>
  <sheetViews>
    <sheetView topLeftCell="A3" workbookViewId="0">
      <selection activeCell="K8" sqref="K8"/>
    </sheetView>
  </sheetViews>
  <sheetFormatPr baseColWidth="10" defaultRowHeight="15" x14ac:dyDescent="0.25"/>
  <cols>
    <col min="1" max="1" width="13" customWidth="1"/>
    <col min="3" max="4" width="10.5703125" customWidth="1"/>
    <col min="5" max="5" width="5.85546875" customWidth="1"/>
    <col min="6" max="6" width="5.140625" customWidth="1"/>
    <col min="7" max="99" width="3.28515625" customWidth="1"/>
    <col min="100" max="100" width="5.42578125" style="23" customWidth="1"/>
    <col min="101" max="108" width="3.7109375" style="23" customWidth="1"/>
  </cols>
  <sheetData>
    <row r="1" spans="1:104" hidden="1" x14ac:dyDescent="0.2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22"/>
      <c r="CV1"/>
      <c r="CW1"/>
      <c r="CX1"/>
      <c r="CY1"/>
      <c r="CZ1"/>
    </row>
    <row r="2" spans="1:104" hidden="1" x14ac:dyDescent="0.2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68 pacientes, a los 46 meses</v>
      </c>
      <c r="F2" s="2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CV2"/>
      <c r="CW2"/>
      <c r="CX2"/>
      <c r="CY2"/>
      <c r="CZ2"/>
    </row>
    <row r="3" spans="1:104" ht="8.25" customHeight="1" x14ac:dyDescent="0.25">
      <c r="A3" s="519"/>
      <c r="B3" s="5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6"/>
      <c r="CV3"/>
      <c r="CW3"/>
      <c r="CX3"/>
      <c r="CY3"/>
      <c r="CZ3"/>
    </row>
    <row r="4" spans="1:104" ht="24" customHeight="1" x14ac:dyDescent="0.25">
      <c r="A4" s="522" t="s">
        <v>332</v>
      </c>
      <c r="B4" s="59"/>
      <c r="C4" s="59"/>
      <c r="D4" s="519"/>
      <c r="E4" s="519"/>
      <c r="F4" s="519"/>
      <c r="G4" s="521"/>
      <c r="H4" s="519"/>
      <c r="I4" s="519"/>
      <c r="J4" s="519"/>
      <c r="K4" s="519"/>
      <c r="L4" s="519"/>
      <c r="M4" s="519"/>
      <c r="N4" s="519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CV4"/>
      <c r="CW4"/>
      <c r="CX4"/>
      <c r="CY4"/>
      <c r="CZ4"/>
    </row>
    <row r="5" spans="1:104" ht="25.5" x14ac:dyDescent="0.25">
      <c r="A5" s="411" t="s">
        <v>146</v>
      </c>
      <c r="B5" s="27">
        <f>C5+D5+E5</f>
        <v>68</v>
      </c>
      <c r="C5" s="376">
        <v>4</v>
      </c>
      <c r="D5" s="28">
        <v>1</v>
      </c>
      <c r="E5" s="29">
        <v>63</v>
      </c>
      <c r="G5" s="25"/>
      <c r="H5" s="25"/>
      <c r="I5" s="25"/>
      <c r="J5" s="405" t="s">
        <v>172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CV5"/>
      <c r="CW5"/>
      <c r="CX5"/>
      <c r="CY5"/>
      <c r="CZ5"/>
    </row>
    <row r="6" spans="1:104" ht="15" customHeight="1" x14ac:dyDescent="0.25">
      <c r="A6" s="25"/>
      <c r="C6" s="30"/>
      <c r="D6" s="31"/>
      <c r="E6" s="32"/>
      <c r="F6" s="25"/>
      <c r="G6" s="25"/>
      <c r="H6" s="25"/>
      <c r="I6" s="25"/>
      <c r="J6" s="404" t="s">
        <v>253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CV6"/>
      <c r="CW6"/>
      <c r="CX6"/>
      <c r="CY6"/>
      <c r="CZ6"/>
    </row>
    <row r="7" spans="1:104" ht="39.75" customHeight="1" x14ac:dyDescent="0.25">
      <c r="A7" s="412" t="s">
        <v>147</v>
      </c>
      <c r="B7" s="33" t="s">
        <v>148</v>
      </c>
      <c r="C7" s="34" t="str">
        <f>CONCATENATE(A1," ",B1," ",B5," ",C1)</f>
        <v>meses de los 68 del grupo Interv</v>
      </c>
      <c r="D7" s="34" t="str">
        <f>CONCATENATE(A1," ",B1," ",B5," ",D1)</f>
        <v>meses de los 68 del grupo Contr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CV7"/>
      <c r="CW7"/>
      <c r="CX7"/>
      <c r="CY7"/>
      <c r="CZ7"/>
    </row>
    <row r="8" spans="1:104" ht="26.25" x14ac:dyDescent="0.25">
      <c r="A8" s="35" t="s">
        <v>1</v>
      </c>
      <c r="B8" s="36">
        <v>1.6590325342465755</v>
      </c>
      <c r="C8" s="449">
        <f>B8*B5</f>
        <v>112.81421232876713</v>
      </c>
      <c r="D8" s="576">
        <f>(B8+B9)*B5</f>
        <v>135.83579398058484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25"/>
      <c r="CV8"/>
      <c r="CW8"/>
      <c r="CX8"/>
      <c r="CY8"/>
      <c r="CZ8"/>
    </row>
    <row r="9" spans="1:104" ht="26.25" x14ac:dyDescent="0.25">
      <c r="A9" s="39" t="s">
        <v>3</v>
      </c>
      <c r="B9" s="40">
        <v>0.33855267135026024</v>
      </c>
      <c r="C9" s="577">
        <f>(B10+B9)*B5</f>
        <v>3015.1857876712329</v>
      </c>
      <c r="D9" s="576"/>
      <c r="E9" s="31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25"/>
      <c r="CV9"/>
      <c r="CW9"/>
      <c r="CX9"/>
      <c r="CY9"/>
      <c r="CZ9"/>
    </row>
    <row r="10" spans="1:104" ht="26.25" x14ac:dyDescent="0.25">
      <c r="A10" s="42" t="s">
        <v>2</v>
      </c>
      <c r="B10" s="43">
        <v>44.002414794403165</v>
      </c>
      <c r="C10" s="577"/>
      <c r="D10" s="44">
        <f>B10*B5</f>
        <v>2992.1642060194154</v>
      </c>
      <c r="E10" s="30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25"/>
      <c r="CV10"/>
      <c r="CW10"/>
      <c r="CX10"/>
      <c r="CY10"/>
      <c r="CZ10"/>
    </row>
    <row r="11" spans="1:104" x14ac:dyDescent="0.25">
      <c r="A11" s="2"/>
      <c r="B11" s="46">
        <v>46</v>
      </c>
      <c r="C11" s="47">
        <f>C8+C9</f>
        <v>3128</v>
      </c>
      <c r="D11" s="47">
        <f>D8+D10</f>
        <v>3128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04" ht="9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</row>
    <row r="13" spans="1:104" x14ac:dyDescent="0.25">
      <c r="A13" s="25"/>
      <c r="B13" s="25"/>
      <c r="C13" s="21">
        <f>(E5+D5)*B11</f>
        <v>2944</v>
      </c>
      <c r="D13" s="21">
        <f>E5*B11</f>
        <v>2898</v>
      </c>
      <c r="E13" s="25"/>
      <c r="F13" s="49" t="s">
        <v>12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</row>
    <row r="14" spans="1:104" ht="36" customHeight="1" x14ac:dyDescent="0.25">
      <c r="A14" s="578" t="s">
        <v>13</v>
      </c>
      <c r="B14" s="578"/>
      <c r="C14" s="50">
        <f>C9-C13</f>
        <v>71.185787671232902</v>
      </c>
      <c r="D14" s="50">
        <f>D10-D13</f>
        <v>94.16420601941536</v>
      </c>
      <c r="F14" s="579" t="str">
        <f>IF((AND(((B9+B10)/B11)&gt;((D5+E5)/B5),(B10/B11)&gt;(E5/B5))),E2,#REF!)</f>
        <v>puede representarse llegando los 68 pacientes, a los 46 meses</v>
      </c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</row>
    <row r="15" spans="1:104" ht="18.75" customHeight="1" thickBot="1" x14ac:dyDescent="0.3">
      <c r="A15" s="51"/>
      <c r="B15" s="51"/>
      <c r="C15" s="51"/>
      <c r="D15" s="51"/>
      <c r="F15" s="52"/>
      <c r="BA15" s="25"/>
      <c r="CV15" s="25"/>
      <c r="CW15" s="25"/>
      <c r="CX15" s="25"/>
      <c r="CY15" s="25"/>
      <c r="CZ15" s="25"/>
    </row>
    <row r="16" spans="1:104" ht="17.25" customHeight="1" thickBot="1" x14ac:dyDescent="0.3">
      <c r="A16" s="427" t="s">
        <v>157</v>
      </c>
      <c r="B16" s="378"/>
      <c r="C16" s="379"/>
      <c r="G16" s="53" t="s">
        <v>190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2"/>
      <c r="BB16" s="53" t="s">
        <v>14</v>
      </c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2"/>
      <c r="CW16" s="52"/>
      <c r="CX16" s="52"/>
      <c r="CY16" s="52"/>
      <c r="CZ16" s="52"/>
    </row>
    <row r="17" spans="1:108" x14ac:dyDescent="0.25">
      <c r="A17" s="377" t="s">
        <v>173</v>
      </c>
      <c r="G17" s="53" t="s">
        <v>149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B17" s="53" t="s">
        <v>149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108" x14ac:dyDescent="0.25">
      <c r="A18" s="377" t="s">
        <v>174</v>
      </c>
      <c r="F18" s="23"/>
      <c r="G18" s="419">
        <v>1</v>
      </c>
      <c r="H18" s="419">
        <v>2</v>
      </c>
      <c r="I18" s="419">
        <v>3</v>
      </c>
      <c r="J18" s="419">
        <v>4</v>
      </c>
      <c r="K18" s="419">
        <v>5</v>
      </c>
      <c r="L18" s="419">
        <v>6</v>
      </c>
      <c r="M18" s="419">
        <v>7</v>
      </c>
      <c r="N18" s="419">
        <v>8</v>
      </c>
      <c r="O18" s="419">
        <v>9</v>
      </c>
      <c r="P18" s="419">
        <v>10</v>
      </c>
      <c r="Q18" s="419">
        <v>11</v>
      </c>
      <c r="R18" s="419">
        <v>12</v>
      </c>
      <c r="S18" s="419">
        <v>13</v>
      </c>
      <c r="T18" s="419">
        <v>14</v>
      </c>
      <c r="U18" s="419">
        <v>15</v>
      </c>
      <c r="V18" s="419">
        <v>16</v>
      </c>
      <c r="W18" s="419">
        <v>17</v>
      </c>
      <c r="X18" s="419">
        <v>18</v>
      </c>
      <c r="Y18" s="419">
        <v>19</v>
      </c>
      <c r="Z18" s="419">
        <v>20</v>
      </c>
      <c r="AA18" s="419">
        <v>21</v>
      </c>
      <c r="AB18" s="419">
        <v>22</v>
      </c>
      <c r="AC18" s="419">
        <v>23</v>
      </c>
      <c r="AD18" s="419">
        <v>24</v>
      </c>
      <c r="AE18" s="419">
        <v>25</v>
      </c>
      <c r="AF18" s="419">
        <v>26</v>
      </c>
      <c r="AG18" s="419">
        <v>27</v>
      </c>
      <c r="AH18" s="419">
        <v>28</v>
      </c>
      <c r="AI18" s="419">
        <v>29</v>
      </c>
      <c r="AJ18" s="419">
        <v>30</v>
      </c>
      <c r="AK18" s="419">
        <v>31</v>
      </c>
      <c r="AL18" s="419">
        <v>32</v>
      </c>
      <c r="AM18" s="419">
        <v>33</v>
      </c>
      <c r="AN18" s="419">
        <v>34</v>
      </c>
      <c r="AO18" s="419">
        <v>35</v>
      </c>
      <c r="AP18" s="419">
        <v>36</v>
      </c>
      <c r="AQ18" s="419">
        <v>37</v>
      </c>
      <c r="AR18" s="419">
        <v>38</v>
      </c>
      <c r="AS18" s="419">
        <v>39</v>
      </c>
      <c r="AT18" s="419">
        <v>40</v>
      </c>
      <c r="AU18" s="419">
        <v>41</v>
      </c>
      <c r="AV18" s="419">
        <v>42</v>
      </c>
      <c r="AW18" s="419">
        <v>43</v>
      </c>
      <c r="AX18" s="419">
        <v>44</v>
      </c>
      <c r="AY18" s="419">
        <v>45</v>
      </c>
      <c r="AZ18" s="419">
        <v>46</v>
      </c>
      <c r="BA18" s="418"/>
      <c r="BB18" s="419">
        <v>1</v>
      </c>
      <c r="BC18" s="419">
        <v>2</v>
      </c>
      <c r="BD18" s="419">
        <v>3</v>
      </c>
      <c r="BE18" s="419">
        <v>4</v>
      </c>
      <c r="BF18" s="419">
        <v>5</v>
      </c>
      <c r="BG18" s="419">
        <v>6</v>
      </c>
      <c r="BH18" s="419">
        <v>7</v>
      </c>
      <c r="BI18" s="419">
        <v>8</v>
      </c>
      <c r="BJ18" s="419">
        <v>9</v>
      </c>
      <c r="BK18" s="419">
        <v>10</v>
      </c>
      <c r="BL18" s="419">
        <v>11</v>
      </c>
      <c r="BM18" s="419">
        <v>12</v>
      </c>
      <c r="BN18" s="419">
        <v>13</v>
      </c>
      <c r="BO18" s="419">
        <v>14</v>
      </c>
      <c r="BP18" s="419">
        <v>15</v>
      </c>
      <c r="BQ18" s="419">
        <v>16</v>
      </c>
      <c r="BR18" s="419">
        <v>17</v>
      </c>
      <c r="BS18" s="419">
        <v>18</v>
      </c>
      <c r="BT18" s="419">
        <v>19</v>
      </c>
      <c r="BU18" s="419">
        <v>20</v>
      </c>
      <c r="BV18" s="419">
        <v>21</v>
      </c>
      <c r="BW18" s="419">
        <v>22</v>
      </c>
      <c r="BX18" s="419">
        <v>23</v>
      </c>
      <c r="BY18" s="419">
        <v>24</v>
      </c>
      <c r="BZ18" s="419">
        <v>25</v>
      </c>
      <c r="CA18" s="419">
        <v>26</v>
      </c>
      <c r="CB18" s="419">
        <v>27</v>
      </c>
      <c r="CC18" s="419">
        <v>28</v>
      </c>
      <c r="CD18" s="419">
        <v>29</v>
      </c>
      <c r="CE18" s="419">
        <v>30</v>
      </c>
      <c r="CF18" s="419">
        <v>31</v>
      </c>
      <c r="CG18" s="419">
        <v>32</v>
      </c>
      <c r="CH18" s="419">
        <v>33</v>
      </c>
      <c r="CI18" s="419">
        <v>34</v>
      </c>
      <c r="CJ18" s="419">
        <v>35</v>
      </c>
      <c r="CK18" s="419">
        <v>36</v>
      </c>
      <c r="CL18" s="419">
        <v>37</v>
      </c>
      <c r="CM18" s="419">
        <v>38</v>
      </c>
      <c r="CN18" s="419">
        <v>39</v>
      </c>
      <c r="CO18" s="419">
        <v>40</v>
      </c>
      <c r="CP18" s="419">
        <v>41</v>
      </c>
      <c r="CQ18" s="419">
        <v>42</v>
      </c>
      <c r="CR18" s="419">
        <v>43</v>
      </c>
      <c r="CS18" s="419">
        <v>44</v>
      </c>
      <c r="CT18" s="419">
        <v>45</v>
      </c>
      <c r="CU18" s="419">
        <v>46</v>
      </c>
    </row>
    <row r="19" spans="1:108" x14ac:dyDescent="0.25">
      <c r="E19" s="54" t="s">
        <v>15</v>
      </c>
      <c r="F19" s="60">
        <v>68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392"/>
      <c r="Y19" s="392"/>
      <c r="Z19" s="392"/>
      <c r="AA19" s="392"/>
      <c r="AB19" s="392"/>
      <c r="AC19" s="392"/>
      <c r="AD19" s="392"/>
      <c r="AE19" s="470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23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392"/>
      <c r="BT19" s="392"/>
      <c r="BU19" s="392"/>
      <c r="BV19" s="392"/>
      <c r="BW19" s="392"/>
      <c r="BX19" s="392"/>
      <c r="BY19" s="392"/>
      <c r="BZ19" s="470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60">
        <v>68</v>
      </c>
      <c r="CW19" s="55" t="s">
        <v>15</v>
      </c>
      <c r="CX19" s="56"/>
      <c r="CY19" s="56"/>
      <c r="CZ19" s="56"/>
      <c r="DA19" s="56"/>
      <c r="DB19" s="56"/>
      <c r="DC19" s="56"/>
      <c r="DD19" s="56"/>
    </row>
    <row r="20" spans="1:108" x14ac:dyDescent="0.25">
      <c r="F20" s="60">
        <v>67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392"/>
      <c r="Z20" s="392"/>
      <c r="AA20" s="392"/>
      <c r="AB20" s="392"/>
      <c r="AC20" s="392"/>
      <c r="AD20" s="392"/>
      <c r="AE20" s="470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392"/>
      <c r="BU20" s="392"/>
      <c r="BV20" s="392"/>
      <c r="BW20" s="392"/>
      <c r="BX20" s="392"/>
      <c r="BY20" s="392"/>
      <c r="BZ20" s="470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60">
        <v>67</v>
      </c>
      <c r="CW20" s="56"/>
      <c r="CX20" s="56"/>
      <c r="CY20" s="56"/>
      <c r="CZ20" s="56"/>
      <c r="DA20" s="56"/>
      <c r="DB20" s="56"/>
      <c r="DC20" s="56"/>
      <c r="DD20" s="56"/>
    </row>
    <row r="21" spans="1:108" ht="15.75" thickBot="1" x14ac:dyDescent="0.3">
      <c r="A21" s="471"/>
      <c r="F21" s="60">
        <v>66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92"/>
      <c r="Z21" s="392"/>
      <c r="AA21" s="392"/>
      <c r="AB21" s="392"/>
      <c r="AC21" s="392"/>
      <c r="AD21" s="392"/>
      <c r="AE21" s="470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23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392"/>
      <c r="BU21" s="392"/>
      <c r="BV21" s="392"/>
      <c r="BW21" s="392"/>
      <c r="BX21" s="392"/>
      <c r="BY21" s="392"/>
      <c r="BZ21" s="470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60">
        <v>66</v>
      </c>
      <c r="CW21" s="56"/>
      <c r="CX21" s="56"/>
      <c r="CY21" s="56"/>
      <c r="CZ21" s="56"/>
      <c r="DA21" s="56"/>
      <c r="DB21" s="56"/>
      <c r="DC21" s="56"/>
      <c r="DD21" s="56"/>
    </row>
    <row r="22" spans="1:108" x14ac:dyDescent="0.25">
      <c r="A22" s="345" t="s">
        <v>131</v>
      </c>
      <c r="B22" s="346"/>
      <c r="C22" s="346"/>
      <c r="D22" s="347"/>
      <c r="F22" s="60">
        <v>65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92"/>
      <c r="Z22" s="392"/>
      <c r="AA22" s="392"/>
      <c r="AB22" s="392"/>
      <c r="AC22" s="392"/>
      <c r="AD22" s="392"/>
      <c r="AE22" s="470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23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60">
        <v>65</v>
      </c>
      <c r="CW22" s="56"/>
      <c r="CX22" s="56"/>
      <c r="CY22" s="56"/>
      <c r="CZ22" s="56"/>
      <c r="DA22" s="56"/>
      <c r="DB22" s="56"/>
      <c r="DC22" s="56"/>
      <c r="DD22" s="56"/>
    </row>
    <row r="23" spans="1:108" ht="15.75" x14ac:dyDescent="0.25">
      <c r="A23" s="348" t="s">
        <v>126</v>
      </c>
      <c r="B23" s="349" t="s">
        <v>127</v>
      </c>
      <c r="C23" s="349" t="s">
        <v>115</v>
      </c>
      <c r="D23" s="350" t="s">
        <v>11</v>
      </c>
      <c r="F23" s="380">
        <v>64</v>
      </c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23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450">
        <v>64</v>
      </c>
      <c r="CW23" s="56"/>
      <c r="CX23" s="56"/>
      <c r="CY23" s="56"/>
      <c r="CZ23" s="56"/>
      <c r="DA23" s="56"/>
      <c r="DB23" s="56"/>
      <c r="DC23" s="56"/>
      <c r="DD23" s="56"/>
    </row>
    <row r="24" spans="1:108" x14ac:dyDescent="0.25">
      <c r="A24" s="351">
        <v>5.7412167952013711E-2</v>
      </c>
      <c r="B24" s="352">
        <v>7.2131849315068497E-2</v>
      </c>
      <c r="C24" s="353">
        <f>B24-A24</f>
        <v>1.4719681363054786E-2</v>
      </c>
      <c r="D24" s="354">
        <f>1/C24</f>
        <v>67.936253192947461</v>
      </c>
      <c r="F24" s="58">
        <v>63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23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8">
        <v>63</v>
      </c>
      <c r="CW24" s="56"/>
      <c r="CX24" s="56"/>
      <c r="CY24" s="56"/>
      <c r="CZ24" s="56"/>
      <c r="DA24" s="56"/>
      <c r="DB24" s="56"/>
      <c r="DC24" s="56"/>
      <c r="DD24" s="56"/>
    </row>
    <row r="25" spans="1:108" ht="15.75" thickBot="1" x14ac:dyDescent="0.3">
      <c r="A25" s="355" t="s">
        <v>128</v>
      </c>
      <c r="B25" s="394">
        <f>A24*D24</f>
        <v>3.9003675783440275</v>
      </c>
      <c r="C25" s="356">
        <f>C24*D24</f>
        <v>0.99999999999999989</v>
      </c>
      <c r="D25" s="393">
        <f>(1-B24)*D24</f>
        <v>63.035885614603437</v>
      </c>
      <c r="F25" s="58">
        <v>62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23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8">
        <v>62</v>
      </c>
      <c r="CW25" s="56"/>
      <c r="CX25" s="56"/>
      <c r="CY25" s="56"/>
      <c r="CZ25" s="56"/>
      <c r="DA25" s="56"/>
      <c r="DB25" s="56"/>
      <c r="DC25" s="56"/>
      <c r="DD25" s="56"/>
    </row>
    <row r="26" spans="1:108" x14ac:dyDescent="0.25">
      <c r="F26" s="58">
        <v>61</v>
      </c>
      <c r="G26" s="425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9"/>
      <c r="BB26" s="425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8">
        <v>61</v>
      </c>
      <c r="CW26" s="56"/>
      <c r="CX26" s="56"/>
      <c r="CY26" s="56"/>
      <c r="CZ26" s="56"/>
      <c r="DA26" s="56"/>
      <c r="DB26" s="56"/>
      <c r="DC26" s="56"/>
      <c r="DD26" s="56"/>
    </row>
    <row r="27" spans="1:108" x14ac:dyDescent="0.25">
      <c r="F27" s="58">
        <v>60</v>
      </c>
      <c r="G27" s="425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9"/>
      <c r="BB27" s="425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8">
        <v>60</v>
      </c>
      <c r="CW27" s="56"/>
      <c r="CX27" s="56"/>
      <c r="CY27" s="56"/>
      <c r="CZ27" s="56"/>
      <c r="DA27" s="56"/>
      <c r="DB27" s="56"/>
      <c r="DC27" s="56"/>
      <c r="DD27" s="56"/>
    </row>
    <row r="28" spans="1:108" x14ac:dyDescent="0.25">
      <c r="F28" s="58">
        <v>59</v>
      </c>
      <c r="G28" s="42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B28" s="425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8">
        <v>59</v>
      </c>
    </row>
    <row r="29" spans="1:108" x14ac:dyDescent="0.25">
      <c r="A29" s="469"/>
      <c r="F29" s="58">
        <v>58</v>
      </c>
      <c r="G29" s="425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B29" s="42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8">
        <v>58</v>
      </c>
    </row>
    <row r="30" spans="1:108" x14ac:dyDescent="0.25">
      <c r="F30" s="58">
        <v>57</v>
      </c>
      <c r="G30" s="42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B30" s="425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8">
        <v>57</v>
      </c>
    </row>
    <row r="31" spans="1:108" x14ac:dyDescent="0.25">
      <c r="F31" s="58">
        <v>56</v>
      </c>
      <c r="G31" s="425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B31" s="425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8">
        <v>56</v>
      </c>
    </row>
    <row r="32" spans="1:108" x14ac:dyDescent="0.25">
      <c r="F32" s="58">
        <v>55</v>
      </c>
      <c r="G32" s="425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B32" s="425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8">
        <v>55</v>
      </c>
    </row>
    <row r="33" spans="6:100" x14ac:dyDescent="0.25">
      <c r="F33" s="58">
        <v>54</v>
      </c>
      <c r="G33" s="425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B33" s="425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8">
        <v>54</v>
      </c>
    </row>
    <row r="34" spans="6:100" x14ac:dyDescent="0.25">
      <c r="F34" s="58">
        <v>53</v>
      </c>
      <c r="G34" s="425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B34" s="425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8">
        <v>53</v>
      </c>
    </row>
    <row r="35" spans="6:100" x14ac:dyDescent="0.25">
      <c r="F35" s="58">
        <v>52</v>
      </c>
      <c r="G35" s="425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B35" s="425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8">
        <v>52</v>
      </c>
    </row>
    <row r="36" spans="6:100" x14ac:dyDescent="0.25">
      <c r="F36" s="58">
        <v>51</v>
      </c>
      <c r="G36" s="425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B36" s="42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8">
        <v>51</v>
      </c>
    </row>
    <row r="37" spans="6:100" x14ac:dyDescent="0.25">
      <c r="F37" s="58">
        <v>50</v>
      </c>
      <c r="G37" s="42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B37" s="42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8">
        <v>50</v>
      </c>
    </row>
    <row r="38" spans="6:100" x14ac:dyDescent="0.25">
      <c r="F38" s="58">
        <v>49</v>
      </c>
      <c r="G38" s="425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58">
        <v>49</v>
      </c>
    </row>
    <row r="39" spans="6:100" x14ac:dyDescent="0.25">
      <c r="F39" s="58">
        <v>48</v>
      </c>
      <c r="G39" s="42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418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5"/>
      <c r="CL39" s="425"/>
      <c r="CM39" s="425"/>
      <c r="CN39" s="425"/>
      <c r="CO39" s="425"/>
      <c r="CP39" s="425"/>
      <c r="CQ39" s="425"/>
      <c r="CR39" s="425"/>
      <c r="CS39" s="425"/>
      <c r="CT39" s="425"/>
      <c r="CU39" s="425"/>
      <c r="CV39" s="58">
        <v>48</v>
      </c>
    </row>
    <row r="40" spans="6:100" x14ac:dyDescent="0.25">
      <c r="F40" s="58">
        <v>47</v>
      </c>
      <c r="G40" s="425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58">
        <v>47</v>
      </c>
    </row>
    <row r="41" spans="6:100" x14ac:dyDescent="0.25">
      <c r="F41" s="58">
        <v>46</v>
      </c>
      <c r="G41" s="425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2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425"/>
      <c r="CS41" s="425"/>
      <c r="CT41" s="425"/>
      <c r="CU41" s="425"/>
      <c r="CV41" s="58">
        <v>46</v>
      </c>
    </row>
    <row r="42" spans="6:100" x14ac:dyDescent="0.25">
      <c r="F42" s="58">
        <v>45</v>
      </c>
      <c r="G42" s="425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58">
        <v>45</v>
      </c>
    </row>
    <row r="43" spans="6:100" x14ac:dyDescent="0.25">
      <c r="F43" s="58">
        <v>44</v>
      </c>
      <c r="G43" s="42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58">
        <v>44</v>
      </c>
    </row>
    <row r="44" spans="6:100" x14ac:dyDescent="0.25">
      <c r="F44" s="58">
        <v>43</v>
      </c>
      <c r="G44" s="42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5"/>
      <c r="CG44" s="425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58">
        <v>43</v>
      </c>
    </row>
    <row r="45" spans="6:100" x14ac:dyDescent="0.25">
      <c r="F45" s="58">
        <v>42</v>
      </c>
      <c r="G45" s="42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  <c r="CF45" s="425"/>
      <c r="CG45" s="425"/>
      <c r="CH45" s="425"/>
      <c r="CI45" s="425"/>
      <c r="CJ45" s="425"/>
      <c r="CK45" s="425"/>
      <c r="CL45" s="425"/>
      <c r="CM45" s="425"/>
      <c r="CN45" s="425"/>
      <c r="CO45" s="425"/>
      <c r="CP45" s="425"/>
      <c r="CQ45" s="425"/>
      <c r="CR45" s="425"/>
      <c r="CS45" s="425"/>
      <c r="CT45" s="425"/>
      <c r="CU45" s="425"/>
      <c r="CV45" s="58">
        <v>42</v>
      </c>
    </row>
    <row r="46" spans="6:100" x14ac:dyDescent="0.25">
      <c r="F46" s="58">
        <v>41</v>
      </c>
      <c r="G46" s="42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58">
        <v>41</v>
      </c>
    </row>
    <row r="47" spans="6:100" x14ac:dyDescent="0.25">
      <c r="F47" s="58">
        <v>40</v>
      </c>
      <c r="G47" s="42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  <c r="CC47" s="425"/>
      <c r="CD47" s="425"/>
      <c r="CE47" s="425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5"/>
      <c r="CS47" s="425"/>
      <c r="CT47" s="425"/>
      <c r="CU47" s="425"/>
      <c r="CV47" s="58">
        <v>40</v>
      </c>
    </row>
    <row r="48" spans="6:100" x14ac:dyDescent="0.25">
      <c r="F48" s="58">
        <v>39</v>
      </c>
      <c r="G48" s="42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58">
        <v>39</v>
      </c>
    </row>
    <row r="49" spans="6:100" x14ac:dyDescent="0.25">
      <c r="F49" s="58">
        <v>38</v>
      </c>
      <c r="G49" s="42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5"/>
      <c r="CG49" s="425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58">
        <v>38</v>
      </c>
    </row>
    <row r="50" spans="6:100" x14ac:dyDescent="0.25">
      <c r="F50" s="58">
        <v>37</v>
      </c>
      <c r="G50" s="42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58">
        <v>37</v>
      </c>
    </row>
    <row r="51" spans="6:100" x14ac:dyDescent="0.25">
      <c r="F51" s="58">
        <v>36</v>
      </c>
      <c r="G51" s="42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58">
        <v>36</v>
      </c>
    </row>
    <row r="52" spans="6:100" x14ac:dyDescent="0.25">
      <c r="F52" s="58">
        <v>35</v>
      </c>
      <c r="G52" s="42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58">
        <v>35</v>
      </c>
    </row>
    <row r="53" spans="6:100" x14ac:dyDescent="0.25">
      <c r="F53" s="58">
        <v>34</v>
      </c>
      <c r="G53" s="425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5"/>
      <c r="CS53" s="425"/>
      <c r="CT53" s="425"/>
      <c r="CU53" s="425"/>
      <c r="CV53" s="58">
        <v>34</v>
      </c>
    </row>
    <row r="54" spans="6:100" x14ac:dyDescent="0.25">
      <c r="F54" s="58">
        <v>33</v>
      </c>
      <c r="G54" s="425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/>
      <c r="BN54" s="425"/>
      <c r="BO54" s="425"/>
      <c r="BP54" s="425"/>
      <c r="BQ54" s="425"/>
      <c r="BR54" s="425"/>
      <c r="BS54" s="425"/>
      <c r="BT54" s="425"/>
      <c r="BU54" s="425"/>
      <c r="BV54" s="425"/>
      <c r="BW54" s="425"/>
      <c r="BX54" s="425"/>
      <c r="BY54" s="425"/>
      <c r="BZ54" s="425"/>
      <c r="CA54" s="425"/>
      <c r="CB54" s="425"/>
      <c r="CC54" s="425"/>
      <c r="CD54" s="425"/>
      <c r="CE54" s="425"/>
      <c r="CF54" s="425"/>
      <c r="CG54" s="425"/>
      <c r="CH54" s="425"/>
      <c r="CI54" s="425"/>
      <c r="CJ54" s="425"/>
      <c r="CK54" s="425"/>
      <c r="CL54" s="425"/>
      <c r="CM54" s="425"/>
      <c r="CN54" s="425"/>
      <c r="CO54" s="425"/>
      <c r="CP54" s="425"/>
      <c r="CQ54" s="425"/>
      <c r="CR54" s="425"/>
      <c r="CS54" s="425"/>
      <c r="CT54" s="425"/>
      <c r="CU54" s="425"/>
      <c r="CV54" s="58">
        <v>33</v>
      </c>
    </row>
    <row r="55" spans="6:100" x14ac:dyDescent="0.25">
      <c r="F55" s="58">
        <v>32</v>
      </c>
      <c r="G55" s="42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/>
      <c r="CU55" s="425"/>
      <c r="CV55" s="58">
        <v>32</v>
      </c>
    </row>
    <row r="56" spans="6:100" x14ac:dyDescent="0.25">
      <c r="F56" s="58">
        <v>31</v>
      </c>
      <c r="G56" s="42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  <c r="BQ56" s="425"/>
      <c r="BR56" s="425"/>
      <c r="BS56" s="425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5"/>
      <c r="CS56" s="425"/>
      <c r="CT56" s="425"/>
      <c r="CU56" s="425"/>
      <c r="CV56" s="58">
        <v>31</v>
      </c>
    </row>
    <row r="57" spans="6:100" x14ac:dyDescent="0.25">
      <c r="F57" s="58">
        <v>30</v>
      </c>
      <c r="G57" s="42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/>
      <c r="CU57" s="425"/>
      <c r="CV57" s="58">
        <v>30</v>
      </c>
    </row>
    <row r="58" spans="6:100" x14ac:dyDescent="0.25">
      <c r="F58" s="58">
        <v>29</v>
      </c>
      <c r="G58" s="42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58">
        <v>29</v>
      </c>
    </row>
    <row r="59" spans="6:100" x14ac:dyDescent="0.25">
      <c r="F59" s="58">
        <v>28</v>
      </c>
      <c r="G59" s="42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58">
        <v>28</v>
      </c>
    </row>
    <row r="60" spans="6:100" x14ac:dyDescent="0.25">
      <c r="F60" s="58">
        <v>27</v>
      </c>
      <c r="G60" s="42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58">
        <v>27</v>
      </c>
    </row>
    <row r="61" spans="6:100" x14ac:dyDescent="0.25">
      <c r="F61" s="58">
        <v>26</v>
      </c>
      <c r="G61" s="42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/>
      <c r="CU61" s="425"/>
      <c r="CV61" s="58">
        <v>26</v>
      </c>
    </row>
    <row r="62" spans="6:100" x14ac:dyDescent="0.25">
      <c r="F62" s="58">
        <v>25</v>
      </c>
      <c r="G62" s="42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5"/>
      <c r="CE62" s="425"/>
      <c r="CF62" s="425"/>
      <c r="CG62" s="425"/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/>
      <c r="CU62" s="425"/>
      <c r="CV62" s="58">
        <v>25</v>
      </c>
    </row>
    <row r="63" spans="6:100" x14ac:dyDescent="0.25">
      <c r="F63" s="58">
        <v>24</v>
      </c>
      <c r="G63" s="42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425"/>
      <c r="CU63" s="425"/>
      <c r="CV63" s="58">
        <v>24</v>
      </c>
    </row>
    <row r="64" spans="6:100" x14ac:dyDescent="0.25">
      <c r="F64" s="58">
        <v>23</v>
      </c>
      <c r="G64" s="42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58">
        <v>23</v>
      </c>
    </row>
    <row r="65" spans="6:100" x14ac:dyDescent="0.25">
      <c r="F65" s="58">
        <v>22</v>
      </c>
      <c r="G65" s="42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58">
        <v>22</v>
      </c>
    </row>
    <row r="66" spans="6:100" x14ac:dyDescent="0.25">
      <c r="F66" s="58">
        <v>21</v>
      </c>
      <c r="G66" s="425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5"/>
      <c r="CG66" s="425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58">
        <v>21</v>
      </c>
    </row>
    <row r="67" spans="6:100" x14ac:dyDescent="0.25">
      <c r="F67" s="58">
        <v>20</v>
      </c>
      <c r="G67" s="42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/>
      <c r="CU67" s="425"/>
      <c r="CV67" s="58">
        <v>20</v>
      </c>
    </row>
    <row r="68" spans="6:100" x14ac:dyDescent="0.25">
      <c r="F68" s="58">
        <v>19</v>
      </c>
      <c r="G68" s="425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5"/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58">
        <v>19</v>
      </c>
    </row>
    <row r="69" spans="6:100" x14ac:dyDescent="0.25">
      <c r="F69" s="58">
        <v>18</v>
      </c>
      <c r="G69" s="42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58">
        <v>18</v>
      </c>
    </row>
    <row r="70" spans="6:100" x14ac:dyDescent="0.25">
      <c r="F70" s="58">
        <v>17</v>
      </c>
      <c r="G70" s="425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/>
      <c r="CP70" s="425"/>
      <c r="CQ70" s="425"/>
      <c r="CR70" s="425"/>
      <c r="CS70" s="425"/>
      <c r="CT70" s="425"/>
      <c r="CU70" s="425"/>
      <c r="CV70" s="58">
        <v>17</v>
      </c>
    </row>
    <row r="71" spans="6:100" x14ac:dyDescent="0.25">
      <c r="F71" s="58">
        <v>16</v>
      </c>
      <c r="G71" s="42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  <c r="BR71" s="425"/>
      <c r="BS71" s="425"/>
      <c r="BT71" s="425"/>
      <c r="BU71" s="425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58">
        <v>16</v>
      </c>
    </row>
    <row r="72" spans="6:100" x14ac:dyDescent="0.25">
      <c r="F72" s="58">
        <v>15</v>
      </c>
      <c r="G72" s="425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  <c r="BQ72" s="425"/>
      <c r="BR72" s="425"/>
      <c r="BS72" s="425"/>
      <c r="BT72" s="425"/>
      <c r="BU72" s="425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58">
        <v>15</v>
      </c>
    </row>
    <row r="73" spans="6:100" x14ac:dyDescent="0.25">
      <c r="F73" s="58">
        <v>14</v>
      </c>
      <c r="G73" s="425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5"/>
      <c r="BS73" s="425"/>
      <c r="BT73" s="425"/>
      <c r="BU73" s="425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/>
      <c r="CU73" s="425"/>
      <c r="CV73" s="58">
        <v>14</v>
      </c>
    </row>
    <row r="74" spans="6:100" x14ac:dyDescent="0.25">
      <c r="F74" s="58">
        <v>13</v>
      </c>
      <c r="G74" s="425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5"/>
      <c r="CN74" s="425"/>
      <c r="CO74" s="425"/>
      <c r="CP74" s="425"/>
      <c r="CQ74" s="425"/>
      <c r="CR74" s="425"/>
      <c r="CS74" s="425"/>
      <c r="CT74" s="425"/>
      <c r="CU74" s="425"/>
      <c r="CV74" s="58">
        <v>13</v>
      </c>
    </row>
    <row r="75" spans="6:100" x14ac:dyDescent="0.25">
      <c r="F75" s="58">
        <v>12</v>
      </c>
      <c r="G75" s="425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/>
      <c r="CP75" s="425"/>
      <c r="CQ75" s="425"/>
      <c r="CR75" s="425"/>
      <c r="CS75" s="425"/>
      <c r="CT75" s="425"/>
      <c r="CU75" s="425"/>
      <c r="CV75" s="58">
        <v>12</v>
      </c>
    </row>
    <row r="76" spans="6:100" x14ac:dyDescent="0.25">
      <c r="F76" s="58">
        <v>11</v>
      </c>
      <c r="G76" s="42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58">
        <v>11</v>
      </c>
    </row>
    <row r="77" spans="6:100" x14ac:dyDescent="0.25">
      <c r="F77" s="58">
        <v>10</v>
      </c>
      <c r="G77" s="42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58">
        <v>10</v>
      </c>
    </row>
    <row r="78" spans="6:100" x14ac:dyDescent="0.25">
      <c r="F78" s="58">
        <v>9</v>
      </c>
      <c r="G78" s="42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/>
      <c r="CU78" s="425"/>
      <c r="CV78" s="58">
        <v>9</v>
      </c>
    </row>
    <row r="79" spans="6:100" x14ac:dyDescent="0.25">
      <c r="F79" s="58">
        <v>8</v>
      </c>
      <c r="G79" s="42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58">
        <v>8</v>
      </c>
    </row>
    <row r="80" spans="6:100" x14ac:dyDescent="0.25">
      <c r="F80" s="58">
        <v>7</v>
      </c>
      <c r="G80" s="42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5"/>
      <c r="BX80" s="425"/>
      <c r="BY80" s="425"/>
      <c r="BZ80" s="425"/>
      <c r="CA80" s="425"/>
      <c r="CB80" s="425"/>
      <c r="CC80" s="425"/>
      <c r="CD80" s="425"/>
      <c r="CE80" s="425"/>
      <c r="CF80" s="425"/>
      <c r="CG80" s="425"/>
      <c r="CH80" s="425"/>
      <c r="CI80" s="425"/>
      <c r="CJ80" s="425"/>
      <c r="CK80" s="425"/>
      <c r="CL80" s="425"/>
      <c r="CM80" s="425"/>
      <c r="CN80" s="425"/>
      <c r="CO80" s="425"/>
      <c r="CP80" s="425"/>
      <c r="CQ80" s="425"/>
      <c r="CR80" s="425"/>
      <c r="CS80" s="425"/>
      <c r="CT80" s="425"/>
      <c r="CU80" s="425"/>
      <c r="CV80" s="58">
        <v>7</v>
      </c>
    </row>
    <row r="81" spans="6:100" x14ac:dyDescent="0.25">
      <c r="F81" s="58">
        <v>6</v>
      </c>
      <c r="G81" s="42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5"/>
      <c r="CA81" s="425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5"/>
      <c r="CS81" s="425"/>
      <c r="CT81" s="425"/>
      <c r="CU81" s="425"/>
      <c r="CV81" s="58">
        <v>6</v>
      </c>
    </row>
    <row r="82" spans="6:100" x14ac:dyDescent="0.25">
      <c r="F82" s="58">
        <v>5</v>
      </c>
      <c r="G82" s="42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5"/>
      <c r="BX82" s="425"/>
      <c r="BY82" s="425"/>
      <c r="BZ82" s="425"/>
      <c r="CA82" s="425"/>
      <c r="CB82" s="425"/>
      <c r="CC82" s="425"/>
      <c r="CD82" s="425"/>
      <c r="CE82" s="425"/>
      <c r="CF82" s="425"/>
      <c r="CG82" s="425"/>
      <c r="CH82" s="425"/>
      <c r="CI82" s="425"/>
      <c r="CJ82" s="425"/>
      <c r="CK82" s="425"/>
      <c r="CL82" s="425"/>
      <c r="CM82" s="425"/>
      <c r="CN82" s="425"/>
      <c r="CO82" s="425"/>
      <c r="CP82" s="425"/>
      <c r="CQ82" s="425"/>
      <c r="CR82" s="425"/>
      <c r="CS82" s="425"/>
      <c r="CT82" s="425"/>
      <c r="CU82" s="425"/>
      <c r="CV82" s="58">
        <v>5</v>
      </c>
    </row>
    <row r="83" spans="6:100" x14ac:dyDescent="0.25">
      <c r="F83" s="58">
        <v>4</v>
      </c>
      <c r="G83" s="425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5"/>
      <c r="BX83" s="425"/>
      <c r="BY83" s="425"/>
      <c r="BZ83" s="425"/>
      <c r="CA83" s="425"/>
      <c r="CB83" s="425"/>
      <c r="CC83" s="425"/>
      <c r="CD83" s="425"/>
      <c r="CE83" s="425"/>
      <c r="CF83" s="425"/>
      <c r="CG83" s="425"/>
      <c r="CH83" s="425"/>
      <c r="CI83" s="425"/>
      <c r="CJ83" s="425"/>
      <c r="CK83" s="425"/>
      <c r="CL83" s="425"/>
      <c r="CM83" s="425"/>
      <c r="CN83" s="425"/>
      <c r="CO83" s="425"/>
      <c r="CP83" s="425"/>
      <c r="CQ83" s="425"/>
      <c r="CR83" s="425"/>
      <c r="CS83" s="425"/>
      <c r="CT83" s="425"/>
      <c r="CU83" s="425"/>
      <c r="CV83" s="58">
        <v>4</v>
      </c>
    </row>
    <row r="84" spans="6:100" x14ac:dyDescent="0.25">
      <c r="F84" s="58">
        <v>3</v>
      </c>
      <c r="G84" s="425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  <c r="BR84" s="425"/>
      <c r="BS84" s="425"/>
      <c r="BT84" s="425"/>
      <c r="BU84" s="425"/>
      <c r="BV84" s="425"/>
      <c r="BW84" s="425"/>
      <c r="BX84" s="425"/>
      <c r="BY84" s="425"/>
      <c r="BZ84" s="425"/>
      <c r="CA84" s="425"/>
      <c r="CB84" s="425"/>
      <c r="CC84" s="425"/>
      <c r="CD84" s="425"/>
      <c r="CE84" s="425"/>
      <c r="CF84" s="425"/>
      <c r="CG84" s="425"/>
      <c r="CH84" s="425"/>
      <c r="CI84" s="425"/>
      <c r="CJ84" s="425"/>
      <c r="CK84" s="425"/>
      <c r="CL84" s="425"/>
      <c r="CM84" s="425"/>
      <c r="CN84" s="425"/>
      <c r="CO84" s="425"/>
      <c r="CP84" s="425"/>
      <c r="CQ84" s="425"/>
      <c r="CR84" s="425"/>
      <c r="CS84" s="425"/>
      <c r="CT84" s="425"/>
      <c r="CU84" s="425"/>
      <c r="CV84" s="58">
        <v>3</v>
      </c>
    </row>
    <row r="85" spans="6:100" x14ac:dyDescent="0.25">
      <c r="F85" s="58">
        <v>2</v>
      </c>
      <c r="G85" s="425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5"/>
      <c r="BX85" s="425"/>
      <c r="BY85" s="425"/>
      <c r="BZ85" s="425"/>
      <c r="CA85" s="425"/>
      <c r="CB85" s="425"/>
      <c r="CC85" s="425"/>
      <c r="CD85" s="425"/>
      <c r="CE85" s="425"/>
      <c r="CF85" s="425"/>
      <c r="CG85" s="425"/>
      <c r="CH85" s="425"/>
      <c r="CI85" s="425"/>
      <c r="CJ85" s="425"/>
      <c r="CK85" s="425"/>
      <c r="CL85" s="425"/>
      <c r="CM85" s="425"/>
      <c r="CN85" s="425"/>
      <c r="CO85" s="425"/>
      <c r="CP85" s="425"/>
      <c r="CQ85" s="425"/>
      <c r="CR85" s="425"/>
      <c r="CS85" s="425"/>
      <c r="CT85" s="425"/>
      <c r="CU85" s="425"/>
      <c r="CV85" s="58">
        <v>2</v>
      </c>
    </row>
    <row r="86" spans="6:100" x14ac:dyDescent="0.25">
      <c r="F86" s="58">
        <v>1</v>
      </c>
      <c r="G86" s="425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5"/>
      <c r="BY86" s="425"/>
      <c r="BZ86" s="425"/>
      <c r="CA86" s="425"/>
      <c r="CB86" s="425"/>
      <c r="CC86" s="425"/>
      <c r="CD86" s="425"/>
      <c r="CE86" s="425"/>
      <c r="CF86" s="425"/>
      <c r="CG86" s="425"/>
      <c r="CH86" s="425"/>
      <c r="CI86" s="425"/>
      <c r="CJ86" s="425"/>
      <c r="CK86" s="425"/>
      <c r="CL86" s="425"/>
      <c r="CM86" s="425"/>
      <c r="CN86" s="425"/>
      <c r="CO86" s="425"/>
      <c r="CP86" s="425"/>
      <c r="CQ86" s="425"/>
      <c r="CR86" s="425"/>
      <c r="CS86" s="425"/>
      <c r="CT86" s="425"/>
      <c r="CU86" s="425"/>
      <c r="CV86" s="58">
        <v>1</v>
      </c>
    </row>
    <row r="87" spans="6:100" x14ac:dyDescent="0.25">
      <c r="G87" s="419">
        <v>1</v>
      </c>
      <c r="H87" s="419">
        <v>2</v>
      </c>
      <c r="I87" s="419">
        <v>3</v>
      </c>
      <c r="J87" s="419">
        <v>4</v>
      </c>
      <c r="K87" s="419">
        <v>5</v>
      </c>
      <c r="L87" s="419">
        <v>6</v>
      </c>
      <c r="M87" s="419">
        <v>7</v>
      </c>
      <c r="N87" s="419">
        <v>8</v>
      </c>
      <c r="O87" s="419">
        <v>9</v>
      </c>
      <c r="P87" s="419">
        <v>10</v>
      </c>
      <c r="Q87" s="419">
        <v>11</v>
      </c>
      <c r="R87" s="419">
        <v>12</v>
      </c>
      <c r="S87" s="419">
        <v>13</v>
      </c>
      <c r="T87" s="419">
        <v>14</v>
      </c>
      <c r="U87" s="419">
        <v>15</v>
      </c>
      <c r="V87" s="419">
        <v>16</v>
      </c>
      <c r="W87" s="419">
        <v>17</v>
      </c>
      <c r="X87" s="419">
        <v>18</v>
      </c>
      <c r="Y87" s="419">
        <v>19</v>
      </c>
      <c r="Z87" s="419">
        <v>20</v>
      </c>
      <c r="AA87" s="419">
        <v>21</v>
      </c>
      <c r="AB87" s="419">
        <v>22</v>
      </c>
      <c r="AC87" s="419">
        <v>23</v>
      </c>
      <c r="AD87" s="419">
        <v>24</v>
      </c>
      <c r="AE87" s="419">
        <v>25</v>
      </c>
      <c r="AF87" s="419">
        <v>26</v>
      </c>
      <c r="AG87" s="419">
        <v>27</v>
      </c>
      <c r="AH87" s="419">
        <v>28</v>
      </c>
      <c r="AI87" s="419">
        <v>29</v>
      </c>
      <c r="AJ87" s="419">
        <v>30</v>
      </c>
      <c r="AK87" s="419">
        <v>31</v>
      </c>
      <c r="AL87" s="419">
        <v>32</v>
      </c>
      <c r="AM87" s="419">
        <v>33</v>
      </c>
      <c r="AN87" s="419">
        <v>34</v>
      </c>
      <c r="AO87" s="419">
        <v>35</v>
      </c>
      <c r="AP87" s="419">
        <v>36</v>
      </c>
      <c r="AQ87" s="419">
        <v>37</v>
      </c>
      <c r="AR87" s="419">
        <v>38</v>
      </c>
      <c r="AS87" s="419">
        <v>39</v>
      </c>
      <c r="AT87" s="419">
        <v>40</v>
      </c>
      <c r="AU87" s="419">
        <v>41</v>
      </c>
      <c r="AV87" s="419">
        <v>42</v>
      </c>
      <c r="AW87" s="419">
        <v>43</v>
      </c>
      <c r="AX87" s="419">
        <v>44</v>
      </c>
      <c r="AY87" s="419">
        <v>45</v>
      </c>
      <c r="AZ87" s="419">
        <v>46</v>
      </c>
      <c r="BB87">
        <v>1</v>
      </c>
      <c r="BC87">
        <v>2</v>
      </c>
      <c r="BD87">
        <v>3</v>
      </c>
      <c r="BE87">
        <v>4</v>
      </c>
      <c r="BF87">
        <v>5</v>
      </c>
      <c r="BG87">
        <v>6</v>
      </c>
      <c r="BH87">
        <v>7</v>
      </c>
      <c r="BI87">
        <v>8</v>
      </c>
      <c r="BJ87">
        <v>9</v>
      </c>
      <c r="BK87">
        <v>10</v>
      </c>
      <c r="BL87">
        <v>11</v>
      </c>
      <c r="BM87">
        <v>12</v>
      </c>
      <c r="BN87">
        <v>13</v>
      </c>
      <c r="BO87">
        <v>14</v>
      </c>
      <c r="BP87">
        <v>15</v>
      </c>
      <c r="BQ87">
        <v>16</v>
      </c>
      <c r="BR87">
        <v>17</v>
      </c>
      <c r="BS87">
        <v>18</v>
      </c>
      <c r="BT87">
        <v>19</v>
      </c>
      <c r="BU87">
        <v>20</v>
      </c>
      <c r="BV87">
        <v>21</v>
      </c>
      <c r="BW87">
        <v>22</v>
      </c>
      <c r="BX87">
        <v>23</v>
      </c>
      <c r="BY87">
        <v>24</v>
      </c>
      <c r="BZ87">
        <v>25</v>
      </c>
      <c r="CA87">
        <v>26</v>
      </c>
      <c r="CB87">
        <v>27</v>
      </c>
      <c r="CC87">
        <v>28</v>
      </c>
      <c r="CD87">
        <v>29</v>
      </c>
      <c r="CE87">
        <v>30</v>
      </c>
      <c r="CF87">
        <v>31</v>
      </c>
      <c r="CG87">
        <v>32</v>
      </c>
      <c r="CH87">
        <v>33</v>
      </c>
      <c r="CI87">
        <v>34</v>
      </c>
      <c r="CJ87">
        <v>35</v>
      </c>
      <c r="CK87">
        <v>36</v>
      </c>
      <c r="CL87">
        <v>37</v>
      </c>
      <c r="CM87">
        <v>38</v>
      </c>
      <c r="CN87">
        <v>39</v>
      </c>
      <c r="CO87">
        <v>40</v>
      </c>
      <c r="CP87">
        <v>41</v>
      </c>
      <c r="CQ87">
        <v>42</v>
      </c>
      <c r="CR87">
        <v>43</v>
      </c>
      <c r="CS87">
        <v>44</v>
      </c>
      <c r="CT87">
        <v>45</v>
      </c>
      <c r="CU87">
        <v>46</v>
      </c>
    </row>
    <row r="88" spans="6:100" x14ac:dyDescent="0.25">
      <c r="G88" s="53" t="s">
        <v>149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BB88" s="53" t="s">
        <v>149</v>
      </c>
    </row>
    <row r="89" spans="6:100" x14ac:dyDescent="0.25">
      <c r="G89" s="53" t="s">
        <v>190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BB89" s="53" t="s">
        <v>14</v>
      </c>
    </row>
  </sheetData>
  <mergeCells count="4"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IncAcum</vt:lpstr>
      <vt:lpstr>Gráf1 3tbx3nnt</vt:lpstr>
      <vt:lpstr>Gráf2 3tbx3nnt</vt:lpstr>
      <vt:lpstr>Gráf3 3tbx3nnt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2021-06-23T09:52:08Z</dcterms:modified>
</cp:coreProperties>
</file>