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30129-Galo\0-Datos\10-Temas publc\20210920-VÑ EMPEROR-Preserved\"/>
    </mc:Choice>
  </mc:AlternateContent>
  <xr:revisionPtr revIDLastSave="0" documentId="13_ncr:1_{23EE22C5-BCC7-429D-9F66-B69C5C683316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" sheetId="1" r:id="rId1"/>
  </sheets>
  <definedNames>
    <definedName name="ArticleComments" localSheetId="0">baseline!#REF!</definedName>
  </definedNames>
  <calcPr calcId="191029"/>
</workbook>
</file>

<file path=xl/calcChain.xml><?xml version="1.0" encoding="utf-8"?>
<calcChain xmlns="http://schemas.openxmlformats.org/spreadsheetml/2006/main">
  <c r="D9" i="1" l="1"/>
  <c r="B23" i="1" s="1"/>
  <c r="D56" i="1"/>
  <c r="B53" i="1"/>
  <c r="E61" i="1" s="1"/>
  <c r="E41" i="1"/>
  <c r="E40" i="1"/>
  <c r="I23" i="1"/>
  <c r="I22" i="1"/>
  <c r="C22" i="1"/>
  <c r="B22" i="1"/>
  <c r="I21" i="1"/>
  <c r="C21" i="1"/>
  <c r="D14" i="1"/>
  <c r="F9" i="1"/>
  <c r="C23" i="1" s="1"/>
  <c r="E8" i="1"/>
  <c r="B14" i="1"/>
  <c r="G14" i="1"/>
  <c r="E54" i="1" s="1"/>
  <c r="E7" i="1"/>
  <c r="B21" i="1"/>
  <c r="C56" i="1"/>
  <c r="G61" i="1" l="1"/>
  <c r="E21" i="1"/>
  <c r="G2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5" i="1" s="1"/>
  <c r="F21" i="1"/>
  <c r="L21" i="1" s="1"/>
  <c r="M55" i="1" s="1"/>
  <c r="F14" i="1"/>
  <c r="I14" i="1" s="1"/>
  <c r="E56" i="1" s="1"/>
  <c r="E55" i="1"/>
  <c r="W21" i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41" i="1"/>
  <c r="I40" i="1" s="1"/>
  <c r="D42" i="1" l="1"/>
  <c r="K21" i="1"/>
  <c r="L55" i="1" s="1"/>
  <c r="N55" i="1" s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C48" i="1"/>
  <c r="K23" i="1"/>
  <c r="L57" i="1" s="1"/>
  <c r="L23" i="1"/>
  <c r="M57" i="1" s="1"/>
  <c r="L26" i="1" l="1"/>
  <c r="H56" i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<sst xmlns="http://schemas.openxmlformats.org/spreadsheetml/2006/main" count="257" uniqueCount="235">
  <si>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</si>
  <si>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</si>
  <si>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</si>
  <si>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</si>
  <si>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</si>
  <si>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</si>
  <si>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</si>
  <si>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</si>
  <si>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</si>
  <si>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</si>
  <si>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</si>
  <si>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</si>
  <si>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</si>
  <si>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</si>
  <si>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</si>
  <si>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</si>
  <si>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</si>
  <si>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</si>
  <si>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</si>
  <si>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</si>
  <si>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</si>
  <si>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</si>
  <si>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</si>
  <si>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</si>
  <si>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</si>
  <si>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</si>
  <si>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</si>
  <si>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</si>
  <si>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</si>
  <si>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</si>
  <si>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</si>
  <si>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</si>
  <si>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</si>
  <si>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</si>
  <si>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</si>
  <si>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</si>
  <si>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</si>
  <si>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</si>
  <si>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</si>
  <si>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</si>
  <si>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</si>
  <si>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</si>
  <si>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</si>
  <si>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</si>
  <si>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</si>
  <si>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</si>
  <si>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</si>
  <si>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</si>
  <si>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</si>
  <si>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</si>
  <si>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</si>
  <si>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</si>
  <si>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</si>
  <si>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</si>
  <si>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</si>
  <si>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</si>
  <si>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</si>
  <si>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</si>
  <si>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</si>
  <si>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</si>
  <si>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</si>
  <si>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</si>
  <si>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</si>
  <si>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</si>
  <si>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</si>
  <si>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</si>
  <si>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</si>
  <si>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</si>
  <si>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</si>
  <si>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</si>
  <si>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</si>
  <si>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</si>
  <si>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</si>
  <si>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</si>
  <si>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</si>
  <si>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</si>
  <si>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</si>
  <si>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</si>
  <si>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</si>
  <si>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</si>
  <si>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</si>
  <si>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</si>
  <si>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</si>
  <si>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</si>
  <si>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</si>
  <si>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</si>
  <si>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</si>
  <si>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</si>
  <si>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</si>
  <si>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</si>
  <si>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</si>
  <si>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</si>
  <si>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</si>
  <si>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</si>
  <si>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</si>
  <si>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</si>
  <si>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</si>
  <si>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</si>
  <si>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</si>
  <si>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</si>
  <si>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</si>
  <si>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</si>
  <si>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</si>
  <si>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</si>
  <si>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</si>
  <si>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</si>
  <si>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</si>
  <si>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</si>
  <si>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</si>
  <si>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</si>
  <si>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</si>
  <si>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Las variables dicotómicas se informan en número (%) y las variables continuas en Media (DE)</t>
  </si>
  <si>
    <t>valor de p para la diferencia</t>
  </si>
  <si>
    <t>Edad, años</t>
  </si>
  <si>
    <t>Mujeres</t>
  </si>
  <si>
    <t>PAS, mm Hg</t>
  </si>
  <si>
    <t>Frecuencia cardíaca, lpm</t>
  </si>
  <si>
    <t>IMC, Kg/m2</t>
  </si>
  <si>
    <t>Raza</t>
  </si>
  <si>
    <t>Blancos</t>
  </si>
  <si>
    <t>Asiáticos</t>
  </si>
  <si>
    <t>Negros</t>
  </si>
  <si>
    <t>Otros</t>
  </si>
  <si>
    <t>Región Geográfica</t>
  </si>
  <si>
    <t>Norteamérica</t>
  </si>
  <si>
    <t>America Latina</t>
  </si>
  <si>
    <t>Clase funcional NYHA</t>
  </si>
  <si>
    <t>NYHA II</t>
  </si>
  <si>
    <t>NYHA III</t>
  </si>
  <si>
    <t>NYHA IV</t>
  </si>
  <si>
    <t>Hipertensión</t>
  </si>
  <si>
    <t>Diabetes</t>
  </si>
  <si>
    <t>Betabloquantes</t>
  </si>
  <si>
    <t>Antagonistas de la aldosterona</t>
  </si>
  <si>
    <t>Europa</t>
  </si>
  <si>
    <r>
      <t>Causa de la insuficiencia cardíaca</t>
    </r>
    <r>
      <rPr>
        <sz val="11"/>
        <rFont val="Calibri"/>
        <family val="2"/>
      </rPr>
      <t/>
    </r>
  </si>
  <si>
    <t>Isquémica</t>
  </si>
  <si>
    <t>NO isquémica</t>
  </si>
  <si>
    <t>Hospitalización por insuficiencia cardíaca en los 12 meses previos</t>
  </si>
  <si>
    <t>Fibrilación auricular</t>
  </si>
  <si>
    <t>FGe, ml/min/1,73 m2</t>
  </si>
  <si>
    <t>Tratamientos para la insuficiencia cardíaca en el momento de la aleatorización</t>
  </si>
  <si>
    <t>Tto estándar + Placebo, n= 2991</t>
  </si>
  <si>
    <t>71,8 (DE 9,3)</t>
  </si>
  <si>
    <t>71,9 (DE 9,6)</t>
  </si>
  <si>
    <t>Asia</t>
  </si>
  <si>
    <t>Otras</t>
  </si>
  <si>
    <t>29,77 (DE 5,8)</t>
  </si>
  <si>
    <t>29,9 (DE 5,9)</t>
  </si>
  <si>
    <t>70,4 (DE 12)</t>
  </si>
  <si>
    <t>70,3 (DE 11,8)</t>
  </si>
  <si>
    <t>131,8 (DE 15,6)</t>
  </si>
  <si>
    <t>131,9 (DE 15,7)</t>
  </si>
  <si>
    <t>54,3 (DE 8,8)</t>
  </si>
  <si>
    <t>Nº con FEVI 40% a 50%</t>
  </si>
  <si>
    <t>Nº con FEVI 50% a 60%</t>
  </si>
  <si>
    <t>Nº con FEVI &gt; 60%</t>
  </si>
  <si>
    <t>Media de [% de FEVI]</t>
  </si>
  <si>
    <t>60,6 (DE 19,8)</t>
  </si>
  <si>
    <t>60,6 (DE 19,9)</t>
  </si>
  <si>
    <t>Nº con FGe &lt; 60 ml/min/1,73 m2</t>
  </si>
  <si>
    <t>Historia de enfermedad cardiovascular</t>
  </si>
  <si>
    <t>Inhibidor de renina-angiotensina y/o neprilisina</t>
  </si>
  <si>
    <t>Sacubitril-Valsartán</t>
  </si>
  <si>
    <t>Aspirina</t>
  </si>
  <si>
    <t>Estatinas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</si>
  <si>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 xml:space="preserve">FEVI: </t>
    </r>
    <r>
      <rPr>
        <sz val="9"/>
        <rFont val="Calibri"/>
        <family val="2"/>
      </rPr>
      <t xml:space="preserve">fracción de eyección del ventrículo izquerdo;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corporal; </t>
    </r>
    <r>
      <rPr>
        <b/>
        <sz val="9"/>
        <rFont val="Calibri"/>
        <family val="2"/>
      </rPr>
      <t xml:space="preserve">lpm: </t>
    </r>
    <r>
      <rPr>
        <sz val="9"/>
        <rFont val="Calibri"/>
        <family val="2"/>
      </rPr>
      <t xml:space="preserve">latidos por minuto; </t>
    </r>
    <r>
      <rPr>
        <b/>
        <sz val="9"/>
        <rFont val="Calibri"/>
        <family val="2"/>
      </rPr>
      <t>PAS:</t>
    </r>
    <r>
      <rPr>
        <sz val="9"/>
        <rFont val="Calibri"/>
        <family val="2"/>
      </rPr>
      <t xml:space="preserve"> presión arterial sistólica.</t>
    </r>
  </si>
  <si>
    <t>20210827-ECA Emperor-pres 24m, ICC 82II+18III FEVI 54, Tto[Empa vs Pl], -Hosp ICC. Anker</t>
  </si>
  <si>
    <t>Anker SD, Butler J, Filippatos G, on behalf of the EMPEROR-Preserved Trial Investigators. Empagliflozin in Heart Failure with a Preserved Ejection Fraction. N Engl J Med. 2021 Aug 27. doi: 10.1056/NEJMoa2107038.</t>
  </si>
  <si>
    <t>1338 (44,64%)</t>
  </si>
  <si>
    <t>1504 (50,18%)</t>
  </si>
  <si>
    <t>2286 (76,28%)</t>
  </si>
  <si>
    <t>413 (13,78%)</t>
  </si>
  <si>
    <t>133 (4,44%)</t>
  </si>
  <si>
    <t>165 (5,51%)</t>
  </si>
  <si>
    <t>1346 (44,91%)</t>
  </si>
  <si>
    <t>360 (12,01%)</t>
  </si>
  <si>
    <t>758 (25,29%)</t>
  </si>
  <si>
    <t>343 (11,44%)</t>
  </si>
  <si>
    <t>190 (6,34%)</t>
  </si>
  <si>
    <t>1079 (36%)</t>
  </si>
  <si>
    <t>1917 (63,96%)</t>
  </si>
  <si>
    <t>995 (33,2%)</t>
  </si>
  <si>
    <t>1028 (34,3%)</t>
  </si>
  <si>
    <t>974 (32,5%)</t>
  </si>
  <si>
    <t>2432 (81,15%)</t>
  </si>
  <si>
    <t>552 (18,42%)</t>
  </si>
  <si>
    <t>10 (0,33%)</t>
  </si>
  <si>
    <t>699 (23,32%)</t>
  </si>
  <si>
    <t>1466 (48,92%)</t>
  </si>
  <si>
    <t>1543 (51,48%)</t>
  </si>
  <si>
    <t>2721 (90,79%)</t>
  </si>
  <si>
    <t>2428 (81,01%)</t>
  </si>
  <si>
    <t>65 (2,17%)</t>
  </si>
  <si>
    <t>2598 (86,69%)</t>
  </si>
  <si>
    <t>1119 (37,34%)</t>
  </si>
  <si>
    <t>1240 (41,37%)</t>
  </si>
  <si>
    <t>2042 (68,13%)</t>
  </si>
  <si>
    <t>1338 (44,73%)</t>
  </si>
  <si>
    <t>1484 (49,62%)</t>
  </si>
  <si>
    <t>2256 (75,43%)</t>
  </si>
  <si>
    <t>411 (13,74%)</t>
  </si>
  <si>
    <t>125 (4,18%)</t>
  </si>
  <si>
    <t>199 (6,65%)</t>
  </si>
  <si>
    <t>1343 (44,9%)</t>
  </si>
  <si>
    <t>359 (12%)</t>
  </si>
  <si>
    <t>757 (25,31%)</t>
  </si>
  <si>
    <t>343 (11,47%)</t>
  </si>
  <si>
    <t>189 (6,32%)</t>
  </si>
  <si>
    <t>1039 (34,74%)</t>
  </si>
  <si>
    <t>1953 (65,3%)</t>
  </si>
  <si>
    <t>988 (33,03%)</t>
  </si>
  <si>
    <t>1030 (34,44%)</t>
  </si>
  <si>
    <t>973 (32,53%)</t>
  </si>
  <si>
    <t>2451 (81,95%)</t>
  </si>
  <si>
    <t>531 (17,75%)</t>
  </si>
  <si>
    <t>8 (0,27%)</t>
  </si>
  <si>
    <t>670 (22,4%)</t>
  </si>
  <si>
    <t>1472 (49,21%)</t>
  </si>
  <si>
    <t>1514 (50,62%)</t>
  </si>
  <si>
    <t>2703 (90,37%)</t>
  </si>
  <si>
    <t>2404 (80,37%)</t>
  </si>
  <si>
    <t>69 (2,31%)</t>
  </si>
  <si>
    <t>2569 (85,89%)</t>
  </si>
  <si>
    <t>1125 (37,61%)</t>
  </si>
  <si>
    <t>1272 (42,53%)</t>
  </si>
  <si>
    <t>2089 (69,84%)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</si>
  <si>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EMPEROR-Preserved.</t>
    </r>
  </si>
  <si>
    <t>Con el factor</t>
  </si>
  <si>
    <t>Sin el factor</t>
  </si>
  <si>
    <t>Placebo</t>
  </si>
  <si>
    <t>Empagliflozina</t>
  </si>
  <si>
    <t>Tto estándar + Empagliflozina, n= 2997</t>
  </si>
  <si>
    <t>FEVI &lt;40% (reducida), 40-49% (medianamente reducida), &gt;50% (preservada)</t>
  </si>
  <si>
    <t>Caracterìsticas de la Fracción (en %) de la Eyección del Ventrículo Izquierdo (%FEVI)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</si>
</sst>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i/>
      <sz val="5"/>
      <color rgb="FF00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/>
    <xf numFmtId="43" fontId="13" fillId="0" borderId="0" xfId="1" applyFont="1" applyFill="1" applyBorder="1" applyAlignment="1">
      <alignment horizontal="center"/>
    </xf>
    <xf numFmtId="43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43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43" fontId="16" fillId="0" borderId="0" xfId="1" applyFont="1" applyFill="1" applyBorder="1"/>
    <xf numFmtId="0" fontId="15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10" fillId="0" borderId="0" xfId="0" applyNumberFormat="1" applyFont="1" applyFill="1"/>
    <xf numFmtId="171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8" fillId="0" borderId="0" xfId="2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10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49" fontId="11" fillId="0" borderId="0" xfId="0" applyNumberFormat="1" applyFont="1"/>
    <xf numFmtId="0" fontId="24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4" xfId="1" applyNumberFormat="1" applyFont="1" applyFill="1" applyBorder="1"/>
    <xf numFmtId="164" fontId="12" fillId="0" borderId="4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43" fontId="25" fillId="0" borderId="4" xfId="1" applyFont="1" applyBorder="1"/>
    <xf numFmtId="0" fontId="12" fillId="0" borderId="0" xfId="0" applyFont="1" applyBorder="1" applyAlignment="1">
      <alignment horizontal="right"/>
    </xf>
    <xf numFmtId="43" fontId="10" fillId="0" borderId="0" xfId="1" applyFont="1" applyBorder="1"/>
    <xf numFmtId="0" fontId="15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6" fillId="0" borderId="0" xfId="0" applyFont="1"/>
    <xf numFmtId="9" fontId="10" fillId="0" borderId="0" xfId="0" applyNumberFormat="1" applyFont="1" applyBorder="1"/>
    <xf numFmtId="0" fontId="10" fillId="0" borderId="26" xfId="0" applyFont="1" applyBorder="1"/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7" xfId="0" applyFont="1" applyFill="1" applyBorder="1"/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/>
    <xf numFmtId="164" fontId="31" fillId="0" borderId="0" xfId="1" applyNumberFormat="1" applyFont="1" applyFill="1" applyBorder="1" applyAlignment="1"/>
    <xf numFmtId="164" fontId="29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7" fontId="15" fillId="0" borderId="4" xfId="2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8" fontId="10" fillId="0" borderId="0" xfId="1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43" fontId="10" fillId="0" borderId="0" xfId="1" applyFont="1" applyBorder="1" applyAlignment="1">
      <alignment horizontal="center"/>
    </xf>
    <xf numFmtId="169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43" fontId="19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69" fontId="10" fillId="0" borderId="14" xfId="1" applyNumberFormat="1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/>
    </xf>
    <xf numFmtId="43" fontId="15" fillId="0" borderId="14" xfId="1" applyFont="1" applyFill="1" applyBorder="1" applyAlignment="1"/>
    <xf numFmtId="43" fontId="15" fillId="0" borderId="26" xfId="1" applyFont="1" applyFill="1" applyBorder="1" applyAlignment="1"/>
    <xf numFmtId="0" fontId="10" fillId="0" borderId="16" xfId="0" applyFont="1" applyFill="1" applyBorder="1"/>
    <xf numFmtId="164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43" fontId="15" fillId="0" borderId="4" xfId="1" applyFont="1" applyBorder="1" applyAlignment="1">
      <alignment horizontal="center"/>
    </xf>
    <xf numFmtId="4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43" fontId="15" fillId="0" borderId="27" xfId="1" applyFont="1" applyFill="1" applyBorder="1" applyAlignment="1"/>
    <xf numFmtId="10" fontId="10" fillId="0" borderId="13" xfId="2" applyNumberFormat="1" applyFont="1" applyFill="1" applyBorder="1"/>
    <xf numFmtId="0" fontId="10" fillId="0" borderId="27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3" fontId="10" fillId="0" borderId="13" xfId="0" applyNumberFormat="1" applyFont="1" applyBorder="1"/>
    <xf numFmtId="167" fontId="10" fillId="0" borderId="13" xfId="2" applyNumberFormat="1" applyFont="1" applyFill="1" applyBorder="1" applyAlignment="1">
      <alignment horizontal="center" vertical="center" wrapText="1"/>
    </xf>
    <xf numFmtId="165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4" fontId="10" fillId="0" borderId="13" xfId="0" applyNumberFormat="1" applyFont="1" applyFill="1" applyBorder="1" applyAlignment="1">
      <alignment horizontal="center" vertical="center" wrapText="1"/>
    </xf>
    <xf numFmtId="166" fontId="10" fillId="2" borderId="13" xfId="1" applyNumberFormat="1" applyFont="1" applyFill="1" applyBorder="1"/>
    <xf numFmtId="167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0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1" fillId="0" borderId="12" xfId="0" applyFont="1" applyBorder="1"/>
    <xf numFmtId="0" fontId="10" fillId="0" borderId="12" xfId="0" applyFont="1" applyBorder="1"/>
    <xf numFmtId="170" fontId="10" fillId="0" borderId="12" xfId="0" applyNumberFormat="1" applyFont="1" applyBorder="1"/>
    <xf numFmtId="0" fontId="10" fillId="0" borderId="30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0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5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1" applyFont="1" applyFill="1" applyBorder="1" applyAlignment="1"/>
    <xf numFmtId="0" fontId="33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/>
    <xf numFmtId="0" fontId="33" fillId="5" borderId="0" xfId="0" applyFont="1" applyFill="1" applyBorder="1" applyAlignment="1">
      <alignment horizontal="right"/>
    </xf>
    <xf numFmtId="1" fontId="33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3" fillId="6" borderId="0" xfId="0" applyFont="1" applyFill="1" applyBorder="1" applyAlignment="1">
      <alignment horizontal="center" vertical="center" wrapText="1"/>
    </xf>
    <xf numFmtId="0" fontId="33" fillId="6" borderId="0" xfId="0" applyFont="1" applyFill="1" applyBorder="1"/>
    <xf numFmtId="0" fontId="33" fillId="6" borderId="0" xfId="0" applyFont="1" applyFill="1" applyBorder="1" applyAlignment="1">
      <alignment horizontal="right"/>
    </xf>
    <xf numFmtId="1" fontId="33" fillId="6" borderId="0" xfId="0" applyNumberFormat="1" applyFont="1" applyFill="1" applyBorder="1" applyAlignment="1">
      <alignment horizontal="center" vertical="distributed"/>
    </xf>
    <xf numFmtId="43" fontId="10" fillId="0" borderId="0" xfId="0" applyNumberFormat="1" applyFont="1" applyFill="1" applyBorder="1" applyAlignment="1">
      <alignment horizontal="left" vertical="center"/>
    </xf>
    <xf numFmtId="164" fontId="33" fillId="7" borderId="0" xfId="0" applyNumberFormat="1" applyFont="1" applyFill="1" applyBorder="1" applyAlignment="1">
      <alignment horizontal="center" vertical="center" wrapText="1"/>
    </xf>
    <xf numFmtId="43" fontId="35" fillId="7" borderId="0" xfId="1" applyFont="1" applyFill="1" applyBorder="1"/>
    <xf numFmtId="43" fontId="33" fillId="7" borderId="0" xfId="1" applyFont="1" applyFill="1" applyBorder="1" applyAlignment="1">
      <alignment horizontal="right"/>
    </xf>
    <xf numFmtId="1" fontId="33" fillId="7" borderId="0" xfId="0" applyNumberFormat="1" applyFont="1" applyFill="1" applyBorder="1" applyAlignment="1">
      <alignment horizontal="center" vertical="distributed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/>
    <xf numFmtId="1" fontId="33" fillId="0" borderId="0" xfId="0" applyNumberFormat="1" applyFont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5" fillId="0" borderId="12" xfId="1" applyFont="1" applyFill="1" applyBorder="1" applyAlignment="1"/>
    <xf numFmtId="0" fontId="33" fillId="0" borderId="0" xfId="0" applyFont="1" applyFill="1" applyBorder="1" applyAlignment="1">
      <alignment horizontal="right" vertical="center"/>
    </xf>
    <xf numFmtId="49" fontId="33" fillId="0" borderId="0" xfId="1" applyNumberFormat="1" applyFont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/>
    <xf numFmtId="0" fontId="33" fillId="3" borderId="0" xfId="0" applyFont="1" applyFill="1" applyBorder="1" applyAlignment="1">
      <alignment horizontal="right"/>
    </xf>
    <xf numFmtId="1" fontId="33" fillId="3" borderId="0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4" fontId="10" fillId="0" borderId="0" xfId="1" applyNumberFormat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3" fontId="10" fillId="11" borderId="0" xfId="0" applyNumberFormat="1" applyFont="1" applyFill="1" applyAlignment="1">
      <alignment horizontal="center" vertical="center" wrapText="1"/>
    </xf>
    <xf numFmtId="43" fontId="15" fillId="0" borderId="4" xfId="0" applyNumberFormat="1" applyFont="1" applyBorder="1"/>
    <xf numFmtId="43" fontId="10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5" fontId="15" fillId="11" borderId="4" xfId="1" applyNumberFormat="1" applyFont="1" applyFill="1" applyBorder="1"/>
    <xf numFmtId="169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74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0" fontId="4" fillId="0" borderId="0" xfId="0" applyFont="1"/>
    <xf numFmtId="10" fontId="10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38" fillId="12" borderId="0" xfId="0" applyFont="1" applyFill="1" applyBorder="1" applyAlignment="1">
      <alignment vertical="center" wrapText="1"/>
    </xf>
    <xf numFmtId="0" fontId="38" fillId="12" borderId="7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left" vertical="center"/>
    </xf>
    <xf numFmtId="0" fontId="33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33" fillId="12" borderId="21" xfId="0" applyFont="1" applyFill="1" applyBorder="1" applyAlignment="1">
      <alignment horizontal="center" vertical="center"/>
    </xf>
    <xf numFmtId="174" fontId="39" fillId="12" borderId="24" xfId="0" applyNumberFormat="1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left" vertical="center"/>
    </xf>
    <xf numFmtId="0" fontId="40" fillId="12" borderId="0" xfId="0" applyFont="1" applyFill="1" applyBorder="1" applyAlignment="1">
      <alignment horizontal="center" vertical="center"/>
    </xf>
    <xf numFmtId="174" fontId="41" fillId="12" borderId="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5" fillId="12" borderId="0" xfId="0" applyFont="1" applyFill="1" applyBorder="1" applyAlignment="1">
      <alignment vertical="center" wrapText="1"/>
    </xf>
    <xf numFmtId="0" fontId="33" fillId="12" borderId="28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5" fillId="0" borderId="0" xfId="0" applyFont="1"/>
    <xf numFmtId="0" fontId="4" fillId="12" borderId="18" xfId="0" applyFont="1" applyFill="1" applyBorder="1" applyAlignment="1">
      <alignment vertical="distributed"/>
    </xf>
    <xf numFmtId="0" fontId="4" fillId="12" borderId="25" xfId="0" applyFont="1" applyFill="1" applyBorder="1" applyAlignment="1">
      <alignment vertical="distributed"/>
    </xf>
    <xf numFmtId="0" fontId="43" fillId="0" borderId="0" xfId="0" applyFont="1"/>
    <xf numFmtId="0" fontId="44" fillId="0" borderId="0" xfId="0" applyFont="1"/>
    <xf numFmtId="174" fontId="23" fillId="12" borderId="29" xfId="0" applyNumberFormat="1" applyFont="1" applyFill="1" applyBorder="1" applyAlignment="1">
      <alignment horizontal="center" vertical="center"/>
    </xf>
    <xf numFmtId="174" fontId="23" fillId="12" borderId="20" xfId="0" applyNumberFormat="1" applyFont="1" applyFill="1" applyBorder="1" applyAlignment="1">
      <alignment horizontal="center" vertical="center"/>
    </xf>
    <xf numFmtId="174" fontId="23" fillId="12" borderId="24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4" fontId="23" fillId="12" borderId="32" xfId="0" applyNumberFormat="1" applyFont="1" applyFill="1" applyBorder="1" applyAlignment="1">
      <alignment horizontal="center" vertical="center"/>
    </xf>
    <xf numFmtId="0" fontId="33" fillId="12" borderId="31" xfId="0" applyFont="1" applyFill="1" applyBorder="1" applyAlignment="1">
      <alignment horizontal="left" vertical="center"/>
    </xf>
    <xf numFmtId="0" fontId="10" fillId="12" borderId="5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left" vertical="center"/>
    </xf>
    <xf numFmtId="171" fontId="15" fillId="0" borderId="0" xfId="1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3" fontId="10" fillId="9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9" borderId="4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36" fillId="0" borderId="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14"/>
  <sheetViews>
    <sheetView tabSelected="1" topLeftCell="A64" zoomScale="85" zoomScaleNormal="85" workbookViewId="0">
      <selection activeCell="G80" sqref="G80"/>
    </sheetView>
  </sheetViews>
  <sheetFormatPr baseColWidth="10" defaultColWidth="11.453125" defaultRowHeight="13" x14ac:dyDescent="0.3"/>
  <cols>
    <col min="1" max="1" width="1" style="5" customWidth="1"/>
    <col min="2" max="2" width="38.81640625" style="5" customWidth="1"/>
    <col min="3" max="3" width="19" style="5" customWidth="1"/>
    <col min="4" max="4" width="18.453125" style="5" customWidth="1"/>
    <col min="5" max="5" width="15.54296875" style="5" customWidth="1"/>
    <col min="6" max="6" width="20.1796875" style="5" customWidth="1"/>
    <col min="7" max="7" width="16.54296875" style="5" customWidth="1"/>
    <col min="8" max="8" width="8.7265625" style="5" customWidth="1"/>
    <col min="9" max="9" width="4.5429687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96"/>
      <c r="C1" s="97"/>
      <c r="D1" s="96"/>
      <c r="E1" s="98"/>
      <c r="F1" s="5"/>
      <c r="G1" s="5"/>
      <c r="H1" s="99"/>
      <c r="I1" s="99"/>
      <c r="J1" s="99"/>
      <c r="K1" s="99"/>
      <c r="L1" s="8"/>
      <c r="M1" s="13"/>
      <c r="N1" s="13"/>
      <c r="O1" s="2"/>
      <c r="P1" s="2"/>
      <c r="Q1" s="3"/>
      <c r="R1" s="2"/>
      <c r="S1" s="2"/>
      <c r="T1" s="2"/>
      <c r="U1" s="100"/>
      <c r="V1" s="100"/>
      <c r="W1" s="100"/>
      <c r="X1" s="100"/>
      <c r="Y1" s="100"/>
      <c r="Z1" s="100"/>
      <c r="AA1" s="100"/>
      <c r="AB1" s="100"/>
      <c r="AC1" s="100"/>
    </row>
    <row r="2" spans="2:30" ht="24.75" customHeight="1" thickBot="1" x14ac:dyDescent="0.35">
      <c r="B2" s="327" t="s">
        <v>67</v>
      </c>
      <c r="C2" s="328"/>
      <c r="D2" s="328"/>
      <c r="E2" s="328"/>
      <c r="F2" s="329"/>
      <c r="G2" s="101"/>
      <c r="H2" s="102" t="s">
        <v>72</v>
      </c>
      <c r="I2" s="103">
        <v>0.95</v>
      </c>
      <c r="J2" s="101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330" t="s">
        <v>110</v>
      </c>
      <c r="C3" s="331"/>
      <c r="D3" s="331"/>
      <c r="E3" s="331"/>
      <c r="F3" s="332"/>
      <c r="G3" s="104"/>
      <c r="H3" s="104"/>
      <c r="I3" s="104"/>
      <c r="J3" s="104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78"/>
      <c r="C4" s="14"/>
      <c r="D4" s="13"/>
      <c r="E4" s="13"/>
      <c r="F4" s="6"/>
      <c r="G4" s="15"/>
      <c r="J4" s="104"/>
      <c r="K4" s="79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05" t="s">
        <v>60</v>
      </c>
      <c r="C5" s="314"/>
      <c r="D5" s="314"/>
      <c r="E5" s="314"/>
      <c r="F5" s="314"/>
      <c r="I5" s="106"/>
      <c r="J5" s="104"/>
      <c r="K5" s="106"/>
      <c r="L5" s="107"/>
      <c r="M5" s="107"/>
      <c r="N5" s="107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84"/>
      <c r="C6" s="20"/>
      <c r="D6" s="315" t="s">
        <v>228</v>
      </c>
      <c r="E6" s="315" t="s">
        <v>229</v>
      </c>
      <c r="F6" s="315" t="s">
        <v>22</v>
      </c>
      <c r="I6" s="106"/>
      <c r="J6" s="104"/>
      <c r="K6" s="106"/>
      <c r="L6" s="107"/>
      <c r="M6" s="107"/>
      <c r="N6" s="107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84"/>
      <c r="C7" s="316" t="s">
        <v>231</v>
      </c>
      <c r="D7" s="317">
        <v>2042</v>
      </c>
      <c r="E7" s="318">
        <f>F7-D7</f>
        <v>955</v>
      </c>
      <c r="F7" s="319">
        <v>2997</v>
      </c>
      <c r="H7" s="276"/>
      <c r="J7" s="277"/>
      <c r="K7" s="106"/>
      <c r="L7" s="107"/>
      <c r="M7" s="107"/>
      <c r="N7" s="107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84"/>
      <c r="C8" s="316" t="s">
        <v>230</v>
      </c>
      <c r="D8" s="317">
        <v>2089</v>
      </c>
      <c r="E8" s="318">
        <f>F8-D8</f>
        <v>902</v>
      </c>
      <c r="F8" s="319">
        <v>2991</v>
      </c>
      <c r="H8" s="276"/>
      <c r="I8" s="106"/>
      <c r="J8" s="277"/>
      <c r="K8" s="106"/>
      <c r="L8" s="107"/>
      <c r="M8" s="108"/>
      <c r="N8" s="107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84"/>
      <c r="C9" s="320" t="s">
        <v>22</v>
      </c>
      <c r="D9" s="321">
        <f>SUM(D7:D8)</f>
        <v>4131</v>
      </c>
      <c r="E9" s="322">
        <f>SUM(E7:E8)</f>
        <v>1857</v>
      </c>
      <c r="F9" s="323">
        <f>SUM(F7:F8)</f>
        <v>5988</v>
      </c>
      <c r="G9" s="106"/>
      <c r="H9" s="106"/>
      <c r="I9" s="106"/>
      <c r="J9" s="104"/>
      <c r="K9" s="106"/>
      <c r="L9" s="107"/>
      <c r="M9" s="108"/>
      <c r="N9" s="107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84"/>
      <c r="C10" s="25"/>
      <c r="D10" s="26"/>
      <c r="E10" s="22"/>
      <c r="F10" s="22"/>
      <c r="G10" s="107"/>
      <c r="H10" s="107"/>
      <c r="I10" s="106"/>
      <c r="J10" s="106"/>
      <c r="K10" s="106"/>
      <c r="L10" s="107"/>
      <c r="M10" s="108"/>
      <c r="N10" s="107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09" t="s">
        <v>73</v>
      </c>
      <c r="C11" s="28"/>
      <c r="D11" s="29"/>
      <c r="E11" s="2"/>
      <c r="F11" s="21"/>
      <c r="G11" s="110"/>
      <c r="H11" s="108"/>
      <c r="I11" s="110"/>
      <c r="J11" s="108"/>
      <c r="K11" s="111"/>
      <c r="L11" s="111"/>
      <c r="M11" s="110"/>
      <c r="N11" s="111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84" t="s">
        <v>68</v>
      </c>
      <c r="C12" s="28"/>
      <c r="D12" s="29"/>
      <c r="E12" s="2"/>
      <c r="F12" s="21"/>
      <c r="G12" s="110"/>
      <c r="H12" s="108"/>
      <c r="I12" s="110"/>
      <c r="J12" s="108"/>
      <c r="K12" s="112"/>
      <c r="L12" s="111"/>
      <c r="M12" s="111"/>
      <c r="N12" s="111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87" t="s">
        <v>25</v>
      </c>
      <c r="C13" s="87" t="s">
        <v>69</v>
      </c>
      <c r="D13" s="87" t="s">
        <v>74</v>
      </c>
      <c r="E13" s="87" t="s">
        <v>70</v>
      </c>
      <c r="F13" s="87" t="s">
        <v>71</v>
      </c>
      <c r="G13" s="87" t="s">
        <v>4</v>
      </c>
      <c r="H13" s="87" t="s">
        <v>75</v>
      </c>
      <c r="I13" s="87" t="s">
        <v>76</v>
      </c>
      <c r="J13" s="108"/>
      <c r="K13" s="113" t="s">
        <v>43</v>
      </c>
      <c r="L13" s="114" t="s">
        <v>0</v>
      </c>
      <c r="M13" s="114" t="s">
        <v>1</v>
      </c>
      <c r="N13" s="111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88">
        <f>LN((D7/F7)/(D8/F8))</f>
        <v>-2.4759771518670096E-2</v>
      </c>
      <c r="C14" s="88">
        <f>SQRT((E7/(D7*F7)+(E8/(D8*F8))))</f>
        <v>1.7332355975031789E-2</v>
      </c>
      <c r="D14" s="115">
        <f>-NORMSINV((1-I2)/2)</f>
        <v>1.9599639845400536</v>
      </c>
      <c r="E14" s="89">
        <f>B14-(D14*C14)</f>
        <v>-5.8730564996960014E-2</v>
      </c>
      <c r="F14" s="90">
        <f>B14+(D14*C14)</f>
        <v>9.2110219596198174E-3</v>
      </c>
      <c r="G14" s="116">
        <f>(D7/F7)/(D8/F8)</f>
        <v>0.97554423739201146</v>
      </c>
      <c r="H14" s="116">
        <f>EXP(E14)</f>
        <v>0.94296080157938988</v>
      </c>
      <c r="I14" s="116">
        <f>EXP(F14)</f>
        <v>1.0092535739712154</v>
      </c>
      <c r="J14" s="108"/>
      <c r="K14" s="117">
        <f>1-G14</f>
        <v>2.445576260798854E-2</v>
      </c>
      <c r="L14" s="116">
        <f>1-H14</f>
        <v>5.7039198420610115E-2</v>
      </c>
      <c r="M14" s="116">
        <f>1-I14</f>
        <v>-9.2535739712154008E-3</v>
      </c>
      <c r="N14" s="118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19"/>
      <c r="C15" s="28"/>
      <c r="D15" s="28"/>
      <c r="E15" s="28"/>
      <c r="F15" s="32"/>
      <c r="G15" s="120"/>
      <c r="H15" s="108"/>
      <c r="I15" s="110"/>
      <c r="J15" s="108"/>
      <c r="K15" s="110"/>
      <c r="L15" s="110"/>
      <c r="M15" s="110"/>
      <c r="N15" s="111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3"/>
      <c r="C16" s="33"/>
      <c r="D16" s="34"/>
      <c r="E16" s="35"/>
      <c r="F16" s="36"/>
      <c r="G16" s="121"/>
      <c r="H16" s="122"/>
      <c r="I16" s="123"/>
      <c r="J16" s="123"/>
      <c r="K16" s="124"/>
      <c r="L16" s="124"/>
      <c r="M16" s="125"/>
      <c r="N16" s="125"/>
    </row>
    <row r="17" spans="2:30" ht="15.75" hidden="1" customHeight="1" x14ac:dyDescent="0.3">
      <c r="B17" s="39" t="s">
        <v>77</v>
      </c>
      <c r="C17" s="2"/>
      <c r="D17" s="126"/>
      <c r="E17" s="126"/>
      <c r="F17" s="13"/>
      <c r="G17" s="13"/>
      <c r="H17" s="127"/>
      <c r="I17" s="40"/>
      <c r="J17" s="128"/>
      <c r="K17" s="128"/>
      <c r="L17" s="4"/>
      <c r="M17" s="111"/>
      <c r="N17" s="108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3" t="s">
        <v>78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11"/>
      <c r="N18" s="108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29" t="s">
        <v>79</v>
      </c>
      <c r="C19" s="5" t="s">
        <v>9</v>
      </c>
      <c r="D19" s="4"/>
      <c r="E19" s="5" t="s">
        <v>80</v>
      </c>
      <c r="G19" s="5" t="s">
        <v>7</v>
      </c>
      <c r="I19" s="5" t="s">
        <v>8</v>
      </c>
      <c r="J19" s="42"/>
      <c r="K19" s="42"/>
      <c r="L19" s="42"/>
      <c r="M19" s="111"/>
      <c r="N19" s="124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87" t="s">
        <v>81</v>
      </c>
      <c r="C20" s="87" t="s">
        <v>26</v>
      </c>
      <c r="D20" s="130" t="s">
        <v>10</v>
      </c>
      <c r="E20" s="130" t="s">
        <v>9</v>
      </c>
      <c r="F20" s="130" t="s">
        <v>82</v>
      </c>
      <c r="G20" s="130" t="s">
        <v>7</v>
      </c>
      <c r="H20" s="130" t="s">
        <v>8</v>
      </c>
      <c r="I20" s="131" t="s">
        <v>5</v>
      </c>
      <c r="J20" s="130" t="s">
        <v>83</v>
      </c>
      <c r="K20" s="130" t="s">
        <v>0</v>
      </c>
      <c r="L20" s="130" t="s">
        <v>1</v>
      </c>
      <c r="M20" s="132"/>
      <c r="N20" s="133"/>
      <c r="O20" s="134" t="s">
        <v>13</v>
      </c>
      <c r="P20" s="135" t="s">
        <v>63</v>
      </c>
      <c r="Q20" s="136"/>
      <c r="R20" s="137"/>
      <c r="S20" s="138"/>
      <c r="T20" s="138"/>
      <c r="U20" s="139"/>
      <c r="W20" s="140"/>
      <c r="X20" s="134" t="s">
        <v>64</v>
      </c>
      <c r="Y20" s="135" t="s">
        <v>84</v>
      </c>
      <c r="Z20" s="92"/>
      <c r="AA20" s="92"/>
      <c r="AB20" s="92" t="s">
        <v>85</v>
      </c>
      <c r="AC20" s="92"/>
      <c r="AD20" s="80"/>
    </row>
    <row r="21" spans="2:30" ht="12.75" hidden="1" customHeight="1" x14ac:dyDescent="0.3">
      <c r="B21" s="141">
        <f>D7</f>
        <v>2042</v>
      </c>
      <c r="C21" s="142">
        <f>F7</f>
        <v>2997</v>
      </c>
      <c r="D21" s="143">
        <f>B21/C21</f>
        <v>0.68134801468134798</v>
      </c>
      <c r="E21" s="144">
        <f>2*B21+I21^2</f>
        <v>4087.8414588206942</v>
      </c>
      <c r="F21" s="144">
        <f>I21*SQRT((I21^2)+(4*B21*(1-D21)))</f>
        <v>100.06553606681297</v>
      </c>
      <c r="G21" s="145">
        <f>2*(C21+I21^2)</f>
        <v>6001.6829176413885</v>
      </c>
      <c r="H21" s="146" t="s">
        <v>11</v>
      </c>
      <c r="I21" s="115">
        <f>-NORMSINV((1-I2)/2)</f>
        <v>1.9599639845400536</v>
      </c>
      <c r="J21" s="147">
        <f>D21</f>
        <v>0.68134801468134798</v>
      </c>
      <c r="K21" s="147">
        <f>(E21-F21)/G21</f>
        <v>0.664442953331004</v>
      </c>
      <c r="L21" s="147">
        <f>(E21+F21)/G21</f>
        <v>0.69778877897356839</v>
      </c>
      <c r="M21" s="132"/>
      <c r="N21" s="148">
        <f>F9/2</f>
        <v>2994</v>
      </c>
      <c r="O21" s="20" t="s">
        <v>14</v>
      </c>
      <c r="P21" s="2"/>
      <c r="Q21" s="41"/>
      <c r="R21" s="40"/>
      <c r="S21" s="42"/>
      <c r="T21" s="42"/>
      <c r="U21" s="149"/>
      <c r="W21" s="150">
        <f>ABS(D21-D22)</f>
        <v>1.7080604509558062E-2</v>
      </c>
      <c r="X21" s="20" t="s">
        <v>86</v>
      </c>
      <c r="Y21" s="2"/>
      <c r="Z21" s="20"/>
      <c r="AA21" s="20"/>
      <c r="AB21" s="20" t="s">
        <v>87</v>
      </c>
      <c r="AC21" s="20"/>
      <c r="AD21" s="151"/>
    </row>
    <row r="22" spans="2:30" ht="14.25" hidden="1" customHeight="1" x14ac:dyDescent="0.4">
      <c r="B22" s="141">
        <f>D8</f>
        <v>2089</v>
      </c>
      <c r="C22" s="142">
        <f>F8</f>
        <v>2991</v>
      </c>
      <c r="D22" s="143">
        <f>B22/C22</f>
        <v>0.69842861919090604</v>
      </c>
      <c r="E22" s="144">
        <f>2*B22+I22^2</f>
        <v>4181.8414588206942</v>
      </c>
      <c r="F22" s="144">
        <f>I22*SQRT((I22^2)+(4*B22*(1-D22)))</f>
        <v>98.463017887162394</v>
      </c>
      <c r="G22" s="145">
        <f>2*(C22+I22^2)</f>
        <v>5989.6829176413885</v>
      </c>
      <c r="H22" s="146" t="s">
        <v>11</v>
      </c>
      <c r="I22" s="115">
        <f>-NORMSINV((1-I2)/2)</f>
        <v>1.9599639845400536</v>
      </c>
      <c r="J22" s="147">
        <f>D22</f>
        <v>0.69842861919090604</v>
      </c>
      <c r="K22" s="147">
        <f>(E22-F22)/G22</f>
        <v>0.68173532674104897</v>
      </c>
      <c r="L22" s="147">
        <f>(E22+F22)/G22</f>
        <v>0.7146128660836274</v>
      </c>
      <c r="M22" s="132"/>
      <c r="N22" s="152">
        <f>J26</f>
        <v>1.7080604509558062E-2</v>
      </c>
      <c r="O22" s="20" t="s">
        <v>15</v>
      </c>
      <c r="P22" s="20"/>
      <c r="Q22" s="20"/>
      <c r="R22" s="20"/>
      <c r="S22" s="20"/>
      <c r="T22" s="20"/>
      <c r="U22" s="94"/>
      <c r="W22" s="153">
        <f>SQRT((D23*(1-D23)/C21)+(D23*(1-D23)/C22))</f>
        <v>1.1954765883982959E-2</v>
      </c>
      <c r="X22" s="43" t="s">
        <v>88</v>
      </c>
      <c r="Y22" s="20"/>
      <c r="Z22" s="20"/>
      <c r="AA22" s="20"/>
      <c r="AB22" s="20"/>
      <c r="AC22" s="20"/>
      <c r="AD22" s="151"/>
    </row>
    <row r="23" spans="2:30" ht="12.75" hidden="1" customHeight="1" x14ac:dyDescent="0.3">
      <c r="B23" s="141">
        <f>D9</f>
        <v>4131</v>
      </c>
      <c r="C23" s="142">
        <f>F9</f>
        <v>5988</v>
      </c>
      <c r="D23" s="143">
        <f>B23/C23</f>
        <v>0.68987975951903813</v>
      </c>
      <c r="E23" s="144">
        <f>2*B23+I23^2</f>
        <v>8265.8414588206942</v>
      </c>
      <c r="F23" s="144">
        <f>I23*SQRT((I23^2)+(4*B23*(1-D23)))</f>
        <v>140.35680084715264</v>
      </c>
      <c r="G23" s="145">
        <f>2*(C23+I23^2)</f>
        <v>11983.682917641388</v>
      </c>
      <c r="H23" s="146" t="s">
        <v>11</v>
      </c>
      <c r="I23" s="115">
        <f>-NORMSINV((1-I2)/2)</f>
        <v>1.9599639845400536</v>
      </c>
      <c r="J23" s="147">
        <f>D23</f>
        <v>0.68987975951903813</v>
      </c>
      <c r="K23" s="147">
        <f>(E23-F23)/G23</f>
        <v>0.67804569879030041</v>
      </c>
      <c r="L23" s="147">
        <f>(E23+F23)/G23</f>
        <v>0.70147035076278053</v>
      </c>
      <c r="M23" s="132"/>
      <c r="N23" s="154">
        <f>(B21+B22)/(C21+C22)</f>
        <v>0.68987975951903813</v>
      </c>
      <c r="O23" s="20" t="s">
        <v>6</v>
      </c>
      <c r="P23" s="2"/>
      <c r="Q23" s="41"/>
      <c r="R23" s="40"/>
      <c r="S23" s="42"/>
      <c r="T23" s="42"/>
      <c r="U23" s="151"/>
      <c r="W23" s="155">
        <f>W21/W22</f>
        <v>1.4287694694584292</v>
      </c>
      <c r="X23" s="20" t="s">
        <v>42</v>
      </c>
      <c r="Y23" s="2"/>
      <c r="Z23" s="20"/>
      <c r="AA23" s="20"/>
      <c r="AB23" s="20"/>
      <c r="AC23" s="20"/>
      <c r="AD23" s="151"/>
    </row>
    <row r="24" spans="2:30" ht="15" hidden="1" customHeight="1" x14ac:dyDescent="0.3">
      <c r="B24" s="84"/>
      <c r="C24" s="156" t="s">
        <v>12</v>
      </c>
      <c r="F24" s="37"/>
      <c r="G24" s="123"/>
      <c r="H24" s="123"/>
      <c r="I24" s="123"/>
      <c r="J24" s="123"/>
      <c r="K24" s="124"/>
      <c r="L24" s="107"/>
      <c r="M24" s="132"/>
      <c r="N24" s="157">
        <f>SQRT(N21*N22^2/(2*N23*(1-N23)))-I21</f>
        <v>-0.53119379783021503</v>
      </c>
      <c r="O24" s="20" t="s">
        <v>89</v>
      </c>
      <c r="P24" s="20"/>
      <c r="Q24" s="20"/>
      <c r="R24" s="20"/>
      <c r="S24" s="20"/>
      <c r="T24" s="4"/>
      <c r="U24" s="149"/>
      <c r="W24" s="158">
        <f>NORMSDIST(-W23)</f>
        <v>7.6535251681767627E-2</v>
      </c>
      <c r="X24" s="39" t="s">
        <v>90</v>
      </c>
      <c r="Y24" s="20"/>
      <c r="Z24" s="4"/>
      <c r="AA24" s="4"/>
      <c r="AB24" s="4"/>
      <c r="AC24" s="4"/>
      <c r="AD24" s="94"/>
    </row>
    <row r="25" spans="2:30" ht="13.5" hidden="1" customHeight="1" thickBot="1" x14ac:dyDescent="0.35">
      <c r="B25" s="84"/>
      <c r="C25" s="156" t="s">
        <v>91</v>
      </c>
      <c r="D25" s="27"/>
      <c r="E25" s="38"/>
      <c r="F25" s="37"/>
      <c r="G25" s="123"/>
      <c r="H25" s="107"/>
      <c r="I25" s="107"/>
      <c r="J25" s="159"/>
      <c r="K25" s="159"/>
      <c r="L25" s="159"/>
      <c r="M25" s="132"/>
      <c r="N25" s="160">
        <f>NORMSDIST(N24)</f>
        <v>0.29764224521646332</v>
      </c>
      <c r="O25" s="39" t="s">
        <v>16</v>
      </c>
      <c r="P25" s="44"/>
      <c r="Q25" s="20"/>
      <c r="R25" s="20"/>
      <c r="S25" s="20"/>
      <c r="T25" s="20"/>
      <c r="U25" s="151"/>
      <c r="W25" s="161">
        <f>1-W24</f>
        <v>0.92346474831823233</v>
      </c>
      <c r="X25" s="45" t="s">
        <v>92</v>
      </c>
      <c r="Y25" s="44"/>
      <c r="Z25" s="4"/>
      <c r="AA25" s="4"/>
      <c r="AB25" s="4"/>
      <c r="AC25" s="4"/>
      <c r="AD25" s="94"/>
    </row>
    <row r="26" spans="2:30" ht="15" hidden="1" customHeight="1" thickBot="1" x14ac:dyDescent="0.4">
      <c r="F26" s="46"/>
      <c r="G26" s="107"/>
      <c r="H26" s="107"/>
      <c r="I26" s="102" t="s">
        <v>23</v>
      </c>
      <c r="J26" s="162">
        <f>D22-D21</f>
        <v>1.7080604509558062E-2</v>
      </c>
      <c r="K26" s="163">
        <f>J26+SQRT((D22-K22)^2+(L21-D21)^2)</f>
        <v>4.05106011661691E-2</v>
      </c>
      <c r="L26" s="164">
        <f>J26-SQRT((D21-K21)^2+(L22-D22)^2)</f>
        <v>-6.3226206259538072E-3</v>
      </c>
      <c r="M26" s="106"/>
      <c r="N26" s="165">
        <f>1-N25</f>
        <v>0.70235775478353668</v>
      </c>
      <c r="O26" s="166" t="s">
        <v>93</v>
      </c>
      <c r="P26" s="167"/>
      <c r="Q26" s="168"/>
      <c r="R26" s="167"/>
      <c r="S26" s="167"/>
      <c r="T26" s="167"/>
      <c r="U26" s="169"/>
      <c r="W26" s="170"/>
      <c r="X26" s="171"/>
      <c r="Y26" s="167"/>
      <c r="Z26" s="171"/>
      <c r="AA26" s="171"/>
      <c r="AB26" s="171"/>
      <c r="AC26" s="171"/>
      <c r="AD26" s="172"/>
    </row>
    <row r="27" spans="2:30" ht="13.5" hidden="1" customHeight="1" thickBot="1" x14ac:dyDescent="0.35">
      <c r="F27" s="47"/>
      <c r="G27" s="107"/>
      <c r="H27" s="107"/>
      <c r="I27" s="102" t="s">
        <v>24</v>
      </c>
      <c r="J27" s="173">
        <f>1/J26</f>
        <v>58.545937261202575</v>
      </c>
      <c r="K27" s="174">
        <f>1/K26</f>
        <v>24.684896575544091</v>
      </c>
      <c r="L27" s="175">
        <f>1/L26</f>
        <v>-158.16226516819418</v>
      </c>
      <c r="M27" s="106"/>
      <c r="N27" s="107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07"/>
      <c r="H28" s="107"/>
      <c r="K28" s="176"/>
      <c r="L28" s="176"/>
      <c r="M28" s="177"/>
      <c r="N28" s="133"/>
      <c r="O28" s="178"/>
      <c r="P28" s="178" t="s">
        <v>88</v>
      </c>
      <c r="Q28" s="179">
        <f>SQRT((D23*(1-D23)/C21)+(D23*(1-D23)/C22))</f>
        <v>1.1954765883982959E-2</v>
      </c>
      <c r="R28" s="180"/>
      <c r="S28" s="180"/>
      <c r="T28" s="180"/>
      <c r="U28" s="80"/>
      <c r="V28" s="5"/>
    </row>
    <row r="29" spans="2:30" ht="31.5" hidden="1" customHeight="1" x14ac:dyDescent="0.35">
      <c r="F29" s="181"/>
      <c r="G29" s="182"/>
      <c r="H29" s="183" t="s">
        <v>53</v>
      </c>
      <c r="I29" s="184" t="s">
        <v>48</v>
      </c>
      <c r="J29" s="185">
        <f>J27</f>
        <v>58.545937261202575</v>
      </c>
      <c r="K29" s="185">
        <f>K27</f>
        <v>24.684896575544091</v>
      </c>
      <c r="L29" s="185">
        <f>L27</f>
        <v>-158.16226516819418</v>
      </c>
      <c r="M29" s="107"/>
      <c r="N29" s="186" t="s">
        <v>94</v>
      </c>
      <c r="O29" s="187"/>
      <c r="P29" s="20" t="s">
        <v>95</v>
      </c>
      <c r="Q29" s="20"/>
      <c r="R29" s="41"/>
      <c r="S29" s="188" t="s">
        <v>96</v>
      </c>
      <c r="T29" s="20"/>
      <c r="U29" s="151"/>
      <c r="V29" s="5"/>
    </row>
    <row r="30" spans="2:30" s="4" customFormat="1" ht="14.25" hidden="1" customHeight="1" x14ac:dyDescent="0.4">
      <c r="F30" s="49"/>
      <c r="G30" s="189"/>
      <c r="H30" s="190"/>
      <c r="I30" s="191" t="s">
        <v>55</v>
      </c>
      <c r="J30" s="192">
        <f>(1-D22)*J27</f>
        <v>17.655779140623444</v>
      </c>
      <c r="K30" s="192">
        <f>(1-D22)*K27</f>
        <v>7.4442583454165066</v>
      </c>
      <c r="L30" s="192">
        <f>(1-D22)*L27</f>
        <v>-47.697212698666384</v>
      </c>
      <c r="M30" s="107"/>
      <c r="N30" s="193"/>
      <c r="O30" s="73" t="s">
        <v>97</v>
      </c>
      <c r="Q30" s="194" t="s">
        <v>98</v>
      </c>
      <c r="R30" s="73" t="s">
        <v>99</v>
      </c>
      <c r="S30" s="20"/>
      <c r="T30" s="20"/>
      <c r="U30" s="94"/>
    </row>
    <row r="31" spans="2:30" s="4" customFormat="1" ht="14.25" hidden="1" customHeight="1" x14ac:dyDescent="0.4">
      <c r="F31" s="50"/>
      <c r="G31" s="195"/>
      <c r="H31" s="196"/>
      <c r="I31" s="197" t="s">
        <v>58</v>
      </c>
      <c r="J31" s="198">
        <f>J27*J26</f>
        <v>1</v>
      </c>
      <c r="K31" s="198">
        <f>K27*K26</f>
        <v>1</v>
      </c>
      <c r="L31" s="198">
        <f>L27*L26</f>
        <v>0.99999999999999989</v>
      </c>
      <c r="M31" s="111"/>
      <c r="N31" s="157">
        <f>ABS((J26/Q28))-I21</f>
        <v>-0.53119451508162441</v>
      </c>
      <c r="O31" s="73" t="s">
        <v>100</v>
      </c>
      <c r="P31" s="20"/>
      <c r="Q31" s="20"/>
      <c r="R31" s="40"/>
      <c r="S31" s="42"/>
      <c r="T31" s="42"/>
      <c r="U31" s="149"/>
    </row>
    <row r="32" spans="2:30" s="4" customFormat="1" ht="12.75" hidden="1" customHeight="1" x14ac:dyDescent="0.3">
      <c r="B32" s="199"/>
      <c r="C32" s="51"/>
      <c r="E32" s="30"/>
      <c r="G32" s="200"/>
      <c r="H32" s="201"/>
      <c r="I32" s="202" t="s">
        <v>59</v>
      </c>
      <c r="J32" s="203">
        <f>(D22-J26)*J27</f>
        <v>39.89015812057913</v>
      </c>
      <c r="K32" s="203">
        <f>(D22-K26)*K27</f>
        <v>16.240638230127583</v>
      </c>
      <c r="L32" s="203">
        <f>(D22-L26)*L27</f>
        <v>-111.46505246952779</v>
      </c>
      <c r="M32" s="111"/>
      <c r="N32" s="160">
        <f>NORMSDIST(N31)</f>
        <v>0.29764199672604891</v>
      </c>
      <c r="O32" s="43" t="s">
        <v>101</v>
      </c>
      <c r="P32" s="44"/>
      <c r="Q32" s="20"/>
      <c r="R32" s="20"/>
      <c r="S32" s="20"/>
      <c r="T32" s="20"/>
      <c r="U32" s="94"/>
    </row>
    <row r="33" spans="2:22" s="4" customFormat="1" ht="12.75" hidden="1" customHeight="1" x14ac:dyDescent="0.3">
      <c r="B33" s="199"/>
      <c r="G33" s="204"/>
      <c r="H33" s="205"/>
      <c r="I33" s="205"/>
      <c r="J33" s="206"/>
      <c r="K33" s="206"/>
      <c r="L33" s="206"/>
      <c r="M33" s="111"/>
      <c r="N33" s="165">
        <f>1-N32</f>
        <v>0.70235800327395115</v>
      </c>
      <c r="O33" s="167" t="s">
        <v>102</v>
      </c>
      <c r="P33" s="167"/>
      <c r="Q33" s="168"/>
      <c r="R33" s="207"/>
      <c r="S33" s="208"/>
      <c r="T33" s="208"/>
      <c r="U33" s="169"/>
    </row>
    <row r="34" spans="2:22" s="4" customFormat="1" ht="31.5" hidden="1" customHeight="1" x14ac:dyDescent="0.3">
      <c r="B34" s="119"/>
      <c r="F34" s="29"/>
      <c r="G34" s="209"/>
      <c r="H34" s="183" t="s">
        <v>54</v>
      </c>
      <c r="I34" s="210" t="s">
        <v>103</v>
      </c>
      <c r="J34" s="211">
        <f>ABS(J27)</f>
        <v>58.545937261202575</v>
      </c>
      <c r="K34" s="211">
        <f>ABS(L27)</f>
        <v>158.16226516819418</v>
      </c>
      <c r="L34" s="211">
        <f>ABS(K27)</f>
        <v>24.684896575544091</v>
      </c>
      <c r="M34" s="111"/>
      <c r="N34" s="106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19"/>
      <c r="G35" s="189"/>
      <c r="H35" s="190"/>
      <c r="I35" s="191" t="s">
        <v>55</v>
      </c>
      <c r="J35" s="192">
        <f>ABS((1-(D22-J26))*J27)</f>
        <v>18.655779140623444</v>
      </c>
      <c r="K35" s="192">
        <f>ABS((1-(D22-L26))*L27)</f>
        <v>46.697212698666391</v>
      </c>
      <c r="L35" s="192">
        <f>ABS((1-(D22-K26))*K27)</f>
        <v>8.4442583454165074</v>
      </c>
      <c r="M35" s="111"/>
      <c r="N35" s="106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19"/>
      <c r="F36" s="56"/>
      <c r="G36" s="212"/>
      <c r="H36" s="213"/>
      <c r="I36" s="214" t="s">
        <v>56</v>
      </c>
      <c r="J36" s="215">
        <f>J27*J26</f>
        <v>1</v>
      </c>
      <c r="K36" s="215">
        <f>L27*L26</f>
        <v>0.99999999999999989</v>
      </c>
      <c r="L36" s="215">
        <f>K27*K26</f>
        <v>1</v>
      </c>
      <c r="M36" s="111"/>
      <c r="N36" s="106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16" t="s">
        <v>104</v>
      </c>
      <c r="C37" s="57"/>
      <c r="D37" s="57"/>
      <c r="E37" s="57"/>
      <c r="F37" s="52"/>
      <c r="G37" s="200"/>
      <c r="H37" s="201"/>
      <c r="I37" s="202" t="s">
        <v>57</v>
      </c>
      <c r="J37" s="203">
        <f>ABS(D22*J27)</f>
        <v>40.89015812057913</v>
      </c>
      <c r="K37" s="203">
        <f>ABS(D22*L27)</f>
        <v>110.46505246952779</v>
      </c>
      <c r="L37" s="203">
        <f>ABS(D22*K27)</f>
        <v>17.240638230127583</v>
      </c>
      <c r="M37" s="107"/>
      <c r="N37" s="106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84"/>
      <c r="C38" s="58" t="s">
        <v>20</v>
      </c>
      <c r="D38" s="59" t="s">
        <v>21</v>
      </c>
      <c r="E38" s="20"/>
      <c r="F38" s="52"/>
      <c r="G38" s="217"/>
      <c r="H38" s="218"/>
      <c r="I38" s="219"/>
      <c r="J38" s="220"/>
      <c r="K38" s="220"/>
      <c r="L38" s="220"/>
      <c r="M38" s="124"/>
      <c r="N38" s="111"/>
      <c r="O38" s="4"/>
      <c r="P38" s="4"/>
      <c r="Q38" s="4"/>
      <c r="R38" s="4"/>
    </row>
    <row r="39" spans="2:22" ht="12.75" hidden="1" customHeight="1" x14ac:dyDescent="0.3">
      <c r="B39" s="221" t="s">
        <v>32</v>
      </c>
      <c r="C39" s="61" t="s">
        <v>3</v>
      </c>
      <c r="D39" s="62" t="s">
        <v>2</v>
      </c>
      <c r="E39" s="63" t="s">
        <v>22</v>
      </c>
      <c r="G39" s="107"/>
      <c r="H39" s="107"/>
      <c r="I39" s="107"/>
      <c r="J39" s="107"/>
      <c r="K39" s="107"/>
      <c r="L39" s="107"/>
      <c r="M39" s="107"/>
      <c r="N39" s="111"/>
      <c r="O39" s="4"/>
      <c r="P39" s="4"/>
      <c r="Q39" s="4"/>
      <c r="R39" s="4"/>
      <c r="U39" s="5"/>
      <c r="V39" s="5"/>
    </row>
    <row r="40" spans="2:22" ht="12.75" hidden="1" customHeight="1" x14ac:dyDescent="0.3">
      <c r="B40" s="222" t="s">
        <v>17</v>
      </c>
      <c r="C40" s="64">
        <f>F7*D9/F9</f>
        <v>2067.5696392785571</v>
      </c>
      <c r="D40" s="64">
        <f>F7*E9/F9</f>
        <v>929.43036072144287</v>
      </c>
      <c r="E40" s="64">
        <f>F7</f>
        <v>2997</v>
      </c>
      <c r="G40" s="223"/>
      <c r="H40" s="224" t="s">
        <v>30</v>
      </c>
      <c r="I40" s="225">
        <f>CHIINV(0.05,K41)</f>
        <v>3.8414588206941236</v>
      </c>
      <c r="J40" s="107"/>
      <c r="K40" s="107"/>
      <c r="L40" s="107"/>
      <c r="M40" s="107"/>
      <c r="N40" s="111"/>
      <c r="O40" s="53"/>
      <c r="P40" s="53"/>
      <c r="Q40" s="53"/>
      <c r="R40" s="4"/>
      <c r="U40" s="5"/>
      <c r="V40" s="5"/>
    </row>
    <row r="41" spans="2:22" ht="12.75" hidden="1" customHeight="1" x14ac:dyDescent="0.3">
      <c r="B41" s="226" t="s">
        <v>18</v>
      </c>
      <c r="C41" s="64">
        <f>F8*D9/F9</f>
        <v>2063.4303607214429</v>
      </c>
      <c r="D41" s="64">
        <f>F8*E9/F9</f>
        <v>927.56963927855713</v>
      </c>
      <c r="E41" s="64">
        <f>F8</f>
        <v>2991</v>
      </c>
      <c r="F41" s="12"/>
      <c r="G41" s="227"/>
      <c r="H41" s="227"/>
      <c r="I41" s="228"/>
      <c r="J41" s="229" t="s">
        <v>31</v>
      </c>
      <c r="K41" s="230">
        <f>(COUNT(C40:D40)-1)*(COUNT(C40:C41)-1)</f>
        <v>1</v>
      </c>
      <c r="L41" s="107"/>
      <c r="M41" s="107"/>
      <c r="N41" s="107"/>
      <c r="O41" s="53"/>
      <c r="P41" s="53"/>
      <c r="Q41" s="53"/>
      <c r="R41" s="4"/>
      <c r="U41" s="5"/>
      <c r="V41" s="5"/>
    </row>
    <row r="42" spans="2:22" ht="12.75" hidden="1" customHeight="1" x14ac:dyDescent="0.3">
      <c r="B42" s="231" t="s">
        <v>29</v>
      </c>
      <c r="C42" s="64">
        <f>SUM(C40:C41)</f>
        <v>4131</v>
      </c>
      <c r="D42" s="64">
        <f>SUM(D40:D41)</f>
        <v>1857</v>
      </c>
      <c r="E42" s="65">
        <f>SUM(E40:E41)</f>
        <v>5988</v>
      </c>
      <c r="F42" s="12"/>
      <c r="G42" s="124"/>
      <c r="H42" s="232" t="s">
        <v>33</v>
      </c>
      <c r="I42" s="77" t="s">
        <v>34</v>
      </c>
      <c r="J42" s="107"/>
      <c r="K42" s="107"/>
      <c r="L42" s="107"/>
      <c r="M42" s="107"/>
      <c r="N42" s="107"/>
      <c r="O42" s="53"/>
      <c r="P42" s="54"/>
      <c r="Q42" s="53"/>
      <c r="R42" s="4"/>
      <c r="U42" s="5"/>
      <c r="V42" s="5"/>
    </row>
    <row r="43" spans="2:22" ht="12.75" hidden="1" customHeight="1" x14ac:dyDescent="0.3">
      <c r="B43" s="231"/>
      <c r="C43" s="66"/>
      <c r="D43" s="66"/>
      <c r="E43" s="67"/>
      <c r="F43" s="12"/>
      <c r="G43" s="124"/>
      <c r="H43" s="232" t="s">
        <v>35</v>
      </c>
      <c r="I43" s="77" t="s">
        <v>36</v>
      </c>
      <c r="J43" s="107"/>
      <c r="K43" s="107"/>
      <c r="L43" s="107"/>
      <c r="M43" s="107"/>
      <c r="N43" s="107"/>
      <c r="O43" s="55"/>
      <c r="P43" s="55"/>
      <c r="Q43" s="55"/>
      <c r="R43" s="4"/>
      <c r="U43" s="5"/>
      <c r="V43" s="5"/>
    </row>
    <row r="44" spans="2:22" ht="26.25" hidden="1" customHeight="1" x14ac:dyDescent="0.3">
      <c r="B44" s="233"/>
      <c r="C44" s="333" t="s">
        <v>105</v>
      </c>
      <c r="D44" s="334"/>
      <c r="G44" s="107"/>
      <c r="H44" s="234"/>
      <c r="I44" s="107"/>
      <c r="J44" s="107"/>
      <c r="K44" s="107"/>
      <c r="L44" s="107"/>
      <c r="M44" s="107"/>
      <c r="N44" s="107"/>
      <c r="O44" s="5"/>
      <c r="P44" s="5"/>
      <c r="U44" s="5"/>
      <c r="V44" s="5"/>
    </row>
    <row r="45" spans="2:22" ht="12.75" hidden="1" customHeight="1" x14ac:dyDescent="0.3">
      <c r="B45" s="233"/>
      <c r="C45" s="68">
        <f>(D7-C40)^2/C40</f>
        <v>0.31621979758982449</v>
      </c>
      <c r="D45" s="68">
        <f>(E7-D40)^2/D40</f>
        <v>0.7034485642668632</v>
      </c>
      <c r="F45" s="60"/>
      <c r="G45" s="235"/>
      <c r="H45" s="107"/>
      <c r="I45" s="107"/>
      <c r="J45" s="111"/>
      <c r="K45" s="111"/>
      <c r="L45" s="236"/>
      <c r="M45" s="107"/>
      <c r="N45" s="107"/>
      <c r="O45" s="5"/>
      <c r="P45" s="5"/>
      <c r="U45" s="5"/>
      <c r="V45" s="5"/>
    </row>
    <row r="46" spans="2:22" ht="12.75" hidden="1" customHeight="1" x14ac:dyDescent="0.3">
      <c r="B46" s="233"/>
      <c r="C46" s="68">
        <f>(D8-C41)^2/C41</f>
        <v>0.31685414021287328</v>
      </c>
      <c r="D46" s="68">
        <f>(E8-D41)^2/D41</f>
        <v>0.7048596947869572</v>
      </c>
      <c r="E46" s="16"/>
      <c r="F46" s="69" t="s">
        <v>37</v>
      </c>
      <c r="G46" s="237">
        <f>C48-I40</f>
        <v>-1.8000766238376054</v>
      </c>
      <c r="H46" s="107"/>
      <c r="I46" s="107"/>
      <c r="J46" s="111"/>
      <c r="K46" s="111"/>
      <c r="L46" s="107"/>
      <c r="M46" s="107"/>
      <c r="N46" s="107"/>
      <c r="O46" s="5"/>
      <c r="P46" s="5"/>
      <c r="U46" s="5"/>
      <c r="V46" s="5"/>
    </row>
    <row r="47" spans="2:22" ht="12.75" hidden="1" customHeight="1" thickBot="1" x14ac:dyDescent="0.35">
      <c r="B47" s="77" t="s">
        <v>39</v>
      </c>
      <c r="D47" s="70"/>
      <c r="G47" s="86" t="s">
        <v>40</v>
      </c>
      <c r="H47" s="107"/>
      <c r="I47" s="107"/>
      <c r="J47" s="111"/>
      <c r="K47" s="111"/>
      <c r="L47" s="107"/>
      <c r="M47" s="107"/>
      <c r="N47" s="107"/>
      <c r="O47" s="5"/>
      <c r="P47" s="5"/>
      <c r="U47" s="5"/>
      <c r="V47" s="5"/>
    </row>
    <row r="48" spans="2:22" ht="13.5" hidden="1" customHeight="1" thickBot="1" x14ac:dyDescent="0.35">
      <c r="B48" s="95" t="s">
        <v>38</v>
      </c>
      <c r="C48" s="238">
        <f>SUM(C45:D46)</f>
        <v>2.0413821968565182</v>
      </c>
      <c r="D48" s="20"/>
      <c r="G48" s="86" t="s">
        <v>41</v>
      </c>
      <c r="H48" s="107"/>
      <c r="I48" s="239"/>
      <c r="J48" s="111"/>
      <c r="K48" s="111"/>
      <c r="L48" s="240"/>
      <c r="M48" s="107"/>
      <c r="N48" s="107"/>
      <c r="O48" s="5"/>
      <c r="P48" s="5"/>
      <c r="U48" s="5"/>
      <c r="V48" s="5"/>
    </row>
    <row r="49" spans="2:22" ht="12.75" hidden="1" customHeight="1" thickBot="1" x14ac:dyDescent="0.35">
      <c r="B49" s="241" t="s">
        <v>65</v>
      </c>
      <c r="C49" s="242">
        <f>CHIDIST(C48,1)</f>
        <v>0.15307050336353564</v>
      </c>
      <c r="E49" s="20"/>
      <c r="F49" s="20"/>
      <c r="G49" s="106"/>
      <c r="H49" s="243"/>
      <c r="I49" s="106"/>
      <c r="J49" s="111"/>
      <c r="K49" s="111"/>
      <c r="L49" s="106"/>
      <c r="M49" s="107"/>
      <c r="N49" s="107"/>
      <c r="O49" s="5"/>
      <c r="P49" s="5"/>
      <c r="U49" s="5"/>
      <c r="V49" s="5"/>
    </row>
    <row r="50" spans="2:22" s="4" customFormat="1" ht="12.75" hidden="1" customHeight="1" x14ac:dyDescent="0.3">
      <c r="B50" s="119"/>
      <c r="E50" s="71"/>
      <c r="F50" s="71"/>
      <c r="G50" s="111"/>
      <c r="H50" s="111"/>
      <c r="I50" s="244"/>
      <c r="J50" s="111"/>
      <c r="K50" s="111"/>
      <c r="L50" s="111"/>
      <c r="M50" s="111"/>
      <c r="N50" s="111"/>
    </row>
    <row r="51" spans="2:22" ht="13.5" hidden="1" customHeight="1" x14ac:dyDescent="0.3">
      <c r="B51" s="84"/>
      <c r="G51" s="107"/>
      <c r="H51" s="107"/>
      <c r="I51" s="107"/>
      <c r="J51" s="111"/>
      <c r="K51" s="111"/>
      <c r="L51" s="107"/>
      <c r="M51" s="107"/>
      <c r="N51" s="107"/>
      <c r="O51" s="5"/>
      <c r="P51" s="5"/>
      <c r="U51" s="5"/>
      <c r="V51" s="5"/>
    </row>
    <row r="52" spans="2:22" ht="12.75" hidden="1" customHeight="1" thickBot="1" x14ac:dyDescent="0.35">
      <c r="B52" s="245" t="s">
        <v>106</v>
      </c>
      <c r="C52" s="93"/>
      <c r="D52" s="93"/>
      <c r="E52" s="93"/>
      <c r="F52" s="93"/>
      <c r="G52" s="93"/>
      <c r="H52" s="246"/>
      <c r="I52" s="107"/>
      <c r="J52" s="247" t="s">
        <v>107</v>
      </c>
      <c r="K52" s="248"/>
      <c r="L52" s="249"/>
      <c r="M52" s="249"/>
      <c r="N52" s="249"/>
      <c r="O52" s="80"/>
      <c r="P52" s="5"/>
      <c r="U52" s="5"/>
      <c r="V52" s="5"/>
    </row>
    <row r="53" spans="2:22" ht="12.75" hidden="1" customHeight="1" thickBot="1" x14ac:dyDescent="0.35">
      <c r="B53" s="250">
        <f>I2*100</f>
        <v>95</v>
      </c>
      <c r="C53" s="52"/>
      <c r="D53" s="52"/>
      <c r="E53" s="4"/>
      <c r="F53" s="4"/>
      <c r="G53" s="4"/>
      <c r="H53" s="94"/>
      <c r="I53" s="107"/>
      <c r="J53" s="251"/>
      <c r="K53" s="111"/>
      <c r="L53" s="106"/>
      <c r="M53" s="106"/>
      <c r="N53" s="106"/>
      <c r="O53" s="151"/>
      <c r="P53" s="5"/>
      <c r="U53" s="5"/>
      <c r="V53" s="5"/>
    </row>
    <row r="54" spans="2:22" ht="12.75" hidden="1" customHeight="1" x14ac:dyDescent="0.3">
      <c r="B54" s="252" t="s">
        <v>44</v>
      </c>
      <c r="C54" s="253"/>
      <c r="D54" s="253"/>
      <c r="E54" s="1">
        <f>ROUND(G14,2)</f>
        <v>0.98</v>
      </c>
      <c r="F54" s="48">
        <f>ROUND(J26,4)</f>
        <v>1.7100000000000001E-2</v>
      </c>
      <c r="G54" s="254">
        <f>ROUND(J27,0)</f>
        <v>59</v>
      </c>
      <c r="H54" s="255"/>
      <c r="I54" s="107"/>
      <c r="J54" s="256" t="s">
        <v>44</v>
      </c>
      <c r="K54" s="4"/>
      <c r="L54" s="4"/>
      <c r="M54" s="4"/>
      <c r="N54" s="106"/>
      <c r="O54" s="151"/>
      <c r="P54" s="5"/>
      <c r="U54" s="5"/>
      <c r="V54" s="5"/>
    </row>
    <row r="55" spans="2:22" ht="12.75" hidden="1" customHeight="1" x14ac:dyDescent="0.3">
      <c r="B55" s="252" t="s">
        <v>46</v>
      </c>
      <c r="C55" s="20"/>
      <c r="D55" s="20"/>
      <c r="E55" s="1">
        <f>ROUND(H14,2)</f>
        <v>0.94</v>
      </c>
      <c r="F55" s="48">
        <f>ROUND(L26,4)</f>
        <v>-6.3E-3</v>
      </c>
      <c r="G55" s="254">
        <f>ROUND(L27,0)</f>
        <v>-158</v>
      </c>
      <c r="H55" s="255"/>
      <c r="I55" s="107"/>
      <c r="J55" s="256" t="s">
        <v>46</v>
      </c>
      <c r="K55" s="257" t="str">
        <f>ROUND(J21,4)*100&amp;J57</f>
        <v>68,13%</v>
      </c>
      <c r="L55" s="257" t="str">
        <f>ROUND(K21,4)*100&amp;J57</f>
        <v>66,44%</v>
      </c>
      <c r="M55" s="257" t="str">
        <f>ROUND(L21,4)*100&amp;J57</f>
        <v>69,78%</v>
      </c>
      <c r="N55" s="85" t="str">
        <f>CONCATENATE(K55," ",J54,L55," ",J58," ",M55,J56)</f>
        <v>68,13% (66,44% a 69,78%)</v>
      </c>
      <c r="O55" s="151"/>
      <c r="P55" s="5"/>
      <c r="U55" s="5"/>
      <c r="V55" s="5"/>
    </row>
    <row r="56" spans="2:22" s="12" customFormat="1" ht="12.75" hidden="1" customHeight="1" x14ac:dyDescent="0.3">
      <c r="B56" s="252" t="s">
        <v>45</v>
      </c>
      <c r="C56" s="253">
        <f>ROUND(D7,0)</f>
        <v>2042</v>
      </c>
      <c r="D56" s="253">
        <f>ROUND(D8,0)</f>
        <v>2089</v>
      </c>
      <c r="E56" s="1">
        <f>ROUND(I14,2)</f>
        <v>1.01</v>
      </c>
      <c r="F56" s="48">
        <f>ROUND(K26,4)</f>
        <v>4.0500000000000001E-2</v>
      </c>
      <c r="G56" s="254">
        <f>ROUND(K27,0)</f>
        <v>25</v>
      </c>
      <c r="H56" s="258">
        <f>ROUND(N32,4)</f>
        <v>0.29759999999999998</v>
      </c>
      <c r="I56" s="124"/>
      <c r="J56" s="256" t="s">
        <v>45</v>
      </c>
      <c r="K56" s="72" t="str">
        <f>ROUND(J22,4)*100&amp;J57</f>
        <v>69,84%</v>
      </c>
      <c r="L56" s="72" t="str">
        <f>ROUND(K22,4)*100&amp;J57</f>
        <v>68,17%</v>
      </c>
      <c r="M56" s="72" t="str">
        <f>ROUND(L22,4)*100&amp;J57</f>
        <v>71,46%</v>
      </c>
      <c r="N56" s="85" t="str">
        <f>CONCATENATE(K56," ",J54,L56," ",J58," ",M56,J56)</f>
        <v>69,84% (68,17% a 71,46%)</v>
      </c>
      <c r="O56" s="94"/>
    </row>
    <row r="57" spans="2:22" ht="12.75" hidden="1" customHeight="1" x14ac:dyDescent="0.3">
      <c r="B57" s="252" t="s">
        <v>47</v>
      </c>
      <c r="C57" s="259" t="s">
        <v>61</v>
      </c>
      <c r="D57" s="259" t="s">
        <v>62</v>
      </c>
      <c r="E57" s="259" t="s">
        <v>4</v>
      </c>
      <c r="F57" s="259" t="s">
        <v>50</v>
      </c>
      <c r="G57" s="260" t="s">
        <v>48</v>
      </c>
      <c r="H57" s="223" t="s">
        <v>51</v>
      </c>
      <c r="I57" s="107"/>
      <c r="J57" s="256" t="s">
        <v>47</v>
      </c>
      <c r="K57" s="72" t="str">
        <f>ROUND(J23,4)*100&amp;J57</f>
        <v>68,99%</v>
      </c>
      <c r="L57" s="72" t="str">
        <f>ROUND(K23,4)*100&amp;J57</f>
        <v>67,8%</v>
      </c>
      <c r="M57" s="72" t="str">
        <f>ROUND(L23,4)*100&amp;J57</f>
        <v>70,15%</v>
      </c>
      <c r="N57" s="85" t="str">
        <f>CONCATENATE(K57," ",J54,L57," ",J58," ",M57,J56)</f>
        <v>68,99% (67,8% a 70,15%)</v>
      </c>
      <c r="O57" s="94"/>
    </row>
    <row r="58" spans="2:22" ht="12.75" hidden="1" customHeight="1" x14ac:dyDescent="0.3">
      <c r="B58" s="261" t="s">
        <v>19</v>
      </c>
      <c r="C58" s="262" t="str">
        <f>CONCATENATE(C56,B59,C21," ",B54,K55,B56)</f>
        <v>2042/2997 (68,13%)</v>
      </c>
      <c r="D58" s="102" t="str">
        <f>CONCATENATE(D56,B59,C22," ",B54,K56,B56)</f>
        <v>2089/2991 (69,84%)</v>
      </c>
      <c r="E58" s="262" t="str">
        <f>CONCATENATE(E54," ",B54,E55,B55,E56,B56)</f>
        <v>0,98 (0,94-1,01)</v>
      </c>
      <c r="F58" s="262" t="str">
        <f>CONCATENATE(F54*100,B57," ",B54,F55*100,B57," ",B58," ",F56*100,B57,B56)</f>
        <v>1,71% (-0,63% a 4,05%)</v>
      </c>
      <c r="G58" s="223" t="str">
        <f>CONCATENATE(G54," ",B54,G56," ",B58," ",G55,B56)</f>
        <v>59 (25 a -158)</v>
      </c>
      <c r="H58" s="223" t="str">
        <f>CONCATENATE(H56*100,B57)</f>
        <v>29,76%</v>
      </c>
      <c r="I58" s="107"/>
      <c r="J58" s="263" t="s">
        <v>19</v>
      </c>
      <c r="K58" s="20"/>
      <c r="L58" s="20"/>
      <c r="M58" s="20"/>
      <c r="N58" s="106"/>
      <c r="O58" s="151"/>
      <c r="P58" s="5"/>
      <c r="U58" s="5"/>
      <c r="V58" s="5"/>
    </row>
    <row r="59" spans="2:22" ht="13.5" hidden="1" customHeight="1" thickBot="1" x14ac:dyDescent="0.35">
      <c r="B59" s="264" t="s">
        <v>49</v>
      </c>
      <c r="C59" s="171"/>
      <c r="D59" s="171"/>
      <c r="E59" s="171"/>
      <c r="F59" s="171"/>
      <c r="G59" s="265"/>
      <c r="H59" s="266"/>
      <c r="I59" s="107"/>
      <c r="J59" s="267" t="s">
        <v>49</v>
      </c>
      <c r="K59" s="171"/>
      <c r="L59" s="171"/>
      <c r="M59" s="171"/>
      <c r="N59" s="268"/>
      <c r="O59" s="169"/>
      <c r="P59" s="5"/>
      <c r="U59" s="5"/>
      <c r="V59" s="5"/>
    </row>
    <row r="60" spans="2:22" x14ac:dyDescent="0.3">
      <c r="B60" s="84"/>
      <c r="G60" s="107"/>
      <c r="H60" s="107"/>
      <c r="I60" s="107"/>
      <c r="J60" s="107"/>
      <c r="K60" s="107"/>
      <c r="L60" s="111"/>
      <c r="M60" s="107"/>
      <c r="N60" s="107"/>
      <c r="O60" s="5"/>
      <c r="P60" s="5"/>
      <c r="U60" s="5"/>
      <c r="V60" s="5"/>
    </row>
    <row r="61" spans="2:22" ht="27" customHeight="1" x14ac:dyDescent="0.3">
      <c r="B61" s="84"/>
      <c r="C61" s="269" t="s">
        <v>61</v>
      </c>
      <c r="D61" s="269" t="s">
        <v>62</v>
      </c>
      <c r="E61" s="270" t="str">
        <f>CONCATENATE(E57," ",B54,H2," ",B53,B57,B56)</f>
        <v>RR (IC 95%)</v>
      </c>
      <c r="F61" s="270" t="str">
        <f>CONCATENATE(F57," ",B54,H2," ",B53,B57,B56)</f>
        <v>RAR (IC 95%)</v>
      </c>
      <c r="G61" s="270" t="str">
        <f>CONCATENATE(G57," ",B54,H2," ",B53,B57,B56)</f>
        <v>NNT (IC 95%)</v>
      </c>
      <c r="H61" s="270" t="s">
        <v>52</v>
      </c>
      <c r="I61" s="271"/>
      <c r="J61" s="270" t="s">
        <v>66</v>
      </c>
      <c r="L61" s="270" t="s">
        <v>108</v>
      </c>
      <c r="M61" s="270" t="s">
        <v>109</v>
      </c>
      <c r="O61" s="5"/>
      <c r="P61" s="5"/>
      <c r="U61" s="5"/>
      <c r="V61" s="5"/>
    </row>
    <row r="62" spans="2:22" ht="21" customHeight="1" x14ac:dyDescent="0.3">
      <c r="B62" s="84"/>
      <c r="C62" s="102" t="str">
        <f t="shared" ref="C62:H62" si="0">C58</f>
        <v>2042/2997 (68,13%)</v>
      </c>
      <c r="D62" s="102" t="str">
        <f t="shared" si="0"/>
        <v>2089/2991 (69,84%)</v>
      </c>
      <c r="E62" s="102" t="str">
        <f t="shared" si="0"/>
        <v>0,98 (0,94-1,01)</v>
      </c>
      <c r="F62" s="102" t="str">
        <f t="shared" si="0"/>
        <v>1,71% (-0,63% a 4,05%)</v>
      </c>
      <c r="G62" s="102" t="str">
        <f t="shared" si="0"/>
        <v>59 (25 a -158)</v>
      </c>
      <c r="H62" s="102" t="str">
        <f t="shared" si="0"/>
        <v>29,76%</v>
      </c>
      <c r="I62" s="272"/>
      <c r="J62" s="273">
        <f>C49</f>
        <v>0.15307050336353564</v>
      </c>
      <c r="L62" s="274">
        <f>IF((K26*L26&lt;0),J23,J21)</f>
        <v>0.68987975951903813</v>
      </c>
      <c r="M62" s="274">
        <f>IF((K26*L26&lt;0),J23,J22)</f>
        <v>0.68987975951903813</v>
      </c>
      <c r="O62" s="5"/>
      <c r="P62" s="5"/>
      <c r="U62" s="5"/>
      <c r="V62" s="5"/>
    </row>
    <row r="63" spans="2:22" x14ac:dyDescent="0.3">
      <c r="L63" s="4"/>
    </row>
    <row r="64" spans="2:22" x14ac:dyDescent="0.3">
      <c r="L64" s="4"/>
    </row>
    <row r="65" spans="2:5" x14ac:dyDescent="0.3">
      <c r="B65" s="303" t="s">
        <v>167</v>
      </c>
    </row>
    <row r="66" spans="2:5" ht="13.5" thickBot="1" x14ac:dyDescent="0.35">
      <c r="B66" s="302" t="s">
        <v>168</v>
      </c>
    </row>
    <row r="67" spans="2:5" ht="25.5" customHeight="1" thickBot="1" x14ac:dyDescent="0.35">
      <c r="B67" s="313" t="s">
        <v>227</v>
      </c>
      <c r="C67" s="300"/>
      <c r="D67" s="300"/>
      <c r="E67" s="301"/>
    </row>
    <row r="68" spans="2:5" ht="39.5" thickBot="1" x14ac:dyDescent="0.35">
      <c r="B68" s="278" t="s">
        <v>111</v>
      </c>
      <c r="C68" s="279" t="s">
        <v>232</v>
      </c>
      <c r="D68" s="280" t="s">
        <v>142</v>
      </c>
      <c r="E68" s="281" t="s">
        <v>112</v>
      </c>
    </row>
    <row r="69" spans="2:5" ht="13.5" thickBot="1" x14ac:dyDescent="0.35">
      <c r="B69" s="282"/>
      <c r="C69" s="283"/>
      <c r="D69" s="283"/>
      <c r="E69" s="283"/>
    </row>
    <row r="70" spans="2:5" x14ac:dyDescent="0.3">
      <c r="B70" s="284" t="s">
        <v>113</v>
      </c>
      <c r="C70" s="295" t="s">
        <v>143</v>
      </c>
      <c r="D70" s="295" t="s">
        <v>144</v>
      </c>
      <c r="E70" s="304">
        <v>0.68227237998146828</v>
      </c>
    </row>
    <row r="71" spans="2:5" ht="13.5" thickBot="1" x14ac:dyDescent="0.35">
      <c r="B71" s="285" t="s">
        <v>114</v>
      </c>
      <c r="C71" s="286" t="s">
        <v>169</v>
      </c>
      <c r="D71" s="287" t="s">
        <v>198</v>
      </c>
      <c r="E71" s="288">
        <v>0.94443554774802663</v>
      </c>
    </row>
    <row r="72" spans="2:5" ht="13.5" thickBot="1" x14ac:dyDescent="0.35">
      <c r="B72" s="289"/>
      <c r="C72" s="290"/>
      <c r="D72" s="290"/>
      <c r="E72" s="291"/>
    </row>
    <row r="73" spans="2:5" x14ac:dyDescent="0.3">
      <c r="B73" s="75" t="s">
        <v>115</v>
      </c>
      <c r="C73" s="91" t="s">
        <v>151</v>
      </c>
      <c r="D73" s="91" t="s">
        <v>152</v>
      </c>
      <c r="E73" s="304">
        <v>0.80474119863551752</v>
      </c>
    </row>
    <row r="74" spans="2:5" x14ac:dyDescent="0.3">
      <c r="B74" s="292" t="s">
        <v>116</v>
      </c>
      <c r="C74" s="102" t="s">
        <v>149</v>
      </c>
      <c r="D74" s="102" t="s">
        <v>150</v>
      </c>
      <c r="E74" s="305">
        <v>0.74510102396957012</v>
      </c>
    </row>
    <row r="75" spans="2:5" x14ac:dyDescent="0.3">
      <c r="B75" s="292" t="s">
        <v>117</v>
      </c>
      <c r="C75" s="102" t="s">
        <v>147</v>
      </c>
      <c r="D75" s="102" t="s">
        <v>148</v>
      </c>
      <c r="E75" s="305">
        <v>0.38994618895184208</v>
      </c>
    </row>
    <row r="76" spans="2:5" x14ac:dyDescent="0.3">
      <c r="B76" s="308" t="s">
        <v>140</v>
      </c>
      <c r="C76" s="309" t="s">
        <v>158</v>
      </c>
      <c r="D76" s="309" t="s">
        <v>159</v>
      </c>
      <c r="E76" s="310">
        <v>1</v>
      </c>
    </row>
    <row r="77" spans="2:5" ht="13.5" thickBot="1" x14ac:dyDescent="0.35">
      <c r="B77" s="76" t="s">
        <v>160</v>
      </c>
      <c r="C77" s="74" t="s">
        <v>170</v>
      </c>
      <c r="D77" s="74" t="s">
        <v>199</v>
      </c>
      <c r="E77" s="306">
        <v>0.66027450768844331</v>
      </c>
    </row>
    <row r="78" spans="2:5" ht="13.5" thickBot="1" x14ac:dyDescent="0.35">
      <c r="B78" s="293" t="s">
        <v>118</v>
      </c>
      <c r="C78" s="293"/>
      <c r="D78" s="293"/>
    </row>
    <row r="79" spans="2:5" x14ac:dyDescent="0.3">
      <c r="B79" s="294" t="s">
        <v>119</v>
      </c>
      <c r="C79" s="295" t="s">
        <v>171</v>
      </c>
      <c r="D79" s="295" t="s">
        <v>200</v>
      </c>
      <c r="E79" s="304">
        <v>0.4422337928509531</v>
      </c>
    </row>
    <row r="80" spans="2:5" x14ac:dyDescent="0.3">
      <c r="B80" s="296" t="s">
        <v>120</v>
      </c>
      <c r="C80" s="297" t="s">
        <v>172</v>
      </c>
      <c r="D80" s="297" t="s">
        <v>201</v>
      </c>
      <c r="E80" s="305">
        <v>0.96486167403943035</v>
      </c>
    </row>
    <row r="81" spans="2:7" x14ac:dyDescent="0.3">
      <c r="B81" s="296" t="s">
        <v>121</v>
      </c>
      <c r="C81" s="297" t="s">
        <v>173</v>
      </c>
      <c r="D81" s="297" t="s">
        <v>202</v>
      </c>
      <c r="E81" s="305">
        <v>0.6222281452004671</v>
      </c>
    </row>
    <row r="82" spans="2:7" ht="13.5" thickBot="1" x14ac:dyDescent="0.35">
      <c r="B82" s="298" t="s">
        <v>122</v>
      </c>
      <c r="C82" s="286" t="s">
        <v>174</v>
      </c>
      <c r="D82" s="286" t="s">
        <v>203</v>
      </c>
      <c r="E82" s="306">
        <v>6.3087036667900109E-2</v>
      </c>
    </row>
    <row r="83" spans="2:7" ht="13.5" thickBot="1" x14ac:dyDescent="0.35">
      <c r="B83" s="293" t="s">
        <v>123</v>
      </c>
      <c r="C83" s="293"/>
      <c r="D83" s="293"/>
    </row>
    <row r="84" spans="2:7" x14ac:dyDescent="0.3">
      <c r="B84" s="294" t="s">
        <v>134</v>
      </c>
      <c r="C84" s="295" t="s">
        <v>175</v>
      </c>
      <c r="D84" s="295" t="s">
        <v>204</v>
      </c>
      <c r="E84" s="304">
        <v>0.99366481427723152</v>
      </c>
    </row>
    <row r="85" spans="2:7" x14ac:dyDescent="0.3">
      <c r="B85" s="296" t="s">
        <v>124</v>
      </c>
      <c r="C85" s="297" t="s">
        <v>176</v>
      </c>
      <c r="D85" s="297" t="s">
        <v>205</v>
      </c>
      <c r="E85" s="305">
        <v>0.99113217015099619</v>
      </c>
    </row>
    <row r="86" spans="2:7" x14ac:dyDescent="0.3">
      <c r="B86" s="296" t="s">
        <v>125</v>
      </c>
      <c r="C86" s="297" t="s">
        <v>177</v>
      </c>
      <c r="D86" s="297" t="s">
        <v>206</v>
      </c>
      <c r="E86" s="305">
        <v>0.98771378112963892</v>
      </c>
    </row>
    <row r="87" spans="2:7" x14ac:dyDescent="0.3">
      <c r="B87" s="311" t="s">
        <v>145</v>
      </c>
      <c r="C87" s="312" t="s">
        <v>178</v>
      </c>
      <c r="D87" s="312" t="s">
        <v>207</v>
      </c>
      <c r="E87" s="310">
        <v>0.97774966627432147</v>
      </c>
    </row>
    <row r="88" spans="2:7" ht="13.5" thickBot="1" x14ac:dyDescent="0.35">
      <c r="B88" s="285" t="s">
        <v>146</v>
      </c>
      <c r="C88" s="286" t="s">
        <v>179</v>
      </c>
      <c r="D88" s="286" t="s">
        <v>208</v>
      </c>
      <c r="E88" s="306">
        <v>0.97373964888294018</v>
      </c>
    </row>
    <row r="89" spans="2:7" ht="15" thickBot="1" x14ac:dyDescent="0.4">
      <c r="B89" s="275" t="s">
        <v>135</v>
      </c>
    </row>
    <row r="90" spans="2:7" x14ac:dyDescent="0.3">
      <c r="B90" s="75" t="s">
        <v>136</v>
      </c>
      <c r="C90" s="91" t="s">
        <v>180</v>
      </c>
      <c r="D90" s="91" t="s">
        <v>209</v>
      </c>
      <c r="E90" s="304">
        <v>0.30593892193930033</v>
      </c>
    </row>
    <row r="91" spans="2:7" ht="13.5" thickBot="1" x14ac:dyDescent="0.35">
      <c r="B91" s="82" t="s">
        <v>137</v>
      </c>
      <c r="C91" s="74" t="s">
        <v>181</v>
      </c>
      <c r="D91" s="74" t="s">
        <v>210</v>
      </c>
      <c r="E91" s="306">
        <v>0.28110620320679575</v>
      </c>
    </row>
    <row r="92" spans="2:7" ht="13.5" thickBot="1" x14ac:dyDescent="0.35">
      <c r="B92" s="275" t="s">
        <v>234</v>
      </c>
    </row>
    <row r="93" spans="2:7" x14ac:dyDescent="0.3">
      <c r="B93" s="307" t="s">
        <v>157</v>
      </c>
      <c r="C93" s="91" t="s">
        <v>153</v>
      </c>
      <c r="D93" s="91" t="s">
        <v>153</v>
      </c>
      <c r="E93" s="304">
        <v>1</v>
      </c>
      <c r="G93" s="5" t="s">
        <v>233</v>
      </c>
    </row>
    <row r="94" spans="2:7" x14ac:dyDescent="0.3">
      <c r="B94" s="81" t="s">
        <v>154</v>
      </c>
      <c r="C94" s="102" t="s">
        <v>182</v>
      </c>
      <c r="D94" s="102" t="s">
        <v>211</v>
      </c>
      <c r="E94" s="305">
        <v>0.89051647559112823</v>
      </c>
    </row>
    <row r="95" spans="2:7" x14ac:dyDescent="0.3">
      <c r="B95" s="81" t="s">
        <v>155</v>
      </c>
      <c r="C95" s="102" t="s">
        <v>183</v>
      </c>
      <c r="D95" s="102" t="s">
        <v>212</v>
      </c>
      <c r="E95" s="305">
        <v>0.91199003056074857</v>
      </c>
    </row>
    <row r="96" spans="2:7" ht="13.5" thickBot="1" x14ac:dyDescent="0.35">
      <c r="B96" s="82" t="s">
        <v>156</v>
      </c>
      <c r="C96" s="74" t="s">
        <v>184</v>
      </c>
      <c r="D96" s="74" t="s">
        <v>213</v>
      </c>
      <c r="E96" s="306">
        <v>0.9790714260967085</v>
      </c>
    </row>
    <row r="97" spans="2:5" ht="13.5" thickBot="1" x14ac:dyDescent="0.35">
      <c r="B97" s="299" t="s">
        <v>126</v>
      </c>
    </row>
    <row r="98" spans="2:5" x14ac:dyDescent="0.3">
      <c r="B98" s="75" t="s">
        <v>127</v>
      </c>
      <c r="C98" s="91" t="s">
        <v>185</v>
      </c>
      <c r="D98" s="91" t="s">
        <v>214</v>
      </c>
      <c r="E98" s="304">
        <v>0.42606364263376367</v>
      </c>
    </row>
    <row r="99" spans="2:5" x14ac:dyDescent="0.3">
      <c r="B99" s="292" t="s">
        <v>128</v>
      </c>
      <c r="C99" s="102" t="s">
        <v>186</v>
      </c>
      <c r="D99" s="102" t="s">
        <v>215</v>
      </c>
      <c r="E99" s="305">
        <v>0.50373338020311054</v>
      </c>
    </row>
    <row r="100" spans="2:5" ht="13.5" thickBot="1" x14ac:dyDescent="0.35">
      <c r="B100" s="76" t="s">
        <v>129</v>
      </c>
      <c r="C100" s="74" t="s">
        <v>187</v>
      </c>
      <c r="D100" s="74" t="s">
        <v>216</v>
      </c>
      <c r="E100" s="306">
        <v>0.63988661660744461</v>
      </c>
    </row>
    <row r="101" spans="2:5" ht="13.5" thickBot="1" x14ac:dyDescent="0.35">
      <c r="B101" s="299" t="s">
        <v>161</v>
      </c>
    </row>
    <row r="102" spans="2:5" ht="27" customHeight="1" x14ac:dyDescent="0.3">
      <c r="B102" s="307" t="s">
        <v>138</v>
      </c>
      <c r="C102" s="91" t="s">
        <v>188</v>
      </c>
      <c r="D102" s="91" t="s">
        <v>217</v>
      </c>
      <c r="E102" s="304">
        <v>0.39521630933863372</v>
      </c>
    </row>
    <row r="103" spans="2:5" x14ac:dyDescent="0.3">
      <c r="B103" s="292" t="s">
        <v>131</v>
      </c>
      <c r="C103" s="102" t="s">
        <v>189</v>
      </c>
      <c r="D103" s="102" t="s">
        <v>218</v>
      </c>
      <c r="E103" s="305">
        <v>0.81715785437387356</v>
      </c>
    </row>
    <row r="104" spans="2:5" x14ac:dyDescent="0.3">
      <c r="B104" s="292" t="s">
        <v>139</v>
      </c>
      <c r="C104" s="102" t="s">
        <v>190</v>
      </c>
      <c r="D104" s="102" t="s">
        <v>219</v>
      </c>
      <c r="E104" s="305">
        <v>0.50253484524253111</v>
      </c>
    </row>
    <row r="105" spans="2:5" ht="13.5" thickBot="1" x14ac:dyDescent="0.35">
      <c r="B105" s="76" t="s">
        <v>130</v>
      </c>
      <c r="C105" s="74" t="s">
        <v>191</v>
      </c>
      <c r="D105" s="74" t="s">
        <v>220</v>
      </c>
      <c r="E105" s="306">
        <v>0.57826867988362429</v>
      </c>
    </row>
    <row r="106" spans="2:5" ht="13.5" thickBot="1" x14ac:dyDescent="0.35">
      <c r="B106" s="299" t="s">
        <v>141</v>
      </c>
    </row>
    <row r="107" spans="2:5" x14ac:dyDescent="0.3">
      <c r="B107" s="75" t="s">
        <v>162</v>
      </c>
      <c r="C107" s="91" t="s">
        <v>192</v>
      </c>
      <c r="D107" s="91" t="s">
        <v>221</v>
      </c>
      <c r="E107" s="304">
        <v>0.53048078508992291</v>
      </c>
    </row>
    <row r="108" spans="2:5" x14ac:dyDescent="0.3">
      <c r="B108" s="292" t="s">
        <v>163</v>
      </c>
      <c r="C108" s="102" t="s">
        <v>193</v>
      </c>
      <c r="D108" s="102" t="s">
        <v>222</v>
      </c>
      <c r="E108" s="305">
        <v>0.71794167583910973</v>
      </c>
    </row>
    <row r="109" spans="2:5" x14ac:dyDescent="0.3">
      <c r="B109" s="292" t="s">
        <v>132</v>
      </c>
      <c r="C109" s="102" t="s">
        <v>194</v>
      </c>
      <c r="D109" s="102" t="s">
        <v>223</v>
      </c>
      <c r="E109" s="305">
        <v>0.3707680807814524</v>
      </c>
    </row>
    <row r="110" spans="2:5" x14ac:dyDescent="0.3">
      <c r="B110" s="292" t="s">
        <v>133</v>
      </c>
      <c r="C110" s="102" t="s">
        <v>195</v>
      </c>
      <c r="D110" s="102" t="s">
        <v>224</v>
      </c>
      <c r="E110" s="305">
        <v>0.82570778617266538</v>
      </c>
    </row>
    <row r="111" spans="2:5" x14ac:dyDescent="0.3">
      <c r="B111" s="292" t="s">
        <v>164</v>
      </c>
      <c r="C111" s="102" t="s">
        <v>196</v>
      </c>
      <c r="D111" s="102" t="s">
        <v>225</v>
      </c>
      <c r="E111" s="305">
        <v>0.36604346548179578</v>
      </c>
    </row>
    <row r="112" spans="2:5" ht="13.5" thickBot="1" x14ac:dyDescent="0.35">
      <c r="B112" s="76" t="s">
        <v>165</v>
      </c>
      <c r="C112" s="74" t="s">
        <v>197</v>
      </c>
      <c r="D112" s="74" t="s">
        <v>226</v>
      </c>
      <c r="E112" s="306">
        <v>0.15307050336353564</v>
      </c>
    </row>
    <row r="113" spans="2:5" ht="5.25" customHeight="1" x14ac:dyDescent="0.3"/>
    <row r="114" spans="2:5" ht="30.75" customHeight="1" x14ac:dyDescent="0.3">
      <c r="B114" s="324" t="s">
        <v>166</v>
      </c>
      <c r="C114" s="325"/>
      <c r="D114" s="325"/>
      <c r="E114" s="326"/>
    </row>
  </sheetData>
  <mergeCells count="4">
    <mergeCell ref="B114:E114"/>
    <mergeCell ref="B2:F2"/>
    <mergeCell ref="B3:F3"/>
    <mergeCell ref="C44:D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2023-02-08T15:47:02Z</dcterms:modified>
</cp:coreProperties>
</file>