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1202-Galo\0-Datos\10-Temas publc\20211030-VÑ DAPA-CKD\"/>
    </mc:Choice>
  </mc:AlternateContent>
  <xr:revisionPtr revIDLastSave="0" documentId="13_ncr:1_{804EF637-4736-4549-A0E1-BFB4E0F328FD}" xr6:coauthVersionLast="36" xr6:coauthVersionMax="36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áf1 Mort 3x3" sheetId="14" r:id="rId2"/>
    <sheet name="Gráf2 Decl FGe+50pc 3x3" sheetId="15" r:id="rId3"/>
    <sheet name="Gráf3 VarPrim 3x3" sheetId="1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3" l="1"/>
  <c r="D8" i="13" s="1"/>
  <c r="D11" i="13" s="1"/>
  <c r="C8" i="13"/>
  <c r="D10" i="13"/>
  <c r="C13" i="13"/>
  <c r="D13" i="13"/>
  <c r="D14" i="13" s="1"/>
  <c r="C24" i="13"/>
  <c r="D24" i="13" s="1"/>
  <c r="B25" i="13" l="1"/>
  <c r="D25" i="13"/>
  <c r="C9" i="13"/>
  <c r="C14" i="13" s="1"/>
  <c r="C25" i="13"/>
  <c r="C11" i="13" l="1"/>
  <c r="D13" i="15" l="1"/>
  <c r="C13" i="15"/>
  <c r="B5" i="15"/>
  <c r="D10" i="15" s="1"/>
  <c r="D14" i="15" s="1"/>
  <c r="C24" i="15"/>
  <c r="D24" i="15" s="1"/>
  <c r="D25" i="15" s="1"/>
  <c r="A1" i="15"/>
  <c r="C7" i="15" s="1"/>
  <c r="C24" i="14"/>
  <c r="D24" i="14" s="1"/>
  <c r="D13" i="14"/>
  <c r="C13" i="14"/>
  <c r="B5" i="14"/>
  <c r="C8" i="14" s="1"/>
  <c r="A1" i="14"/>
  <c r="E2" i="13"/>
  <c r="F14" i="13" s="1"/>
  <c r="A1" i="13"/>
  <c r="C7" i="13" l="1"/>
  <c r="D7" i="13"/>
  <c r="C9" i="15"/>
  <c r="C14" i="15" s="1"/>
  <c r="E2" i="15"/>
  <c r="F14" i="15" s="1"/>
  <c r="D7" i="15"/>
  <c r="C8" i="15"/>
  <c r="C11" i="15" s="1"/>
  <c r="D8" i="15"/>
  <c r="D11" i="15" s="1"/>
  <c r="B25" i="15"/>
  <c r="C25" i="15"/>
  <c r="D7" i="14"/>
  <c r="B25" i="14"/>
  <c r="D25" i="14"/>
  <c r="C25" i="14"/>
  <c r="D8" i="14"/>
  <c r="C7" i="14"/>
  <c r="C9" i="14"/>
  <c r="C14" i="14" s="1"/>
  <c r="D10" i="14"/>
  <c r="D14" i="14" s="1"/>
  <c r="E2" i="14"/>
  <c r="F14" i="14" s="1"/>
  <c r="E8" i="6"/>
  <c r="E7" i="6"/>
  <c r="D11" i="14" l="1"/>
  <c r="C11" i="14"/>
  <c r="G7" i="6" l="1"/>
  <c r="I7" i="6" s="1"/>
  <c r="G8" i="6"/>
  <c r="I8" i="6" s="1"/>
  <c r="O8" i="6" s="1"/>
  <c r="O7" i="6" l="1"/>
  <c r="B14" i="6"/>
  <c r="B21" i="6"/>
  <c r="B22" i="6"/>
  <c r="B53" i="6"/>
  <c r="S5" i="6" l="1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E41" i="6"/>
  <c r="E40" i="6"/>
  <c r="I23" i="6"/>
  <c r="I22" i="6"/>
  <c r="C22" i="6"/>
  <c r="I21" i="6"/>
  <c r="C21" i="6"/>
  <c r="G14" i="6"/>
  <c r="E54" i="6" s="1"/>
  <c r="D14" i="6"/>
  <c r="F9" i="6"/>
  <c r="I9" i="6" s="1"/>
  <c r="O9" i="6" s="1"/>
  <c r="D9" i="6"/>
  <c r="V8" i="6" l="1"/>
  <c r="V9" i="6" s="1"/>
  <c r="G9" i="6"/>
  <c r="B23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J22" i="6" s="1"/>
  <c r="K56" i="6" s="1"/>
  <c r="C56" i="6"/>
  <c r="K14" i="6"/>
  <c r="C40" i="6"/>
  <c r="T7" i="6" l="1"/>
  <c r="T6" i="6"/>
  <c r="F22" i="6"/>
  <c r="C42" i="6"/>
  <c r="E21" i="6"/>
  <c r="N23" i="6"/>
  <c r="D21" i="6"/>
  <c r="F21" i="6" s="1"/>
  <c r="E9" i="6"/>
  <c r="C14" i="6"/>
  <c r="F14" i="6" s="1"/>
  <c r="C45" i="6"/>
  <c r="L22" i="6" l="1"/>
  <c r="M56" i="6" s="1"/>
  <c r="I14" i="6"/>
  <c r="M14" i="6" s="1"/>
  <c r="K22" i="6"/>
  <c r="L56" i="6" s="1"/>
  <c r="E14" i="6"/>
  <c r="H14" i="6" s="1"/>
  <c r="E55" i="6" s="1"/>
  <c r="W21" i="6"/>
  <c r="J21" i="6"/>
  <c r="K55" i="6" s="1"/>
  <c r="J26" i="6"/>
  <c r="D41" i="6"/>
  <c r="D46" i="6" s="1"/>
  <c r="D40" i="6"/>
  <c r="L21" i="6"/>
  <c r="M55" i="6" s="1"/>
  <c r="K21" i="6"/>
  <c r="L55" i="6" s="1"/>
  <c r="N56" i="6" l="1"/>
  <c r="E56" i="6"/>
  <c r="D23" i="6"/>
  <c r="E23" i="6"/>
  <c r="L14" i="6"/>
  <c r="D42" i="6"/>
  <c r="D45" i="6"/>
  <c r="C48" i="6" s="1"/>
  <c r="K41" i="6"/>
  <c r="I40" i="6" s="1"/>
  <c r="F54" i="6"/>
  <c r="K26" i="6"/>
  <c r="L26" i="6"/>
  <c r="N22" i="6"/>
  <c r="N24" i="6" s="1"/>
  <c r="N25" i="6" s="1"/>
  <c r="N26" i="6" s="1"/>
  <c r="J27" i="6"/>
  <c r="J35" i="6" s="1"/>
  <c r="N55" i="6"/>
  <c r="F23" i="6" l="1"/>
  <c r="L23" i="6" s="1"/>
  <c r="M57" i="6" s="1"/>
  <c r="W22" i="6"/>
  <c r="W23" i="6" s="1"/>
  <c r="W24" i="6" s="1"/>
  <c r="W25" i="6" s="1"/>
  <c r="J23" i="6"/>
  <c r="K57" i="6" s="1"/>
  <c r="Q28" i="6"/>
  <c r="N31" i="6" s="1"/>
  <c r="N32" i="6" s="1"/>
  <c r="H56" i="6" s="1"/>
  <c r="H58" i="6" s="1"/>
  <c r="H62" i="6" s="1"/>
  <c r="J32" i="6"/>
  <c r="T3" i="6" s="1"/>
  <c r="F55" i="6"/>
  <c r="L27" i="6"/>
  <c r="K35" i="6" s="1"/>
  <c r="F56" i="6"/>
  <c r="K27" i="6"/>
  <c r="L35" i="6" s="1"/>
  <c r="G46" i="6"/>
  <c r="C49" i="6"/>
  <c r="J62" i="6" s="1"/>
  <c r="J34" i="6"/>
  <c r="J36" i="6"/>
  <c r="J31" i="6"/>
  <c r="U3" i="6" s="1"/>
  <c r="G54" i="6"/>
  <c r="J29" i="6"/>
  <c r="J37" i="6"/>
  <c r="J30" i="6"/>
  <c r="V3" i="6" s="1"/>
  <c r="L62" i="6" l="1"/>
  <c r="O62" i="6" s="1"/>
  <c r="M62" i="6"/>
  <c r="P62" i="6" s="1"/>
  <c r="N33" i="6"/>
  <c r="E58" i="6"/>
  <c r="E62" i="6" s="1"/>
  <c r="K23" i="6"/>
  <c r="L57" i="6" s="1"/>
  <c r="N57" i="6" s="1"/>
  <c r="S3" i="6"/>
  <c r="K32" i="6"/>
  <c r="G55" i="6"/>
  <c r="K36" i="6"/>
  <c r="L29" i="6"/>
  <c r="K34" i="6"/>
  <c r="L31" i="6"/>
  <c r="L30" i="6"/>
  <c r="K37" i="6"/>
  <c r="L36" i="6"/>
  <c r="K31" i="6"/>
  <c r="L34" i="6"/>
  <c r="K29" i="6"/>
  <c r="G56" i="6"/>
  <c r="K30" i="6"/>
  <c r="L37" i="6"/>
  <c r="L32" i="6"/>
  <c r="F61" i="6" l="1"/>
  <c r="D58" i="6"/>
  <c r="D62" i="6" s="1"/>
  <c r="C58" i="6"/>
  <c r="C62" i="6" s="1"/>
  <c r="E61" i="6"/>
  <c r="F58" i="6"/>
  <c r="F62" i="6" s="1"/>
  <c r="G61" i="6"/>
  <c r="G58" i="6"/>
  <c r="G62" i="6" s="1"/>
</calcChain>
</file>

<file path=xl/sharedStrings.xml><?xml version="1.0" encoding="utf-8"?>
<sst xmlns="http://schemas.openxmlformats.org/spreadsheetml/2006/main" count="486" uniqueCount="333">
  <si>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</si>
  <si>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</si>
  <si>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</si>
  <si>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</si>
  <si>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</si>
  <si>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</si>
  <si>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</si>
  <si>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</si>
  <si>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</si>
  <si>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</si>
  <si>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</si>
  <si>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</si>
  <si>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</si>
  <si>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</si>
  <si>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</si>
  <si>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IC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</si>
  <si>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</si>
  <si>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</si>
  <si>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</si>
  <si>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</si>
  <si>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</si>
  <si>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</si>
  <si>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</si>
  <si>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</si>
  <si>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</si>
  <si>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</si>
  <si>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</si>
  <si>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</si>
  <si>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</si>
  <si>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</si>
  <si>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</si>
  <si>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</si>
  <si>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</si>
  <si>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</si>
  <si>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</si>
  <si>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</si>
  <si>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</si>
  <si>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</si>
  <si>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</si>
  <si>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</si>
  <si>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</si>
  <si>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</si>
  <si>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</si>
  <si>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</si>
  <si>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</si>
  <si>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</si>
  <si>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</si>
  <si>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</si>
  <si>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</si>
  <si>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</si>
  <si>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</si>
  <si>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</si>
  <si>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</si>
  <si>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</si>
  <si>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</si>
  <si>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</si>
  <si>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</si>
  <si>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</si>
  <si>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</si>
  <si>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</si>
  <si>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</si>
  <si>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</si>
  <si>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</si>
  <si>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</si>
  <si>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</si>
  <si>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</si>
  <si>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</si>
  <si>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</si>
  <si>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</si>
  <si>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</si>
  <si>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</si>
  <si>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APLICAR SÓLO SI EL NNT Y SUS IC SON POSITIVOS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</si>
  <si>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</si>
  <si>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</si>
  <si>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</si>
  <si>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t>Permanecerán sanos sin tomar el Mto de Intervención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</si>
  <si>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</si>
  <si>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</si>
  <si>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</si>
  <si>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t>Permanecerán sanos por tomar el Mto de Intervención</t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</si>
  <si>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</si>
  <si>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Enfermarán incluso tomando el Mto de Intervención</t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</si>
  <si>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</si>
  <si>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</si>
  <si>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APLICAR SÓLO SI EL NNT Y SUS IC SON NEGATIVOS</t>
  </si>
  <si>
    <t>NND</t>
  </si>
  <si>
    <t>Enfermarán por tomar el Mto de Intervención</t>
  </si>
  <si>
    <t>Chi cuadrado de Pearson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</si>
  <si>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</si>
  <si>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</si>
  <si>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</si>
  <si>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</si>
  <si>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</si>
  <si>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</si>
  <si>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</si>
  <si>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</si>
  <si>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</si>
  <si>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</si>
  <si>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</si>
  <si>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</si>
  <si>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</si>
  <si>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</si>
  <si>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</si>
  <si>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</si>
  <si>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</si>
  <si>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</si>
  <si>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</si>
  <si>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</si>
  <si>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</si>
  <si>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</si>
  <si>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</si>
  <si>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</si>
  <si>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</si>
  <si>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</si>
  <si>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</si>
  <si>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</si>
  <si>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</si>
  <si>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</si>
  <si>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</si>
  <si>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</si>
  <si>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</si>
  <si>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</si>
  <si>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</si>
  <si>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</si>
  <si>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</si>
  <si>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</si>
  <si>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</si>
  <si>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</si>
  <si>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</si>
  <si>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</si>
  <si>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</si>
  <si>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</si>
  <si>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</si>
  <si>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</si>
  <si>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</si>
  <si>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</si>
  <si>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</si>
  <si>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</si>
  <si>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</si>
  <si>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</si>
  <si>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</si>
  <si>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</si>
  <si>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</si>
  <si>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</si>
  <si>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meses</t>
  </si>
  <si>
    <t>Meses</t>
  </si>
  <si>
    <r>
      <t xml:space="preserve">Cualquier EA que amenaza la vida o el funcionamiento del paciente (“serious”) </t>
    </r>
    <r>
      <rPr>
        <sz val="10"/>
        <color indexed="12"/>
        <rFont val="Calibri"/>
        <family val="2"/>
      </rPr>
      <t>(*)</t>
    </r>
  </si>
  <si>
    <t>Fracturas óseas</t>
  </si>
  <si>
    <t>Medidas del efecto obtenidas por incidencias acumuladas</t>
  </si>
  <si>
    <t>Contracción del volumen del líquido extracelular</t>
  </si>
  <si>
    <t>Mortalidad por cualquier causa</t>
  </si>
  <si>
    <t>Abandono del tratamiento por EA</t>
  </si>
  <si>
    <t>Cetoacidois diabética</t>
  </si>
  <si>
    <t>RAR (IC 95%)</t>
  </si>
  <si>
    <t>por año</t>
  </si>
  <si>
    <t>nº años</t>
  </si>
  <si>
    <t>nº meses</t>
  </si>
  <si>
    <t>ECA DAPA-CKD, media de seguimiento 23,5 meses</t>
  </si>
  <si>
    <t>Declinación FGe &gt; 50%</t>
  </si>
  <si>
    <t>Tto estándar + Placebo, n= 2152</t>
  </si>
  <si>
    <t>NNT (IC 95%) en 24 meses</t>
  </si>
  <si>
    <t>197/2152 (9,15%)</t>
  </si>
  <si>
    <t>312/2152 (14,5%)</t>
  </si>
  <si>
    <t>0,63 (0,53-0,75)</t>
  </si>
  <si>
    <t>5,34% (3,42% a 7,27%)</t>
  </si>
  <si>
    <t>19 (14 a 29)</t>
  </si>
  <si>
    <t>112/2152 (5,2%)</t>
  </si>
  <si>
    <t>201/2152 (9,34%)</t>
  </si>
  <si>
    <t>4,14% (2,57% a 5,68%)</t>
  </si>
  <si>
    <t>24 (18 a 39)</t>
  </si>
  <si>
    <t>Diálisis de larga duración</t>
  </si>
  <si>
    <t>84/2152 (3,9%)</t>
  </si>
  <si>
    <t>120/2152 (5,58%)</t>
  </si>
  <si>
    <t>1,67% (0,39% a 2,94%)</t>
  </si>
  <si>
    <t>60 (34 a 258)</t>
  </si>
  <si>
    <t>68/2152 (3,16%)</t>
  </si>
  <si>
    <t>99/2152 (4,6%)</t>
  </si>
  <si>
    <t>0,69 (0,51-0,93)</t>
  </si>
  <si>
    <t>1,44% (0,27% a 2,6%)</t>
  </si>
  <si>
    <t>69 (39 a 373)</t>
  </si>
  <si>
    <t>Trasplante renal</t>
  </si>
  <si>
    <t>3/2152 (0,14%)</t>
  </si>
  <si>
    <t>8/2152 (0,37%)</t>
  </si>
  <si>
    <t>0,23% (-0,14% a 0,56%)</t>
  </si>
  <si>
    <t>430 (179 a -718)</t>
  </si>
  <si>
    <t>2/2152 (0,09%)</t>
  </si>
  <si>
    <t>6/2152 (0,28%)</t>
  </si>
  <si>
    <t>0,33 (0,07-1,65)</t>
  </si>
  <si>
    <t>0,19% (-0,15% a 0,47%)</t>
  </si>
  <si>
    <t>538 (211 a -670)</t>
  </si>
  <si>
    <t>29,31%</t>
  </si>
  <si>
    <t>65/2152 (3,02%)</t>
  </si>
  <si>
    <t>80/2152 (3,72%)</t>
  </si>
  <si>
    <t>0,81 (0,59-1,12)</t>
  </si>
  <si>
    <t>0,7% (-0,4% a 1,78%)</t>
  </si>
  <si>
    <t>143 (56 a -252)</t>
  </si>
  <si>
    <t>101/2152 (4,69%)</t>
  </si>
  <si>
    <t>146/2152 (6,78%)</t>
  </si>
  <si>
    <t>0,69 (0,54-0,89)</t>
  </si>
  <si>
    <t>2,09% (0,69% a 3,48%)</t>
  </si>
  <si>
    <t>48 (29 a 145)</t>
  </si>
  <si>
    <r>
      <t>Nº de pacientes con evento en</t>
    </r>
    <r>
      <rPr>
        <b/>
        <sz val="10"/>
        <rFont val="Calibri"/>
        <family val="2"/>
      </rPr>
      <t xml:space="preserve"> 24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</si>
  <si>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Nº de pacientes con evento en 24 meses por cada 100 tratados con:</t>
  </si>
  <si>
    <t>Tto estándar + Placebo, n= 2149</t>
  </si>
  <si>
    <r>
      <rPr>
        <b/>
        <sz val="11"/>
        <color rgb="FF993300"/>
        <rFont val="Calibri"/>
        <family val="2"/>
        <scheme val="minor"/>
      </rPr>
      <t>Tabla nnt-2:</t>
    </r>
    <r>
      <rPr>
        <b/>
        <sz val="11"/>
        <rFont val="Calibri"/>
        <family val="2"/>
        <scheme val="minor"/>
      </rPr>
      <t xml:space="preserve"> EFECTOS ADVERSOS ACUMULADOS MÁS RELEVANTES INFORMADOS POR LOS INVESTIGADORES</t>
    </r>
  </si>
  <si>
    <t>118/2149 (5,49%)</t>
  </si>
  <si>
    <t>123/2149 (5,72%)</t>
  </si>
  <si>
    <t>0,96 (0,75-1,23)</t>
  </si>
  <si>
    <t>0,23% (-1,15% a 1,62%)</t>
  </si>
  <si>
    <t>430 (62 a -87)</t>
  </si>
  <si>
    <t>633/2149 (29,46%)</t>
  </si>
  <si>
    <t>729/2149 (33,92%)</t>
  </si>
  <si>
    <t>0,87 (0,8-0,95)</t>
  </si>
  <si>
    <t>4,47% (1,69% a 7,25%)</t>
  </si>
  <si>
    <t>22 (14 a 59)</t>
  </si>
  <si>
    <t>Eventos que conducen a amputación</t>
  </si>
  <si>
    <t>35/2149 (1,63%)</t>
  </si>
  <si>
    <t>39/2149 (1,81%)</t>
  </si>
  <si>
    <t>0,9 (0,57-1,41)</t>
  </si>
  <si>
    <t>0,19% (-0,61% a 0,98%)</t>
  </si>
  <si>
    <t>537 (102 a -163)</t>
  </si>
  <si>
    <t>14/2149 (0,65%)</t>
  </si>
  <si>
    <t>28/2149 (1,3%)</t>
  </si>
  <si>
    <t>0,5 (0,26-0,95)</t>
  </si>
  <si>
    <t>0,65% (0,02% a 1,25%)</t>
  </si>
  <si>
    <t>154 (80 a 4920)</t>
  </si>
  <si>
    <t>58,35%</t>
  </si>
  <si>
    <t>Hipoglucemia que requiere asistencia</t>
  </si>
  <si>
    <t>127/2149 (5,91%)</t>
  </si>
  <si>
    <t>90/2149 (4,19%)</t>
  </si>
  <si>
    <t>1,41 (1,08-1,84)</t>
  </si>
  <si>
    <t>-1,72% (-3,03% a -0,4%)</t>
  </si>
  <si>
    <t>-58 (-251 a -33)</t>
  </si>
  <si>
    <t>FGe &lt; 15 ml/min</t>
  </si>
  <si>
    <t>85/2149 (3,96%)</t>
  </si>
  <si>
    <t>69/2149 (3,21%)</t>
  </si>
  <si>
    <t>1,23 (0,9-1,68)</t>
  </si>
  <si>
    <t>-0,74% (-1,86% a 0,38%)</t>
  </si>
  <si>
    <t>-134 (261 a -54)</t>
  </si>
  <si>
    <t>0/2149 (0%)</t>
  </si>
  <si>
    <t>2/2149 (0,09%)</t>
  </si>
  <si>
    <t>0,09% (-0,15% a 0,28%)</t>
  </si>
  <si>
    <t>1075 (352 a -655)</t>
  </si>
  <si>
    <t>29,27%</t>
  </si>
  <si>
    <t>--------</t>
  </si>
  <si>
    <t>Los 3 tiempos biográficos (3tB)</t>
  </si>
  <si>
    <t>Los 3 destinos del NNT (3dNNT)</t>
  </si>
  <si>
    <t>Heerspink HJL, Stefánsson BV, Correa-Rotter R, Chertow GM, Greene T, Hou FF, Mann JFE, McMurray JJV, Lindberg M, Rossing P, Sjöström CD, Toto RD, Langkilde AM, Wheeler DC; DAPA-CKD Trial Committees and Investigators. Dapagliflozin in Patients with Chronic Kidney Disease. N Engl J Med. 2020 Oct 8;383(15):1436-1446.</t>
  </si>
  <si>
    <t>20201008-ECA DAPA-CKD 2y, ERC +-DM2 [Dapa vs Pl] –ERC Mort. Heerspink</t>
  </si>
  <si>
    <t>Variables experienciales</t>
  </si>
  <si>
    <t>Variables NO experienciales</t>
  </si>
  <si>
    <t>155/2149 (7,21%)</t>
  </si>
  <si>
    <t>188/2149 (8,75%)</t>
  </si>
  <si>
    <t>0,82 (0,67-1,01)</t>
  </si>
  <si>
    <t>1,54% (-0,09% a 3,16%)</t>
  </si>
  <si>
    <t>65 (32 a -1084)</t>
  </si>
  <si>
    <t>45,92%</t>
  </si>
  <si>
    <t>EA renales (sin especificar cuáles son)</t>
  </si>
  <si>
    <t>84/1455 (5,77%)</t>
  </si>
  <si>
    <t>113/1451 (7,79%)</t>
  </si>
  <si>
    <t>0,74 (0,56-0,97)</t>
  </si>
  <si>
    <t>2,01% (0,17% a 3,85%)</t>
  </si>
  <si>
    <t>50 (26 a 594)</t>
  </si>
  <si>
    <t>17/697 (2,44%)</t>
  </si>
  <si>
    <t>33/701 (4,71%)</t>
  </si>
  <si>
    <t>0,52 (0,29-0,92)</t>
  </si>
  <si>
    <t>2,27% (0,22% a 4,23%)</t>
  </si>
  <si>
    <t>44 (24 a 445)</t>
  </si>
  <si>
    <t>Mort , SG con DM2</t>
  </si>
  <si>
    <t>Mort, SG sin DM2</t>
  </si>
  <si>
    <t>67/1272 (5,27%)</t>
  </si>
  <si>
    <t>94/1250 (7,52%)</t>
  </si>
  <si>
    <t>2,25% (0,32% a 4,16%)</t>
  </si>
  <si>
    <t>44 (24 a 317)</t>
  </si>
  <si>
    <t>34/880 (3,86%)</t>
  </si>
  <si>
    <t>52/902 (5,76%)</t>
  </si>
  <si>
    <t>0,67 (0,44-1,02)</t>
  </si>
  <si>
    <t>1,9% (-0,13% a 3,9%)</t>
  </si>
  <si>
    <t>53 (26 a -768)</t>
  </si>
  <si>
    <r>
      <t xml:space="preserve">Mort, SG albúmina(mg)/ creatinina(g) </t>
    </r>
    <r>
      <rPr>
        <sz val="10"/>
        <rFont val="Calibri"/>
        <family val="2"/>
      </rPr>
      <t>≤</t>
    </r>
    <r>
      <rPr>
        <i/>
        <sz val="10"/>
        <rFont val="Calibri"/>
        <family val="2"/>
        <scheme val="minor"/>
      </rPr>
      <t xml:space="preserve"> 1000</t>
    </r>
  </si>
  <si>
    <t>Mort, SG albúmina(mg)/ creatinina(g) &gt; 1000</t>
  </si>
  <si>
    <t>46/1104 (4,17%)</t>
  </si>
  <si>
    <t>70/1121 (6,24%)</t>
  </si>
  <si>
    <t>0,67 (0,46-0,96)</t>
  </si>
  <si>
    <t>2,08% (0,2% a 3,93%)</t>
  </si>
  <si>
    <t>48 (25 a 500)</t>
  </si>
  <si>
    <t>59,65%</t>
  </si>
  <si>
    <t>55/1048 (5,25%)</t>
  </si>
  <si>
    <t>76/1031 (7,37%)</t>
  </si>
  <si>
    <t>2,12% (0% a 4,22%)</t>
  </si>
  <si>
    <t>47 (24 a -52612)</t>
  </si>
  <si>
    <t>51,29%</t>
  </si>
  <si>
    <t>0,71 (0,51-1,00)</t>
  </si>
  <si>
    <t>0,70 (0,52-0,95)</t>
  </si>
  <si>
    <t>0,56 (0,45-0,70)</t>
  </si>
  <si>
    <t>0,38 (0,10-1,41)</t>
  </si>
  <si>
    <t>Mortalidad por causa cardiovascular</t>
  </si>
  <si>
    <t>Mortalidad por causa renal</t>
  </si>
  <si>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</t>
    </r>
    <r>
      <rPr>
        <b/>
        <sz val="10"/>
        <rFont val="Calibri"/>
        <family val="2"/>
        <scheme val="minor"/>
      </rPr>
      <t xml:space="preserve"> [Declinación FGe &gt; 50%, FGe &lt;15 ml/min, Diálisis de larga duración, Trasplante renal, Mortalidad por causa CV o Mortalidad por causa Renal]</t>
    </r>
  </si>
  <si>
    <r>
      <t>Variable no experiencial: ¿</t>
    </r>
    <r>
      <rPr>
        <sz val="10"/>
        <color rgb="FF0000FF"/>
        <rFont val="Calibri"/>
        <family val="2"/>
        <scheme val="minor"/>
      </rPr>
      <t>1</t>
    </r>
    <r>
      <rPr>
        <vertAlign val="superscript"/>
        <sz val="10"/>
        <color rgb="FF0000FF"/>
        <rFont val="Calibri"/>
        <family val="2"/>
        <scheme val="minor"/>
      </rPr>
      <t>er</t>
    </r>
    <r>
      <rPr>
        <sz val="10"/>
        <color rgb="FF0000FF"/>
        <rFont val="Calibri"/>
        <family val="2"/>
        <scheme val="minor"/>
      </rPr>
      <t xml:space="preserve"> evento de </t>
    </r>
    <r>
      <rPr>
        <b/>
        <sz val="10"/>
        <color rgb="FF0000FF"/>
        <rFont val="Calibri"/>
        <family val="2"/>
        <scheme val="minor"/>
      </rPr>
      <t>[Defi50 bajo15 dialtran mortcarren]?</t>
    </r>
  </si>
  <si>
    <t>0,70 (0,53-0,92)</t>
  </si>
  <si>
    <t>EFECTOS ADVERSOS (EA) sin especificar los atribuidos a los tratamientos estudiados</t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</si>
  <si>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</si>
  <si>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</si>
  <si>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62 años (DE 12), con FGe 43 ml/min (DE 12), DM2 en un 67%, enfermedad CV en un 37% e insuficiencia cardíaca en un 10%</t>
    </r>
  </si>
  <si>
    <r>
      <rPr>
        <b/>
        <sz val="20"/>
        <color rgb="FF993300"/>
        <rFont val="Calibri"/>
        <family val="2"/>
        <scheme val="minor"/>
      </rPr>
      <t xml:space="preserve">Gráfico g-1: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"Mortalidad",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</si>
  <si>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g-2: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"Declinación FGe &gt; 50%",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</si>
  <si>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g-3: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la "Variable primaria combinada", durante un seguimiento de 24 meses.</t>
    </r>
  </si>
  <si>
    <t>Los 3 destinos NNT</t>
  </si>
  <si>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[Declinación FGe &gt; 50%, FGe &lt;15 ml/min, Diálisis de larga duración, Trasplante renal, Mortalidad por causa CV o Mortalidad por causa Renal]</t>
    </r>
  </si>
  <si>
    <r>
      <t>Mort, SG con FGe &lt;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45</t>
    </r>
    <r>
      <rPr>
        <i/>
        <sz val="11"/>
        <rFont val="Calibri"/>
        <family val="2"/>
        <scheme val="minor"/>
      </rPr>
      <t xml:space="preserve"> ml/min/1,73 m</t>
    </r>
    <r>
      <rPr>
        <i/>
        <vertAlign val="superscript"/>
        <sz val="11"/>
        <rFont val="Calibri"/>
        <family val="2"/>
        <scheme val="minor"/>
      </rPr>
      <t>2</t>
    </r>
  </si>
  <si>
    <r>
      <t xml:space="preserve">Mort, SG con FGe </t>
    </r>
    <r>
      <rPr>
        <sz val="11"/>
        <rFont val="Calibri"/>
        <family val="2"/>
      </rPr>
      <t>≥</t>
    </r>
    <r>
      <rPr>
        <i/>
        <sz val="11"/>
        <rFont val="Calibri"/>
        <family val="2"/>
        <scheme val="minor"/>
      </rPr>
      <t xml:space="preserve"> 45 ml/min/1,73 m</t>
    </r>
    <r>
      <rPr>
        <i/>
        <vertAlign val="superscript"/>
        <sz val="11"/>
        <rFont val="Calibri"/>
        <family val="2"/>
        <scheme val="minor"/>
      </rPr>
      <t>2</t>
    </r>
  </si>
  <si>
    <t>homogeneidad p= 0,270</t>
  </si>
  <si>
    <t>homogeneidad p= 0,861</t>
  </si>
  <si>
    <t>homogeneidad p= 0,797</t>
  </si>
  <si>
    <t>Participantes -----&gt;</t>
  </si>
  <si>
    <r>
      <t>Enfermedad renal en etapa terminal = 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[FGe &lt;15 ml/min, Diálisis o Trasplante renal]</t>
    </r>
  </si>
  <si>
    <t>109/2152 (5,07%)</t>
  </si>
  <si>
    <t>161/2152 (7,48%)</t>
  </si>
  <si>
    <t>0,68 (0,53-0,86)</t>
  </si>
  <si>
    <t>2,42% (0,96% a 3,86%)</t>
  </si>
  <si>
    <t>42 (26 a 105)</t>
  </si>
  <si>
    <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[Diálisis o Trasplante renal]</t>
    </r>
  </si>
  <si>
    <t>69/2152 (3,21%)</t>
  </si>
  <si>
    <t>100/2152 (4,65%)</t>
  </si>
  <si>
    <t>1,44% (0,26% a 2,6%)</t>
  </si>
  <si>
    <t>69 (38 a 382)</t>
  </si>
  <si>
    <t>68,19%</t>
  </si>
  <si>
    <t>Mortalidad por todas las causas (Mort)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</si>
  <si>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 </t>
    </r>
    <r>
      <rPr>
        <b/>
        <sz val="10"/>
        <rFont val="Calibri"/>
        <family val="2"/>
      </rPr>
      <t xml:space="preserve">ERT: </t>
    </r>
    <r>
      <rPr>
        <sz val="10"/>
        <rFont val="Calibri"/>
        <family val="2"/>
      </rPr>
      <t xml:space="preserve">enfermedad renal en etapa terminal;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ml/min: mililitros por minuto; </t>
    </r>
    <r>
      <rPr>
        <b/>
        <sz val="10"/>
        <rFont val="Calibri"/>
        <family val="2"/>
      </rPr>
      <t xml:space="preserve">Mort: </t>
    </r>
    <r>
      <rPr>
        <sz val="10"/>
        <rFont val="Calibri"/>
        <family val="2"/>
      </rPr>
      <t xml:space="preserve">mortalidad por todas las causas;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 (obtenido por incidencias acumuladas); </t>
    </r>
    <r>
      <rPr>
        <b/>
        <sz val="10"/>
        <rFont val="Calibri"/>
        <family val="2"/>
      </rPr>
      <t>SG:</t>
    </r>
    <r>
      <rPr>
        <sz val="10"/>
        <rFont val="Calibri"/>
        <family val="2"/>
      </rPr>
      <t xml:space="preserve"> subgrupo.</t>
    </r>
  </si>
  <si>
    <t>Dapagliflozina</t>
  </si>
  <si>
    <t>Tto estándar + Dapagliflozina, n= 2152</t>
  </si>
  <si>
    <t>Tto estándar + Dapagliflozina, n= 2149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</si>
</sst>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</numFmts>
  <fonts count="10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11"/>
      <color rgb="FF00800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12"/>
      <name val="Calibri"/>
      <family val="2"/>
    </font>
    <font>
      <u/>
      <sz val="10"/>
      <name val="Calibri"/>
      <family val="2"/>
    </font>
    <font>
      <b/>
      <sz val="11"/>
      <color rgb="FF993300"/>
      <name val="Calibri"/>
      <family val="2"/>
      <scheme val="minor"/>
    </font>
    <font>
      <b/>
      <sz val="12"/>
      <color rgb="FF66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990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8"/>
      <color rgb="FFFF6600"/>
      <name val="Calibri"/>
      <family val="2"/>
      <scheme val="minor"/>
    </font>
    <font>
      <vertAlign val="superscript"/>
      <sz val="10"/>
      <color rgb="FF0000FF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  <font>
      <i/>
      <vertAlign val="superscript"/>
      <sz val="1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i/>
      <sz val="11"/>
      <color rgb="FF0099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9900"/>
      <name val="Calibri"/>
      <family val="2"/>
      <scheme val="minor"/>
    </font>
    <font>
      <b/>
      <sz val="12"/>
      <color rgb="FFFF99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00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6" fontId="11" fillId="0" borderId="0" xfId="2" applyNumberFormat="1" applyFont="1" applyAlignment="1">
      <alignment horizontal="center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166" fontId="13" fillId="0" borderId="0" xfId="2" applyNumberFormat="1" applyFont="1" applyAlignment="1">
      <alignment horizontal="center"/>
    </xf>
    <xf numFmtId="3" fontId="5" fillId="0" borderId="7" xfId="0" applyNumberFormat="1" applyFont="1" applyBorder="1"/>
    <xf numFmtId="1" fontId="12" fillId="0" borderId="0" xfId="0" applyNumberFormat="1" applyFont="1"/>
    <xf numFmtId="0" fontId="16" fillId="0" borderId="0" xfId="0" applyFont="1" applyAlignment="1">
      <alignment vertical="center"/>
    </xf>
    <xf numFmtId="0" fontId="0" fillId="0" borderId="0" xfId="0" applyBorder="1"/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1" fontId="16" fillId="3" borderId="0" xfId="0" applyNumberFormat="1" applyFont="1" applyFill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2" fontId="8" fillId="2" borderId="7" xfId="0" applyNumberFormat="1" applyFont="1" applyFill="1" applyBorder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9" fillId="0" borderId="0" xfId="0" applyNumberFormat="1" applyFont="1" applyAlignment="1">
      <alignment vertical="center" wrapText="1"/>
    </xf>
    <xf numFmtId="0" fontId="17" fillId="0" borderId="7" xfId="0" applyFont="1" applyBorder="1" applyAlignment="1">
      <alignment horizontal="right" wrapText="1"/>
    </xf>
    <xf numFmtId="2" fontId="17" fillId="2" borderId="7" xfId="0" applyNumberFormat="1" applyFont="1" applyFill="1" applyBorder="1" applyAlignment="1">
      <alignment vertical="center"/>
    </xf>
    <xf numFmtId="166" fontId="13" fillId="0" borderId="0" xfId="2" applyNumberFormat="1" applyFont="1" applyFill="1" applyBorder="1" applyAlignment="1">
      <alignment vertical="center"/>
    </xf>
    <xf numFmtId="0" fontId="12" fillId="0" borderId="7" xfId="0" applyFont="1" applyBorder="1" applyAlignment="1">
      <alignment horizontal="right" wrapText="1"/>
    </xf>
    <xf numFmtId="2" fontId="12" fillId="2" borderId="7" xfId="0" applyNumberFormat="1" applyFont="1" applyFill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66" fontId="13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0" fontId="16" fillId="0" borderId="0" xfId="0" applyFont="1" applyAlignment="1">
      <alignment horizontal="left" vertical="top"/>
    </xf>
    <xf numFmtId="164" fontId="12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/>
    <xf numFmtId="0" fontId="0" fillId="0" borderId="0" xfId="0" applyFill="1" applyBorder="1"/>
    <xf numFmtId="0" fontId="0" fillId="5" borderId="7" xfId="0" applyFill="1" applyBorder="1"/>
    <xf numFmtId="0" fontId="21" fillId="0" borderId="0" xfId="0" applyFont="1" applyAlignment="1">
      <alignment horizontal="center" vertical="center"/>
    </xf>
    <xf numFmtId="0" fontId="0" fillId="0" borderId="0" xfId="0" applyFill="1"/>
    <xf numFmtId="0" fontId="14" fillId="0" borderId="0" xfId="0" applyFont="1" applyBorder="1" applyAlignment="1">
      <alignment horizontal="center" vertical="center"/>
    </xf>
    <xf numFmtId="167" fontId="5" fillId="0" borderId="0" xfId="1" applyNumberFormat="1" applyFont="1" applyFill="1" applyBorder="1" applyAlignment="1"/>
    <xf numFmtId="167" fontId="22" fillId="0" borderId="0" xfId="1" applyNumberFormat="1" applyFont="1" applyFill="1" applyBorder="1" applyAlignment="1"/>
    <xf numFmtId="167" fontId="23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0" fontId="24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6" fillId="0" borderId="0" xfId="0" applyFont="1" applyBorder="1" applyAlignment="1">
      <alignment vertical="distributed"/>
    </xf>
    <xf numFmtId="0" fontId="3" fillId="0" borderId="7" xfId="0" applyFont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/>
    </xf>
    <xf numFmtId="0" fontId="26" fillId="0" borderId="0" xfId="0" applyFont="1" applyFill="1" applyBorder="1" applyAlignment="1">
      <alignment vertical="distributed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24" fillId="0" borderId="0" xfId="0" applyFont="1" applyBorder="1" applyAlignment="1">
      <alignment vertical="center" wrapText="1"/>
    </xf>
    <xf numFmtId="18" fontId="3" fillId="0" borderId="0" xfId="1" applyNumberFormat="1" applyFont="1" applyBorder="1" applyAlignment="1">
      <alignment horizontal="center"/>
    </xf>
    <xf numFmtId="9" fontId="3" fillId="0" borderId="0" xfId="0" applyNumberFormat="1" applyFont="1" applyBorder="1"/>
    <xf numFmtId="43" fontId="3" fillId="0" borderId="0" xfId="0" applyNumberFormat="1" applyFont="1"/>
    <xf numFmtId="43" fontId="3" fillId="0" borderId="0" xfId="1" applyFont="1" applyFill="1"/>
    <xf numFmtId="0" fontId="30" fillId="0" borderId="0" xfId="0" applyFont="1" applyFill="1"/>
    <xf numFmtId="168" fontId="3" fillId="0" borderId="0" xfId="0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43" fontId="3" fillId="0" borderId="0" xfId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right"/>
    </xf>
    <xf numFmtId="10" fontId="3" fillId="0" borderId="0" xfId="2" applyNumberFormat="1" applyFont="1" applyFill="1"/>
    <xf numFmtId="10" fontId="3" fillId="0" borderId="0" xfId="0" applyNumberFormat="1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/>
    <xf numFmtId="4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169" fontId="3" fillId="0" borderId="7" xfId="1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6" fontId="5" fillId="0" borderId="7" xfId="2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3" fontId="33" fillId="0" borderId="0" xfId="1" applyFont="1" applyFill="1" applyBorder="1"/>
    <xf numFmtId="168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3" fontId="33" fillId="0" borderId="0" xfId="1" applyFont="1" applyFill="1" applyAlignment="1">
      <alignment horizontal="right"/>
    </xf>
    <xf numFmtId="0" fontId="33" fillId="0" borderId="0" xfId="0" applyFont="1" applyFill="1" applyBorder="1"/>
    <xf numFmtId="43" fontId="3" fillId="0" borderId="0" xfId="0" applyNumberFormat="1" applyFont="1" applyFill="1"/>
    <xf numFmtId="170" fontId="3" fillId="0" borderId="0" xfId="0" applyNumberFormat="1" applyFont="1" applyFill="1" applyBorder="1" applyAlignment="1">
      <alignment horizontal="center" vertical="center" wrapText="1"/>
    </xf>
    <xf numFmtId="171" fontId="3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2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3" fontId="3" fillId="0" borderId="0" xfId="1" applyFont="1" applyBorder="1" applyAlignment="1">
      <alignment horizontal="center"/>
    </xf>
    <xf numFmtId="173" fontId="3" fillId="0" borderId="0" xfId="1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0" fontId="5" fillId="0" borderId="0" xfId="2" applyNumberFormat="1" applyFont="1" applyFill="1" applyBorder="1" applyAlignment="1"/>
    <xf numFmtId="173" fontId="3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Alignment="1"/>
    <xf numFmtId="0" fontId="3" fillId="0" borderId="0" xfId="0" applyFont="1" applyFill="1" applyBorder="1" applyAlignment="1">
      <alignment horizontal="left"/>
    </xf>
    <xf numFmtId="0" fontId="3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43" fontId="37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73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5" fillId="0" borderId="2" xfId="1" applyFont="1" applyFill="1" applyBorder="1" applyAlignment="1"/>
    <xf numFmtId="43" fontId="5" fillId="0" borderId="3" xfId="1" applyFont="1" applyFill="1" applyBorder="1" applyAlignment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67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0" fontId="5" fillId="8" borderId="7" xfId="2" applyNumberFormat="1" applyFont="1" applyFill="1" applyBorder="1" applyAlignment="1"/>
    <xf numFmtId="1" fontId="3" fillId="0" borderId="23" xfId="0" applyNumberFormat="1" applyFont="1" applyFill="1" applyBorder="1" applyAlignment="1">
      <alignment horizontal="center" vertical="center" wrapText="1"/>
    </xf>
    <xf numFmtId="43" fontId="5" fillId="0" borderId="22" xfId="1" applyFont="1" applyFill="1" applyBorder="1" applyAlignment="1"/>
    <xf numFmtId="10" fontId="3" fillId="0" borderId="23" xfId="2" applyNumberFormat="1" applyFont="1" applyFill="1" applyBorder="1"/>
    <xf numFmtId="0" fontId="3" fillId="0" borderId="22" xfId="0" applyFont="1" applyBorder="1"/>
    <xf numFmtId="2" fontId="3" fillId="0" borderId="23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174" fontId="3" fillId="0" borderId="23" xfId="0" applyNumberFormat="1" applyFont="1" applyBorder="1"/>
    <xf numFmtId="166" fontId="3" fillId="0" borderId="23" xfId="2" applyNumberFormat="1" applyFont="1" applyFill="1" applyBorder="1" applyAlignment="1">
      <alignment horizontal="center" vertical="center" wrapText="1"/>
    </xf>
    <xf numFmtId="168" fontId="5" fillId="0" borderId="23" xfId="1" applyNumberFormat="1" applyFont="1" applyFill="1" applyBorder="1"/>
    <xf numFmtId="0" fontId="5" fillId="0" borderId="0" xfId="0" applyFont="1" applyAlignment="1">
      <alignment horizontal="left"/>
    </xf>
    <xf numFmtId="165" fontId="3" fillId="0" borderId="0" xfId="0" applyNumberFormat="1" applyFont="1" applyFill="1" applyBorder="1"/>
    <xf numFmtId="175" fontId="3" fillId="0" borderId="23" xfId="0" applyNumberFormat="1" applyFont="1" applyFill="1" applyBorder="1" applyAlignment="1">
      <alignment horizontal="center" vertical="center" wrapText="1"/>
    </xf>
    <xf numFmtId="170" fontId="3" fillId="9" borderId="23" xfId="1" applyNumberFormat="1" applyFont="1" applyFill="1" applyBorder="1"/>
    <xf numFmtId="0" fontId="5" fillId="0" borderId="0" xfId="0" applyFont="1" applyBorder="1"/>
    <xf numFmtId="166" fontId="3" fillId="0" borderId="0" xfId="2" applyNumberFormat="1" applyFont="1" applyAlignment="1">
      <alignment horizontal="center" vertical="center" wrapText="1"/>
    </xf>
    <xf numFmtId="10" fontId="3" fillId="3" borderId="23" xfId="2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/>
    <xf numFmtId="10" fontId="41" fillId="0" borderId="23" xfId="0" applyNumberFormat="1" applyFont="1" applyBorder="1"/>
    <xf numFmtId="0" fontId="42" fillId="0" borderId="0" xfId="0" applyFont="1" applyBorder="1"/>
    <xf numFmtId="49" fontId="6" fillId="0" borderId="0" xfId="0" applyNumberFormat="1" applyFont="1"/>
    <xf numFmtId="10" fontId="3" fillId="9" borderId="7" xfId="2" applyNumberFormat="1" applyFont="1" applyFill="1" applyBorder="1" applyAlignment="1">
      <alignment horizontal="center"/>
    </xf>
    <xf numFmtId="10" fontId="3" fillId="10" borderId="7" xfId="2" applyNumberFormat="1" applyFont="1" applyFill="1" applyBorder="1" applyAlignment="1">
      <alignment horizontal="center"/>
    </xf>
    <xf numFmtId="10" fontId="3" fillId="11" borderId="7" xfId="2" applyNumberFormat="1" applyFont="1" applyFill="1" applyBorder="1" applyAlignment="1">
      <alignment horizontal="center"/>
    </xf>
    <xf numFmtId="10" fontId="3" fillId="0" borderId="4" xfId="2" applyNumberFormat="1" applyFont="1" applyBorder="1" applyAlignment="1">
      <alignment horizontal="center" vertical="center" wrapText="1"/>
    </xf>
    <xf numFmtId="0" fontId="42" fillId="0" borderId="5" xfId="0" applyFont="1" applyBorder="1"/>
    <xf numFmtId="0" fontId="3" fillId="0" borderId="5" xfId="0" applyFont="1" applyBorder="1"/>
    <xf numFmtId="176" fontId="3" fillId="0" borderId="5" xfId="0" applyNumberFormat="1" applyFont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0" fontId="3" fillId="0" borderId="0" xfId="0" applyNumberFormat="1" applyFont="1"/>
    <xf numFmtId="1" fontId="3" fillId="9" borderId="7" xfId="0" applyNumberFormat="1" applyFont="1" applyFill="1" applyBorder="1" applyAlignment="1">
      <alignment horizontal="center"/>
    </xf>
    <xf numFmtId="1" fontId="3" fillId="10" borderId="7" xfId="0" applyNumberFormat="1" applyFont="1" applyFill="1" applyBorder="1" applyAlignment="1">
      <alignment horizontal="center"/>
    </xf>
    <xf numFmtId="1" fontId="3" fillId="11" borderId="7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177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/>
    <xf numFmtId="10" fontId="25" fillId="0" borderId="0" xfId="2" applyNumberFormat="1" applyFont="1" applyFill="1" applyBorder="1" applyAlignment="1">
      <alignment horizontal="right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/>
    </xf>
    <xf numFmtId="49" fontId="44" fillId="0" borderId="0" xfId="1" applyNumberFormat="1" applyFont="1" applyBorder="1" applyAlignment="1">
      <alignment horizontal="right"/>
    </xf>
    <xf numFmtId="1" fontId="44" fillId="0" borderId="0" xfId="0" applyNumberFormat="1" applyFont="1" applyFill="1" applyBorder="1" applyAlignment="1">
      <alignment horizontal="center"/>
    </xf>
    <xf numFmtId="43" fontId="5" fillId="0" borderId="23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43" fontId="3" fillId="0" borderId="0" xfId="1" applyFont="1" applyFill="1" applyBorder="1" applyAlignment="1"/>
    <xf numFmtId="10" fontId="25" fillId="0" borderId="0" xfId="2" applyNumberFormat="1" applyFont="1" applyFill="1" applyBorder="1" applyAlignment="1">
      <alignment horizontal="center"/>
    </xf>
    <xf numFmtId="0" fontId="43" fillId="12" borderId="0" xfId="0" applyFont="1" applyFill="1" applyBorder="1" applyAlignment="1">
      <alignment horizontal="center" vertical="center" wrapText="1"/>
    </xf>
    <xf numFmtId="0" fontId="43" fillId="12" borderId="0" xfId="0" applyFont="1" applyFill="1" applyBorder="1"/>
    <xf numFmtId="0" fontId="43" fillId="12" borderId="0" xfId="0" applyFont="1" applyFill="1" applyBorder="1" applyAlignment="1">
      <alignment horizontal="right"/>
    </xf>
    <xf numFmtId="1" fontId="43" fillId="12" borderId="0" xfId="0" applyNumberFormat="1" applyFont="1" applyFill="1" applyBorder="1" applyAlignment="1">
      <alignment horizontal="center" vertical="distributed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67" fontId="25" fillId="0" borderId="0" xfId="1" applyNumberFormat="1" applyFont="1" applyFill="1" applyBorder="1" applyAlignment="1">
      <alignment horizontal="center"/>
    </xf>
    <xf numFmtId="0" fontId="43" fillId="13" borderId="0" xfId="0" applyFont="1" applyFill="1" applyBorder="1" applyAlignment="1">
      <alignment horizontal="center" vertical="center" wrapText="1"/>
    </xf>
    <xf numFmtId="0" fontId="43" fillId="13" borderId="0" xfId="0" applyFont="1" applyFill="1" applyBorder="1"/>
    <xf numFmtId="0" fontId="43" fillId="13" borderId="0" xfId="0" applyFont="1" applyFill="1" applyBorder="1" applyAlignment="1">
      <alignment horizontal="right"/>
    </xf>
    <xf numFmtId="1" fontId="43" fillId="13" borderId="0" xfId="0" applyNumberFormat="1" applyFont="1" applyFill="1" applyBorder="1" applyAlignment="1">
      <alignment horizontal="center" vertical="distributed"/>
    </xf>
    <xf numFmtId="43" fontId="3" fillId="0" borderId="0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/>
    <xf numFmtId="43" fontId="3" fillId="0" borderId="0" xfId="0" applyNumberFormat="1" applyFont="1" applyFill="1" applyBorder="1"/>
    <xf numFmtId="167" fontId="43" fillId="14" borderId="0" xfId="0" applyNumberFormat="1" applyFont="1" applyFill="1" applyBorder="1" applyAlignment="1">
      <alignment horizontal="center" vertical="center" wrapText="1"/>
    </xf>
    <xf numFmtId="43" fontId="45" fillId="14" borderId="0" xfId="1" applyFont="1" applyFill="1" applyBorder="1"/>
    <xf numFmtId="43" fontId="43" fillId="14" borderId="0" xfId="1" applyFont="1" applyFill="1" applyBorder="1" applyAlignment="1">
      <alignment horizontal="right"/>
    </xf>
    <xf numFmtId="1" fontId="43" fillId="14" borderId="0" xfId="0" applyNumberFormat="1" applyFont="1" applyFill="1" applyBorder="1" applyAlignment="1">
      <alignment horizontal="center" vertical="distributed"/>
    </xf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/>
    <xf numFmtId="1" fontId="43" fillId="0" borderId="0" xfId="0" applyNumberFormat="1" applyFont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5" fillId="0" borderId="5" xfId="1" applyFont="1" applyFill="1" applyBorder="1" applyAlignment="1"/>
    <xf numFmtId="0" fontId="43" fillId="0" borderId="0" xfId="0" applyFont="1" applyFill="1" applyBorder="1" applyAlignment="1">
      <alignment horizontal="right" vertical="center"/>
    </xf>
    <xf numFmtId="49" fontId="43" fillId="0" borderId="0" xfId="1" applyNumberFormat="1" applyFont="1" applyBorder="1" applyAlignment="1">
      <alignment horizontal="right"/>
    </xf>
    <xf numFmtId="1" fontId="43" fillId="0" borderId="0" xfId="0" applyNumberFormat="1" applyFont="1" applyFill="1" applyBorder="1" applyAlignment="1">
      <alignment horizontal="center"/>
    </xf>
    <xf numFmtId="49" fontId="24" fillId="0" borderId="0" xfId="0" applyNumberFormat="1" applyFont="1"/>
    <xf numFmtId="0" fontId="43" fillId="11" borderId="0" xfId="0" applyFont="1" applyFill="1" applyBorder="1" applyAlignment="1">
      <alignment horizontal="center" vertical="center" wrapText="1"/>
    </xf>
    <xf numFmtId="0" fontId="43" fillId="11" borderId="0" xfId="0" applyFont="1" applyFill="1" applyBorder="1"/>
    <xf numFmtId="0" fontId="43" fillId="11" borderId="0" xfId="0" applyFont="1" applyFill="1" applyBorder="1" applyAlignment="1">
      <alignment horizontal="right"/>
    </xf>
    <xf numFmtId="1" fontId="43" fillId="11" borderId="0" xfId="0" applyNumberFormat="1" applyFont="1" applyFill="1" applyBorder="1" applyAlignment="1">
      <alignment horizontal="center" vertical="distributed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Border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3" fontId="29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4" fillId="0" borderId="7" xfId="0" applyFont="1" applyBorder="1" applyAlignment="1">
      <alignment horizontal="left" vertical="center"/>
    </xf>
    <xf numFmtId="167" fontId="24" fillId="0" borderId="7" xfId="1" applyNumberFormat="1" applyFont="1" applyFill="1" applyBorder="1"/>
    <xf numFmtId="0" fontId="23" fillId="0" borderId="7" xfId="0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3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67" fontId="5" fillId="0" borderId="7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167" fontId="26" fillId="0" borderId="7" xfId="1" applyNumberFormat="1" applyFont="1" applyFill="1" applyBorder="1"/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7" fontId="5" fillId="0" borderId="0" xfId="0" applyNumberFormat="1" applyFont="1" applyFill="1" applyBorder="1" applyAlignment="1">
      <alignment horizontal="center"/>
    </xf>
    <xf numFmtId="167" fontId="24" fillId="0" borderId="0" xfId="1" applyNumberFormat="1" applyFont="1" applyFill="1" applyBorder="1"/>
    <xf numFmtId="167" fontId="26" fillId="0" borderId="0" xfId="1" applyNumberFormat="1" applyFont="1" applyFill="1" applyBorder="1"/>
    <xf numFmtId="167" fontId="34" fillId="0" borderId="0" xfId="0" applyNumberFormat="1" applyFont="1" applyFill="1" applyBorder="1"/>
    <xf numFmtId="0" fontId="48" fillId="0" borderId="20" xfId="0" applyFont="1" applyBorder="1" applyAlignment="1">
      <alignment horizontal="left" vertical="center"/>
    </xf>
    <xf numFmtId="167" fontId="3" fillId="0" borderId="0" xfId="1" applyNumberFormat="1" applyFont="1" applyAlignment="1">
      <alignment horizontal="center" vertical="center" wrapText="1"/>
    </xf>
    <xf numFmtId="43" fontId="48" fillId="0" borderId="7" xfId="1" applyFont="1" applyBorder="1"/>
    <xf numFmtId="0" fontId="26" fillId="0" borderId="0" xfId="0" applyFont="1" applyAlignment="1">
      <alignment horizontal="right"/>
    </xf>
    <xf numFmtId="43" fontId="5" fillId="0" borderId="0" xfId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right"/>
    </xf>
    <xf numFmtId="43" fontId="3" fillId="3" borderId="0" xfId="0" applyNumberFormat="1" applyFont="1" applyFill="1" applyAlignment="1">
      <alignment horizontal="center" vertical="center" wrapText="1"/>
    </xf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3" fontId="5" fillId="0" borderId="7" xfId="0" applyNumberFormat="1" applyFont="1" applyBorder="1"/>
    <xf numFmtId="4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68" fontId="5" fillId="3" borderId="7" xfId="1" applyNumberFormat="1" applyFont="1" applyFill="1" applyBorder="1"/>
    <xf numFmtId="173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9" fontId="3" fillId="0" borderId="0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10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/>
    <xf numFmtId="16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0" fontId="3" fillId="0" borderId="22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23" xfId="0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49" fontId="5" fillId="15" borderId="7" xfId="0" applyNumberFormat="1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8" fontId="3" fillId="0" borderId="0" xfId="0" applyNumberFormat="1" applyFont="1" applyAlignment="1">
      <alignment vertical="center"/>
    </xf>
    <xf numFmtId="175" fontId="3" fillId="0" borderId="7" xfId="0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8" fontId="3" fillId="0" borderId="0" xfId="0" applyNumberFormat="1" applyFont="1" applyBorder="1"/>
    <xf numFmtId="175" fontId="3" fillId="0" borderId="0" xfId="0" applyNumberFormat="1" applyFont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 vertical="center"/>
    </xf>
    <xf numFmtId="2" fontId="43" fillId="14" borderId="0" xfId="0" applyNumberFormat="1" applyFont="1" applyFill="1" applyBorder="1" applyAlignment="1">
      <alignment horizontal="center" vertical="distributed"/>
    </xf>
    <xf numFmtId="164" fontId="43" fillId="12" borderId="0" xfId="0" applyNumberFormat="1" applyFont="1" applyFill="1" applyBorder="1" applyAlignment="1">
      <alignment horizontal="center" vertical="distributed"/>
    </xf>
    <xf numFmtId="0" fontId="28" fillId="15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" fontId="50" fillId="0" borderId="7" xfId="0" applyNumberFormat="1" applyFont="1" applyFill="1" applyBorder="1" applyAlignment="1">
      <alignment horizontal="center" vertical="center" wrapText="1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right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Border="1"/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175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9" fontId="3" fillId="4" borderId="0" xfId="2" applyNumberFormat="1" applyFont="1" applyFill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49" fillId="2" borderId="7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right" vertical="center" wrapText="1"/>
    </xf>
    <xf numFmtId="175" fontId="3" fillId="4" borderId="7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" fontId="8" fillId="0" borderId="11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" fontId="64" fillId="4" borderId="7" xfId="0" applyNumberFormat="1" applyFont="1" applyFill="1" applyBorder="1" applyAlignment="1">
      <alignment horizontal="center" vertical="center"/>
    </xf>
    <xf numFmtId="1" fontId="65" fillId="4" borderId="7" xfId="0" applyNumberFormat="1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 wrapText="1"/>
    </xf>
    <xf numFmtId="0" fontId="0" fillId="18" borderId="7" xfId="0" applyFill="1" applyBorder="1"/>
    <xf numFmtId="164" fontId="12" fillId="2" borderId="26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28" fillId="0" borderId="32" xfId="0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9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top" wrapText="1"/>
    </xf>
    <xf numFmtId="0" fontId="28" fillId="0" borderId="29" xfId="0" applyFont="1" applyFill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/>
    </xf>
    <xf numFmtId="1" fontId="63" fillId="4" borderId="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7" xfId="0" applyFill="1" applyBorder="1" applyAlignment="1">
      <alignment horizontal="center"/>
    </xf>
    <xf numFmtId="176" fontId="3" fillId="0" borderId="0" xfId="0" applyNumberFormat="1" applyFont="1" applyAlignment="1">
      <alignment horizontal="left" vertical="center"/>
    </xf>
    <xf numFmtId="0" fontId="5" fillId="2" borderId="16" xfId="0" applyFont="1" applyFill="1" applyBorder="1" applyAlignment="1">
      <alignment vertical="center"/>
    </xf>
    <xf numFmtId="10" fontId="46" fillId="4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center" vertical="center"/>
    </xf>
    <xf numFmtId="175" fontId="3" fillId="4" borderId="0" xfId="0" applyNumberFormat="1" applyFont="1" applyFill="1" applyBorder="1" applyAlignment="1">
      <alignment horizontal="center" vertical="center"/>
    </xf>
    <xf numFmtId="1" fontId="64" fillId="4" borderId="0" xfId="0" applyNumberFormat="1" applyFont="1" applyFill="1" applyBorder="1" applyAlignment="1">
      <alignment horizontal="center" vertical="center"/>
    </xf>
    <xf numFmtId="1" fontId="65" fillId="4" borderId="0" xfId="0" applyNumberFormat="1" applyFont="1" applyFill="1" applyBorder="1" applyAlignment="1">
      <alignment horizontal="center" vertical="center"/>
    </xf>
    <xf numFmtId="2" fontId="71" fillId="0" borderId="0" xfId="0" applyNumberFormat="1" applyFont="1" applyBorder="1" applyAlignment="1">
      <alignment horizontal="center" vertical="center"/>
    </xf>
    <xf numFmtId="2" fontId="72" fillId="0" borderId="0" xfId="0" applyNumberFormat="1" applyFont="1" applyBorder="1" applyAlignment="1">
      <alignment horizontal="center" vertical="center"/>
    </xf>
    <xf numFmtId="2" fontId="6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63" fillId="4" borderId="7" xfId="0" applyNumberFormat="1" applyFont="1" applyFill="1" applyBorder="1" applyAlignment="1">
      <alignment horizontal="center" vertical="center"/>
    </xf>
    <xf numFmtId="49" fontId="46" fillId="4" borderId="7" xfId="0" applyNumberFormat="1" applyFont="1" applyFill="1" applyBorder="1" applyAlignment="1">
      <alignment horizontal="center" vertical="center"/>
    </xf>
    <xf numFmtId="168" fontId="34" fillId="4" borderId="0" xfId="0" applyNumberFormat="1" applyFont="1" applyFill="1" applyBorder="1" applyAlignment="1">
      <alignment horizontal="right"/>
    </xf>
    <xf numFmtId="175" fontId="34" fillId="4" borderId="0" xfId="0" applyNumberFormat="1" applyFont="1" applyFill="1" applyBorder="1" applyAlignment="1">
      <alignment horizontal="right" vertical="center"/>
    </xf>
    <xf numFmtId="0" fontId="34" fillId="4" borderId="0" xfId="0" applyFont="1" applyFill="1" applyAlignment="1">
      <alignment horizontal="right" vertical="center"/>
    </xf>
    <xf numFmtId="9" fontId="34" fillId="4" borderId="0" xfId="2" applyNumberFormat="1" applyFont="1" applyFill="1" applyAlignment="1">
      <alignment horizontal="right" vertical="center"/>
    </xf>
    <xf numFmtId="2" fontId="71" fillId="4" borderId="0" xfId="0" applyNumberFormat="1" applyFont="1" applyFill="1" applyBorder="1" applyAlignment="1">
      <alignment horizontal="center" vertical="center"/>
    </xf>
    <xf numFmtId="2" fontId="72" fillId="4" borderId="0" xfId="0" applyNumberFormat="1" applyFont="1" applyFill="1" applyBorder="1" applyAlignment="1">
      <alignment horizontal="center" vertical="center"/>
    </xf>
    <xf numFmtId="2" fontId="65" fillId="4" borderId="0" xfId="0" applyNumberFormat="1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10" fillId="0" borderId="0" xfId="0" applyNumberFormat="1" applyFont="1"/>
    <xf numFmtId="3" fontId="12" fillId="0" borderId="0" xfId="0" applyNumberFormat="1" applyFont="1"/>
    <xf numFmtId="0" fontId="70" fillId="2" borderId="7" xfId="0" applyFont="1" applyFill="1" applyBorder="1" applyAlignment="1">
      <alignment horizontal="center" vertical="center"/>
    </xf>
    <xf numFmtId="2" fontId="61" fillId="4" borderId="7" xfId="0" applyNumberFormat="1" applyFont="1" applyFill="1" applyBorder="1" applyAlignment="1">
      <alignment horizontal="center" vertical="center"/>
    </xf>
    <xf numFmtId="2" fontId="53" fillId="4" borderId="7" xfId="0" applyNumberFormat="1" applyFont="1" applyFill="1" applyBorder="1" applyAlignment="1">
      <alignment horizontal="center" vertical="center"/>
    </xf>
    <xf numFmtId="2" fontId="63" fillId="4" borderId="7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47" fillId="4" borderId="0" xfId="0" applyFont="1" applyFill="1" applyAlignment="1">
      <alignment horizontal="left" vertical="center"/>
    </xf>
    <xf numFmtId="1" fontId="8" fillId="0" borderId="7" xfId="0" applyNumberFormat="1" applyFont="1" applyBorder="1" applyAlignment="1">
      <alignment vertical="center"/>
    </xf>
    <xf numFmtId="0" fontId="0" fillId="19" borderId="7" xfId="0" applyFill="1" applyBorder="1"/>
    <xf numFmtId="2" fontId="6" fillId="4" borderId="7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9" fontId="78" fillId="0" borderId="0" xfId="0" applyNumberFormat="1" applyFont="1"/>
    <xf numFmtId="0" fontId="79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3" fontId="3" fillId="4" borderId="0" xfId="1" applyFont="1" applyFill="1"/>
    <xf numFmtId="43" fontId="3" fillId="4" borderId="0" xfId="1" applyFont="1" applyFill="1" applyBorder="1" applyAlignment="1">
      <alignment horizontal="center" vertical="center"/>
    </xf>
    <xf numFmtId="43" fontId="3" fillId="4" borderId="0" xfId="1" applyFont="1" applyFill="1" applyAlignment="1">
      <alignment horizontal="center" vertical="center"/>
    </xf>
    <xf numFmtId="43" fontId="3" fillId="4" borderId="0" xfId="1" applyFont="1" applyFill="1" applyAlignment="1">
      <alignment horizontal="left"/>
    </xf>
    <xf numFmtId="43" fontId="3" fillId="0" borderId="0" xfId="1" applyFont="1"/>
    <xf numFmtId="0" fontId="14" fillId="2" borderId="7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2" fontId="61" fillId="4" borderId="0" xfId="0" applyNumberFormat="1" applyFont="1" applyFill="1" applyBorder="1" applyAlignment="1">
      <alignment horizontal="center" vertical="center"/>
    </xf>
    <xf numFmtId="2" fontId="62" fillId="4" borderId="0" xfId="0" applyNumberFormat="1" applyFont="1" applyFill="1" applyBorder="1" applyAlignment="1">
      <alignment horizontal="center" vertical="center"/>
    </xf>
    <xf numFmtId="2" fontId="53" fillId="4" borderId="0" xfId="0" applyNumberFormat="1" applyFont="1" applyFill="1" applyBorder="1" applyAlignment="1">
      <alignment horizontal="center" vertical="center"/>
    </xf>
    <xf numFmtId="2" fontId="63" fillId="4" borderId="0" xfId="0" applyNumberFormat="1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right" vertical="center" wrapText="1"/>
    </xf>
    <xf numFmtId="0" fontId="34" fillId="4" borderId="7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10" fontId="34" fillId="4" borderId="7" xfId="0" applyNumberFormat="1" applyFont="1" applyFill="1" applyBorder="1" applyAlignment="1">
      <alignment horizontal="right" vertical="center"/>
    </xf>
    <xf numFmtId="0" fontId="34" fillId="0" borderId="7" xfId="0" applyFont="1" applyFill="1" applyBorder="1" applyAlignment="1">
      <alignment horizontal="right" vertical="center"/>
    </xf>
    <xf numFmtId="1" fontId="80" fillId="4" borderId="7" xfId="0" applyNumberFormat="1" applyFont="1" applyFill="1" applyBorder="1" applyAlignment="1">
      <alignment horizontal="center" vertical="center"/>
    </xf>
    <xf numFmtId="1" fontId="81" fillId="4" borderId="7" xfId="0" applyNumberFormat="1" applyFont="1" applyFill="1" applyBorder="1" applyAlignment="1">
      <alignment horizontal="center" vertical="center"/>
    </xf>
    <xf numFmtId="1" fontId="82" fillId="4" borderId="7" xfId="0" applyNumberFormat="1" applyFont="1" applyFill="1" applyBorder="1" applyAlignment="1">
      <alignment horizontal="center" vertical="center"/>
    </xf>
    <xf numFmtId="164" fontId="80" fillId="4" borderId="7" xfId="0" applyNumberFormat="1" applyFont="1" applyFill="1" applyBorder="1" applyAlignment="1">
      <alignment horizontal="center" vertical="center"/>
    </xf>
    <xf numFmtId="164" fontId="81" fillId="4" borderId="7" xfId="0" applyNumberFormat="1" applyFont="1" applyFill="1" applyBorder="1" applyAlignment="1">
      <alignment horizontal="center" vertical="center"/>
    </xf>
    <xf numFmtId="2" fontId="82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" fontId="83" fillId="4" borderId="7" xfId="0" applyNumberFormat="1" applyFont="1" applyFill="1" applyBorder="1" applyAlignment="1">
      <alignment horizontal="center" vertical="center"/>
    </xf>
    <xf numFmtId="1" fontId="73" fillId="4" borderId="7" xfId="0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left"/>
    </xf>
    <xf numFmtId="0" fontId="87" fillId="4" borderId="0" xfId="0" applyFont="1" applyFill="1" applyBorder="1" applyAlignment="1">
      <alignment horizontal="left" vertical="center"/>
    </xf>
    <xf numFmtId="0" fontId="7" fillId="16" borderId="16" xfId="0" applyFont="1" applyFill="1" applyBorder="1" applyAlignment="1">
      <alignment vertical="center"/>
    </xf>
    <xf numFmtId="0" fontId="56" fillId="16" borderId="13" xfId="0" applyFont="1" applyFill="1" applyBorder="1" applyAlignment="1">
      <alignment vertical="center"/>
    </xf>
    <xf numFmtId="0" fontId="56" fillId="16" borderId="14" xfId="0" applyFont="1" applyFill="1" applyBorder="1" applyAlignment="1">
      <alignment vertical="center"/>
    </xf>
    <xf numFmtId="0" fontId="19" fillId="0" borderId="24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90" fillId="0" borderId="29" xfId="0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92" fillId="4" borderId="7" xfId="0" applyFont="1" applyFill="1" applyBorder="1" applyAlignment="1">
      <alignment horizontal="right" vertical="center" wrapText="1"/>
    </xf>
    <xf numFmtId="0" fontId="46" fillId="4" borderId="0" xfId="0" applyFont="1" applyFill="1" applyBorder="1" applyAlignment="1">
      <alignment horizontal="left" vertical="center" wrapText="1"/>
    </xf>
    <xf numFmtId="0" fontId="47" fillId="4" borderId="7" xfId="0" applyFont="1" applyFill="1" applyBorder="1" applyAlignment="1">
      <alignment horizontal="center" vertical="center"/>
    </xf>
    <xf numFmtId="0" fontId="95" fillId="2" borderId="7" xfId="0" applyFont="1" applyFill="1" applyBorder="1" applyAlignment="1">
      <alignment horizontal="center" vertical="center"/>
    </xf>
    <xf numFmtId="166" fontId="47" fillId="4" borderId="7" xfId="0" applyNumberFormat="1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1" fontId="96" fillId="4" borderId="7" xfId="0" applyNumberFormat="1" applyFont="1" applyFill="1" applyBorder="1" applyAlignment="1">
      <alignment horizontal="right" vertical="center"/>
    </xf>
    <xf numFmtId="1" fontId="97" fillId="4" borderId="7" xfId="0" applyNumberFormat="1" applyFont="1" applyFill="1" applyBorder="1" applyAlignment="1">
      <alignment horizontal="right" vertical="center"/>
    </xf>
    <xf numFmtId="0" fontId="46" fillId="4" borderId="0" xfId="0" applyFont="1" applyFill="1" applyBorder="1" applyAlignment="1">
      <alignment horizontal="center" vertical="center"/>
    </xf>
    <xf numFmtId="1" fontId="98" fillId="4" borderId="7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5" borderId="15" xfId="0" applyFill="1" applyBorder="1"/>
    <xf numFmtId="0" fontId="0" fillId="18" borderId="15" xfId="0" applyFill="1" applyBorder="1"/>
    <xf numFmtId="0" fontId="0" fillId="5" borderId="10" xfId="0" applyFill="1" applyBorder="1"/>
    <xf numFmtId="0" fontId="21" fillId="0" borderId="16" xfId="0" applyFont="1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6" borderId="36" xfId="0" applyFill="1" applyBorder="1"/>
    <xf numFmtId="0" fontId="0" fillId="6" borderId="37" xfId="0" applyFill="1" applyBorder="1"/>
    <xf numFmtId="0" fontId="0" fillId="18" borderId="36" xfId="0" applyFill="1" applyBorder="1"/>
    <xf numFmtId="0" fontId="73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19" borderId="15" xfId="0" applyFill="1" applyBorder="1"/>
    <xf numFmtId="0" fontId="0" fillId="19" borderId="36" xfId="0" applyFill="1" applyBorder="1"/>
    <xf numFmtId="0" fontId="99" fillId="0" borderId="0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88" fillId="0" borderId="0" xfId="0" applyFont="1" applyBorder="1" applyAlignment="1">
      <alignment vertical="center" wrapText="1"/>
    </xf>
    <xf numFmtId="0" fontId="3" fillId="20" borderId="0" xfId="0" applyFont="1" applyFill="1"/>
    <xf numFmtId="0" fontId="3" fillId="4" borderId="7" xfId="0" applyFont="1" applyFill="1" applyBorder="1" applyAlignment="1">
      <alignment horizontal="left" vertical="center" wrapText="1"/>
    </xf>
    <xf numFmtId="10" fontId="3" fillId="4" borderId="7" xfId="0" applyNumberFormat="1" applyFont="1" applyFill="1" applyBorder="1" applyAlignment="1">
      <alignment horizontal="center" vertical="center"/>
    </xf>
    <xf numFmtId="0" fontId="101" fillId="0" borderId="0" xfId="0" applyFont="1"/>
    <xf numFmtId="0" fontId="101" fillId="0" borderId="0" xfId="0" applyFont="1" applyAlignment="1">
      <alignment horizontal="center"/>
    </xf>
    <xf numFmtId="0" fontId="101" fillId="0" borderId="0" xfId="0" applyFont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10" fontId="101" fillId="0" borderId="0" xfId="2" applyNumberFormat="1" applyFont="1"/>
    <xf numFmtId="10" fontId="101" fillId="0" borderId="0" xfId="2" applyNumberFormat="1" applyFont="1" applyAlignment="1">
      <alignment horizontal="center"/>
    </xf>
    <xf numFmtId="2" fontId="101" fillId="0" borderId="0" xfId="0" applyNumberFormat="1" applyFont="1" applyAlignment="1">
      <alignment horizontal="center"/>
    </xf>
    <xf numFmtId="164" fontId="101" fillId="0" borderId="0" xfId="0" applyNumberFormat="1" applyFont="1" applyAlignment="1">
      <alignment horizontal="center"/>
    </xf>
    <xf numFmtId="43" fontId="101" fillId="0" borderId="0" xfId="1" applyFont="1" applyFill="1" applyBorder="1" applyAlignment="1">
      <alignment horizontal="center" vertical="center" wrapText="1"/>
    </xf>
    <xf numFmtId="168" fontId="102" fillId="0" borderId="0" xfId="1" applyNumberFormat="1" applyFont="1"/>
    <xf numFmtId="2" fontId="101" fillId="0" borderId="0" xfId="0" applyNumberFormat="1" applyFont="1" applyFill="1" applyAlignment="1">
      <alignment horizontal="center"/>
    </xf>
    <xf numFmtId="164" fontId="101" fillId="0" borderId="0" xfId="0" applyNumberFormat="1" applyFont="1" applyFill="1" applyAlignment="1">
      <alignment horizontal="center"/>
    </xf>
    <xf numFmtId="3" fontId="3" fillId="7" borderId="7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7" borderId="7" xfId="1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4" fontId="61" fillId="4" borderId="7" xfId="0" applyNumberFormat="1" applyFont="1" applyFill="1" applyBorder="1" applyAlignment="1">
      <alignment horizontal="center" vertical="center"/>
    </xf>
    <xf numFmtId="164" fontId="62" fillId="2" borderId="7" xfId="0" applyNumberFormat="1" applyFont="1" applyFill="1" applyBorder="1" applyAlignment="1">
      <alignment horizontal="center" vertical="center"/>
    </xf>
    <xf numFmtId="164" fontId="53" fillId="4" borderId="7" xfId="0" applyNumberFormat="1" applyFont="1" applyFill="1" applyBorder="1" applyAlignment="1">
      <alignment horizontal="center" vertical="center"/>
    </xf>
    <xf numFmtId="164" fontId="3" fillId="4" borderId="0" xfId="1" applyNumberFormat="1" applyFont="1" applyFill="1"/>
    <xf numFmtId="164" fontId="77" fillId="4" borderId="7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164" fontId="73" fillId="4" borderId="7" xfId="0" applyNumberFormat="1" applyFont="1" applyFill="1" applyBorder="1" applyAlignment="1">
      <alignment horizontal="center" vertical="center"/>
    </xf>
    <xf numFmtId="1" fontId="62" fillId="0" borderId="7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58" fillId="4" borderId="28" xfId="0" applyFont="1" applyFill="1" applyBorder="1" applyAlignment="1">
      <alignment horizontal="center" vertical="top" wrapText="1"/>
    </xf>
    <xf numFmtId="0" fontId="58" fillId="4" borderId="31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5" fillId="16" borderId="16" xfId="0" applyFont="1" applyFill="1" applyBorder="1" applyAlignment="1">
      <alignment horizontal="center" vertical="center" wrapText="1"/>
    </xf>
    <xf numFmtId="0" fontId="5" fillId="16" borderId="14" xfId="0" applyFont="1" applyFill="1" applyBorder="1" applyAlignment="1">
      <alignment horizontal="center" vertical="center" wrapText="1"/>
    </xf>
    <xf numFmtId="175" fontId="85" fillId="4" borderId="0" xfId="1" applyNumberFormat="1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 vertical="top" wrapText="1"/>
    </xf>
    <xf numFmtId="0" fontId="67" fillId="0" borderId="4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59" fillId="4" borderId="28" xfId="0" applyFont="1" applyFill="1" applyBorder="1" applyAlignment="1">
      <alignment horizontal="center" vertical="top" wrapText="1"/>
    </xf>
    <xf numFmtId="0" fontId="59" fillId="4" borderId="31" xfId="0" applyFont="1" applyFill="1" applyBorder="1" applyAlignment="1">
      <alignment horizontal="center" vertical="top" wrapText="1"/>
    </xf>
    <xf numFmtId="0" fontId="59" fillId="4" borderId="30" xfId="0" applyFont="1" applyFill="1" applyBorder="1" applyAlignment="1">
      <alignment horizontal="center" vertical="top" wrapText="1"/>
    </xf>
    <xf numFmtId="0" fontId="60" fillId="4" borderId="28" xfId="0" applyFont="1" applyFill="1" applyBorder="1" applyAlignment="1">
      <alignment horizontal="center" vertical="top" wrapText="1"/>
    </xf>
    <xf numFmtId="0" fontId="60" fillId="4" borderId="31" xfId="0" applyFont="1" applyFill="1" applyBorder="1" applyAlignment="1">
      <alignment horizontal="center" vertical="top" wrapText="1"/>
    </xf>
    <xf numFmtId="0" fontId="60" fillId="4" borderId="30" xfId="0" applyFont="1" applyFill="1" applyBorder="1" applyAlignment="1">
      <alignment horizontal="center" vertical="top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14" xfId="0" applyFont="1" applyFill="1" applyBorder="1" applyAlignment="1">
      <alignment horizontal="center" vertical="center" wrapText="1"/>
    </xf>
    <xf numFmtId="0" fontId="91" fillId="0" borderId="16" xfId="0" applyFont="1" applyFill="1" applyBorder="1" applyAlignment="1">
      <alignment horizontal="center" vertical="center"/>
    </xf>
    <xf numFmtId="0" fontId="91" fillId="0" borderId="13" xfId="0" applyFont="1" applyFill="1" applyBorder="1" applyAlignment="1">
      <alignment horizontal="center" vertical="center"/>
    </xf>
    <xf numFmtId="0" fontId="91" fillId="0" borderId="14" xfId="0" applyFont="1" applyFill="1" applyBorder="1" applyAlignment="1">
      <alignment horizontal="center" vertical="center"/>
    </xf>
    <xf numFmtId="0" fontId="56" fillId="17" borderId="16" xfId="0" applyFont="1" applyFill="1" applyBorder="1" applyAlignment="1">
      <alignment horizontal="left" vertical="center" wrapText="1"/>
    </xf>
    <xf numFmtId="0" fontId="56" fillId="17" borderId="13" xfId="0" applyFont="1" applyFill="1" applyBorder="1" applyAlignment="1">
      <alignment horizontal="left" vertical="center" wrapText="1"/>
    </xf>
    <xf numFmtId="0" fontId="56" fillId="17" borderId="1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top" textRotation="180" wrapText="1"/>
    </xf>
    <xf numFmtId="0" fontId="88" fillId="0" borderId="16" xfId="0" applyFont="1" applyBorder="1" applyAlignment="1">
      <alignment horizontal="left" vertical="center" wrapText="1"/>
    </xf>
    <xf numFmtId="0" fontId="88" fillId="0" borderId="13" xfId="0" applyFont="1" applyBorder="1" applyAlignment="1">
      <alignment horizontal="left" vertical="center" wrapText="1"/>
    </xf>
    <xf numFmtId="0" fontId="88" fillId="0" borderId="14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1" fontId="8" fillId="0" borderId="7" xfId="0" applyNumberFormat="1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1" fontId="8" fillId="0" borderId="15" xfId="0" applyNumberFormat="1" applyFont="1" applyBorder="1" applyAlignment="1">
      <alignment horizontal="right" vertical="center"/>
    </xf>
    <xf numFmtId="1" fontId="8" fillId="0" borderId="10" xfId="0" applyNumberFormat="1" applyFont="1" applyBorder="1" applyAlignment="1">
      <alignment horizontal="right" vertical="center"/>
    </xf>
    <xf numFmtId="1" fontId="12" fillId="0" borderId="15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008000"/>
      <color rgb="FFFF9900"/>
      <color rgb="FFFFCCFF"/>
      <color rgb="FF0000FF"/>
      <color rgb="FFFF6600"/>
      <color rgb="FFFF3300"/>
      <color rgb="FF993300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</a:t>
            </a:r>
            <a:r>
              <a:rPr lang="es-ES" sz="1100" b="1" baseline="0">
                <a:solidFill>
                  <a:srgbClr val="993300"/>
                </a:solidFill>
              </a:rPr>
              <a:t> </a:t>
            </a:r>
            <a:r>
              <a:rPr lang="es-ES" sz="1100" b="1">
                <a:solidFill>
                  <a:srgbClr val="993300"/>
                </a:solidFill>
              </a:rPr>
              <a:t>(3tB)":</a:t>
            </a:r>
            <a:r>
              <a:rPr lang="es-ES" sz="1100" b="1">
                <a:solidFill>
                  <a:srgbClr val="006600"/>
                </a:solidFill>
              </a:rPr>
              <a:t> 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4.4609665427509292E-2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2.7881040892193308E-2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23.927509293680298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427640</xdr:colOff>
      <xdr:row>0</xdr:row>
      <xdr:rowOff>67003</xdr:rowOff>
    </xdr:from>
    <xdr:to>
      <xdr:col>28</xdr:col>
      <xdr:colOff>427640</xdr:colOff>
      <xdr:row>61</xdr:row>
      <xdr:rowOff>262977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108865</xdr:rowOff>
    </xdr:from>
    <xdr:to>
      <xdr:col>10</xdr:col>
      <xdr:colOff>19050</xdr:colOff>
      <xdr:row>18</xdr:row>
      <xdr:rowOff>114300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800475" y="4328440"/>
          <a:ext cx="866775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27214</xdr:colOff>
      <xdr:row>18</xdr:row>
      <xdr:rowOff>108857</xdr:rowOff>
    </xdr:from>
    <xdr:to>
      <xdr:col>37</xdr:col>
      <xdr:colOff>7471</xdr:colOff>
      <xdr:row>18</xdr:row>
      <xdr:rowOff>112059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9670143" y="4526643"/>
          <a:ext cx="705971" cy="3202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9525</xdr:colOff>
      <xdr:row>21</xdr:row>
      <xdr:rowOff>123825</xdr:rowOff>
    </xdr:from>
    <xdr:to>
      <xdr:col>30</xdr:col>
      <xdr:colOff>9525</xdr:colOff>
      <xdr:row>21</xdr:row>
      <xdr:rowOff>142875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3781425" y="4943475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28575</xdr:colOff>
      <xdr:row>21</xdr:row>
      <xdr:rowOff>104775</xdr:rowOff>
    </xdr:from>
    <xdr:to>
      <xdr:col>56</xdr:col>
      <xdr:colOff>180975</xdr:colOff>
      <xdr:row>21</xdr:row>
      <xdr:rowOff>114300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9277350" y="4924425"/>
          <a:ext cx="519112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20</xdr:row>
      <xdr:rowOff>103420</xdr:rowOff>
    </xdr:from>
    <xdr:to>
      <xdr:col>30</xdr:col>
      <xdr:colOff>9525</xdr:colOff>
      <xdr:row>20</xdr:row>
      <xdr:rowOff>104775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800475" y="4713520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47625</xdr:colOff>
      <xdr:row>20</xdr:row>
      <xdr:rowOff>114300</xdr:rowOff>
    </xdr:from>
    <xdr:to>
      <xdr:col>44</xdr:col>
      <xdr:colOff>190500</xdr:colOff>
      <xdr:row>20</xdr:row>
      <xdr:rowOff>114303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9296400" y="4724400"/>
          <a:ext cx="2552700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18</xdr:row>
      <xdr:rowOff>99340</xdr:rowOff>
    </xdr:from>
    <xdr:to>
      <xdr:col>16</xdr:col>
      <xdr:colOff>13138</xdr:colOff>
      <xdr:row>18</xdr:row>
      <xdr:rowOff>105103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792592" y="4316616"/>
          <a:ext cx="2152322" cy="576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11824</xdr:colOff>
      <xdr:row>18</xdr:row>
      <xdr:rowOff>101819</xdr:rowOff>
    </xdr:from>
    <xdr:to>
      <xdr:col>43</xdr:col>
      <xdr:colOff>2299</xdr:colOff>
      <xdr:row>18</xdr:row>
      <xdr:rowOff>101820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9195238" y="4319095"/>
          <a:ext cx="2158233" cy="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38100</xdr:colOff>
      <xdr:row>21</xdr:row>
      <xdr:rowOff>124810</xdr:rowOff>
    </xdr:from>
    <xdr:to>
      <xdr:col>30</xdr:col>
      <xdr:colOff>6569</xdr:colOff>
      <xdr:row>21</xdr:row>
      <xdr:rowOff>142875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3802117" y="4933293"/>
          <a:ext cx="5171090" cy="180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38100</xdr:colOff>
      <xdr:row>21</xdr:row>
      <xdr:rowOff>95250</xdr:rowOff>
    </xdr:from>
    <xdr:to>
      <xdr:col>56</xdr:col>
      <xdr:colOff>190500</xdr:colOff>
      <xdr:row>21</xdr:row>
      <xdr:rowOff>104775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9286875" y="4905375"/>
          <a:ext cx="519112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20</xdr:row>
      <xdr:rowOff>103420</xdr:rowOff>
    </xdr:from>
    <xdr:to>
      <xdr:col>30</xdr:col>
      <xdr:colOff>9525</xdr:colOff>
      <xdr:row>20</xdr:row>
      <xdr:rowOff>104775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800475" y="4513495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47625</xdr:colOff>
      <xdr:row>20</xdr:row>
      <xdr:rowOff>114300</xdr:rowOff>
    </xdr:from>
    <xdr:to>
      <xdr:col>44</xdr:col>
      <xdr:colOff>190500</xdr:colOff>
      <xdr:row>20</xdr:row>
      <xdr:rowOff>114303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9296400" y="4524375"/>
          <a:ext cx="2552700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18</xdr:row>
      <xdr:rowOff>99340</xdr:rowOff>
    </xdr:from>
    <xdr:to>
      <xdr:col>12</xdr:col>
      <xdr:colOff>209550</xdr:colOff>
      <xdr:row>18</xdr:row>
      <xdr:rowOff>104775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3848100" y="4328440"/>
          <a:ext cx="1447800" cy="543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57150</xdr:colOff>
      <xdr:row>18</xdr:row>
      <xdr:rowOff>123825</xdr:rowOff>
    </xdr:from>
    <xdr:to>
      <xdr:col>40</xdr:col>
      <xdr:colOff>0</xdr:colOff>
      <xdr:row>18</xdr:row>
      <xdr:rowOff>133350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7772400" y="4343400"/>
          <a:ext cx="147637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21</xdr:row>
      <xdr:rowOff>114300</xdr:rowOff>
    </xdr:from>
    <xdr:to>
      <xdr:col>30</xdr:col>
      <xdr:colOff>28575</xdr:colOff>
      <xdr:row>21</xdr:row>
      <xdr:rowOff>133350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3800475" y="4933950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28575</xdr:colOff>
      <xdr:row>21</xdr:row>
      <xdr:rowOff>104775</xdr:rowOff>
    </xdr:from>
    <xdr:to>
      <xdr:col>56</xdr:col>
      <xdr:colOff>180975</xdr:colOff>
      <xdr:row>21</xdr:row>
      <xdr:rowOff>114300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9277350" y="4914900"/>
          <a:ext cx="5191125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28575</xdr:colOff>
      <xdr:row>20</xdr:row>
      <xdr:rowOff>103420</xdr:rowOff>
    </xdr:from>
    <xdr:to>
      <xdr:col>30</xdr:col>
      <xdr:colOff>9525</xdr:colOff>
      <xdr:row>20</xdr:row>
      <xdr:rowOff>104775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3800475" y="4904020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33</xdr:col>
      <xdr:colOff>47625</xdr:colOff>
      <xdr:row>20</xdr:row>
      <xdr:rowOff>114300</xdr:rowOff>
    </xdr:from>
    <xdr:to>
      <xdr:col>44</xdr:col>
      <xdr:colOff>190500</xdr:colOff>
      <xdr:row>20</xdr:row>
      <xdr:rowOff>114303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V="1">
          <a:off x="9296400" y="4714875"/>
          <a:ext cx="2552700" cy="3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"/>
  <sheetViews>
    <sheetView tabSelected="1" zoomScale="70" zoomScaleNormal="70" workbookViewId="0">
      <selection activeCell="B2" sqref="B2"/>
    </sheetView>
  </sheetViews>
  <sheetFormatPr baseColWidth="10" defaultRowHeight="13" x14ac:dyDescent="0.3"/>
  <cols>
    <col min="1" max="1" width="0.453125" style="1" customWidth="1"/>
    <col min="2" max="2" width="37.1796875" style="1" customWidth="1"/>
    <col min="3" max="3" width="23.54296875" style="1" customWidth="1"/>
    <col min="4" max="4" width="22" style="1" customWidth="1"/>
    <col min="5" max="5" width="17.1796875" style="1" customWidth="1"/>
    <col min="6" max="6" width="22.90625" style="1" customWidth="1"/>
    <col min="7" max="7" width="17.90625" style="1" customWidth="1"/>
    <col min="8" max="8" width="9.7265625" style="1" customWidth="1"/>
    <col min="9" max="9" width="7.816406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0.7265625" style="1" hidden="1" customWidth="1"/>
    <col min="15" max="16" width="12.6328125" style="7" customWidth="1"/>
    <col min="17" max="17" width="2.54296875" style="1" customWidth="1"/>
    <col min="18" max="18" width="14.54296875" style="1" customWidth="1"/>
    <col min="19" max="19" width="15.453125" style="1" customWidth="1"/>
    <col min="20" max="20" width="13.54296875" style="1" customWidth="1"/>
    <col min="21" max="21" width="11.81640625" style="7" customWidth="1"/>
    <col min="22" max="22" width="10.54296875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6" customHeight="1" thickBot="1" x14ac:dyDescent="0.35">
      <c r="B1" s="58"/>
      <c r="C1" s="59"/>
      <c r="D1" s="58"/>
      <c r="E1" s="60"/>
      <c r="F1" s="1"/>
      <c r="G1" s="1"/>
      <c r="H1" s="61"/>
      <c r="I1" s="61"/>
      <c r="J1" s="61"/>
      <c r="K1" s="61"/>
      <c r="L1" s="62"/>
      <c r="M1" s="63"/>
      <c r="N1" s="63"/>
      <c r="O1" s="5"/>
      <c r="P1" s="5"/>
      <c r="Q1" s="64"/>
      <c r="X1" s="65"/>
      <c r="Y1" s="65"/>
      <c r="Z1" s="65"/>
      <c r="AA1" s="65"/>
      <c r="AB1" s="65"/>
      <c r="AC1" s="65"/>
    </row>
    <row r="2" spans="2:30" ht="24.5" customHeight="1" thickBot="1" x14ac:dyDescent="0.35">
      <c r="B2" s="369" t="s">
        <v>128</v>
      </c>
      <c r="C2" s="370"/>
      <c r="D2" s="370"/>
      <c r="E2" s="370"/>
      <c r="F2" s="371"/>
      <c r="G2" s="66"/>
      <c r="H2" s="324" t="s">
        <v>15</v>
      </c>
      <c r="I2" s="68">
        <v>0.95</v>
      </c>
      <c r="J2" s="66"/>
      <c r="K2" s="69"/>
      <c r="L2" s="62"/>
      <c r="M2" s="70"/>
      <c r="N2" s="70"/>
      <c r="O2" s="71"/>
      <c r="P2" s="71"/>
      <c r="Q2" s="72"/>
      <c r="R2" s="395" t="s">
        <v>246</v>
      </c>
      <c r="S2" s="5"/>
      <c r="T2" s="352" t="s">
        <v>132</v>
      </c>
      <c r="U2" s="351" t="s">
        <v>130</v>
      </c>
      <c r="V2" s="350" t="s">
        <v>131</v>
      </c>
      <c r="W2" s="65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71" t="s">
        <v>140</v>
      </c>
      <c r="C3" s="572"/>
      <c r="D3" s="572"/>
      <c r="E3" s="572"/>
      <c r="F3" s="573"/>
      <c r="G3" s="73"/>
      <c r="K3" s="69"/>
      <c r="L3" s="62"/>
      <c r="M3" s="70"/>
      <c r="N3" s="70"/>
      <c r="O3" s="71"/>
      <c r="P3" s="71"/>
      <c r="Q3" s="72"/>
      <c r="R3" s="353" t="s">
        <v>11</v>
      </c>
      <c r="S3" s="354">
        <f>V3+U3+T3</f>
        <v>430.40000000000003</v>
      </c>
      <c r="T3" s="392">
        <f>J32</f>
        <v>0.60000000000000009</v>
      </c>
      <c r="U3" s="393">
        <f>J31</f>
        <v>0.99999999999999989</v>
      </c>
      <c r="V3" s="394">
        <f>J30</f>
        <v>428.8</v>
      </c>
      <c r="W3" s="71"/>
      <c r="X3" s="7"/>
      <c r="Y3" s="7"/>
      <c r="Z3" s="7"/>
      <c r="AA3" s="7"/>
      <c r="AB3" s="7"/>
      <c r="AC3" s="7"/>
      <c r="AD3" s="7"/>
    </row>
    <row r="4" spans="2:30" ht="14.25" customHeight="1" x14ac:dyDescent="0.3">
      <c r="B4" s="79"/>
      <c r="C4" s="74"/>
      <c r="D4" s="63"/>
      <c r="E4" s="63"/>
      <c r="F4" s="6"/>
      <c r="G4" s="367" t="s">
        <v>124</v>
      </c>
      <c r="H4" s="326">
        <v>24</v>
      </c>
      <c r="I4" s="366" t="s">
        <v>144</v>
      </c>
      <c r="K4" s="75"/>
      <c r="L4" s="76"/>
      <c r="O4" s="71"/>
      <c r="P4" s="71"/>
      <c r="Q4" s="71"/>
      <c r="R4" s="71"/>
      <c r="S4" s="71"/>
      <c r="T4" s="71"/>
      <c r="U4" s="71"/>
      <c r="V4" s="71"/>
      <c r="W4" s="71"/>
      <c r="X4" s="7"/>
      <c r="Y4" s="77"/>
      <c r="Z4" s="78"/>
      <c r="AA4" s="7"/>
      <c r="AB4" s="7"/>
      <c r="AC4" s="7"/>
      <c r="AD4" s="7"/>
    </row>
    <row r="5" spans="2:30" x14ac:dyDescent="0.3">
      <c r="B5" s="79"/>
      <c r="C5" s="80"/>
      <c r="D5" s="81" t="s">
        <v>16</v>
      </c>
      <c r="E5" s="81" t="s">
        <v>17</v>
      </c>
      <c r="F5" s="82"/>
      <c r="K5" s="83"/>
      <c r="L5" s="84"/>
      <c r="M5" s="84"/>
      <c r="N5" s="84"/>
      <c r="O5" s="71"/>
      <c r="P5" s="71"/>
      <c r="Q5" s="71"/>
      <c r="R5" s="396" t="s">
        <v>245</v>
      </c>
      <c r="S5" s="349" t="str">
        <f>I4</f>
        <v>meses</v>
      </c>
      <c r="V5" s="3" t="s">
        <v>0</v>
      </c>
      <c r="W5" s="77"/>
      <c r="X5" s="7"/>
      <c r="Y5" s="77"/>
      <c r="Z5" s="78"/>
      <c r="AA5" s="7"/>
      <c r="AB5" s="7"/>
      <c r="AC5" s="7"/>
      <c r="AD5" s="7"/>
    </row>
    <row r="6" spans="2:30" x14ac:dyDescent="0.3">
      <c r="B6" s="79"/>
      <c r="C6" s="86"/>
      <c r="D6" s="87" t="s">
        <v>18</v>
      </c>
      <c r="E6" s="87" t="s">
        <v>19</v>
      </c>
      <c r="F6" s="88" t="s">
        <v>20</v>
      </c>
      <c r="G6" s="522"/>
      <c r="H6" s="523" t="s">
        <v>154</v>
      </c>
      <c r="I6" s="523" t="s">
        <v>155</v>
      </c>
      <c r="J6" s="522"/>
      <c r="K6" s="524"/>
      <c r="L6" s="525"/>
      <c r="M6" s="525"/>
      <c r="N6" s="525"/>
      <c r="O6" s="523" t="s">
        <v>156</v>
      </c>
      <c r="P6" s="71"/>
      <c r="Q6" s="71"/>
      <c r="R6" s="12" t="s">
        <v>1</v>
      </c>
      <c r="S6" s="13">
        <f>S14</f>
        <v>4.4609665427509292E-2</v>
      </c>
      <c r="T6" s="14">
        <f>S6/S9</f>
        <v>1.8587360594795538E-3</v>
      </c>
      <c r="V6" s="430">
        <f>S6*365.25/12</f>
        <v>1.3578066914498139</v>
      </c>
      <c r="W6" s="77"/>
      <c r="X6" s="7"/>
      <c r="Y6" s="77"/>
      <c r="Z6" s="7"/>
      <c r="AA6" s="7"/>
      <c r="AB6" s="7"/>
      <c r="AC6" s="7"/>
      <c r="AD6" s="7"/>
    </row>
    <row r="7" spans="2:30" ht="12.75" customHeight="1" x14ac:dyDescent="0.3">
      <c r="C7" s="89" t="s">
        <v>330</v>
      </c>
      <c r="D7" s="534">
        <v>3</v>
      </c>
      <c r="E7" s="535">
        <f>F7-D7</f>
        <v>2149</v>
      </c>
      <c r="F7" s="536">
        <v>2152</v>
      </c>
      <c r="G7" s="526">
        <f>D7/F7</f>
        <v>1.3940520446096654E-3</v>
      </c>
      <c r="H7" s="527">
        <v>4.5999999999999999E-2</v>
      </c>
      <c r="I7" s="528">
        <f>(G7/H7)</f>
        <v>3.0305479230644899E-2</v>
      </c>
      <c r="J7" s="522"/>
      <c r="K7" s="524"/>
      <c r="L7" s="525"/>
      <c r="M7" s="525"/>
      <c r="N7" s="525"/>
      <c r="O7" s="529">
        <f>I7*12</f>
        <v>0.36366575076773877</v>
      </c>
      <c r="P7" s="71"/>
      <c r="Q7" s="71"/>
      <c r="R7" s="15" t="s">
        <v>3</v>
      </c>
      <c r="S7" s="16">
        <f>R14</f>
        <v>2.7881040892193308E-2</v>
      </c>
      <c r="T7" s="17">
        <f>S7/S9</f>
        <v>1.1617100371747212E-3</v>
      </c>
      <c r="V7" s="431">
        <f>S7*365.25/12</f>
        <v>0.84862918215613392</v>
      </c>
      <c r="W7" s="77"/>
      <c r="X7" s="7"/>
      <c r="Y7" s="77"/>
      <c r="Z7" s="7"/>
      <c r="AA7" s="7"/>
      <c r="AB7" s="7"/>
      <c r="AC7" s="7"/>
      <c r="AD7" s="7"/>
    </row>
    <row r="8" spans="2:30" ht="12.75" customHeight="1" x14ac:dyDescent="0.3">
      <c r="B8" s="79"/>
      <c r="C8" s="89" t="s">
        <v>14</v>
      </c>
      <c r="D8" s="534">
        <v>8</v>
      </c>
      <c r="E8" s="535">
        <f>F8-D8</f>
        <v>2144</v>
      </c>
      <c r="F8" s="536">
        <v>2152</v>
      </c>
      <c r="G8" s="526">
        <f>D8/F8</f>
        <v>3.7174721189591076E-3</v>
      </c>
      <c r="H8" s="527">
        <v>7.4999999999999997E-2</v>
      </c>
      <c r="I8" s="528">
        <f>(G8/H8)</f>
        <v>4.9566294919454773E-2</v>
      </c>
      <c r="J8" s="522"/>
      <c r="K8" s="524"/>
      <c r="L8" s="525"/>
      <c r="M8" s="530"/>
      <c r="N8" s="525"/>
      <c r="O8" s="529">
        <f t="shared" ref="O8:O9" si="0">I8*12</f>
        <v>0.59479553903345728</v>
      </c>
      <c r="P8" s="71"/>
      <c r="Q8" s="71"/>
      <c r="R8" s="18" t="s">
        <v>2</v>
      </c>
      <c r="S8" s="19">
        <f>Q14</f>
        <v>23.927509293680298</v>
      </c>
      <c r="T8" s="20">
        <f>S8/S9</f>
        <v>0.99697955390334581</v>
      </c>
      <c r="V8" s="432">
        <f>S8*365.26/12</f>
        <v>728.31350371747214</v>
      </c>
      <c r="W8" s="77"/>
      <c r="X8" s="7"/>
      <c r="Y8" s="77"/>
      <c r="Z8" s="7"/>
      <c r="AA8" s="7"/>
      <c r="AB8" s="7"/>
      <c r="AC8" s="7"/>
      <c r="AD8" s="7"/>
    </row>
    <row r="9" spans="2:30" x14ac:dyDescent="0.3">
      <c r="B9" s="407"/>
      <c r="C9" s="91" t="s">
        <v>20</v>
      </c>
      <c r="D9" s="537">
        <f>SUM(D7:D8)</f>
        <v>11</v>
      </c>
      <c r="E9" s="538">
        <f>SUM(E7:E8)</f>
        <v>4293</v>
      </c>
      <c r="F9" s="539">
        <f>SUM(F7:F8)</f>
        <v>4304</v>
      </c>
      <c r="G9" s="526">
        <f>D9/F9</f>
        <v>2.5557620817843866E-3</v>
      </c>
      <c r="H9" s="531"/>
      <c r="I9" s="532">
        <f>((I7*F7)+(I8*F8))/F9</f>
        <v>3.9935887075049838E-2</v>
      </c>
      <c r="J9" s="522"/>
      <c r="K9" s="524"/>
      <c r="L9" s="525"/>
      <c r="M9" s="530"/>
      <c r="N9" s="525"/>
      <c r="O9" s="533">
        <f t="shared" si="0"/>
        <v>0.47923064490059808</v>
      </c>
      <c r="P9" s="71"/>
      <c r="Q9" s="93"/>
      <c r="S9" s="10">
        <f>SUM(S6:S8)</f>
        <v>24</v>
      </c>
      <c r="V9" s="21">
        <f>SUM(V6:V8)</f>
        <v>730.51993959107813</v>
      </c>
      <c r="W9" s="77"/>
      <c r="X9" s="7"/>
      <c r="Y9" s="77"/>
      <c r="Z9" s="7"/>
      <c r="AA9" s="7"/>
      <c r="AB9" s="7"/>
      <c r="AC9" s="7"/>
      <c r="AD9" s="7"/>
    </row>
    <row r="10" spans="2:30" ht="12.75" customHeight="1" x14ac:dyDescent="0.3">
      <c r="B10" s="407"/>
      <c r="C10" s="407"/>
      <c r="D10" s="407"/>
      <c r="E10" s="407"/>
      <c r="F10" s="407"/>
      <c r="G10" s="407"/>
      <c r="H10" s="84"/>
      <c r="I10" s="83"/>
      <c r="J10" s="83"/>
      <c r="K10" s="83"/>
      <c r="L10" s="84"/>
      <c r="M10" s="90"/>
      <c r="N10" s="84"/>
      <c r="P10" s="92"/>
      <c r="Q10" s="93"/>
      <c r="R10" s="93"/>
      <c r="S10" s="93"/>
      <c r="T10" s="77"/>
      <c r="V10" s="77"/>
      <c r="W10" s="77"/>
      <c r="X10" s="7"/>
      <c r="Y10" s="77"/>
      <c r="Z10" s="7"/>
      <c r="AA10" s="7"/>
      <c r="AB10" s="7"/>
      <c r="AC10" s="7"/>
      <c r="AD10" s="7"/>
    </row>
    <row r="11" spans="2:30" s="8" customFormat="1" ht="14.25" hidden="1" customHeight="1" x14ac:dyDescent="0.3">
      <c r="B11" s="94" t="s">
        <v>21</v>
      </c>
      <c r="C11" s="95"/>
      <c r="D11" s="96"/>
      <c r="E11" s="5"/>
      <c r="F11" s="97"/>
      <c r="G11" s="98"/>
      <c r="H11" s="90"/>
      <c r="I11" s="98"/>
      <c r="J11" s="90"/>
      <c r="K11" s="99"/>
      <c r="L11" s="99"/>
      <c r="M11" s="98"/>
      <c r="N11" s="99"/>
      <c r="P11" s="5"/>
      <c r="Q11" s="100"/>
      <c r="R11" s="100"/>
      <c r="S11" s="100"/>
      <c r="T11" s="5"/>
      <c r="U11" s="5"/>
      <c r="V11" s="5"/>
      <c r="W11" s="5"/>
    </row>
    <row r="12" spans="2:30" s="8" customFormat="1" ht="12.75" hidden="1" customHeight="1" x14ac:dyDescent="0.3">
      <c r="B12" s="85" t="s">
        <v>22</v>
      </c>
      <c r="C12" s="95"/>
      <c r="D12" s="96"/>
      <c r="E12" s="5"/>
      <c r="F12" s="97"/>
      <c r="G12" s="98"/>
      <c r="H12" s="90"/>
      <c r="I12" s="98"/>
      <c r="J12" s="90"/>
      <c r="K12" s="101"/>
      <c r="L12" s="99"/>
      <c r="M12" s="99"/>
      <c r="N12" s="99"/>
      <c r="O12" s="8" t="s">
        <v>121</v>
      </c>
      <c r="P12" s="5"/>
      <c r="Q12" s="100"/>
      <c r="R12" s="64"/>
      <c r="S12" s="64"/>
      <c r="T12" s="5"/>
      <c r="U12" s="5"/>
      <c r="V12" s="5"/>
      <c r="W12" s="5"/>
    </row>
    <row r="13" spans="2:30" s="8" customFormat="1" ht="45" hidden="1" customHeight="1" x14ac:dyDescent="0.3">
      <c r="B13" s="102" t="s">
        <v>23</v>
      </c>
      <c r="C13" s="102" t="s">
        <v>24</v>
      </c>
      <c r="D13" s="102" t="s">
        <v>25</v>
      </c>
      <c r="E13" s="102" t="s">
        <v>26</v>
      </c>
      <c r="F13" s="102" t="s">
        <v>27</v>
      </c>
      <c r="G13" s="102" t="s">
        <v>28</v>
      </c>
      <c r="H13" s="102" t="s">
        <v>29</v>
      </c>
      <c r="I13" s="102" t="s">
        <v>30</v>
      </c>
      <c r="J13" s="90"/>
      <c r="K13" s="103" t="s">
        <v>31</v>
      </c>
      <c r="L13" s="104" t="s">
        <v>32</v>
      </c>
      <c r="M13" s="104" t="s">
        <v>33</v>
      </c>
      <c r="N13" s="99"/>
      <c r="O13" s="325" t="s">
        <v>122</v>
      </c>
      <c r="P13" s="325" t="s">
        <v>123</v>
      </c>
      <c r="Q13" s="329" t="s">
        <v>2</v>
      </c>
      <c r="R13" s="330" t="s">
        <v>3</v>
      </c>
      <c r="S13" s="331" t="s">
        <v>1</v>
      </c>
      <c r="T13" s="5"/>
      <c r="W13" s="5"/>
    </row>
    <row r="14" spans="2:30" s="8" customFormat="1" ht="12.75" hidden="1" customHeight="1" x14ac:dyDescent="0.3">
      <c r="B14" s="105">
        <f>LN((D7/F7)/(D8/F8))</f>
        <v>-0.98082925301172619</v>
      </c>
      <c r="C14" s="105">
        <f>SQRT((E7/(D7*F7)+(E8/(D8*F8))))</f>
        <v>0.67631646830725156</v>
      </c>
      <c r="D14" s="106">
        <f>-NORMSINV((1-I2)/2)</f>
        <v>1.9599639845400536</v>
      </c>
      <c r="E14" s="107">
        <f>B14-(D14*C14)</f>
        <v>-2.306385173045264</v>
      </c>
      <c r="F14" s="108">
        <f>B14+(D14*C14)</f>
        <v>0.34472666702181143</v>
      </c>
      <c r="G14" s="109">
        <f>(D7/F7)/(D8/F8)</f>
        <v>0.375</v>
      </c>
      <c r="H14" s="109">
        <f>EXP(E14)</f>
        <v>9.962071311157504E-2</v>
      </c>
      <c r="I14" s="109">
        <f>EXP(F14)</f>
        <v>1.4116040289984695</v>
      </c>
      <c r="J14" s="90"/>
      <c r="K14" s="110">
        <f>1-G14</f>
        <v>0.625</v>
      </c>
      <c r="L14" s="109">
        <f>1-H14</f>
        <v>0.90037928688842495</v>
      </c>
      <c r="M14" s="109">
        <f>1-I14</f>
        <v>-0.41160402899846948</v>
      </c>
      <c r="N14" s="111"/>
      <c r="O14" s="327">
        <f>(D7/F7)*H4/2</f>
        <v>1.6728624535315983E-2</v>
      </c>
      <c r="P14" s="328">
        <f>(D8/F8)*H4/2</f>
        <v>4.4609665427509292E-2</v>
      </c>
      <c r="Q14" s="332">
        <f>H4-R14-S14</f>
        <v>23.927509293680298</v>
      </c>
      <c r="R14" s="332">
        <f>P14-O14</f>
        <v>2.7881040892193308E-2</v>
      </c>
      <c r="S14" s="332">
        <f>P14</f>
        <v>4.4609665427509292E-2</v>
      </c>
      <c r="T14" s="5" t="str">
        <f>I4</f>
        <v>meses</v>
      </c>
      <c r="W14" s="5"/>
    </row>
    <row r="15" spans="2:30" s="8" customFormat="1" ht="12.75" hidden="1" customHeight="1" x14ac:dyDescent="0.3">
      <c r="B15" s="112"/>
      <c r="C15" s="95"/>
      <c r="D15" s="95"/>
      <c r="E15" s="95"/>
      <c r="F15" s="113"/>
      <c r="G15" s="114"/>
      <c r="H15" s="90"/>
      <c r="I15" s="98"/>
      <c r="J15" s="90"/>
      <c r="K15" s="98"/>
      <c r="L15" s="98"/>
      <c r="M15" s="98"/>
      <c r="N15" s="99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15"/>
      <c r="C16" s="116"/>
      <c r="D16" s="117"/>
      <c r="E16" s="118"/>
      <c r="F16" s="119"/>
      <c r="G16" s="120"/>
      <c r="H16" s="121"/>
      <c r="I16" s="122"/>
      <c r="J16" s="122"/>
      <c r="K16" s="123"/>
      <c r="L16" s="123"/>
      <c r="M16" s="124"/>
      <c r="N16" s="124"/>
    </row>
    <row r="17" spans="2:30" ht="15.75" hidden="1" customHeight="1" x14ac:dyDescent="0.3">
      <c r="B17" s="125" t="s">
        <v>34</v>
      </c>
      <c r="C17" s="5"/>
      <c r="D17" s="126"/>
      <c r="E17" s="126"/>
      <c r="F17" s="63"/>
      <c r="G17" s="63"/>
      <c r="H17" s="127"/>
      <c r="I17" s="128"/>
      <c r="J17" s="129"/>
      <c r="K17" s="129"/>
      <c r="L17" s="8"/>
      <c r="M17" s="99"/>
      <c r="N17" s="90"/>
      <c r="O17" s="128"/>
      <c r="P17" s="5"/>
      <c r="Q17" s="5"/>
      <c r="R17" s="130"/>
      <c r="S17" s="128"/>
      <c r="T17" s="131"/>
      <c r="U17" s="131"/>
      <c r="V17" s="131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32" t="s">
        <v>35</v>
      </c>
      <c r="C18" s="5"/>
      <c r="D18" s="128"/>
      <c r="E18" s="128"/>
      <c r="F18" s="5"/>
      <c r="G18" s="5"/>
      <c r="H18" s="130"/>
      <c r="I18" s="128"/>
      <c r="J18" s="131"/>
      <c r="K18" s="131"/>
      <c r="L18" s="131"/>
      <c r="M18" s="99"/>
      <c r="N18" s="90"/>
      <c r="O18" s="5"/>
      <c r="P18" s="5"/>
      <c r="Q18" s="130"/>
      <c r="R18" s="128"/>
      <c r="S18" s="131"/>
      <c r="T18" s="131"/>
      <c r="U18" s="131"/>
      <c r="W18" s="7" t="s">
        <v>36</v>
      </c>
      <c r="X18" s="7"/>
      <c r="Y18" s="7"/>
      <c r="Z18" s="7"/>
      <c r="AA18" s="7"/>
      <c r="AB18" s="7"/>
    </row>
    <row r="19" spans="2:30" ht="25.5" hidden="1" customHeight="1" x14ac:dyDescent="0.3">
      <c r="B19" s="133" t="s">
        <v>37</v>
      </c>
      <c r="C19" s="1" t="s">
        <v>38</v>
      </c>
      <c r="D19" s="8"/>
      <c r="E19" s="1" t="s">
        <v>39</v>
      </c>
      <c r="G19" s="1" t="s">
        <v>40</v>
      </c>
      <c r="I19" s="1" t="s">
        <v>41</v>
      </c>
      <c r="J19" s="131"/>
      <c r="K19" s="131"/>
      <c r="L19" s="131"/>
      <c r="M19" s="99"/>
      <c r="N19" s="123"/>
      <c r="P19" s="1"/>
      <c r="T19" s="7"/>
      <c r="V19" s="1"/>
      <c r="W19" s="1" t="s">
        <v>42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102" t="s">
        <v>43</v>
      </c>
      <c r="C20" s="102" t="s">
        <v>44</v>
      </c>
      <c r="D20" s="134" t="s">
        <v>45</v>
      </c>
      <c r="E20" s="134" t="s">
        <v>38</v>
      </c>
      <c r="F20" s="134" t="s">
        <v>46</v>
      </c>
      <c r="G20" s="134" t="s">
        <v>40</v>
      </c>
      <c r="H20" s="134" t="s">
        <v>41</v>
      </c>
      <c r="I20" s="135" t="s">
        <v>47</v>
      </c>
      <c r="J20" s="134" t="s">
        <v>48</v>
      </c>
      <c r="K20" s="134" t="s">
        <v>32</v>
      </c>
      <c r="L20" s="134" t="s">
        <v>33</v>
      </c>
      <c r="M20" s="136"/>
      <c r="N20" s="137"/>
      <c r="O20" s="138" t="s">
        <v>49</v>
      </c>
      <c r="P20" s="139" t="s">
        <v>50</v>
      </c>
      <c r="Q20" s="140"/>
      <c r="R20" s="141"/>
      <c r="S20" s="142"/>
      <c r="T20" s="142"/>
      <c r="U20" s="143"/>
      <c r="W20" s="144"/>
      <c r="X20" s="138" t="s">
        <v>51</v>
      </c>
      <c r="Y20" s="139" t="s">
        <v>52</v>
      </c>
      <c r="Z20" s="145"/>
      <c r="AA20" s="145"/>
      <c r="AB20" s="145" t="s">
        <v>53</v>
      </c>
      <c r="AC20" s="145"/>
      <c r="AD20" s="146"/>
    </row>
    <row r="21" spans="2:30" ht="12.75" hidden="1" customHeight="1" x14ac:dyDescent="0.3">
      <c r="B21" s="147">
        <f>D7</f>
        <v>3</v>
      </c>
      <c r="C21" s="148">
        <f>F7</f>
        <v>2152</v>
      </c>
      <c r="D21" s="149">
        <f>B21/C21</f>
        <v>1.3940520446096654E-3</v>
      </c>
      <c r="E21" s="150">
        <f>2*B21+I21^2</f>
        <v>9.8414588206941236</v>
      </c>
      <c r="F21" s="150">
        <f>I21*SQRT((I21^2)+(4*B21*(1-D21)))</f>
        <v>7.7967973807928921</v>
      </c>
      <c r="G21" s="151">
        <f>2*(C21+I21^2)</f>
        <v>4311.6829176413885</v>
      </c>
      <c r="H21" s="152" t="s">
        <v>54</v>
      </c>
      <c r="I21" s="106">
        <f>-NORMSINV((1-I2)/2)</f>
        <v>1.9599639845400536</v>
      </c>
      <c r="J21" s="153">
        <f>D21</f>
        <v>1.3940520446096654E-3</v>
      </c>
      <c r="K21" s="153">
        <f>(E21-F21)/G21</f>
        <v>4.7421424046175422E-4</v>
      </c>
      <c r="L21" s="153">
        <f>(E21+F21)/G21</f>
        <v>4.0908055017959523E-3</v>
      </c>
      <c r="M21" s="136"/>
      <c r="N21" s="154">
        <f>F9/2</f>
        <v>2152</v>
      </c>
      <c r="O21" s="9" t="s">
        <v>55</v>
      </c>
      <c r="P21" s="5"/>
      <c r="Q21" s="130"/>
      <c r="R21" s="128"/>
      <c r="S21" s="131"/>
      <c r="T21" s="131"/>
      <c r="U21" s="155"/>
      <c r="W21" s="156">
        <f>ABS(D21-D22)</f>
        <v>2.3234200743494421E-3</v>
      </c>
      <c r="X21" s="9" t="s">
        <v>56</v>
      </c>
      <c r="Y21" s="5"/>
      <c r="Z21" s="9"/>
      <c r="AA21" s="9"/>
      <c r="AB21" s="9" t="s">
        <v>57</v>
      </c>
      <c r="AC21" s="9"/>
      <c r="AD21" s="157"/>
    </row>
    <row r="22" spans="2:30" ht="14.25" hidden="1" customHeight="1" x14ac:dyDescent="0.4">
      <c r="B22" s="147">
        <f>D8</f>
        <v>8</v>
      </c>
      <c r="C22" s="148">
        <f>F8</f>
        <v>2152</v>
      </c>
      <c r="D22" s="149">
        <f>B22/C22</f>
        <v>3.7174721189591076E-3</v>
      </c>
      <c r="E22" s="150">
        <f>2*B22+I22^2</f>
        <v>19.841458820694122</v>
      </c>
      <c r="F22" s="150">
        <f>I22*SQRT((I22^2)+(4*B22*(1-D22)))</f>
        <v>11.714372011307935</v>
      </c>
      <c r="G22" s="151">
        <f>2*(C22+I22^2)</f>
        <v>4311.6829176413885</v>
      </c>
      <c r="H22" s="152" t="s">
        <v>54</v>
      </c>
      <c r="I22" s="106">
        <f>-NORMSINV((1-I2)/2)</f>
        <v>1.9599639845400536</v>
      </c>
      <c r="J22" s="153">
        <f>D22</f>
        <v>3.7174721189591076E-3</v>
      </c>
      <c r="K22" s="153">
        <f>(E22-F22)/G22</f>
        <v>1.8848989975895378E-3</v>
      </c>
      <c r="L22" s="153">
        <f>(E22+F22)/G22</f>
        <v>7.318680764508533E-3</v>
      </c>
      <c r="M22" s="136"/>
      <c r="N22" s="158">
        <f>J26</f>
        <v>2.3234200743494421E-3</v>
      </c>
      <c r="O22" s="9" t="s">
        <v>58</v>
      </c>
      <c r="P22" s="9"/>
      <c r="Q22" s="9"/>
      <c r="R22" s="9"/>
      <c r="S22" s="9"/>
      <c r="T22" s="9"/>
      <c r="U22" s="159"/>
      <c r="W22" s="160">
        <f>SQRT((D23*(1-D23)/C21)+(D23*(1-D23)/C22))</f>
        <v>1.5392118155014517E-3</v>
      </c>
      <c r="X22" s="132" t="s">
        <v>59</v>
      </c>
      <c r="Y22" s="9"/>
      <c r="Z22" s="9"/>
      <c r="AA22" s="9"/>
      <c r="AB22" s="9"/>
      <c r="AC22" s="9"/>
      <c r="AD22" s="157"/>
    </row>
    <row r="23" spans="2:30" ht="12.75" hidden="1" customHeight="1" x14ac:dyDescent="0.3">
      <c r="B23" s="147">
        <f>D9</f>
        <v>11</v>
      </c>
      <c r="C23" s="148">
        <f>F9</f>
        <v>4304</v>
      </c>
      <c r="D23" s="149">
        <f>B23/C23</f>
        <v>2.5557620817843866E-3</v>
      </c>
      <c r="E23" s="150">
        <f>2*B23+I23^2</f>
        <v>25.841458820694122</v>
      </c>
      <c r="F23" s="150">
        <f>I23*SQRT((I23^2)+(4*B23*(1-D23)))</f>
        <v>13.540642834472548</v>
      </c>
      <c r="G23" s="151">
        <f>2*(C23+I23^2)</f>
        <v>8615.6829176413885</v>
      </c>
      <c r="H23" s="152" t="s">
        <v>54</v>
      </c>
      <c r="I23" s="106">
        <f>-NORMSINV((1-I2)/2)</f>
        <v>1.9599639845400536</v>
      </c>
      <c r="J23" s="153">
        <f>D23</f>
        <v>2.5557620817843866E-3</v>
      </c>
      <c r="K23" s="153">
        <f>(E23-F23)/G23</f>
        <v>1.4277238500774608E-3</v>
      </c>
      <c r="L23" s="153">
        <f>(E23+F23)/G23</f>
        <v>4.5709785320126239E-3</v>
      </c>
      <c r="M23" s="136"/>
      <c r="N23" s="161">
        <f>(B21+B22)/(C21+C22)</f>
        <v>2.5557620817843866E-3</v>
      </c>
      <c r="O23" s="9" t="s">
        <v>60</v>
      </c>
      <c r="P23" s="5"/>
      <c r="Q23" s="130"/>
      <c r="R23" s="128"/>
      <c r="S23" s="131"/>
      <c r="T23" s="131"/>
      <c r="U23" s="157"/>
      <c r="W23" s="162">
        <f>W21/W22</f>
        <v>1.5094869016403094</v>
      </c>
      <c r="X23" s="9" t="s">
        <v>61</v>
      </c>
      <c r="Y23" s="5"/>
      <c r="Z23" s="9"/>
      <c r="AA23" s="9"/>
      <c r="AB23" s="9"/>
      <c r="AC23" s="9"/>
      <c r="AD23" s="157"/>
    </row>
    <row r="24" spans="2:30" ht="15" hidden="1" customHeight="1" x14ac:dyDescent="0.3">
      <c r="B24" s="85"/>
      <c r="C24" s="163" t="s">
        <v>62</v>
      </c>
      <c r="F24" s="164"/>
      <c r="G24" s="122"/>
      <c r="H24" s="122"/>
      <c r="I24" s="122"/>
      <c r="J24" s="122"/>
      <c r="K24" s="123"/>
      <c r="L24" s="84"/>
      <c r="M24" s="136"/>
      <c r="N24" s="165">
        <f>SQRT(N21*N22^2/(2*N23*(1-N23)))-I21</f>
        <v>-0.45047708289974397</v>
      </c>
      <c r="O24" s="9" t="s">
        <v>63</v>
      </c>
      <c r="P24" s="9"/>
      <c r="Q24" s="9"/>
      <c r="R24" s="9"/>
      <c r="S24" s="9"/>
      <c r="T24" s="8"/>
      <c r="U24" s="155"/>
      <c r="W24" s="166">
        <f>NORMSDIST(-W23)</f>
        <v>6.5587200054765371E-2</v>
      </c>
      <c r="X24" s="125" t="s">
        <v>64</v>
      </c>
      <c r="Y24" s="9"/>
      <c r="Z24" s="8"/>
      <c r="AA24" s="8"/>
      <c r="AB24" s="8"/>
      <c r="AC24" s="8"/>
      <c r="AD24" s="159"/>
    </row>
    <row r="25" spans="2:30" ht="13.5" hidden="1" customHeight="1" x14ac:dyDescent="0.3">
      <c r="B25" s="85"/>
      <c r="C25" s="163" t="s">
        <v>65</v>
      </c>
      <c r="D25" s="3"/>
      <c r="E25" s="167"/>
      <c r="F25" s="164"/>
      <c r="G25" s="122"/>
      <c r="H25" s="84"/>
      <c r="I25" s="84"/>
      <c r="J25" s="168"/>
      <c r="K25" s="168"/>
      <c r="L25" s="168"/>
      <c r="M25" s="136"/>
      <c r="N25" s="169">
        <f>NORMSDIST(N24)</f>
        <v>0.32618323750767769</v>
      </c>
      <c r="O25" s="125" t="s">
        <v>66</v>
      </c>
      <c r="P25" s="170"/>
      <c r="Q25" s="9"/>
      <c r="R25" s="9"/>
      <c r="S25" s="9"/>
      <c r="T25" s="9"/>
      <c r="U25" s="157"/>
      <c r="W25" s="171">
        <f>1-W24</f>
        <v>0.93441279994523463</v>
      </c>
      <c r="X25" s="172" t="s">
        <v>67</v>
      </c>
      <c r="Y25" s="170"/>
      <c r="Z25" s="8"/>
      <c r="AA25" s="8"/>
      <c r="AB25" s="8"/>
      <c r="AC25" s="8"/>
      <c r="AD25" s="159"/>
    </row>
    <row r="26" spans="2:30" ht="15" hidden="1" customHeight="1" x14ac:dyDescent="0.35">
      <c r="F26" s="173"/>
      <c r="G26" s="84"/>
      <c r="H26" s="84"/>
      <c r="I26" s="67" t="s">
        <v>68</v>
      </c>
      <c r="J26" s="174">
        <f>D22-D21</f>
        <v>2.3234200743494421E-3</v>
      </c>
      <c r="K26" s="175">
        <f>J26+SQRT((D22-K22)^2+(L21-D21)^2)</f>
        <v>5.5839113646326101E-3</v>
      </c>
      <c r="L26" s="176">
        <f>J26-SQRT((D21-K21)^2+(L22-D22)^2)</f>
        <v>-1.3934072413486626E-3</v>
      </c>
      <c r="M26" s="83"/>
      <c r="N26" s="177">
        <f>1-N25</f>
        <v>0.67381676249232236</v>
      </c>
      <c r="O26" s="178" t="s">
        <v>69</v>
      </c>
      <c r="P26" s="179"/>
      <c r="Q26" s="180"/>
      <c r="R26" s="179"/>
      <c r="S26" s="179"/>
      <c r="T26" s="179"/>
      <c r="U26" s="181"/>
      <c r="W26" s="182"/>
      <c r="X26" s="183"/>
      <c r="Y26" s="179"/>
      <c r="Z26" s="183"/>
      <c r="AA26" s="183"/>
      <c r="AB26" s="183"/>
      <c r="AC26" s="183"/>
      <c r="AD26" s="184"/>
    </row>
    <row r="27" spans="2:30" ht="13.5" hidden="1" customHeight="1" x14ac:dyDescent="0.3">
      <c r="F27" s="185"/>
      <c r="G27" s="84"/>
      <c r="H27" s="84"/>
      <c r="I27" s="67" t="s">
        <v>70</v>
      </c>
      <c r="J27" s="186">
        <f>1/J26</f>
        <v>430.40000000000003</v>
      </c>
      <c r="K27" s="187">
        <f>1/K26</f>
        <v>179.0859372041258</v>
      </c>
      <c r="L27" s="188">
        <f>1/L26</f>
        <v>-717.66528142347795</v>
      </c>
      <c r="M27" s="83"/>
      <c r="N27" s="84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84"/>
      <c r="H28" s="84"/>
      <c r="K28" s="189"/>
      <c r="L28" s="189"/>
      <c r="M28" s="190"/>
      <c r="N28" s="137"/>
      <c r="O28" s="191"/>
      <c r="P28" s="191" t="s">
        <v>59</v>
      </c>
      <c r="Q28" s="192">
        <f>SQRT((D23*(1-D23)/C21)+(D23*(1-D23)/C22))</f>
        <v>1.5392118155014517E-3</v>
      </c>
      <c r="R28" s="193"/>
      <c r="S28" s="193"/>
      <c r="T28" s="193"/>
      <c r="U28" s="146"/>
      <c r="V28" s="1"/>
    </row>
    <row r="29" spans="2:30" ht="31.5" hidden="1" customHeight="1" x14ac:dyDescent="0.35">
      <c r="F29" s="194"/>
      <c r="G29" s="195"/>
      <c r="H29" s="196" t="s">
        <v>71</v>
      </c>
      <c r="I29" s="197" t="s">
        <v>11</v>
      </c>
      <c r="J29" s="198">
        <f>J27</f>
        <v>430.40000000000003</v>
      </c>
      <c r="K29" s="198">
        <f>K27</f>
        <v>179.0859372041258</v>
      </c>
      <c r="L29" s="198">
        <f>L27</f>
        <v>-717.66528142347795</v>
      </c>
      <c r="M29" s="84"/>
      <c r="N29" s="199" t="s">
        <v>72</v>
      </c>
      <c r="O29" s="200"/>
      <c r="P29" s="9" t="s">
        <v>73</v>
      </c>
      <c r="Q29" s="9"/>
      <c r="R29" s="130"/>
      <c r="S29" s="201" t="s">
        <v>74</v>
      </c>
      <c r="T29" s="9"/>
      <c r="U29" s="157"/>
      <c r="V29" s="1"/>
    </row>
    <row r="30" spans="2:30" s="8" customFormat="1" ht="14.25" hidden="1" customHeight="1" x14ac:dyDescent="0.4">
      <c r="F30" s="202"/>
      <c r="G30" s="203"/>
      <c r="H30" s="204"/>
      <c r="I30" s="205" t="s">
        <v>75</v>
      </c>
      <c r="J30" s="347">
        <f>(1-D22)*J27</f>
        <v>428.8</v>
      </c>
      <c r="K30" s="206">
        <f>(1-D22)*K27</f>
        <v>178.4201902256718</v>
      </c>
      <c r="L30" s="206">
        <f>(1-D22)*L27</f>
        <v>-714.99738074904121</v>
      </c>
      <c r="M30" s="84"/>
      <c r="N30" s="207"/>
      <c r="O30" s="208" t="s">
        <v>76</v>
      </c>
      <c r="Q30" s="209" t="s">
        <v>77</v>
      </c>
      <c r="R30" s="208" t="s">
        <v>78</v>
      </c>
      <c r="S30" s="9"/>
      <c r="T30" s="9"/>
      <c r="U30" s="159"/>
    </row>
    <row r="31" spans="2:30" s="8" customFormat="1" ht="14.25" hidden="1" customHeight="1" x14ac:dyDescent="0.4">
      <c r="F31" s="210"/>
      <c r="G31" s="211"/>
      <c r="H31" s="212"/>
      <c r="I31" s="213" t="s">
        <v>79</v>
      </c>
      <c r="J31" s="214">
        <f>J27*J26</f>
        <v>0.99999999999999989</v>
      </c>
      <c r="K31" s="214">
        <f>K27*K26</f>
        <v>1</v>
      </c>
      <c r="L31" s="214">
        <f>L27*L26</f>
        <v>1</v>
      </c>
      <c r="M31" s="99"/>
      <c r="N31" s="165">
        <f>ABS((J26/Q28))-I21</f>
        <v>-0.4504770828997442</v>
      </c>
      <c r="O31" s="208" t="s">
        <v>80</v>
      </c>
      <c r="P31" s="9"/>
      <c r="Q31" s="9"/>
      <c r="R31" s="128"/>
      <c r="S31" s="131"/>
      <c r="T31" s="131"/>
      <c r="U31" s="155"/>
    </row>
    <row r="32" spans="2:30" s="8" customFormat="1" ht="12.75" hidden="1" customHeight="1" x14ac:dyDescent="0.3">
      <c r="B32" s="215"/>
      <c r="C32" s="216"/>
      <c r="E32" s="217"/>
      <c r="G32" s="218"/>
      <c r="H32" s="219"/>
      <c r="I32" s="220" t="s">
        <v>81</v>
      </c>
      <c r="J32" s="346">
        <f>(D22-J26)*J27</f>
        <v>0.60000000000000009</v>
      </c>
      <c r="K32" s="221">
        <f>(D22-K26)*K27</f>
        <v>-0.33425302154600078</v>
      </c>
      <c r="L32" s="221">
        <f>(D22-L26)*L27</f>
        <v>-3.6679006744367211</v>
      </c>
      <c r="M32" s="99"/>
      <c r="N32" s="169">
        <f>NORMSDIST(N31)</f>
        <v>0.32618323750767764</v>
      </c>
      <c r="O32" s="132" t="s">
        <v>82</v>
      </c>
      <c r="P32" s="170"/>
      <c r="Q32" s="9"/>
      <c r="R32" s="9"/>
      <c r="S32" s="9"/>
      <c r="T32" s="9"/>
      <c r="U32" s="159"/>
    </row>
    <row r="33" spans="2:22" s="8" customFormat="1" ht="12.75" hidden="1" customHeight="1" x14ac:dyDescent="0.3">
      <c r="B33" s="215"/>
      <c r="G33" s="222"/>
      <c r="H33" s="223"/>
      <c r="I33" s="223"/>
      <c r="J33" s="224"/>
      <c r="K33" s="224"/>
      <c r="L33" s="224"/>
      <c r="M33" s="99"/>
      <c r="N33" s="177">
        <f>1-N32</f>
        <v>0.67381676249232236</v>
      </c>
      <c r="O33" s="179" t="s">
        <v>83</v>
      </c>
      <c r="P33" s="179"/>
      <c r="Q33" s="180"/>
      <c r="R33" s="225"/>
      <c r="S33" s="226"/>
      <c r="T33" s="226"/>
      <c r="U33" s="181"/>
    </row>
    <row r="34" spans="2:22" s="8" customFormat="1" ht="31.5" hidden="1" customHeight="1" x14ac:dyDescent="0.3">
      <c r="B34" s="112"/>
      <c r="F34" s="96"/>
      <c r="G34" s="227"/>
      <c r="H34" s="196" t="s">
        <v>84</v>
      </c>
      <c r="I34" s="228" t="s">
        <v>85</v>
      </c>
      <c r="J34" s="229">
        <f>ABS(J27)</f>
        <v>430.40000000000003</v>
      </c>
      <c r="K34" s="229">
        <f>ABS(L27)</f>
        <v>717.66528142347795</v>
      </c>
      <c r="L34" s="229">
        <f>ABS(K27)</f>
        <v>179.0859372041258</v>
      </c>
      <c r="M34" s="99"/>
      <c r="N34" s="83"/>
      <c r="O34" s="9"/>
      <c r="P34" s="9"/>
      <c r="Q34" s="9"/>
      <c r="R34" s="9"/>
      <c r="S34" s="9"/>
      <c r="T34" s="9"/>
      <c r="U34" s="9"/>
      <c r="V34" s="9"/>
    </row>
    <row r="35" spans="2:22" s="8" customFormat="1" ht="13.5" hidden="1" customHeight="1" x14ac:dyDescent="0.3">
      <c r="B35" s="112"/>
      <c r="G35" s="203"/>
      <c r="H35" s="204"/>
      <c r="I35" s="205" t="s">
        <v>75</v>
      </c>
      <c r="J35" s="206">
        <f>ABS((1-(D22-J26))*J27)</f>
        <v>429.80000000000007</v>
      </c>
      <c r="K35" s="206">
        <f>ABS((1-(D22-L26))*L27)</f>
        <v>713.99738074904121</v>
      </c>
      <c r="L35" s="206">
        <f>ABS((1-(D22-K26))*K27)</f>
        <v>179.4201902256718</v>
      </c>
      <c r="M35" s="99"/>
      <c r="N35" s="83"/>
      <c r="O35" s="9"/>
      <c r="P35" s="9"/>
      <c r="Q35" s="9"/>
      <c r="R35" s="9"/>
      <c r="S35" s="9"/>
      <c r="T35" s="9"/>
      <c r="U35" s="9"/>
      <c r="V35" s="9"/>
    </row>
    <row r="36" spans="2:22" s="8" customFormat="1" ht="12.75" hidden="1" customHeight="1" x14ac:dyDescent="0.3">
      <c r="B36" s="112"/>
      <c r="F36" s="230"/>
      <c r="G36" s="231"/>
      <c r="H36" s="232"/>
      <c r="I36" s="233" t="s">
        <v>86</v>
      </c>
      <c r="J36" s="234">
        <f>J27*J26</f>
        <v>0.99999999999999989</v>
      </c>
      <c r="K36" s="234">
        <f>L27*L26</f>
        <v>1</v>
      </c>
      <c r="L36" s="234">
        <f>K27*K26</f>
        <v>1</v>
      </c>
      <c r="M36" s="99"/>
      <c r="N36" s="83"/>
      <c r="O36" s="9"/>
      <c r="P36" s="9"/>
      <c r="Q36" s="9"/>
      <c r="R36" s="9"/>
      <c r="S36" s="9"/>
      <c r="T36" s="9"/>
      <c r="U36" s="9"/>
      <c r="V36" s="9"/>
    </row>
    <row r="37" spans="2:22" ht="15.75" hidden="1" customHeight="1" x14ac:dyDescent="0.35">
      <c r="B37" s="235" t="s">
        <v>87</v>
      </c>
      <c r="C37" s="236"/>
      <c r="D37" s="236"/>
      <c r="E37" s="236"/>
      <c r="F37" s="237"/>
      <c r="G37" s="218"/>
      <c r="H37" s="219"/>
      <c r="I37" s="220" t="s">
        <v>88</v>
      </c>
      <c r="J37" s="221">
        <f>ABS(D22*J27)</f>
        <v>1.6</v>
      </c>
      <c r="K37" s="221">
        <f>ABS(D22*L27)</f>
        <v>2.6679006744367211</v>
      </c>
      <c r="L37" s="221">
        <f>ABS(D22*K27)</f>
        <v>0.66574697845399922</v>
      </c>
      <c r="M37" s="84"/>
      <c r="N37" s="83"/>
      <c r="O37" s="9"/>
      <c r="P37" s="9"/>
      <c r="Q37" s="9"/>
      <c r="R37" s="9"/>
      <c r="S37" s="9"/>
      <c r="T37" s="9"/>
      <c r="U37" s="9"/>
      <c r="V37" s="9"/>
    </row>
    <row r="38" spans="2:22" s="7" customFormat="1" ht="12.75" hidden="1" customHeight="1" x14ac:dyDescent="0.3">
      <c r="B38" s="85"/>
      <c r="C38" s="238" t="s">
        <v>16</v>
      </c>
      <c r="D38" s="239" t="s">
        <v>17</v>
      </c>
      <c r="E38" s="9"/>
      <c r="F38" s="237"/>
      <c r="G38" s="240"/>
      <c r="H38" s="241"/>
      <c r="I38" s="242"/>
      <c r="J38" s="243"/>
      <c r="K38" s="243"/>
      <c r="L38" s="243"/>
      <c r="M38" s="123"/>
      <c r="N38" s="99"/>
      <c r="O38" s="8"/>
      <c r="P38" s="8"/>
      <c r="Q38" s="8"/>
      <c r="R38" s="8"/>
    </row>
    <row r="39" spans="2:22" ht="12.75" hidden="1" customHeight="1" x14ac:dyDescent="0.3">
      <c r="B39" s="244" t="s">
        <v>89</v>
      </c>
      <c r="C39" s="245" t="s">
        <v>18</v>
      </c>
      <c r="D39" s="246" t="s">
        <v>19</v>
      </c>
      <c r="E39" s="4" t="s">
        <v>20</v>
      </c>
      <c r="G39" s="84"/>
      <c r="H39" s="84"/>
      <c r="I39" s="84"/>
      <c r="J39" s="84"/>
      <c r="K39" s="84"/>
      <c r="L39" s="84"/>
      <c r="M39" s="84"/>
      <c r="N39" s="99"/>
      <c r="O39" s="8"/>
      <c r="P39" s="8"/>
      <c r="Q39" s="8"/>
      <c r="R39" s="8"/>
      <c r="U39" s="1"/>
      <c r="V39" s="1"/>
    </row>
    <row r="40" spans="2:22" ht="12.75" hidden="1" customHeight="1" x14ac:dyDescent="0.3">
      <c r="B40" s="247" t="s">
        <v>90</v>
      </c>
      <c r="C40" s="248">
        <f>F7*D9/F9</f>
        <v>5.5</v>
      </c>
      <c r="D40" s="248">
        <f>F7*E9/F9</f>
        <v>2146.5</v>
      </c>
      <c r="E40" s="248">
        <f>F7</f>
        <v>2152</v>
      </c>
      <c r="G40" s="11"/>
      <c r="H40" s="249" t="s">
        <v>91</v>
      </c>
      <c r="I40" s="250">
        <f>CHIINV(0.05,K41)</f>
        <v>3.8414588206941236</v>
      </c>
      <c r="J40" s="84"/>
      <c r="K40" s="84"/>
      <c r="L40" s="84"/>
      <c r="M40" s="84"/>
      <c r="N40" s="99"/>
      <c r="O40" s="251"/>
      <c r="P40" s="251"/>
      <c r="Q40" s="251"/>
      <c r="R40" s="8"/>
      <c r="U40" s="1"/>
      <c r="V40" s="1"/>
    </row>
    <row r="41" spans="2:22" ht="12.75" hidden="1" customHeight="1" x14ac:dyDescent="0.3">
      <c r="B41" s="252" t="s">
        <v>92</v>
      </c>
      <c r="C41" s="248">
        <f>F8*D9/F9</f>
        <v>5.5</v>
      </c>
      <c r="D41" s="248">
        <f>F8*E9/F9</f>
        <v>2146.5</v>
      </c>
      <c r="E41" s="248">
        <f>F8</f>
        <v>2152</v>
      </c>
      <c r="F41" s="7"/>
      <c r="G41" s="253"/>
      <c r="H41" s="253"/>
      <c r="I41" s="254"/>
      <c r="J41" s="255" t="s">
        <v>93</v>
      </c>
      <c r="K41" s="256">
        <f>(COUNT(C40:D40)-1)*(COUNT(C40:C41)-1)</f>
        <v>1</v>
      </c>
      <c r="L41" s="84"/>
      <c r="M41" s="84"/>
      <c r="N41" s="84"/>
      <c r="O41" s="251"/>
      <c r="P41" s="251"/>
      <c r="Q41" s="251"/>
      <c r="R41" s="8"/>
      <c r="U41" s="1"/>
      <c r="V41" s="1"/>
    </row>
    <row r="42" spans="2:22" ht="12.75" hidden="1" customHeight="1" x14ac:dyDescent="0.3">
      <c r="B42" s="257" t="s">
        <v>94</v>
      </c>
      <c r="C42" s="248">
        <f>SUM(C40:C41)</f>
        <v>11</v>
      </c>
      <c r="D42" s="248">
        <f>SUM(D40:D41)</f>
        <v>4293</v>
      </c>
      <c r="E42" s="258">
        <f>SUM(E40:E41)</f>
        <v>4304</v>
      </c>
      <c r="F42" s="7"/>
      <c r="G42" s="123"/>
      <c r="H42" s="259" t="s">
        <v>95</v>
      </c>
      <c r="I42" s="260" t="s">
        <v>96</v>
      </c>
      <c r="J42" s="84"/>
      <c r="K42" s="84"/>
      <c r="L42" s="84"/>
      <c r="M42" s="84"/>
      <c r="N42" s="84"/>
      <c r="O42" s="251"/>
      <c r="P42" s="261"/>
      <c r="Q42" s="251"/>
      <c r="R42" s="8"/>
      <c r="U42" s="1"/>
      <c r="V42" s="1"/>
    </row>
    <row r="43" spans="2:22" ht="12.75" hidden="1" customHeight="1" x14ac:dyDescent="0.3">
      <c r="B43" s="257"/>
      <c r="C43" s="262"/>
      <c r="D43" s="262"/>
      <c r="E43" s="263"/>
      <c r="F43" s="7"/>
      <c r="G43" s="123"/>
      <c r="H43" s="259" t="s">
        <v>97</v>
      </c>
      <c r="I43" s="260" t="s">
        <v>98</v>
      </c>
      <c r="J43" s="84"/>
      <c r="K43" s="84"/>
      <c r="L43" s="84"/>
      <c r="M43" s="84"/>
      <c r="N43" s="84"/>
      <c r="O43" s="264"/>
      <c r="P43" s="264"/>
      <c r="Q43" s="264"/>
      <c r="R43" s="8"/>
      <c r="U43" s="1"/>
      <c r="V43" s="1"/>
    </row>
    <row r="44" spans="2:22" ht="26.25" hidden="1" customHeight="1" x14ac:dyDescent="0.3">
      <c r="B44" s="265"/>
      <c r="C44" s="574" t="s">
        <v>99</v>
      </c>
      <c r="D44" s="575"/>
      <c r="G44" s="84"/>
      <c r="H44" s="266"/>
      <c r="I44" s="84"/>
      <c r="J44" s="84"/>
      <c r="K44" s="84"/>
      <c r="L44" s="84"/>
      <c r="M44" s="84"/>
      <c r="N44" s="84"/>
      <c r="O44" s="1"/>
      <c r="P44" s="1"/>
      <c r="U44" s="1"/>
      <c r="V44" s="1"/>
    </row>
    <row r="45" spans="2:22" ht="12.75" hidden="1" customHeight="1" x14ac:dyDescent="0.3">
      <c r="B45" s="265"/>
      <c r="C45" s="267">
        <f>(D7-C40)^2/C40</f>
        <v>1.1363636363636365</v>
      </c>
      <c r="D45" s="267">
        <f>(E7-D40)^2/D40</f>
        <v>2.9117167481947357E-3</v>
      </c>
      <c r="F45" s="268"/>
      <c r="G45" s="269"/>
      <c r="H45" s="84"/>
      <c r="I45" s="84"/>
      <c r="J45" s="99"/>
      <c r="K45" s="99"/>
      <c r="L45" s="270"/>
      <c r="M45" s="84"/>
      <c r="N45" s="84"/>
      <c r="O45" s="1"/>
      <c r="P45" s="1"/>
      <c r="U45" s="1"/>
      <c r="V45" s="1"/>
    </row>
    <row r="46" spans="2:22" ht="12.75" hidden="1" customHeight="1" x14ac:dyDescent="0.3">
      <c r="B46" s="265"/>
      <c r="C46" s="267">
        <f>(D8-C41)^2/C41</f>
        <v>1.1363636363636365</v>
      </c>
      <c r="D46" s="267">
        <f>(E8-D41)^2/D41</f>
        <v>2.9117167481947357E-3</v>
      </c>
      <c r="E46" s="76"/>
      <c r="F46" s="271" t="s">
        <v>100</v>
      </c>
      <c r="G46" s="272">
        <f>C48-I40</f>
        <v>-1.5629081144704613</v>
      </c>
      <c r="H46" s="84"/>
      <c r="I46" s="84"/>
      <c r="J46" s="99"/>
      <c r="K46" s="99"/>
      <c r="L46" s="84"/>
      <c r="M46" s="84"/>
      <c r="N46" s="84"/>
      <c r="O46" s="1"/>
      <c r="P46" s="1"/>
      <c r="U46" s="1"/>
      <c r="V46" s="1"/>
    </row>
    <row r="47" spans="2:22" ht="12.75" hidden="1" customHeight="1" x14ac:dyDescent="0.3">
      <c r="B47" s="260" t="s">
        <v>101</v>
      </c>
      <c r="D47" s="273"/>
      <c r="G47" s="274" t="s">
        <v>102</v>
      </c>
      <c r="H47" s="84"/>
      <c r="I47" s="84"/>
      <c r="J47" s="99"/>
      <c r="K47" s="99"/>
      <c r="L47" s="84"/>
      <c r="M47" s="84"/>
      <c r="N47" s="84"/>
      <c r="O47" s="1"/>
      <c r="P47" s="1"/>
      <c r="U47" s="1"/>
      <c r="V47" s="1"/>
    </row>
    <row r="48" spans="2:22" ht="13.5" hidden="1" customHeight="1" x14ac:dyDescent="0.3">
      <c r="B48" s="275" t="s">
        <v>103</v>
      </c>
      <c r="C48" s="276">
        <f>SUM(C45:D46)</f>
        <v>2.2785507062236623</v>
      </c>
      <c r="D48" s="9"/>
      <c r="G48" s="274" t="s">
        <v>104</v>
      </c>
      <c r="H48" s="84"/>
      <c r="I48" s="277"/>
      <c r="J48" s="99"/>
      <c r="K48" s="99"/>
      <c r="L48" s="278"/>
      <c r="M48" s="84"/>
      <c r="N48" s="84"/>
      <c r="O48" s="1"/>
      <c r="P48" s="1"/>
      <c r="U48" s="1"/>
      <c r="V48" s="1"/>
    </row>
    <row r="49" spans="1:22" ht="12.75" hidden="1" customHeight="1" x14ac:dyDescent="0.3">
      <c r="B49" s="279" t="s">
        <v>105</v>
      </c>
      <c r="C49" s="280">
        <f>CHIDIST(C48,1)</f>
        <v>0.13117440010953066</v>
      </c>
      <c r="E49" s="9"/>
      <c r="F49" s="9"/>
      <c r="G49" s="83"/>
      <c r="H49" s="281"/>
      <c r="I49" s="83"/>
      <c r="J49" s="99"/>
      <c r="K49" s="99"/>
      <c r="L49" s="83"/>
      <c r="M49" s="84"/>
      <c r="N49" s="84"/>
      <c r="O49" s="1"/>
      <c r="P49" s="1"/>
      <c r="U49" s="1"/>
      <c r="V49" s="1"/>
    </row>
    <row r="50" spans="1:22" s="8" customFormat="1" ht="12.75" hidden="1" customHeight="1" x14ac:dyDescent="0.3">
      <c r="B50" s="112"/>
      <c r="E50" s="282"/>
      <c r="F50" s="282"/>
      <c r="G50" s="99"/>
      <c r="H50" s="99"/>
      <c r="I50" s="283"/>
      <c r="J50" s="99"/>
      <c r="K50" s="99"/>
      <c r="L50" s="99"/>
      <c r="M50" s="99"/>
      <c r="N50" s="99"/>
    </row>
    <row r="51" spans="1:22" ht="13.5" hidden="1" customHeight="1" x14ac:dyDescent="0.3">
      <c r="B51" s="85"/>
      <c r="G51" s="84"/>
      <c r="H51" s="84"/>
      <c r="I51" s="84"/>
      <c r="J51" s="99"/>
      <c r="K51" s="99"/>
      <c r="L51" s="84"/>
      <c r="M51" s="84"/>
      <c r="N51" s="84"/>
      <c r="O51" s="1"/>
      <c r="P51" s="1"/>
      <c r="U51" s="1"/>
      <c r="V51" s="1"/>
    </row>
    <row r="52" spans="1:22" ht="12.75" hidden="1" customHeight="1" x14ac:dyDescent="0.3">
      <c r="B52" s="284" t="s">
        <v>106</v>
      </c>
      <c r="C52" s="285"/>
      <c r="D52" s="285"/>
      <c r="E52" s="285"/>
      <c r="F52" s="285"/>
      <c r="G52" s="285"/>
      <c r="H52" s="286"/>
      <c r="I52" s="84"/>
      <c r="J52" s="287" t="s">
        <v>107</v>
      </c>
      <c r="K52" s="288"/>
      <c r="L52" s="289"/>
      <c r="M52" s="289"/>
      <c r="N52" s="289"/>
      <c r="O52" s="146"/>
      <c r="P52" s="1"/>
      <c r="U52" s="1"/>
      <c r="V52" s="1"/>
    </row>
    <row r="53" spans="1:22" ht="12.75" hidden="1" customHeight="1" x14ac:dyDescent="0.3">
      <c r="B53" s="290">
        <f>I2*100</f>
        <v>95</v>
      </c>
      <c r="C53" s="237"/>
      <c r="D53" s="237"/>
      <c r="E53" s="8"/>
      <c r="F53" s="8"/>
      <c r="G53" s="8"/>
      <c r="H53" s="159"/>
      <c r="I53" s="84"/>
      <c r="J53" s="291"/>
      <c r="K53" s="99"/>
      <c r="L53" s="83"/>
      <c r="M53" s="83"/>
      <c r="N53" s="83"/>
      <c r="O53" s="157"/>
      <c r="P53" s="1"/>
      <c r="U53" s="1"/>
      <c r="V53" s="1"/>
    </row>
    <row r="54" spans="1:22" ht="12.75" hidden="1" customHeight="1" x14ac:dyDescent="0.3">
      <c r="B54" s="292" t="s">
        <v>108</v>
      </c>
      <c r="C54" s="293"/>
      <c r="D54" s="293"/>
      <c r="E54" s="294">
        <f>ROUND(G14,2)</f>
        <v>0.38</v>
      </c>
      <c r="F54" s="295">
        <f>ROUND(J26,4)</f>
        <v>2.3E-3</v>
      </c>
      <c r="G54" s="296">
        <f>ROUND(J27,0)</f>
        <v>430</v>
      </c>
      <c r="H54" s="297"/>
      <c r="I54" s="84"/>
      <c r="J54" s="298" t="s">
        <v>108</v>
      </c>
      <c r="K54" s="8"/>
      <c r="L54" s="8"/>
      <c r="M54" s="8"/>
      <c r="N54" s="83"/>
      <c r="O54" s="157"/>
      <c r="P54" s="1"/>
      <c r="U54" s="1"/>
      <c r="V54" s="1"/>
    </row>
    <row r="55" spans="1:22" ht="12.75" hidden="1" customHeight="1" x14ac:dyDescent="0.3">
      <c r="B55" s="292" t="s">
        <v>109</v>
      </c>
      <c r="C55" s="9"/>
      <c r="D55" s="9"/>
      <c r="E55" s="294">
        <f>ROUND(H14,2)</f>
        <v>0.1</v>
      </c>
      <c r="F55" s="295">
        <f>ROUND(L26,4)</f>
        <v>-1.4E-3</v>
      </c>
      <c r="G55" s="296">
        <f>ROUND(L27,0)</f>
        <v>-718</v>
      </c>
      <c r="H55" s="297"/>
      <c r="I55" s="84"/>
      <c r="J55" s="298" t="s">
        <v>109</v>
      </c>
      <c r="K55" s="299" t="str">
        <f>ROUND(J21,4)*100&amp;J57</f>
        <v>0,14%</v>
      </c>
      <c r="L55" s="299" t="str">
        <f>ROUND(K21,4)*100&amp;J57</f>
        <v>0,05%</v>
      </c>
      <c r="M55" s="299" t="str">
        <f>ROUND(L21,4)*100&amp;J57</f>
        <v>0,41%</v>
      </c>
      <c r="N55" s="300" t="str">
        <f>CONCATENATE(K55," ",J54,L55," ",J58," ",M55,J56)</f>
        <v>0,14% (0,05% a 0,41%)</v>
      </c>
      <c r="O55" s="157"/>
      <c r="P55" s="1"/>
      <c r="U55" s="1"/>
      <c r="V55" s="1"/>
    </row>
    <row r="56" spans="1:22" s="7" customFormat="1" ht="12.75" hidden="1" customHeight="1" x14ac:dyDescent="0.3">
      <c r="B56" s="292" t="s">
        <v>110</v>
      </c>
      <c r="C56" s="293">
        <f>ROUND(D7,0)</f>
        <v>3</v>
      </c>
      <c r="D56" s="293">
        <f>ROUND(D8,0)</f>
        <v>8</v>
      </c>
      <c r="E56" s="294">
        <f>ROUND(I14,2)</f>
        <v>1.41</v>
      </c>
      <c r="F56" s="295">
        <f>ROUND(K26,4)</f>
        <v>5.5999999999999999E-3</v>
      </c>
      <c r="G56" s="296">
        <f>ROUND(K27,0)</f>
        <v>179</v>
      </c>
      <c r="H56" s="301">
        <f>ROUND(N32,4)</f>
        <v>0.32619999999999999</v>
      </c>
      <c r="I56" s="123"/>
      <c r="J56" s="298" t="s">
        <v>110</v>
      </c>
      <c r="K56" s="302" t="str">
        <f>ROUND(J22,4)*100&amp;J57</f>
        <v>0,37%</v>
      </c>
      <c r="L56" s="302" t="str">
        <f>ROUND(K22,4)*100&amp;J57</f>
        <v>0,19%</v>
      </c>
      <c r="M56" s="302" t="str">
        <f>ROUND(L22,4)*100&amp;J57</f>
        <v>0,73%</v>
      </c>
      <c r="N56" s="300" t="str">
        <f>CONCATENATE(K56," ",J54,L56," ",J58," ",M56,J56)</f>
        <v>0,37% (0,19% a 0,73%)</v>
      </c>
      <c r="O56" s="159"/>
    </row>
    <row r="57" spans="1:22" ht="12.75" hidden="1" customHeight="1" x14ac:dyDescent="0.3">
      <c r="B57" s="292" t="s">
        <v>111</v>
      </c>
      <c r="C57" s="303" t="s">
        <v>112</v>
      </c>
      <c r="D57" s="303" t="s">
        <v>113</v>
      </c>
      <c r="E57" s="303" t="s">
        <v>28</v>
      </c>
      <c r="F57" s="303" t="s">
        <v>114</v>
      </c>
      <c r="G57" s="304" t="s">
        <v>11</v>
      </c>
      <c r="H57" s="11" t="s">
        <v>115</v>
      </c>
      <c r="I57" s="84"/>
      <c r="J57" s="298" t="s">
        <v>111</v>
      </c>
      <c r="K57" s="302" t="str">
        <f>ROUND(J23,4)*100&amp;J57</f>
        <v>0,26%</v>
      </c>
      <c r="L57" s="302" t="str">
        <f>ROUND(K23,4)*100&amp;J57</f>
        <v>0,14%</v>
      </c>
      <c r="M57" s="302" t="str">
        <f>ROUND(L23,4)*100&amp;J57</f>
        <v>0,46%</v>
      </c>
      <c r="N57" s="300" t="str">
        <f>CONCATENATE(K57," ",J54,L57," ",J58," ",M57,J56)</f>
        <v>0,26% (0,14% a 0,46%)</v>
      </c>
      <c r="O57" s="159"/>
    </row>
    <row r="58" spans="1:22" ht="12.75" hidden="1" customHeight="1" x14ac:dyDescent="0.3">
      <c r="B58" s="305" t="s">
        <v>116</v>
      </c>
      <c r="C58" s="306" t="str">
        <f>CONCATENATE(C56,B59,C21," ",B54,K55,B56)</f>
        <v>3/2152 (0,14%)</v>
      </c>
      <c r="D58" s="67" t="str">
        <f>CONCATENATE(D56,B59,C22," ",B54,K56,B56)</f>
        <v>8/2152 (0,37%)</v>
      </c>
      <c r="E58" s="306" t="str">
        <f>CONCATENATE(E54," ",B54,E55,B55,E56,B56)</f>
        <v>0,38 (0,1-1,41)</v>
      </c>
      <c r="F58" s="306" t="str">
        <f>CONCATENATE(F54*100,B57," ",B54,F55*100,B57," ",B58," ",F56*100,B57,B56)</f>
        <v>0,23% (-0,14% a 0,56%)</v>
      </c>
      <c r="G58" s="11" t="str">
        <f>CONCATENATE(G54," ",B54,G56," ",B58," ",G55,B56)</f>
        <v>430 (179 a -718)</v>
      </c>
      <c r="H58" s="11" t="str">
        <f>CONCATENATE(H56*100,B57)</f>
        <v>32,62%</v>
      </c>
      <c r="I58" s="84"/>
      <c r="J58" s="307" t="s">
        <v>116</v>
      </c>
      <c r="K58" s="9"/>
      <c r="L58" s="9"/>
      <c r="M58" s="9"/>
      <c r="N58" s="83"/>
      <c r="O58" s="157"/>
      <c r="P58" s="1"/>
      <c r="U58" s="1"/>
      <c r="V58" s="1"/>
    </row>
    <row r="59" spans="1:22" ht="13.5" hidden="1" customHeight="1" x14ac:dyDescent="0.3">
      <c r="B59" s="308" t="s">
        <v>117</v>
      </c>
      <c r="C59" s="183"/>
      <c r="D59" s="183"/>
      <c r="E59" s="183"/>
      <c r="F59" s="183"/>
      <c r="G59" s="309"/>
      <c r="H59" s="310"/>
      <c r="I59" s="84"/>
      <c r="J59" s="311" t="s">
        <v>117</v>
      </c>
      <c r="K59" s="183"/>
      <c r="L59" s="183"/>
      <c r="M59" s="183"/>
      <c r="N59" s="312"/>
      <c r="O59" s="181"/>
      <c r="P59" s="1"/>
      <c r="U59" s="1"/>
      <c r="V59" s="1"/>
    </row>
    <row r="60" spans="1:22" x14ac:dyDescent="0.3">
      <c r="B60" s="85"/>
      <c r="G60" s="84"/>
      <c r="H60" s="84"/>
      <c r="I60" s="84"/>
      <c r="J60" s="84"/>
      <c r="K60" s="84"/>
      <c r="L60" s="99"/>
      <c r="M60" s="84"/>
      <c r="N60" s="84"/>
      <c r="O60" s="1"/>
      <c r="P60" s="1"/>
      <c r="U60" s="1"/>
      <c r="V60" s="1"/>
    </row>
    <row r="61" spans="1:22" ht="27" customHeight="1" x14ac:dyDescent="0.3">
      <c r="B61" s="85"/>
      <c r="C61" s="313" t="s">
        <v>112</v>
      </c>
      <c r="D61" s="313" t="s">
        <v>113</v>
      </c>
      <c r="E61" s="314" t="str">
        <f>CONCATENATE(E57," ",B54,H2," ",B53,B57,B56)</f>
        <v>RR (IC 95%)</v>
      </c>
      <c r="F61" s="314" t="str">
        <f>CONCATENATE(F57," ",B54,H2," ",B53,B57,B56)</f>
        <v>RAR (IC 95%)</v>
      </c>
      <c r="G61" s="314" t="str">
        <f>CONCATENATE(G57," ",B54,H2," ",B53,B57,B56)</f>
        <v>NNT (IC 95%)</v>
      </c>
      <c r="H61" s="314" t="s">
        <v>72</v>
      </c>
      <c r="I61" s="315"/>
      <c r="J61" s="348" t="s">
        <v>127</v>
      </c>
      <c r="L61" s="323" t="s">
        <v>119</v>
      </c>
      <c r="M61" s="323" t="s">
        <v>120</v>
      </c>
      <c r="O61" s="376" t="s">
        <v>139</v>
      </c>
      <c r="P61" s="376" t="s">
        <v>120</v>
      </c>
      <c r="R61" s="500" t="s">
        <v>2</v>
      </c>
      <c r="S61" s="501" t="s">
        <v>3</v>
      </c>
      <c r="T61" s="502" t="s">
        <v>1</v>
      </c>
      <c r="U61" s="503" t="s">
        <v>137</v>
      </c>
      <c r="V61" s="1"/>
    </row>
    <row r="62" spans="1:22" ht="21" customHeight="1" x14ac:dyDescent="0.3">
      <c r="B62" s="85"/>
      <c r="C62" s="67" t="str">
        <f t="shared" ref="C62:H62" si="1">C58</f>
        <v>3/2152 (0,14%)</v>
      </c>
      <c r="D62" s="67" t="str">
        <f t="shared" si="1"/>
        <v>8/2152 (0,37%)</v>
      </c>
      <c r="E62" s="67" t="str">
        <f t="shared" si="1"/>
        <v>0,38 (0,1-1,41)</v>
      </c>
      <c r="F62" s="67" t="str">
        <f t="shared" si="1"/>
        <v>0,23% (-0,14% a 0,56%)</v>
      </c>
      <c r="G62" s="67" t="str">
        <f t="shared" si="1"/>
        <v>430 (179 a -718)</v>
      </c>
      <c r="H62" s="67" t="str">
        <f t="shared" si="1"/>
        <v>32,62%</v>
      </c>
      <c r="I62" s="316"/>
      <c r="J62" s="317">
        <f>C49</f>
        <v>0.13117440010953066</v>
      </c>
      <c r="L62" s="318">
        <f>IF((K26*L26&lt;0),J23,J21)</f>
        <v>2.5557620817843866E-3</v>
      </c>
      <c r="M62" s="318">
        <f>IF((K26*L26&lt;0),J23,J22)</f>
        <v>2.5557620817843866E-3</v>
      </c>
      <c r="O62" s="374">
        <f>L62*100</f>
        <v>0.25557620817843868</v>
      </c>
      <c r="P62" s="375">
        <f>M62*100</f>
        <v>0.25557620817843868</v>
      </c>
      <c r="R62" s="333">
        <f>Q14</f>
        <v>23.927509293680298</v>
      </c>
      <c r="S62" s="334">
        <f>R14</f>
        <v>2.7881040892193308E-2</v>
      </c>
      <c r="T62" s="372">
        <f>S14</f>
        <v>4.4609665427509292E-2</v>
      </c>
      <c r="U62" s="373">
        <f>R62+S62+T62</f>
        <v>24</v>
      </c>
      <c r="V62" s="274" t="str">
        <f>I4</f>
        <v>meses</v>
      </c>
    </row>
    <row r="63" spans="1:22" x14ac:dyDescent="0.3">
      <c r="B63" s="85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319"/>
    </row>
    <row r="64" spans="1:22" x14ac:dyDescent="0.3">
      <c r="A64" s="380"/>
      <c r="B64" s="445" t="s">
        <v>248</v>
      </c>
      <c r="C64" s="320"/>
      <c r="D64" s="320"/>
      <c r="E64" s="320"/>
      <c r="F64" s="320"/>
      <c r="G64" s="320"/>
      <c r="H64" s="320"/>
      <c r="I64" s="321"/>
      <c r="J64" s="322"/>
      <c r="K64" s="274"/>
      <c r="L64" s="274"/>
      <c r="M64" s="274"/>
      <c r="N64" s="274"/>
      <c r="O64" s="319"/>
    </row>
    <row r="65" spans="1:22" ht="13.5" thickBot="1" x14ac:dyDescent="0.35">
      <c r="A65" s="380"/>
      <c r="B65" s="446" t="s">
        <v>247</v>
      </c>
      <c r="C65" s="320"/>
      <c r="D65" s="320"/>
      <c r="E65" s="320"/>
      <c r="F65" s="320"/>
      <c r="G65" s="320"/>
      <c r="H65" s="320"/>
      <c r="I65" s="321"/>
      <c r="J65" s="322"/>
      <c r="K65" s="274"/>
      <c r="L65" s="274"/>
      <c r="M65" s="274"/>
      <c r="N65" s="274"/>
      <c r="O65" s="319"/>
    </row>
    <row r="66" spans="1:22" ht="39.75" customHeight="1" thickBot="1" x14ac:dyDescent="0.35">
      <c r="A66" s="380"/>
      <c r="B66" s="587" t="s">
        <v>304</v>
      </c>
      <c r="C66" s="588"/>
      <c r="D66" s="588"/>
      <c r="E66" s="588"/>
      <c r="F66" s="588"/>
      <c r="G66" s="588"/>
      <c r="H66" s="589"/>
      <c r="I66" s="380"/>
      <c r="J66" s="380"/>
      <c r="K66" s="380"/>
      <c r="L66" s="380"/>
      <c r="M66" s="380"/>
      <c r="N66" s="380"/>
      <c r="O66" s="582" t="s">
        <v>141</v>
      </c>
      <c r="P66" s="583"/>
      <c r="Q66" s="380"/>
      <c r="R66" s="576" t="s">
        <v>134</v>
      </c>
      <c r="S66" s="579" t="s">
        <v>135</v>
      </c>
      <c r="T66" s="557" t="s">
        <v>136</v>
      </c>
      <c r="U66" s="568" t="s">
        <v>138</v>
      </c>
      <c r="V66" s="380"/>
    </row>
    <row r="67" spans="1:22" ht="38.25" customHeight="1" thickBot="1" x14ac:dyDescent="0.35">
      <c r="A67" s="380"/>
      <c r="B67" s="560" t="s">
        <v>157</v>
      </c>
      <c r="C67" s="485" t="s">
        <v>331</v>
      </c>
      <c r="D67" s="486" t="s">
        <v>159</v>
      </c>
      <c r="E67" s="584" t="s">
        <v>148</v>
      </c>
      <c r="F67" s="585"/>
      <c r="G67" s="585"/>
      <c r="H67" s="586"/>
      <c r="I67" s="380"/>
      <c r="J67" s="380"/>
      <c r="K67" s="380"/>
      <c r="L67" s="380"/>
      <c r="M67" s="380"/>
      <c r="N67" s="380"/>
      <c r="O67" s="548" t="s">
        <v>201</v>
      </c>
      <c r="P67" s="549"/>
      <c r="Q67" s="380"/>
      <c r="R67" s="577"/>
      <c r="S67" s="580"/>
      <c r="T67" s="558"/>
      <c r="U67" s="569"/>
      <c r="V67" s="380"/>
    </row>
    <row r="68" spans="1:22" ht="26.25" customHeight="1" thickBot="1" x14ac:dyDescent="0.35">
      <c r="A68" s="380"/>
      <c r="B68" s="561"/>
      <c r="C68" s="382" t="s">
        <v>142</v>
      </c>
      <c r="D68" s="383" t="s">
        <v>142</v>
      </c>
      <c r="E68" s="384" t="s">
        <v>133</v>
      </c>
      <c r="F68" s="385" t="s">
        <v>153</v>
      </c>
      <c r="G68" s="385" t="s">
        <v>160</v>
      </c>
      <c r="H68" s="386" t="s">
        <v>118</v>
      </c>
      <c r="I68" s="380"/>
      <c r="J68" s="387" t="s">
        <v>143</v>
      </c>
      <c r="L68" s="102" t="s">
        <v>119</v>
      </c>
      <c r="M68" s="102" t="s">
        <v>120</v>
      </c>
      <c r="N68" s="380"/>
      <c r="O68" s="388" t="s">
        <v>330</v>
      </c>
      <c r="P68" s="389" t="s">
        <v>14</v>
      </c>
      <c r="Q68" s="380"/>
      <c r="R68" s="578"/>
      <c r="S68" s="581"/>
      <c r="T68" s="559"/>
      <c r="U68" s="570"/>
      <c r="V68" s="380"/>
    </row>
    <row r="69" spans="1:22" ht="18.75" customHeight="1" x14ac:dyDescent="0.35">
      <c r="A69" s="380"/>
      <c r="B69" s="447" t="s">
        <v>249</v>
      </c>
      <c r="C69" s="358"/>
      <c r="D69" s="358"/>
      <c r="E69" s="359"/>
      <c r="F69" s="359"/>
      <c r="G69" s="359"/>
      <c r="H69" s="359"/>
      <c r="I69" s="355"/>
      <c r="J69" s="360"/>
      <c r="K69" s="361"/>
      <c r="L69" s="361"/>
      <c r="M69" s="361"/>
      <c r="N69" s="361"/>
      <c r="O69" s="361"/>
      <c r="P69" s="361"/>
      <c r="Q69" s="380"/>
      <c r="R69" s="380"/>
      <c r="S69" s="380"/>
      <c r="T69" s="380"/>
      <c r="U69" s="380"/>
      <c r="V69" s="380"/>
    </row>
    <row r="70" spans="1:22" ht="30" customHeight="1" x14ac:dyDescent="0.3">
      <c r="A70" s="380"/>
      <c r="B70" s="487" t="s">
        <v>328</v>
      </c>
      <c r="C70" s="492" t="s">
        <v>196</v>
      </c>
      <c r="D70" s="492" t="s">
        <v>197</v>
      </c>
      <c r="E70" s="492" t="s">
        <v>198</v>
      </c>
      <c r="F70" s="492" t="s">
        <v>199</v>
      </c>
      <c r="G70" s="493" t="s">
        <v>200</v>
      </c>
      <c r="H70" s="494">
        <v>0.8387</v>
      </c>
      <c r="I70" s="355"/>
      <c r="J70" s="368">
        <v>3.1864365720636763E-3</v>
      </c>
      <c r="K70" s="356"/>
      <c r="L70" s="362">
        <v>4.6933085501858735E-2</v>
      </c>
      <c r="M70" s="362">
        <v>6.7843866171003714E-2</v>
      </c>
      <c r="N70" s="356"/>
      <c r="O70" s="400">
        <v>4.6933085501858738</v>
      </c>
      <c r="P70" s="401">
        <v>6.7843866171003713</v>
      </c>
      <c r="Q70" s="380"/>
      <c r="R70" s="540">
        <v>22.934944237918213</v>
      </c>
      <c r="S70" s="541">
        <v>0.25092936802973975</v>
      </c>
      <c r="T70" s="542">
        <v>0.81412639405204457</v>
      </c>
      <c r="U70" s="436">
        <v>24</v>
      </c>
      <c r="V70" s="438" t="s">
        <v>144</v>
      </c>
    </row>
    <row r="71" spans="1:22" ht="2" customHeight="1" x14ac:dyDescent="0.3">
      <c r="A71" s="380"/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61"/>
      <c r="P71" s="361"/>
      <c r="Q71" s="380"/>
      <c r="R71" s="380"/>
      <c r="S71" s="380"/>
      <c r="T71" s="380"/>
      <c r="U71" s="461"/>
      <c r="V71" s="438"/>
    </row>
    <row r="72" spans="1:22" ht="23" customHeight="1" x14ac:dyDescent="0.3">
      <c r="A72" s="380"/>
      <c r="B72" s="490" t="s">
        <v>268</v>
      </c>
      <c r="C72" s="463" t="s">
        <v>258</v>
      </c>
      <c r="D72" s="463" t="s">
        <v>259</v>
      </c>
      <c r="E72" s="463" t="s">
        <v>260</v>
      </c>
      <c r="F72" s="463" t="s">
        <v>261</v>
      </c>
      <c r="G72" s="464" t="s">
        <v>262</v>
      </c>
      <c r="H72" s="465">
        <v>0.57930000000000004</v>
      </c>
      <c r="I72" s="567" t="s">
        <v>312</v>
      </c>
      <c r="J72" s="423">
        <v>3.0773890327483181E-2</v>
      </c>
      <c r="K72" s="424"/>
      <c r="L72" s="425">
        <v>5.7731958762886601E-2</v>
      </c>
      <c r="M72" s="425">
        <v>7.7877325982081316E-2</v>
      </c>
      <c r="N72" s="424"/>
      <c r="O72" s="496">
        <v>5.7731958762886597</v>
      </c>
      <c r="P72" s="497">
        <v>7.787732598208132</v>
      </c>
      <c r="Q72" s="380"/>
      <c r="R72" s="458"/>
      <c r="S72" s="459"/>
      <c r="T72" s="460"/>
      <c r="U72" s="461"/>
      <c r="V72" s="438"/>
    </row>
    <row r="73" spans="1:22" ht="23" customHeight="1" x14ac:dyDescent="0.3">
      <c r="A73" s="380"/>
      <c r="B73" s="490" t="s">
        <v>269</v>
      </c>
      <c r="C73" s="463" t="s">
        <v>263</v>
      </c>
      <c r="D73" s="463" t="s">
        <v>264</v>
      </c>
      <c r="E73" s="463" t="s">
        <v>265</v>
      </c>
      <c r="F73" s="463" t="s">
        <v>266</v>
      </c>
      <c r="G73" s="464" t="s">
        <v>267</v>
      </c>
      <c r="H73" s="465">
        <v>0.62690000000000001</v>
      </c>
      <c r="I73" s="567"/>
      <c r="J73" s="423">
        <v>2.238740395774105E-2</v>
      </c>
      <c r="K73" s="424"/>
      <c r="L73" s="425">
        <v>2.4390243902439025E-2</v>
      </c>
      <c r="M73" s="425">
        <v>4.7075606276747506E-2</v>
      </c>
      <c r="N73" s="424"/>
      <c r="O73" s="496">
        <v>2.4390243902439024</v>
      </c>
      <c r="P73" s="497">
        <v>4.7075606276747504</v>
      </c>
      <c r="Q73" s="380"/>
      <c r="R73" s="458"/>
      <c r="S73" s="459"/>
      <c r="T73" s="460"/>
      <c r="U73" s="461"/>
      <c r="V73" s="438"/>
    </row>
    <row r="74" spans="1:22" ht="2" customHeight="1" x14ac:dyDescent="0.3">
      <c r="A74" s="380"/>
      <c r="B74" s="491"/>
      <c r="C74" s="357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498"/>
      <c r="P74" s="498"/>
      <c r="Q74" s="380"/>
      <c r="R74" s="380"/>
      <c r="S74" s="380"/>
      <c r="T74" s="380"/>
      <c r="U74" s="461"/>
      <c r="V74" s="438"/>
    </row>
    <row r="75" spans="1:22" ht="23" customHeight="1" x14ac:dyDescent="0.3">
      <c r="A75" s="380"/>
      <c r="B75" s="490" t="s">
        <v>310</v>
      </c>
      <c r="C75" s="463" t="s">
        <v>270</v>
      </c>
      <c r="D75" s="463" t="s">
        <v>271</v>
      </c>
      <c r="E75" s="463" t="s">
        <v>293</v>
      </c>
      <c r="F75" s="463" t="s">
        <v>272</v>
      </c>
      <c r="G75" s="464" t="s">
        <v>273</v>
      </c>
      <c r="H75" s="465">
        <v>0.63819999999999999</v>
      </c>
      <c r="I75" s="567" t="s">
        <v>313</v>
      </c>
      <c r="J75" s="423">
        <v>2.0682039575662149E-2</v>
      </c>
      <c r="K75" s="424"/>
      <c r="L75" s="425">
        <v>5.2672955974842769E-2</v>
      </c>
      <c r="M75" s="425">
        <v>7.5200000000000003E-2</v>
      </c>
      <c r="N75" s="424"/>
      <c r="O75" s="496">
        <v>5.267295597484277</v>
      </c>
      <c r="P75" s="497">
        <v>7.5200000000000005</v>
      </c>
      <c r="Q75" s="380"/>
      <c r="R75" s="458"/>
      <c r="S75" s="459"/>
      <c r="T75" s="460"/>
      <c r="U75" s="461"/>
      <c r="V75" s="438"/>
    </row>
    <row r="76" spans="1:22" ht="23" customHeight="1" x14ac:dyDescent="0.3">
      <c r="A76" s="380"/>
      <c r="B76" s="490" t="s">
        <v>311</v>
      </c>
      <c r="C76" s="463" t="s">
        <v>274</v>
      </c>
      <c r="D76" s="463" t="s">
        <v>275</v>
      </c>
      <c r="E76" s="463" t="s">
        <v>276</v>
      </c>
      <c r="F76" s="463" t="s">
        <v>277</v>
      </c>
      <c r="G76" s="466" t="s">
        <v>278</v>
      </c>
      <c r="H76" s="465">
        <v>0.46510000000000001</v>
      </c>
      <c r="I76" s="567"/>
      <c r="J76" s="423">
        <v>6.1154110525358893E-2</v>
      </c>
      <c r="K76" s="424"/>
      <c r="L76" s="425">
        <v>4.8260381593714929E-2</v>
      </c>
      <c r="M76" s="425">
        <v>4.8260381593714929E-2</v>
      </c>
      <c r="N76" s="424"/>
      <c r="O76" s="499">
        <v>4.8260381593714925</v>
      </c>
      <c r="P76" s="499">
        <v>4.8260381593714925</v>
      </c>
      <c r="Q76" s="380"/>
      <c r="R76" s="458"/>
      <c r="S76" s="459"/>
      <c r="T76" s="460"/>
      <c r="U76" s="461"/>
      <c r="V76" s="438"/>
    </row>
    <row r="77" spans="1:22" ht="2" customHeight="1" x14ac:dyDescent="0.3">
      <c r="A77" s="380"/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498"/>
      <c r="P77" s="498"/>
      <c r="Q77" s="380"/>
      <c r="R77" s="380"/>
      <c r="S77" s="380"/>
      <c r="T77" s="380"/>
      <c r="U77" s="461"/>
      <c r="V77" s="438"/>
    </row>
    <row r="78" spans="1:22" ht="23" customHeight="1" x14ac:dyDescent="0.3">
      <c r="A78" s="380"/>
      <c r="B78" s="462" t="s">
        <v>279</v>
      </c>
      <c r="C78" s="463" t="s">
        <v>281</v>
      </c>
      <c r="D78" s="463" t="s">
        <v>282</v>
      </c>
      <c r="E78" s="463" t="s">
        <v>283</v>
      </c>
      <c r="F78" s="463" t="s">
        <v>284</v>
      </c>
      <c r="G78" s="464" t="s">
        <v>285</v>
      </c>
      <c r="H78" s="465" t="s">
        <v>286</v>
      </c>
      <c r="I78" s="567" t="s">
        <v>314</v>
      </c>
      <c r="J78" s="423">
        <v>2.7499928833399696E-2</v>
      </c>
      <c r="K78" s="424"/>
      <c r="L78" s="425">
        <v>4.1666666666666664E-2</v>
      </c>
      <c r="M78" s="425">
        <v>6.2444246208742192E-2</v>
      </c>
      <c r="N78" s="424"/>
      <c r="O78" s="496">
        <v>4.1666666666666661</v>
      </c>
      <c r="P78" s="497">
        <v>6.2444246208742191</v>
      </c>
      <c r="Q78" s="380"/>
      <c r="R78" s="458"/>
      <c r="S78" s="459"/>
      <c r="T78" s="460"/>
      <c r="U78" s="461"/>
      <c r="V78" s="438"/>
    </row>
    <row r="79" spans="1:22" ht="23" customHeight="1" x14ac:dyDescent="0.3">
      <c r="A79" s="380"/>
      <c r="B79" s="462" t="s">
        <v>280</v>
      </c>
      <c r="C79" s="463" t="s">
        <v>287</v>
      </c>
      <c r="D79" s="463" t="s">
        <v>288</v>
      </c>
      <c r="E79" s="463" t="s">
        <v>292</v>
      </c>
      <c r="F79" s="463" t="s">
        <v>289</v>
      </c>
      <c r="G79" s="466" t="s">
        <v>290</v>
      </c>
      <c r="H79" s="465" t="s">
        <v>291</v>
      </c>
      <c r="I79" s="567"/>
      <c r="J79" s="423">
        <v>4.6346896577679098E-2</v>
      </c>
      <c r="K79" s="424"/>
      <c r="L79" s="425">
        <v>6.3011063011063018E-2</v>
      </c>
      <c r="M79" s="425">
        <v>6.3011063011063018E-2</v>
      </c>
      <c r="N79" s="424"/>
      <c r="O79" s="499">
        <v>6.3011063011063015</v>
      </c>
      <c r="P79" s="499">
        <v>6.3011063011063015</v>
      </c>
      <c r="Q79" s="380"/>
      <c r="R79" s="458"/>
      <c r="S79" s="459"/>
      <c r="T79" s="460"/>
      <c r="U79" s="461"/>
      <c r="V79" s="438"/>
    </row>
    <row r="80" spans="1:22" ht="9" customHeight="1" x14ac:dyDescent="0.3">
      <c r="A80" s="380"/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61"/>
      <c r="P80" s="361"/>
      <c r="Q80" s="380"/>
      <c r="R80" s="380"/>
      <c r="S80" s="380"/>
      <c r="T80" s="380"/>
      <c r="U80" s="380"/>
      <c r="V80" s="437"/>
    </row>
    <row r="81" spans="1:22" ht="30" customHeight="1" x14ac:dyDescent="0.3">
      <c r="A81" s="380"/>
      <c r="B81" s="488" t="s">
        <v>296</v>
      </c>
      <c r="C81" s="495" t="s">
        <v>191</v>
      </c>
      <c r="D81" s="492" t="s">
        <v>192</v>
      </c>
      <c r="E81" s="492" t="s">
        <v>193</v>
      </c>
      <c r="F81" s="492" t="s">
        <v>194</v>
      </c>
      <c r="G81" s="495" t="s">
        <v>195</v>
      </c>
      <c r="H81" s="494">
        <v>0.2442</v>
      </c>
      <c r="I81" s="422"/>
      <c r="J81" s="423">
        <v>0.20507985886947006</v>
      </c>
      <c r="K81" s="424"/>
      <c r="L81" s="425">
        <v>3.3689591078066912E-2</v>
      </c>
      <c r="M81" s="425">
        <v>3.3689591078066912E-2</v>
      </c>
      <c r="N81" s="424"/>
      <c r="O81" s="402">
        <v>3.3689591078066914</v>
      </c>
      <c r="P81" s="402">
        <v>3.3689591078066914</v>
      </c>
      <c r="Q81" s="380"/>
      <c r="R81" s="380"/>
      <c r="S81" s="380"/>
      <c r="T81" s="380"/>
      <c r="U81" s="380"/>
      <c r="V81" s="437"/>
    </row>
    <row r="82" spans="1:22" ht="30" customHeight="1" x14ac:dyDescent="0.3">
      <c r="A82" s="380"/>
      <c r="B82" s="488" t="s">
        <v>297</v>
      </c>
      <c r="C82" s="495" t="s">
        <v>185</v>
      </c>
      <c r="D82" s="492" t="s">
        <v>186</v>
      </c>
      <c r="E82" s="492" t="s">
        <v>187</v>
      </c>
      <c r="F82" s="492" t="s">
        <v>188</v>
      </c>
      <c r="G82" s="495" t="s">
        <v>189</v>
      </c>
      <c r="H82" s="494" t="s">
        <v>190</v>
      </c>
      <c r="I82" s="422"/>
      <c r="J82" s="423">
        <v>0.15691324019983985</v>
      </c>
      <c r="K82" s="424"/>
      <c r="L82" s="425">
        <v>1.8587360594795538E-3</v>
      </c>
      <c r="M82" s="425">
        <v>1.8587360594795538E-3</v>
      </c>
      <c r="N82" s="424"/>
      <c r="O82" s="420">
        <v>0.18587360594795538</v>
      </c>
      <c r="P82" s="420">
        <v>0.18587360594795538</v>
      </c>
      <c r="Q82" s="380"/>
      <c r="R82" s="380"/>
      <c r="S82" s="380"/>
      <c r="T82" s="380"/>
      <c r="U82" s="380"/>
      <c r="V82" s="437"/>
    </row>
    <row r="83" spans="1:22" ht="9" customHeight="1" x14ac:dyDescent="0.3">
      <c r="A83" s="380"/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  <c r="N83" s="357"/>
      <c r="O83" s="361"/>
      <c r="P83" s="361"/>
      <c r="Q83" s="380"/>
      <c r="R83" s="380"/>
      <c r="S83" s="380"/>
      <c r="T83" s="380"/>
      <c r="U83" s="380"/>
      <c r="V83" s="437"/>
    </row>
    <row r="84" spans="1:22" ht="30" customHeight="1" x14ac:dyDescent="0.3">
      <c r="A84" s="380"/>
      <c r="B84" s="489" t="s">
        <v>158</v>
      </c>
      <c r="C84" s="495" t="s">
        <v>166</v>
      </c>
      <c r="D84" s="492" t="s">
        <v>167</v>
      </c>
      <c r="E84" s="492" t="s">
        <v>294</v>
      </c>
      <c r="F84" s="492" t="s">
        <v>168</v>
      </c>
      <c r="G84" s="493" t="s">
        <v>169</v>
      </c>
      <c r="H84" s="494">
        <v>0.99950000000000006</v>
      </c>
      <c r="I84" s="422"/>
      <c r="J84" s="423">
        <v>1.7498572118019911E-7</v>
      </c>
      <c r="K84" s="424"/>
      <c r="L84" s="425">
        <v>5.204460966542751E-2</v>
      </c>
      <c r="M84" s="425">
        <v>9.3401486988847579E-2</v>
      </c>
      <c r="N84" s="424"/>
      <c r="O84" s="400">
        <v>5.2044609665427508</v>
      </c>
      <c r="P84" s="401">
        <v>9.3401486988847573</v>
      </c>
      <c r="Q84" s="380"/>
      <c r="R84" s="540">
        <v>22.38289962825279</v>
      </c>
      <c r="S84" s="541">
        <v>0.49628252788104077</v>
      </c>
      <c r="T84" s="542">
        <v>1.1208178438661709</v>
      </c>
      <c r="U84" s="436">
        <v>24</v>
      </c>
      <c r="V84" s="438" t="s">
        <v>144</v>
      </c>
    </row>
    <row r="85" spans="1:22" ht="30" customHeight="1" x14ac:dyDescent="0.3">
      <c r="A85" s="380"/>
      <c r="B85" s="487" t="s">
        <v>233</v>
      </c>
      <c r="C85" s="495" t="s">
        <v>171</v>
      </c>
      <c r="D85" s="492" t="s">
        <v>172</v>
      </c>
      <c r="E85" s="492" t="s">
        <v>300</v>
      </c>
      <c r="F85" s="492" t="s">
        <v>173</v>
      </c>
      <c r="G85" s="493" t="s">
        <v>174</v>
      </c>
      <c r="H85" s="494">
        <v>0.73319999999999996</v>
      </c>
      <c r="I85" s="422"/>
      <c r="J85" s="423">
        <v>9.8102086196043704E-3</v>
      </c>
      <c r="K85" s="424"/>
      <c r="L85" s="425">
        <v>3.9033457249070633E-2</v>
      </c>
      <c r="M85" s="425">
        <v>5.5762081784386616E-2</v>
      </c>
      <c r="N85" s="424"/>
      <c r="O85" s="400">
        <v>3.9033457249070631</v>
      </c>
      <c r="P85" s="401">
        <v>5.5762081784386615</v>
      </c>
      <c r="Q85" s="380"/>
      <c r="R85" s="540">
        <v>23.130111524163571</v>
      </c>
      <c r="S85" s="541">
        <v>0.20074349442379175</v>
      </c>
      <c r="T85" s="542">
        <v>0.66914498141263934</v>
      </c>
      <c r="U85" s="436">
        <v>24</v>
      </c>
      <c r="V85" s="438" t="s">
        <v>144</v>
      </c>
    </row>
    <row r="86" spans="1:22" ht="30" customHeight="1" x14ac:dyDescent="0.3">
      <c r="A86" s="380"/>
      <c r="B86" s="487" t="s">
        <v>170</v>
      </c>
      <c r="C86" s="495" t="s">
        <v>175</v>
      </c>
      <c r="D86" s="492" t="s">
        <v>176</v>
      </c>
      <c r="E86" s="492" t="s">
        <v>177</v>
      </c>
      <c r="F86" s="492" t="s">
        <v>178</v>
      </c>
      <c r="G86" s="493" t="s">
        <v>179</v>
      </c>
      <c r="H86" s="494">
        <v>0.68679999999999997</v>
      </c>
      <c r="I86" s="422"/>
      <c r="J86" s="423">
        <v>1.4413449377456936E-2</v>
      </c>
      <c r="K86" s="424"/>
      <c r="L86" s="425">
        <v>3.1598513011152414E-2</v>
      </c>
      <c r="M86" s="425">
        <v>4.6003717472118962E-2</v>
      </c>
      <c r="N86" s="424"/>
      <c r="O86" s="400">
        <v>3.1598513011152414</v>
      </c>
      <c r="P86" s="401">
        <v>4.6003717472118959</v>
      </c>
      <c r="Q86" s="380"/>
      <c r="R86" s="540">
        <v>23.275092936802974</v>
      </c>
      <c r="S86" s="541">
        <v>0.17286245353159857</v>
      </c>
      <c r="T86" s="542">
        <v>0.55204460966542757</v>
      </c>
      <c r="U86" s="436">
        <v>24</v>
      </c>
      <c r="V86" s="438" t="s">
        <v>144</v>
      </c>
    </row>
    <row r="87" spans="1:22" ht="30" customHeight="1" x14ac:dyDescent="0.3">
      <c r="A87" s="380"/>
      <c r="B87" s="487" t="s">
        <v>180</v>
      </c>
      <c r="C87" s="495" t="s">
        <v>181</v>
      </c>
      <c r="D87" s="492" t="s">
        <v>182</v>
      </c>
      <c r="E87" s="492" t="s">
        <v>295</v>
      </c>
      <c r="F87" s="492" t="s">
        <v>183</v>
      </c>
      <c r="G87" s="495" t="s">
        <v>184</v>
      </c>
      <c r="H87" s="494">
        <v>0.32619999999999999</v>
      </c>
      <c r="I87" s="422"/>
      <c r="J87" s="423">
        <v>0.13117440010953066</v>
      </c>
      <c r="K87" s="424"/>
      <c r="L87" s="425">
        <v>2.5557620817843866E-3</v>
      </c>
      <c r="M87" s="425">
        <v>2.5557620817843866E-3</v>
      </c>
      <c r="N87" s="424"/>
      <c r="O87" s="420">
        <v>0.25557620817843868</v>
      </c>
      <c r="P87" s="420">
        <v>0.25557620817843868</v>
      </c>
      <c r="Q87" s="380"/>
      <c r="R87" s="434">
        <v>23.97</v>
      </c>
      <c r="S87" s="547">
        <v>2.7881040892193308E-2</v>
      </c>
      <c r="T87" s="435">
        <v>0.03</v>
      </c>
      <c r="U87" s="436">
        <v>24</v>
      </c>
      <c r="V87" s="438" t="s">
        <v>144</v>
      </c>
    </row>
    <row r="88" spans="1:22" s="452" customFormat="1" ht="19.5" customHeight="1" x14ac:dyDescent="0.35">
      <c r="A88" s="448"/>
      <c r="B88" s="447" t="s">
        <v>250</v>
      </c>
      <c r="C88" s="449"/>
      <c r="D88" s="449"/>
      <c r="E88" s="449"/>
      <c r="F88" s="449"/>
      <c r="G88" s="449"/>
      <c r="H88" s="449"/>
      <c r="I88" s="449"/>
      <c r="J88" s="449"/>
      <c r="K88" s="450"/>
      <c r="L88" s="448"/>
      <c r="M88" s="448"/>
      <c r="N88" s="448"/>
      <c r="O88" s="448"/>
      <c r="P88" s="448"/>
      <c r="Q88" s="448"/>
      <c r="R88" s="543"/>
      <c r="S88" s="543"/>
      <c r="T88" s="543"/>
      <c r="U88" s="448"/>
      <c r="V88" s="451"/>
    </row>
    <row r="89" spans="1:22" s="452" customFormat="1" ht="28" customHeight="1" x14ac:dyDescent="0.3">
      <c r="A89" s="519"/>
      <c r="B89" s="520" t="s">
        <v>322</v>
      </c>
      <c r="C89" s="473" t="s">
        <v>323</v>
      </c>
      <c r="D89" s="473" t="s">
        <v>324</v>
      </c>
      <c r="E89" s="473" t="s">
        <v>177</v>
      </c>
      <c r="F89" s="473" t="s">
        <v>325</v>
      </c>
      <c r="G89" s="474" t="s">
        <v>326</v>
      </c>
      <c r="H89" s="521" t="s">
        <v>327</v>
      </c>
      <c r="I89" s="449"/>
      <c r="J89" s="449">
        <v>1.4980184909098072E-2</v>
      </c>
      <c r="K89" s="450"/>
      <c r="L89" s="448">
        <v>3.2063197026022304E-2</v>
      </c>
      <c r="M89" s="448">
        <v>4.6468401486988845E-2</v>
      </c>
      <c r="N89" s="448"/>
      <c r="O89" s="476">
        <v>3.2063197026022303</v>
      </c>
      <c r="P89" s="477">
        <v>4.6468401486988844</v>
      </c>
      <c r="Q89" s="380"/>
      <c r="R89" s="544">
        <v>23.269516728624534</v>
      </c>
      <c r="S89" s="545">
        <v>0.17286245353159857</v>
      </c>
      <c r="T89" s="546">
        <v>0.55762081784386619</v>
      </c>
      <c r="U89" s="441">
        <v>24</v>
      </c>
      <c r="V89" s="438" t="s">
        <v>144</v>
      </c>
    </row>
    <row r="90" spans="1:22" s="452" customFormat="1" ht="30" customHeight="1" x14ac:dyDescent="0.3">
      <c r="A90" s="519"/>
      <c r="B90" s="520" t="s">
        <v>316</v>
      </c>
      <c r="C90" s="473" t="s">
        <v>317</v>
      </c>
      <c r="D90" s="473" t="s">
        <v>318</v>
      </c>
      <c r="E90" s="473" t="s">
        <v>319</v>
      </c>
      <c r="F90" s="473" t="s">
        <v>320</v>
      </c>
      <c r="G90" s="474" t="s">
        <v>321</v>
      </c>
      <c r="H90" s="521">
        <v>1.9047000000000001</v>
      </c>
      <c r="I90" s="449"/>
      <c r="J90" s="449">
        <v>1.080008894227947E-3</v>
      </c>
      <c r="K90" s="450"/>
      <c r="L90" s="448">
        <v>5.065055762081784E-2</v>
      </c>
      <c r="M90" s="448">
        <v>7.481412639405205E-2</v>
      </c>
      <c r="N90" s="448"/>
      <c r="O90" s="476">
        <v>5.0650557620817844</v>
      </c>
      <c r="P90" s="477">
        <v>7.481412639405205</v>
      </c>
      <c r="Q90" s="380"/>
      <c r="R90" s="544">
        <v>22.812267657992564</v>
      </c>
      <c r="S90" s="545">
        <v>0.28996282527881045</v>
      </c>
      <c r="T90" s="546">
        <v>0.89776951672862459</v>
      </c>
      <c r="U90" s="441">
        <v>24</v>
      </c>
      <c r="V90" s="438" t="s">
        <v>144</v>
      </c>
    </row>
    <row r="91" spans="1:22" ht="58" customHeight="1" x14ac:dyDescent="0.3">
      <c r="A91" s="380"/>
      <c r="B91" s="484" t="s">
        <v>309</v>
      </c>
      <c r="C91" s="473" t="s">
        <v>161</v>
      </c>
      <c r="D91" s="473" t="s">
        <v>162</v>
      </c>
      <c r="E91" s="473" t="s">
        <v>163</v>
      </c>
      <c r="F91" s="473" t="s">
        <v>164</v>
      </c>
      <c r="G91" s="474" t="s">
        <v>165</v>
      </c>
      <c r="H91" s="475">
        <v>0.99970000000000003</v>
      </c>
      <c r="I91" s="355"/>
      <c r="J91" s="368">
        <v>5.6872047394210741E-8</v>
      </c>
      <c r="K91" s="356"/>
      <c r="L91" s="362">
        <v>9.1542750929368033E-2</v>
      </c>
      <c r="M91" s="362">
        <v>0.1449814126394052</v>
      </c>
      <c r="N91" s="356"/>
      <c r="O91" s="476">
        <v>9.1542750929368033</v>
      </c>
      <c r="P91" s="477">
        <v>14.49814126394052</v>
      </c>
      <c r="Q91" s="380"/>
      <c r="R91" s="544">
        <v>21.618959107806692</v>
      </c>
      <c r="S91" s="545">
        <v>0.64126394052044589</v>
      </c>
      <c r="T91" s="546">
        <v>1.7397769516728623</v>
      </c>
      <c r="U91" s="441">
        <v>24</v>
      </c>
      <c r="V91" s="438" t="s">
        <v>144</v>
      </c>
    </row>
    <row r="92" spans="1:22" ht="5" customHeight="1" x14ac:dyDescent="0.3">
      <c r="A92" s="380"/>
      <c r="B92" s="365"/>
      <c r="C92" s="361"/>
      <c r="D92" s="361"/>
      <c r="E92" s="361"/>
      <c r="F92" s="361"/>
      <c r="G92" s="419"/>
      <c r="H92" s="411"/>
      <c r="I92" s="422"/>
      <c r="J92" s="412"/>
      <c r="K92" s="356"/>
      <c r="L92" s="362"/>
      <c r="M92" s="362"/>
      <c r="N92" s="356"/>
      <c r="O92" s="413"/>
      <c r="P92" s="414"/>
      <c r="Q92" s="380"/>
      <c r="R92" s="426"/>
      <c r="S92" s="427"/>
      <c r="T92" s="428"/>
      <c r="U92" s="429"/>
      <c r="V92" s="356"/>
    </row>
    <row r="93" spans="1:22" ht="46.5" customHeight="1" x14ac:dyDescent="0.3">
      <c r="A93" s="380"/>
      <c r="B93" s="550" t="s">
        <v>329</v>
      </c>
      <c r="C93" s="551"/>
      <c r="D93" s="551"/>
      <c r="E93" s="551"/>
      <c r="F93" s="551"/>
      <c r="G93" s="551"/>
      <c r="H93" s="552"/>
      <c r="I93" s="422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</row>
    <row r="94" spans="1:22" ht="12" customHeight="1" x14ac:dyDescent="0.3">
      <c r="A94" s="380"/>
      <c r="B94" s="365"/>
      <c r="C94" s="361"/>
      <c r="D94" s="361"/>
      <c r="E94" s="361"/>
      <c r="F94" s="361"/>
      <c r="G94" s="419"/>
      <c r="H94" s="411"/>
      <c r="I94" s="422"/>
      <c r="J94" s="412"/>
      <c r="K94" s="356"/>
      <c r="L94" s="362"/>
      <c r="M94" s="362"/>
      <c r="N94" s="356"/>
      <c r="O94" s="413"/>
      <c r="P94" s="414"/>
      <c r="Q94" s="380"/>
      <c r="R94" s="380"/>
      <c r="S94" s="380"/>
      <c r="T94" s="380"/>
      <c r="U94" s="380"/>
      <c r="V94" s="356"/>
    </row>
    <row r="95" spans="1:22" ht="12" customHeight="1" thickBot="1" x14ac:dyDescent="0.35">
      <c r="A95" s="380"/>
      <c r="B95" s="365"/>
      <c r="C95" s="361"/>
      <c r="D95" s="361"/>
      <c r="E95" s="361"/>
      <c r="F95" s="361"/>
      <c r="G95" s="419"/>
      <c r="H95" s="411"/>
      <c r="I95" s="355"/>
      <c r="J95" s="412"/>
      <c r="K95" s="356"/>
      <c r="L95" s="362"/>
      <c r="M95" s="362"/>
      <c r="N95" s="356"/>
      <c r="O95" s="413"/>
      <c r="P95" s="414"/>
      <c r="U95" s="1"/>
      <c r="V95" s="319"/>
    </row>
    <row r="96" spans="1:22" ht="39.75" customHeight="1" thickBot="1" x14ac:dyDescent="0.35">
      <c r="A96" s="380"/>
      <c r="B96" s="480" t="s">
        <v>204</v>
      </c>
      <c r="C96" s="481"/>
      <c r="D96" s="481"/>
      <c r="E96" s="481"/>
      <c r="F96" s="481"/>
      <c r="G96" s="481"/>
      <c r="H96" s="482"/>
      <c r="I96" s="380"/>
      <c r="J96" s="380"/>
      <c r="K96" s="380"/>
      <c r="L96" s="380"/>
      <c r="M96" s="380"/>
      <c r="N96" s="380"/>
      <c r="O96" s="565" t="s">
        <v>141</v>
      </c>
      <c r="P96" s="566"/>
      <c r="U96" s="1"/>
    </row>
    <row r="97" spans="1:22" ht="38.25" customHeight="1" thickBot="1" x14ac:dyDescent="0.35">
      <c r="A97" s="380"/>
      <c r="B97" s="560" t="s">
        <v>157</v>
      </c>
      <c r="C97" s="399" t="s">
        <v>332</v>
      </c>
      <c r="D97" s="381" t="s">
        <v>203</v>
      </c>
      <c r="E97" s="562" t="s">
        <v>148</v>
      </c>
      <c r="F97" s="563"/>
      <c r="G97" s="563"/>
      <c r="H97" s="564"/>
      <c r="I97" s="380"/>
      <c r="J97" s="380"/>
      <c r="K97" s="380"/>
      <c r="L97" s="380"/>
      <c r="M97" s="380"/>
      <c r="N97" s="380"/>
      <c r="O97" s="548" t="s">
        <v>202</v>
      </c>
      <c r="P97" s="549"/>
      <c r="R97" s="415"/>
      <c r="S97" s="416"/>
      <c r="T97" s="417"/>
      <c r="U97" s="418"/>
    </row>
    <row r="98" spans="1:22" ht="27.75" customHeight="1" thickBot="1" x14ac:dyDescent="0.35">
      <c r="A98" s="380"/>
      <c r="B98" s="561"/>
      <c r="C98" s="382" t="s">
        <v>142</v>
      </c>
      <c r="D98" s="383" t="s">
        <v>142</v>
      </c>
      <c r="E98" s="384" t="s">
        <v>133</v>
      </c>
      <c r="F98" s="385" t="s">
        <v>153</v>
      </c>
      <c r="G98" s="385" t="s">
        <v>160</v>
      </c>
      <c r="H98" s="386" t="s">
        <v>118</v>
      </c>
      <c r="I98" s="380"/>
      <c r="J98" s="387" t="s">
        <v>143</v>
      </c>
      <c r="L98" s="102" t="s">
        <v>119</v>
      </c>
      <c r="M98" s="102" t="s">
        <v>120</v>
      </c>
      <c r="N98" s="380"/>
      <c r="O98" s="388" t="s">
        <v>330</v>
      </c>
      <c r="P98" s="389" t="s">
        <v>14</v>
      </c>
      <c r="R98" s="415"/>
      <c r="S98" s="416"/>
      <c r="T98" s="417"/>
      <c r="U98" s="418"/>
    </row>
    <row r="99" spans="1:22" ht="24.75" customHeight="1" x14ac:dyDescent="0.3">
      <c r="A99" s="380"/>
      <c r="B99" s="479" t="s">
        <v>301</v>
      </c>
      <c r="C99" s="361"/>
      <c r="D99" s="361"/>
      <c r="E99" s="361"/>
      <c r="F99" s="361"/>
      <c r="G99" s="419"/>
      <c r="H99" s="411"/>
      <c r="I99" s="355"/>
      <c r="J99" s="412"/>
      <c r="K99" s="356"/>
      <c r="L99" s="362"/>
      <c r="M99" s="362"/>
      <c r="N99" s="356"/>
      <c r="O99" s="413"/>
      <c r="P99" s="414"/>
      <c r="R99" s="415"/>
      <c r="S99" s="416"/>
      <c r="T99" s="417"/>
      <c r="U99" s="418"/>
      <c r="V99" s="319"/>
    </row>
    <row r="100" spans="1:22" ht="26" x14ac:dyDescent="0.3">
      <c r="A100" s="380"/>
      <c r="B100" s="410" t="s">
        <v>146</v>
      </c>
      <c r="C100" s="363" t="s">
        <v>210</v>
      </c>
      <c r="D100" s="363" t="s">
        <v>211</v>
      </c>
      <c r="E100" s="363" t="s">
        <v>212</v>
      </c>
      <c r="F100" s="363" t="s">
        <v>213</v>
      </c>
      <c r="G100" s="433" t="s">
        <v>214</v>
      </c>
      <c r="H100" s="409">
        <v>0.88249999999999995</v>
      </c>
      <c r="I100" s="355"/>
      <c r="J100" s="368">
        <v>1.6478694914420142E-3</v>
      </c>
      <c r="K100" s="356"/>
      <c r="L100" s="362">
        <v>0.29455560725919033</v>
      </c>
      <c r="M100" s="362">
        <v>0.33922754769660307</v>
      </c>
      <c r="N100" s="356"/>
      <c r="O100" s="467">
        <v>29.455560725919032</v>
      </c>
      <c r="P100" s="468">
        <v>33.922754769660308</v>
      </c>
      <c r="U100" s="1"/>
      <c r="V100" s="1"/>
    </row>
    <row r="101" spans="1:22" ht="26" customHeight="1" x14ac:dyDescent="0.3">
      <c r="A101" s="380"/>
      <c r="B101" s="410" t="s">
        <v>151</v>
      </c>
      <c r="C101" s="363" t="s">
        <v>205</v>
      </c>
      <c r="D101" s="363" t="s">
        <v>206</v>
      </c>
      <c r="E101" s="363" t="s">
        <v>207</v>
      </c>
      <c r="F101" s="363" t="s">
        <v>208</v>
      </c>
      <c r="G101" s="364" t="s">
        <v>209</v>
      </c>
      <c r="H101" s="409">
        <v>5.1700000000000003E-2</v>
      </c>
      <c r="I101" s="355"/>
      <c r="J101" s="368">
        <v>0.74026185330541616</v>
      </c>
      <c r="K101" s="356"/>
      <c r="L101" s="362">
        <v>5.6072591903210796E-2</v>
      </c>
      <c r="M101" s="362">
        <v>5.6072591903210796E-2</v>
      </c>
      <c r="N101" s="356"/>
      <c r="O101" s="469">
        <v>5.6072591903210798</v>
      </c>
      <c r="P101" s="469">
        <v>5.6072591903210798</v>
      </c>
      <c r="U101" s="1"/>
      <c r="V101" s="1"/>
    </row>
    <row r="102" spans="1:22" ht="26" customHeight="1" x14ac:dyDescent="0.3">
      <c r="A102" s="380"/>
      <c r="B102" s="410" t="s">
        <v>227</v>
      </c>
      <c r="C102" s="363" t="s">
        <v>221</v>
      </c>
      <c r="D102" s="363" t="s">
        <v>222</v>
      </c>
      <c r="E102" s="363" t="s">
        <v>223</v>
      </c>
      <c r="F102" s="363" t="s">
        <v>224</v>
      </c>
      <c r="G102" s="433" t="s">
        <v>225</v>
      </c>
      <c r="H102" s="409" t="s">
        <v>226</v>
      </c>
      <c r="I102" s="355"/>
      <c r="J102" s="368">
        <v>2.9940256310654691E-2</v>
      </c>
      <c r="K102" s="356"/>
      <c r="L102" s="362">
        <v>6.5146579804560263E-3</v>
      </c>
      <c r="M102" s="362">
        <v>1.3029315960912053E-2</v>
      </c>
      <c r="N102" s="356"/>
      <c r="O102" s="470">
        <v>0.65146579804560267</v>
      </c>
      <c r="P102" s="471">
        <v>1.3029315960912053</v>
      </c>
    </row>
    <row r="103" spans="1:22" ht="26" customHeight="1" x14ac:dyDescent="0.3">
      <c r="A103" s="380"/>
      <c r="B103" s="410" t="s">
        <v>152</v>
      </c>
      <c r="C103" s="363" t="s">
        <v>239</v>
      </c>
      <c r="D103" s="363" t="s">
        <v>240</v>
      </c>
      <c r="E103" s="421" t="s">
        <v>244</v>
      </c>
      <c r="F103" s="363" t="s">
        <v>241</v>
      </c>
      <c r="G103" s="364" t="s">
        <v>242</v>
      </c>
      <c r="H103" s="409" t="s">
        <v>243</v>
      </c>
      <c r="I103" s="355"/>
      <c r="J103" s="368">
        <v>0.1572026142665616</v>
      </c>
      <c r="K103" s="356"/>
      <c r="L103" s="362">
        <v>4.6533271288971617E-4</v>
      </c>
      <c r="M103" s="362">
        <v>4.6533271288971617E-4</v>
      </c>
      <c r="N103" s="356"/>
      <c r="O103" s="469">
        <v>4.6533271288971619E-2</v>
      </c>
      <c r="P103" s="472">
        <v>4.6533271288971619E-2</v>
      </c>
    </row>
    <row r="104" spans="1:22" ht="26" customHeight="1" x14ac:dyDescent="0.3">
      <c r="A104" s="380"/>
      <c r="B104" s="410" t="s">
        <v>149</v>
      </c>
      <c r="C104" s="363" t="s">
        <v>228</v>
      </c>
      <c r="D104" s="363" t="s">
        <v>229</v>
      </c>
      <c r="E104" s="363" t="s">
        <v>230</v>
      </c>
      <c r="F104" s="363" t="s">
        <v>231</v>
      </c>
      <c r="G104" s="453" t="s">
        <v>232</v>
      </c>
      <c r="H104" s="409">
        <v>0.73160000000000003</v>
      </c>
      <c r="I104" s="355"/>
      <c r="J104" s="368">
        <v>9.9478424885550646E-3</v>
      </c>
      <c r="K104" s="356"/>
      <c r="L104" s="362">
        <v>5.9097254536993951E-2</v>
      </c>
      <c r="M104" s="362">
        <v>4.1879944160074456E-2</v>
      </c>
      <c r="N104" s="356"/>
      <c r="O104" s="468">
        <v>5.9097254536993953</v>
      </c>
      <c r="P104" s="467">
        <v>4.1879944160074452</v>
      </c>
    </row>
    <row r="105" spans="1:22" ht="26" customHeight="1" x14ac:dyDescent="0.3">
      <c r="A105" s="380"/>
      <c r="B105" s="410" t="s">
        <v>147</v>
      </c>
      <c r="C105" s="363" t="s">
        <v>234</v>
      </c>
      <c r="D105" s="363" t="s">
        <v>235</v>
      </c>
      <c r="E105" s="363" t="s">
        <v>236</v>
      </c>
      <c r="F105" s="363" t="s">
        <v>237</v>
      </c>
      <c r="G105" s="364" t="s">
        <v>238</v>
      </c>
      <c r="H105" s="409">
        <v>0.25879999999999997</v>
      </c>
      <c r="I105" s="355"/>
      <c r="J105" s="368">
        <v>0.18916437841296757</v>
      </c>
      <c r="K105" s="356"/>
      <c r="L105" s="362">
        <v>3.5830618892508145E-2</v>
      </c>
      <c r="M105" s="362">
        <v>3.5830618892508145E-2</v>
      </c>
      <c r="N105" s="356"/>
      <c r="O105" s="469">
        <v>3.5830618892508146</v>
      </c>
      <c r="P105" s="469">
        <v>3.5830618892508146</v>
      </c>
    </row>
    <row r="106" spans="1:22" ht="26" customHeight="1" x14ac:dyDescent="0.3">
      <c r="A106" s="380"/>
      <c r="B106" s="410" t="s">
        <v>215</v>
      </c>
      <c r="C106" s="363" t="s">
        <v>216</v>
      </c>
      <c r="D106" s="363" t="s">
        <v>217</v>
      </c>
      <c r="E106" s="363" t="s">
        <v>218</v>
      </c>
      <c r="F106" s="363" t="s">
        <v>219</v>
      </c>
      <c r="G106" s="364" t="s">
        <v>220</v>
      </c>
      <c r="H106" s="409">
        <v>6.8000000000000005E-2</v>
      </c>
      <c r="I106" s="355"/>
      <c r="J106" s="368">
        <v>0.63903679820183124</v>
      </c>
      <c r="K106" s="356"/>
      <c r="L106" s="362">
        <v>1.7217310376919499E-2</v>
      </c>
      <c r="M106" s="362">
        <v>1.7217310376919499E-2</v>
      </c>
      <c r="N106" s="356"/>
      <c r="O106" s="469">
        <v>1.7217310376919499</v>
      </c>
      <c r="P106" s="469">
        <v>1.7217310376919499</v>
      </c>
    </row>
    <row r="107" spans="1:22" ht="26" customHeight="1" x14ac:dyDescent="0.3">
      <c r="A107" s="380"/>
      <c r="B107" s="457" t="s">
        <v>257</v>
      </c>
      <c r="C107" s="363" t="s">
        <v>251</v>
      </c>
      <c r="D107" s="363" t="s">
        <v>252</v>
      </c>
      <c r="E107" s="363" t="s">
        <v>253</v>
      </c>
      <c r="F107" s="363" t="s">
        <v>254</v>
      </c>
      <c r="G107" s="364" t="s">
        <v>255</v>
      </c>
      <c r="H107" s="409" t="s">
        <v>256</v>
      </c>
      <c r="I107" s="355"/>
      <c r="J107" s="368">
        <v>6.3241255474874192E-2</v>
      </c>
      <c r="K107" s="356"/>
      <c r="L107" s="362">
        <v>7.9804560260586313E-2</v>
      </c>
      <c r="M107" s="362">
        <v>7.9804560260586313E-2</v>
      </c>
      <c r="N107" s="356"/>
      <c r="O107" s="469">
        <v>7.980456026058631</v>
      </c>
      <c r="P107" s="469">
        <v>7.980456026058631</v>
      </c>
    </row>
    <row r="108" spans="1:22" ht="6.75" customHeight="1" x14ac:dyDescent="0.3">
      <c r="A108" s="380"/>
      <c r="B108" s="380"/>
      <c r="C108" s="380"/>
      <c r="D108" s="380"/>
      <c r="E108" s="380"/>
      <c r="F108" s="380"/>
      <c r="G108" s="380"/>
      <c r="H108" s="380"/>
      <c r="I108" s="380"/>
      <c r="J108" s="380"/>
      <c r="K108" s="380"/>
      <c r="L108" s="380"/>
      <c r="M108" s="380"/>
      <c r="N108" s="380"/>
      <c r="O108" s="380"/>
      <c r="P108" s="380"/>
    </row>
    <row r="109" spans="1:22" ht="44.25" customHeight="1" x14ac:dyDescent="0.3">
      <c r="A109" s="380"/>
      <c r="B109" s="554" t="s">
        <v>302</v>
      </c>
      <c r="C109" s="555"/>
      <c r="D109" s="555"/>
      <c r="E109" s="555"/>
      <c r="F109" s="555"/>
      <c r="G109" s="555"/>
      <c r="H109" s="556"/>
      <c r="I109" s="380"/>
      <c r="J109" s="380"/>
      <c r="K109" s="380"/>
      <c r="L109" s="380"/>
      <c r="M109" s="380"/>
      <c r="N109" s="380"/>
      <c r="O109" s="380"/>
      <c r="P109" s="380"/>
    </row>
    <row r="110" spans="1:22" ht="33" customHeight="1" x14ac:dyDescent="0.3">
      <c r="A110" s="380"/>
      <c r="B110" s="553" t="s">
        <v>303</v>
      </c>
      <c r="C110" s="553"/>
      <c r="D110" s="553"/>
      <c r="E110" s="553"/>
      <c r="F110" s="553"/>
      <c r="G110" s="553"/>
      <c r="H110" s="553"/>
      <c r="I110" s="380"/>
      <c r="J110" s="380"/>
      <c r="K110" s="380"/>
      <c r="L110" s="380"/>
      <c r="M110" s="380"/>
      <c r="N110" s="380"/>
      <c r="O110" s="380"/>
      <c r="P110" s="380"/>
    </row>
    <row r="111" spans="1:22" x14ac:dyDescent="0.3">
      <c r="A111" s="380"/>
    </row>
  </sheetData>
  <mergeCells count="21">
    <mergeCell ref="U66:U68"/>
    <mergeCell ref="B3:F3"/>
    <mergeCell ref="C44:D44"/>
    <mergeCell ref="R66:R68"/>
    <mergeCell ref="S66:S68"/>
    <mergeCell ref="O66:P66"/>
    <mergeCell ref="E67:H67"/>
    <mergeCell ref="O67:P67"/>
    <mergeCell ref="B67:B68"/>
    <mergeCell ref="B66:H66"/>
    <mergeCell ref="O97:P97"/>
    <mergeCell ref="B93:H93"/>
    <mergeCell ref="B110:H110"/>
    <mergeCell ref="B109:H109"/>
    <mergeCell ref="T66:T68"/>
    <mergeCell ref="B97:B98"/>
    <mergeCell ref="E97:H97"/>
    <mergeCell ref="O96:P96"/>
    <mergeCell ref="I72:I73"/>
    <mergeCell ref="I75:I76"/>
    <mergeCell ref="I78:I79"/>
  </mergeCells>
  <phoneticPr fontId="29" type="noConversion"/>
  <pageMargins left="0.7" right="0.7" top="0.75" bottom="0.75" header="0.3" footer="0.3"/>
  <pageSetup paperSize="9" orientation="portrait" horizontalDpi="300" verticalDpi="300" r:id="rId1"/>
  <ignoredErrors>
    <ignoredError sqref="H82 H102:H103 H107 H78:H79 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69"/>
  <sheetViews>
    <sheetView topLeftCell="A3" zoomScale="70" zoomScaleNormal="70" workbookViewId="0">
      <selection activeCell="A4" sqref="A4:BF4"/>
    </sheetView>
  </sheetViews>
  <sheetFormatPr baseColWidth="10" defaultRowHeight="14.5" x14ac:dyDescent="0.35"/>
  <cols>
    <col min="1" max="1" width="16.54296875" customWidth="1"/>
    <col min="3" max="4" width="10.54296875" customWidth="1"/>
    <col min="5" max="5" width="5.81640625" customWidth="1"/>
    <col min="6" max="6" width="5.1796875" customWidth="1"/>
    <col min="7" max="30" width="2.6328125" customWidth="1"/>
    <col min="31" max="31" width="3.26953125" customWidth="1"/>
    <col min="32" max="32" width="4.453125" customWidth="1"/>
    <col min="33" max="33" width="3.26953125" customWidth="1"/>
    <col min="34" max="57" width="2.6328125" customWidth="1"/>
    <col min="58" max="58" width="5.453125" style="24" customWidth="1"/>
    <col min="59" max="66" width="3.7265625" style="24" customWidth="1"/>
    <col min="74" max="74" width="2.54296875" customWidth="1"/>
  </cols>
  <sheetData>
    <row r="1" spans="1:65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BF1"/>
      <c r="BG1"/>
      <c r="BH1"/>
      <c r="BI1"/>
      <c r="BJ1"/>
    </row>
    <row r="2" spans="1:65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48 pacientes, a los 24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BF2"/>
      <c r="BG2"/>
      <c r="BH2"/>
      <c r="BI2"/>
      <c r="BJ2"/>
    </row>
    <row r="3" spans="1:65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  <c r="AF3" s="27"/>
      <c r="AG3" s="27"/>
      <c r="BF3"/>
      <c r="BG3"/>
      <c r="BH3"/>
      <c r="BI3"/>
      <c r="BJ3"/>
    </row>
    <row r="4" spans="1:65" ht="54.5" customHeight="1" thickBot="1" x14ac:dyDescent="0.4">
      <c r="A4" s="591" t="s">
        <v>305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2"/>
      <c r="AM4" s="592"/>
      <c r="AN4" s="592"/>
      <c r="AO4" s="592"/>
      <c r="AP4" s="592"/>
      <c r="AQ4" s="592"/>
      <c r="AR4" s="592"/>
      <c r="AS4" s="592"/>
      <c r="AT4" s="592"/>
      <c r="AU4" s="592"/>
      <c r="AV4" s="592"/>
      <c r="AW4" s="592"/>
      <c r="AX4" s="592"/>
      <c r="AY4" s="592"/>
      <c r="AZ4" s="592"/>
      <c r="BA4" s="592"/>
      <c r="BB4" s="592"/>
      <c r="BC4" s="592"/>
      <c r="BD4" s="592"/>
      <c r="BE4" s="592"/>
      <c r="BF4" s="593"/>
      <c r="BG4"/>
      <c r="BH4"/>
      <c r="BI4"/>
      <c r="BJ4"/>
    </row>
    <row r="5" spans="1:65" ht="26" x14ac:dyDescent="0.35">
      <c r="A5" s="397" t="s">
        <v>246</v>
      </c>
      <c r="B5" s="28">
        <f>C5+D5+E5</f>
        <v>48</v>
      </c>
      <c r="C5" s="454">
        <v>2</v>
      </c>
      <c r="D5" s="455">
        <v>1</v>
      </c>
      <c r="E5" s="456">
        <v>45</v>
      </c>
      <c r="G5" s="26"/>
      <c r="H5" s="445" t="s">
        <v>248</v>
      </c>
      <c r="I5" s="26"/>
      <c r="J5" s="391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"/>
      <c r="BF5"/>
      <c r="BG5"/>
      <c r="BH5"/>
      <c r="BI5"/>
      <c r="BJ5"/>
    </row>
    <row r="6" spans="1:65" ht="15.75" customHeight="1" x14ac:dyDescent="0.35">
      <c r="A6" s="26"/>
      <c r="C6" s="29"/>
      <c r="D6" s="30"/>
      <c r="E6" s="31"/>
      <c r="F6" s="26"/>
      <c r="G6" s="26"/>
      <c r="H6" s="446" t="s">
        <v>247</v>
      </c>
      <c r="I6" s="26"/>
      <c r="J6" s="39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BF6"/>
      <c r="BG6"/>
      <c r="BH6"/>
      <c r="BI6"/>
      <c r="BJ6"/>
    </row>
    <row r="7" spans="1:65" ht="39.75" customHeight="1" x14ac:dyDescent="0.35">
      <c r="A7" s="398" t="s">
        <v>245</v>
      </c>
      <c r="B7" s="32" t="s">
        <v>144</v>
      </c>
      <c r="C7" s="33" t="str">
        <f>CONCATENATE(A1," ",B1," ",B5," ",C1)</f>
        <v>meses de los 48 del grupo Interv</v>
      </c>
      <c r="D7" s="33" t="str">
        <f>CONCATENATE(A1," ",B1," ",B5," ",D1)</f>
        <v>meses de los 48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BF7"/>
      <c r="BG7"/>
      <c r="BH7"/>
      <c r="BI7"/>
      <c r="BJ7"/>
    </row>
    <row r="8" spans="1:65" x14ac:dyDescent="0.35">
      <c r="A8" s="34" t="s">
        <v>1</v>
      </c>
      <c r="B8" s="35">
        <v>0.81412639405204457</v>
      </c>
      <c r="C8" s="439">
        <f>B8*B5</f>
        <v>39.078066914498137</v>
      </c>
      <c r="D8" s="597">
        <f>(B8+B9)*B5</f>
        <v>51.122676579925653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6"/>
      <c r="AE8" s="26"/>
      <c r="AF8" s="26"/>
      <c r="AG8" s="26"/>
      <c r="BF8"/>
      <c r="BG8"/>
      <c r="BH8"/>
      <c r="BI8"/>
      <c r="BJ8"/>
    </row>
    <row r="9" spans="1:65" ht="26.5" x14ac:dyDescent="0.35">
      <c r="A9" s="38" t="s">
        <v>3</v>
      </c>
      <c r="B9" s="39">
        <v>0.25092936802973975</v>
      </c>
      <c r="C9" s="598">
        <f>(B10+B9)*B5</f>
        <v>1112.9219330855017</v>
      </c>
      <c r="D9" s="597"/>
      <c r="E9" s="3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6"/>
      <c r="AE9" s="26"/>
      <c r="AF9" s="26"/>
      <c r="AG9" s="26"/>
      <c r="BF9"/>
      <c r="BG9"/>
      <c r="BH9"/>
      <c r="BI9"/>
      <c r="BJ9"/>
    </row>
    <row r="10" spans="1:65" ht="26.5" x14ac:dyDescent="0.35">
      <c r="A10" s="41" t="s">
        <v>2</v>
      </c>
      <c r="B10" s="42">
        <v>22.934944237918213</v>
      </c>
      <c r="C10" s="598"/>
      <c r="D10" s="43">
        <f>B10*B5</f>
        <v>1100.8773234200742</v>
      </c>
      <c r="E10" s="29"/>
      <c r="F10" s="40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26"/>
      <c r="AE10" s="26"/>
      <c r="AF10" s="26"/>
      <c r="AG10" s="26"/>
      <c r="BF10"/>
      <c r="BG10"/>
      <c r="BH10"/>
      <c r="BI10"/>
      <c r="BJ10"/>
    </row>
    <row r="11" spans="1:65" x14ac:dyDescent="0.35">
      <c r="A11" s="3"/>
      <c r="B11" s="45">
        <v>23.999999999999996</v>
      </c>
      <c r="C11" s="46">
        <f>C8+C9</f>
        <v>1151.9999999999998</v>
      </c>
      <c r="D11" s="46">
        <f>D8+D10</f>
        <v>1151.9999999999998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5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5" x14ac:dyDescent="0.35">
      <c r="A13" s="26"/>
      <c r="B13" s="26"/>
      <c r="C13" s="22">
        <f>(E5+D5)*B11</f>
        <v>1103.9999999999998</v>
      </c>
      <c r="D13" s="22">
        <f>E5*B11</f>
        <v>1079.9999999999998</v>
      </c>
      <c r="E13" s="26"/>
      <c r="F13" s="48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5" ht="36" customHeight="1" x14ac:dyDescent="0.35">
      <c r="A14" s="599" t="s">
        <v>13</v>
      </c>
      <c r="B14" s="599"/>
      <c r="C14" s="49">
        <f>C9-C13</f>
        <v>8.9219330855019052</v>
      </c>
      <c r="D14" s="49">
        <f>D10-D13</f>
        <v>20.87732342007439</v>
      </c>
      <c r="F14" s="600" t="str">
        <f>IF((AND(((B9+B10)/B11)&gt;((D5+E5)/B5),(B10/B11)&gt;(E5/B5))),E2,#REF!)</f>
        <v>puede representarse llegando los 48 pacientes, a los 24 meses</v>
      </c>
      <c r="G14" s="600"/>
      <c r="H14" s="600"/>
      <c r="I14" s="600"/>
      <c r="J14" s="600"/>
      <c r="K14" s="600"/>
      <c r="L14" s="600"/>
      <c r="M14" s="600"/>
      <c r="N14" s="600"/>
      <c r="O14" s="600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5" ht="18.75" customHeight="1" thickBot="1" x14ac:dyDescent="0.4">
      <c r="A15" s="50"/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</row>
    <row r="16" spans="1:65" ht="17.25" customHeight="1" thickBot="1" x14ac:dyDescent="0.4">
      <c r="A16" s="594" t="s">
        <v>150</v>
      </c>
      <c r="B16" s="595"/>
      <c r="C16" s="596"/>
      <c r="D16" s="50"/>
      <c r="G16" s="52" t="s">
        <v>330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1"/>
      <c r="AE16" s="51"/>
      <c r="AF16" s="51"/>
      <c r="AG16" s="51"/>
      <c r="AH16" s="52" t="s">
        <v>14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1"/>
      <c r="BF16" s="51"/>
      <c r="BG16" s="51"/>
      <c r="BH16" s="51"/>
      <c r="BI16" s="51"/>
      <c r="BJ16" s="51"/>
    </row>
    <row r="17" spans="1:66" x14ac:dyDescent="0.35">
      <c r="A17" s="365" t="s">
        <v>331</v>
      </c>
      <c r="C17" s="50"/>
      <c r="D17" s="50"/>
      <c r="G17" s="52" t="s">
        <v>145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H17" s="52" t="s">
        <v>145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1:66" x14ac:dyDescent="0.35">
      <c r="A18" s="365" t="s">
        <v>159</v>
      </c>
      <c r="B18" s="50"/>
      <c r="C18" s="50"/>
      <c r="D18" s="50"/>
      <c r="F18" s="24"/>
      <c r="G18" s="404">
        <v>1</v>
      </c>
      <c r="H18" s="404">
        <v>2</v>
      </c>
      <c r="I18" s="404">
        <v>3</v>
      </c>
      <c r="J18" s="404">
        <v>4</v>
      </c>
      <c r="K18" s="404">
        <v>5</v>
      </c>
      <c r="L18" s="404">
        <v>6</v>
      </c>
      <c r="M18" s="404">
        <v>7</v>
      </c>
      <c r="N18" s="404">
        <v>8</v>
      </c>
      <c r="O18" s="404">
        <v>9</v>
      </c>
      <c r="P18" s="404">
        <v>10</v>
      </c>
      <c r="Q18" s="404">
        <v>11</v>
      </c>
      <c r="R18" s="404">
        <v>12</v>
      </c>
      <c r="S18" s="404">
        <v>13</v>
      </c>
      <c r="T18" s="404">
        <v>14</v>
      </c>
      <c r="U18" s="404">
        <v>15</v>
      </c>
      <c r="V18" s="404">
        <v>16</v>
      </c>
      <c r="W18" s="404">
        <v>17</v>
      </c>
      <c r="X18" s="404">
        <v>18</v>
      </c>
      <c r="Y18" s="404">
        <v>19</v>
      </c>
      <c r="Z18" s="404">
        <v>20</v>
      </c>
      <c r="AA18" s="404">
        <v>21</v>
      </c>
      <c r="AB18" s="404">
        <v>22</v>
      </c>
      <c r="AC18" s="404">
        <v>23</v>
      </c>
      <c r="AD18" s="404">
        <v>24</v>
      </c>
      <c r="AE18" s="403"/>
      <c r="AF18" s="403"/>
      <c r="AG18" s="403"/>
      <c r="AH18" s="404">
        <v>1</v>
      </c>
      <c r="AI18" s="404">
        <v>2</v>
      </c>
      <c r="AJ18" s="404">
        <v>3</v>
      </c>
      <c r="AK18" s="404">
        <v>4</v>
      </c>
      <c r="AL18" s="404">
        <v>5</v>
      </c>
      <c r="AM18" s="404">
        <v>6</v>
      </c>
      <c r="AN18" s="404">
        <v>7</v>
      </c>
      <c r="AO18" s="404">
        <v>8</v>
      </c>
      <c r="AP18" s="404">
        <v>9</v>
      </c>
      <c r="AQ18" s="404">
        <v>10</v>
      </c>
      <c r="AR18" s="404">
        <v>11</v>
      </c>
      <c r="AS18" s="404">
        <v>12</v>
      </c>
      <c r="AT18" s="404">
        <v>13</v>
      </c>
      <c r="AU18" s="404">
        <v>14</v>
      </c>
      <c r="AV18" s="404">
        <v>15</v>
      </c>
      <c r="AW18" s="404">
        <v>16</v>
      </c>
      <c r="AX18" s="404">
        <v>17</v>
      </c>
      <c r="AY18" s="404">
        <v>18</v>
      </c>
      <c r="AZ18" s="404">
        <v>19</v>
      </c>
      <c r="BA18" s="404">
        <v>20</v>
      </c>
      <c r="BB18" s="404">
        <v>21</v>
      </c>
      <c r="BC18" s="404">
        <v>22</v>
      </c>
      <c r="BD18" s="404">
        <v>23</v>
      </c>
      <c r="BE18" s="404">
        <v>24</v>
      </c>
    </row>
    <row r="19" spans="1:66" x14ac:dyDescent="0.35">
      <c r="E19" s="590" t="s">
        <v>315</v>
      </c>
      <c r="F19" s="55">
        <v>48</v>
      </c>
      <c r="G19" s="54"/>
      <c r="H19" s="54"/>
      <c r="I19" s="54"/>
      <c r="J19" s="54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57">
        <v>48</v>
      </c>
      <c r="AF19" s="24"/>
      <c r="AG19" s="55">
        <v>48</v>
      </c>
      <c r="AH19" s="54"/>
      <c r="AI19" s="54"/>
      <c r="AJ19" s="54"/>
      <c r="AK19" s="54"/>
      <c r="AL19" s="377"/>
      <c r="AM19" s="377"/>
      <c r="AN19" s="377"/>
      <c r="AO19" s="377"/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57">
        <v>48</v>
      </c>
      <c r="BG19" s="590" t="s">
        <v>315</v>
      </c>
      <c r="BH19" s="53"/>
      <c r="BI19" s="53"/>
      <c r="BJ19" s="53"/>
      <c r="BK19" s="53"/>
      <c r="BL19" s="53"/>
      <c r="BM19" s="53"/>
      <c r="BN19" s="53"/>
    </row>
    <row r="20" spans="1:66" ht="15" thickBot="1" x14ac:dyDescent="0.4">
      <c r="E20" s="590"/>
      <c r="F20" s="55">
        <v>47</v>
      </c>
      <c r="G20" s="504"/>
      <c r="H20" s="504"/>
      <c r="I20" s="504"/>
      <c r="J20" s="504"/>
      <c r="K20" s="504"/>
      <c r="L20" s="505"/>
      <c r="M20" s="505"/>
      <c r="N20" s="505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7">
        <v>47</v>
      </c>
      <c r="AG20" s="55">
        <v>47</v>
      </c>
      <c r="AH20" s="504"/>
      <c r="AI20" s="504"/>
      <c r="AJ20" s="504"/>
      <c r="AK20" s="504"/>
      <c r="AL20" s="504"/>
      <c r="AM20" s="505"/>
      <c r="AN20" s="505"/>
      <c r="AO20" s="505"/>
      <c r="AP20" s="505"/>
      <c r="AQ20" s="505"/>
      <c r="AR20" s="505"/>
      <c r="AS20" s="50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7">
        <v>47</v>
      </c>
      <c r="BG20" s="590"/>
      <c r="BH20" s="53"/>
      <c r="BI20" s="53"/>
      <c r="BJ20" s="53"/>
      <c r="BK20" s="53"/>
      <c r="BL20" s="53"/>
      <c r="BM20" s="53"/>
      <c r="BN20" s="53"/>
    </row>
    <row r="21" spans="1:66" ht="16" thickBot="1" x14ac:dyDescent="0.4">
      <c r="E21" s="590"/>
      <c r="F21" s="507">
        <v>46</v>
      </c>
      <c r="G21" s="508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10"/>
      <c r="AE21" s="513">
        <v>46</v>
      </c>
      <c r="AF21" s="24"/>
      <c r="AG21" s="507">
        <v>46</v>
      </c>
      <c r="AH21" s="508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11"/>
      <c r="AU21" s="511"/>
      <c r="AV21" s="511"/>
      <c r="AW21" s="511"/>
      <c r="AX21" s="511"/>
      <c r="AY21" s="511"/>
      <c r="AZ21" s="511"/>
      <c r="BA21" s="511"/>
      <c r="BB21" s="511"/>
      <c r="BC21" s="511"/>
      <c r="BD21" s="511"/>
      <c r="BE21" s="511"/>
      <c r="BF21" s="512">
        <v>46</v>
      </c>
      <c r="BG21" s="590"/>
      <c r="BH21" s="53"/>
      <c r="BI21" s="53"/>
      <c r="BJ21" s="53"/>
      <c r="BK21" s="53"/>
      <c r="BL21" s="53"/>
      <c r="BM21" s="53"/>
      <c r="BN21" s="53"/>
    </row>
    <row r="22" spans="1:66" x14ac:dyDescent="0.35">
      <c r="A22" s="335" t="s">
        <v>129</v>
      </c>
      <c r="B22" s="336"/>
      <c r="C22" s="336"/>
      <c r="D22" s="337"/>
      <c r="E22" s="590"/>
      <c r="F22" s="55">
        <v>45</v>
      </c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5">
        <v>45</v>
      </c>
      <c r="AF22" s="24"/>
      <c r="AG22" s="55">
        <v>45</v>
      </c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5">
        <v>45</v>
      </c>
      <c r="BG22" s="590"/>
      <c r="BH22" s="53"/>
      <c r="BI22" s="53"/>
      <c r="BJ22" s="53"/>
      <c r="BK22" s="53"/>
      <c r="BL22" s="53"/>
      <c r="BM22" s="53"/>
      <c r="BN22" s="53"/>
    </row>
    <row r="23" spans="1:66" x14ac:dyDescent="0.35">
      <c r="A23" s="338" t="s">
        <v>125</v>
      </c>
      <c r="B23" s="339" t="s">
        <v>126</v>
      </c>
      <c r="C23" s="339" t="s">
        <v>114</v>
      </c>
      <c r="D23" s="340" t="s">
        <v>11</v>
      </c>
      <c r="E23" s="590"/>
      <c r="F23" s="55">
        <v>44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>
        <v>44</v>
      </c>
      <c r="AF23" s="24"/>
      <c r="AG23" s="55">
        <v>44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>
        <v>44</v>
      </c>
      <c r="BG23" s="590"/>
      <c r="BH23" s="53"/>
      <c r="BI23" s="53"/>
      <c r="BJ23" s="53"/>
      <c r="BK23" s="53"/>
      <c r="BL23" s="53"/>
      <c r="BM23" s="53"/>
      <c r="BN23" s="53"/>
    </row>
    <row r="24" spans="1:66" x14ac:dyDescent="0.35">
      <c r="A24" s="341">
        <v>4.6933085501858735E-2</v>
      </c>
      <c r="B24" s="342">
        <v>6.7843866171003714E-2</v>
      </c>
      <c r="C24" s="343">
        <f>B24-A24</f>
        <v>2.0910780669144979E-2</v>
      </c>
      <c r="D24" s="344">
        <f>1/C24</f>
        <v>47.82222222222223</v>
      </c>
      <c r="E24" s="590"/>
      <c r="F24" s="55">
        <v>43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>
        <v>43</v>
      </c>
      <c r="AF24" s="24"/>
      <c r="AG24" s="55">
        <v>43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>
        <v>43</v>
      </c>
      <c r="BG24" s="590"/>
      <c r="BH24" s="53"/>
      <c r="BI24" s="53"/>
      <c r="BJ24" s="53"/>
      <c r="BK24" s="53"/>
      <c r="BL24" s="53"/>
      <c r="BM24" s="53"/>
      <c r="BN24" s="53"/>
    </row>
    <row r="25" spans="1:66" ht="15" thickBot="1" x14ac:dyDescent="0.4">
      <c r="A25" s="483" t="s">
        <v>308</v>
      </c>
      <c r="B25" s="379">
        <f>A24*D24</f>
        <v>2.2444444444444449</v>
      </c>
      <c r="C25" s="345">
        <f>C24*D24</f>
        <v>1</v>
      </c>
      <c r="D25" s="378">
        <f>(1-B24)*D24</f>
        <v>44.57777777777779</v>
      </c>
      <c r="E25" s="590"/>
      <c r="F25" s="55">
        <v>42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>
        <v>42</v>
      </c>
      <c r="AF25" s="24"/>
      <c r="AG25" s="55">
        <v>42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5">
        <v>42</v>
      </c>
      <c r="BG25" s="590"/>
      <c r="BH25" s="53"/>
      <c r="BI25" s="53"/>
      <c r="BJ25" s="53"/>
      <c r="BK25" s="53"/>
      <c r="BL25" s="53"/>
      <c r="BM25" s="53"/>
      <c r="BN25" s="53"/>
    </row>
    <row r="26" spans="1:66" x14ac:dyDescent="0.35">
      <c r="F26" s="55">
        <v>41</v>
      </c>
      <c r="G26" s="40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>
        <v>41</v>
      </c>
      <c r="AF26" s="56"/>
      <c r="AG26" s="55">
        <v>41</v>
      </c>
      <c r="AH26" s="406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5">
        <v>41</v>
      </c>
      <c r="BG26" s="53"/>
      <c r="BH26" s="53"/>
      <c r="BI26" s="53"/>
      <c r="BJ26" s="53"/>
      <c r="BK26" s="53"/>
      <c r="BL26" s="53"/>
      <c r="BM26" s="53"/>
      <c r="BN26" s="53"/>
    </row>
    <row r="27" spans="1:66" x14ac:dyDescent="0.35">
      <c r="F27" s="55">
        <v>40</v>
      </c>
      <c r="G27" s="406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>
        <v>40</v>
      </c>
      <c r="AF27" s="56"/>
      <c r="AG27" s="55">
        <v>40</v>
      </c>
      <c r="AH27" s="406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>
        <v>40</v>
      </c>
      <c r="BG27" s="53"/>
      <c r="BH27" s="53"/>
      <c r="BI27" s="53"/>
      <c r="BJ27" s="53"/>
      <c r="BK27" s="53"/>
      <c r="BL27" s="53"/>
      <c r="BM27" s="53"/>
      <c r="BN27" s="53"/>
    </row>
    <row r="28" spans="1:66" x14ac:dyDescent="0.35">
      <c r="F28" s="55">
        <v>39</v>
      </c>
      <c r="G28" s="40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>
        <v>39</v>
      </c>
      <c r="AG28" s="55">
        <v>39</v>
      </c>
      <c r="AH28" s="406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5">
        <v>39</v>
      </c>
    </row>
    <row r="29" spans="1:66" x14ac:dyDescent="0.35">
      <c r="F29" s="55">
        <v>38</v>
      </c>
      <c r="G29" s="40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v>38</v>
      </c>
      <c r="AG29" s="55">
        <v>38</v>
      </c>
      <c r="AH29" s="406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5">
        <v>38</v>
      </c>
    </row>
    <row r="30" spans="1:66" x14ac:dyDescent="0.35">
      <c r="F30" s="55">
        <v>37</v>
      </c>
      <c r="G30" s="40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>
        <v>37</v>
      </c>
      <c r="AG30" s="55">
        <v>37</v>
      </c>
      <c r="AH30" s="406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5">
        <v>37</v>
      </c>
    </row>
    <row r="31" spans="1:66" x14ac:dyDescent="0.35">
      <c r="F31" s="55">
        <v>36</v>
      </c>
      <c r="G31" s="40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>
        <v>36</v>
      </c>
      <c r="AG31" s="55">
        <v>36</v>
      </c>
      <c r="AH31" s="406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>
        <v>36</v>
      </c>
    </row>
    <row r="32" spans="1:66" x14ac:dyDescent="0.35">
      <c r="F32" s="55">
        <v>35</v>
      </c>
      <c r="G32" s="40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>
        <v>35</v>
      </c>
      <c r="AG32" s="55">
        <v>35</v>
      </c>
      <c r="AH32" s="406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>
        <v>35</v>
      </c>
    </row>
    <row r="33" spans="6:58" x14ac:dyDescent="0.35">
      <c r="F33" s="55">
        <v>34</v>
      </c>
      <c r="G33" s="40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34</v>
      </c>
      <c r="AG33" s="55">
        <v>34</v>
      </c>
      <c r="AH33" s="406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5">
        <v>34</v>
      </c>
    </row>
    <row r="34" spans="6:58" x14ac:dyDescent="0.35">
      <c r="F34" s="55">
        <v>33</v>
      </c>
      <c r="G34" s="40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>
        <v>33</v>
      </c>
      <c r="AG34" s="55">
        <v>33</v>
      </c>
      <c r="AH34" s="406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5">
        <v>33</v>
      </c>
    </row>
    <row r="35" spans="6:58" x14ac:dyDescent="0.35">
      <c r="F35" s="55">
        <v>32</v>
      </c>
      <c r="G35" s="406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v>32</v>
      </c>
      <c r="AG35" s="55">
        <v>32</v>
      </c>
      <c r="AH35" s="406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5">
        <v>32</v>
      </c>
    </row>
    <row r="36" spans="6:58" x14ac:dyDescent="0.35">
      <c r="F36" s="55">
        <v>31</v>
      </c>
      <c r="G36" s="40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>
        <v>31</v>
      </c>
      <c r="AG36" s="55">
        <v>31</v>
      </c>
      <c r="AH36" s="406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5">
        <v>31</v>
      </c>
    </row>
    <row r="37" spans="6:58" x14ac:dyDescent="0.35">
      <c r="F37" s="55">
        <v>30</v>
      </c>
      <c r="G37" s="40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>
        <v>30</v>
      </c>
      <c r="AG37" s="55">
        <v>30</v>
      </c>
      <c r="AH37" s="406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5">
        <v>30</v>
      </c>
    </row>
    <row r="38" spans="6:58" x14ac:dyDescent="0.35">
      <c r="F38" s="55">
        <v>29</v>
      </c>
      <c r="G38" s="406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5">
        <v>29</v>
      </c>
      <c r="AG38" s="55">
        <v>29</v>
      </c>
      <c r="AH38" s="406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5">
        <v>29</v>
      </c>
    </row>
    <row r="39" spans="6:58" x14ac:dyDescent="0.35">
      <c r="F39" s="55">
        <v>28</v>
      </c>
      <c r="G39" s="406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5">
        <v>28</v>
      </c>
      <c r="AG39" s="55">
        <v>28</v>
      </c>
      <c r="AH39" s="406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5">
        <v>28</v>
      </c>
    </row>
    <row r="40" spans="6:58" x14ac:dyDescent="0.35">
      <c r="F40" s="55">
        <v>27</v>
      </c>
      <c r="G40" s="406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>
        <v>27</v>
      </c>
      <c r="AG40" s="55">
        <v>27</v>
      </c>
      <c r="AH40" s="406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5">
        <v>27</v>
      </c>
    </row>
    <row r="41" spans="6:58" x14ac:dyDescent="0.35">
      <c r="F41" s="55">
        <v>26</v>
      </c>
      <c r="G41" s="40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5">
        <v>26</v>
      </c>
      <c r="AG41" s="55">
        <v>26</v>
      </c>
      <c r="AH41" s="406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5">
        <v>26</v>
      </c>
    </row>
    <row r="42" spans="6:58" x14ac:dyDescent="0.35">
      <c r="F42" s="55">
        <v>25</v>
      </c>
      <c r="G42" s="40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>
        <v>25</v>
      </c>
      <c r="AG42" s="55">
        <v>25</v>
      </c>
      <c r="AH42" s="406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5">
        <v>25</v>
      </c>
    </row>
    <row r="43" spans="6:58" x14ac:dyDescent="0.35">
      <c r="F43" s="55">
        <v>24</v>
      </c>
      <c r="G43" s="406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5">
        <v>24</v>
      </c>
      <c r="AG43" s="55">
        <v>24</v>
      </c>
      <c r="AH43" s="406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5">
        <v>24</v>
      </c>
    </row>
    <row r="44" spans="6:58" x14ac:dyDescent="0.35">
      <c r="F44" s="55">
        <v>23</v>
      </c>
      <c r="G44" s="406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>
        <v>23</v>
      </c>
      <c r="AG44" s="55">
        <v>23</v>
      </c>
      <c r="AH44" s="406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5">
        <v>23</v>
      </c>
    </row>
    <row r="45" spans="6:58" x14ac:dyDescent="0.35">
      <c r="F45" s="55">
        <v>22</v>
      </c>
      <c r="G45" s="406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5">
        <v>22</v>
      </c>
      <c r="AG45" s="55">
        <v>22</v>
      </c>
      <c r="AH45" s="406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5">
        <v>22</v>
      </c>
    </row>
    <row r="46" spans="6:58" x14ac:dyDescent="0.35">
      <c r="F46" s="55">
        <v>21</v>
      </c>
      <c r="G46" s="406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>
        <v>21</v>
      </c>
      <c r="AG46" s="55">
        <v>21</v>
      </c>
      <c r="AH46" s="406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5">
        <v>21</v>
      </c>
    </row>
    <row r="47" spans="6:58" x14ac:dyDescent="0.35">
      <c r="F47" s="55">
        <v>20</v>
      </c>
      <c r="G47" s="406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5">
        <v>20</v>
      </c>
      <c r="AG47" s="55">
        <v>20</v>
      </c>
      <c r="AH47" s="406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5">
        <v>20</v>
      </c>
    </row>
    <row r="48" spans="6:58" x14ac:dyDescent="0.35">
      <c r="F48" s="55">
        <v>19</v>
      </c>
      <c r="G48" s="406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5">
        <v>19</v>
      </c>
      <c r="AG48" s="55">
        <v>19</v>
      </c>
      <c r="AH48" s="406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5">
        <v>19</v>
      </c>
    </row>
    <row r="49" spans="6:58" x14ac:dyDescent="0.35">
      <c r="F49" s="55">
        <v>18</v>
      </c>
      <c r="G49" s="406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5">
        <v>18</v>
      </c>
      <c r="AG49" s="55">
        <v>18</v>
      </c>
      <c r="AH49" s="406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5">
        <v>18</v>
      </c>
    </row>
    <row r="50" spans="6:58" x14ac:dyDescent="0.35">
      <c r="F50" s="55">
        <v>17</v>
      </c>
      <c r="G50" s="406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5">
        <v>17</v>
      </c>
      <c r="AG50" s="55">
        <v>17</v>
      </c>
      <c r="AH50" s="406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5">
        <v>17</v>
      </c>
    </row>
    <row r="51" spans="6:58" x14ac:dyDescent="0.35">
      <c r="F51" s="55">
        <v>16</v>
      </c>
      <c r="G51" s="406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5">
        <v>16</v>
      </c>
      <c r="AG51" s="55">
        <v>16</v>
      </c>
      <c r="AH51" s="406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5">
        <v>16</v>
      </c>
    </row>
    <row r="52" spans="6:58" x14ac:dyDescent="0.35">
      <c r="F52" s="55">
        <v>15</v>
      </c>
      <c r="G52" s="406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5">
        <v>15</v>
      </c>
      <c r="AG52" s="55">
        <v>15</v>
      </c>
      <c r="AH52" s="406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5">
        <v>15</v>
      </c>
    </row>
    <row r="53" spans="6:58" x14ac:dyDescent="0.35">
      <c r="F53" s="55">
        <v>14</v>
      </c>
      <c r="G53" s="406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5">
        <v>14</v>
      </c>
      <c r="AG53" s="55">
        <v>14</v>
      </c>
      <c r="AH53" s="406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5">
        <v>14</v>
      </c>
    </row>
    <row r="54" spans="6:58" x14ac:dyDescent="0.35">
      <c r="F54" s="55">
        <v>13</v>
      </c>
      <c r="G54" s="406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>
        <v>13</v>
      </c>
      <c r="AG54" s="55">
        <v>13</v>
      </c>
      <c r="AH54" s="406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5">
        <v>13</v>
      </c>
    </row>
    <row r="55" spans="6:58" x14ac:dyDescent="0.35">
      <c r="F55" s="55">
        <v>12</v>
      </c>
      <c r="G55" s="406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5">
        <v>12</v>
      </c>
      <c r="AG55" s="55">
        <v>12</v>
      </c>
      <c r="AH55" s="406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5">
        <v>12</v>
      </c>
    </row>
    <row r="56" spans="6:58" x14ac:dyDescent="0.35">
      <c r="F56" s="55">
        <v>11</v>
      </c>
      <c r="G56" s="406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5">
        <v>11</v>
      </c>
      <c r="AG56" s="55">
        <v>11</v>
      </c>
      <c r="AH56" s="406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5">
        <v>11</v>
      </c>
    </row>
    <row r="57" spans="6:58" x14ac:dyDescent="0.35">
      <c r="F57" s="55">
        <v>10</v>
      </c>
      <c r="G57" s="406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5">
        <v>10</v>
      </c>
      <c r="AG57" s="55">
        <v>10</v>
      </c>
      <c r="AH57" s="406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5">
        <v>10</v>
      </c>
    </row>
    <row r="58" spans="6:58" x14ac:dyDescent="0.35">
      <c r="F58" s="55">
        <v>9</v>
      </c>
      <c r="G58" s="406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5">
        <v>9</v>
      </c>
      <c r="AG58" s="55">
        <v>9</v>
      </c>
      <c r="AH58" s="406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5">
        <v>9</v>
      </c>
    </row>
    <row r="59" spans="6:58" x14ac:dyDescent="0.35">
      <c r="F59" s="55">
        <v>8</v>
      </c>
      <c r="G59" s="406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5">
        <v>8</v>
      </c>
      <c r="AG59" s="55">
        <v>8</v>
      </c>
      <c r="AH59" s="406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5">
        <v>8</v>
      </c>
    </row>
    <row r="60" spans="6:58" x14ac:dyDescent="0.35">
      <c r="F60" s="55">
        <v>7</v>
      </c>
      <c r="G60" s="406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>
        <v>7</v>
      </c>
      <c r="AG60" s="55">
        <v>7</v>
      </c>
      <c r="AH60" s="406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5">
        <v>7</v>
      </c>
    </row>
    <row r="61" spans="6:58" x14ac:dyDescent="0.35">
      <c r="F61" s="55">
        <v>6</v>
      </c>
      <c r="G61" s="406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5">
        <v>6</v>
      </c>
      <c r="AG61" s="55">
        <v>6</v>
      </c>
      <c r="AH61" s="406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5">
        <v>6</v>
      </c>
    </row>
    <row r="62" spans="6:58" x14ac:dyDescent="0.35">
      <c r="F62" s="55">
        <v>5</v>
      </c>
      <c r="G62" s="406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5">
        <v>5</v>
      </c>
      <c r="AG62" s="55">
        <v>5</v>
      </c>
      <c r="AH62" s="406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5">
        <v>5</v>
      </c>
    </row>
    <row r="63" spans="6:58" x14ac:dyDescent="0.35">
      <c r="F63" s="55">
        <v>4</v>
      </c>
      <c r="G63" s="406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5">
        <v>4</v>
      </c>
      <c r="AG63" s="55">
        <v>4</v>
      </c>
      <c r="AH63" s="406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5">
        <v>4</v>
      </c>
    </row>
    <row r="64" spans="6:58" x14ac:dyDescent="0.35">
      <c r="F64" s="55">
        <v>3</v>
      </c>
      <c r="G64" s="406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5">
        <v>3</v>
      </c>
      <c r="AG64" s="55">
        <v>3</v>
      </c>
      <c r="AH64" s="406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5">
        <v>3</v>
      </c>
    </row>
    <row r="65" spans="6:58" x14ac:dyDescent="0.35">
      <c r="F65" s="55">
        <v>2</v>
      </c>
      <c r="G65" s="406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5">
        <v>2</v>
      </c>
      <c r="AG65" s="55">
        <v>2</v>
      </c>
      <c r="AH65" s="406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5">
        <v>2</v>
      </c>
    </row>
    <row r="66" spans="6:58" x14ac:dyDescent="0.35">
      <c r="F66" s="55">
        <v>1</v>
      </c>
      <c r="G66" s="406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5">
        <v>1</v>
      </c>
      <c r="AG66" s="55">
        <v>1</v>
      </c>
      <c r="AH66" s="406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5">
        <v>1</v>
      </c>
    </row>
    <row r="67" spans="6:58" x14ac:dyDescent="0.35">
      <c r="G67" s="404">
        <v>1</v>
      </c>
      <c r="H67" s="404">
        <v>2</v>
      </c>
      <c r="I67" s="404">
        <v>3</v>
      </c>
      <c r="J67" s="404">
        <v>4</v>
      </c>
      <c r="K67" s="404">
        <v>5</v>
      </c>
      <c r="L67" s="404">
        <v>6</v>
      </c>
      <c r="M67" s="404">
        <v>7</v>
      </c>
      <c r="N67" s="404">
        <v>8</v>
      </c>
      <c r="O67" s="404">
        <v>9</v>
      </c>
      <c r="P67" s="404">
        <v>10</v>
      </c>
      <c r="Q67" s="404">
        <v>11</v>
      </c>
      <c r="R67" s="404">
        <v>12</v>
      </c>
      <c r="S67" s="404">
        <v>13</v>
      </c>
      <c r="T67" s="404">
        <v>14</v>
      </c>
      <c r="U67" s="404">
        <v>15</v>
      </c>
      <c r="V67" s="404">
        <v>16</v>
      </c>
      <c r="W67" s="404">
        <v>17</v>
      </c>
      <c r="X67" s="404">
        <v>18</v>
      </c>
      <c r="Y67" s="404">
        <v>19</v>
      </c>
      <c r="Z67" s="404">
        <v>20</v>
      </c>
      <c r="AA67" s="404">
        <v>21</v>
      </c>
      <c r="AB67" s="404">
        <v>22</v>
      </c>
      <c r="AC67" s="404">
        <v>23</v>
      </c>
      <c r="AD67" s="404">
        <v>24</v>
      </c>
      <c r="AH67" s="405">
        <v>1</v>
      </c>
      <c r="AI67" s="404">
        <v>2</v>
      </c>
      <c r="AJ67" s="405">
        <v>3</v>
      </c>
      <c r="AK67" s="404">
        <v>4</v>
      </c>
      <c r="AL67" s="405">
        <v>5</v>
      </c>
      <c r="AM67" s="404">
        <v>6</v>
      </c>
      <c r="AN67" s="405">
        <v>7</v>
      </c>
      <c r="AO67" s="404">
        <v>8</v>
      </c>
      <c r="AP67" s="405">
        <v>9</v>
      </c>
      <c r="AQ67" s="404">
        <v>10</v>
      </c>
      <c r="AR67" s="405">
        <v>11</v>
      </c>
      <c r="AS67" s="404">
        <v>12</v>
      </c>
      <c r="AT67" s="405">
        <v>13</v>
      </c>
      <c r="AU67" s="404">
        <v>14</v>
      </c>
      <c r="AV67" s="405">
        <v>15</v>
      </c>
      <c r="AW67" s="404">
        <v>16</v>
      </c>
      <c r="AX67" s="405">
        <v>17</v>
      </c>
      <c r="AY67" s="404">
        <v>18</v>
      </c>
      <c r="AZ67" s="405">
        <v>19</v>
      </c>
      <c r="BA67" s="404">
        <v>20</v>
      </c>
      <c r="BB67" s="405">
        <v>21</v>
      </c>
      <c r="BC67" s="404">
        <v>22</v>
      </c>
      <c r="BD67" s="405">
        <v>23</v>
      </c>
      <c r="BE67" s="404">
        <v>24</v>
      </c>
    </row>
    <row r="68" spans="6:58" x14ac:dyDescent="0.35">
      <c r="G68" s="52" t="s">
        <v>145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H68" s="52" t="s">
        <v>145</v>
      </c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6:58" x14ac:dyDescent="0.35">
      <c r="G69" s="52" t="s">
        <v>330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1"/>
      <c r="AE69" s="51"/>
      <c r="AF69" s="51"/>
      <c r="AG69" s="51"/>
      <c r="AH69" s="52" t="s">
        <v>14</v>
      </c>
      <c r="AI69" s="52"/>
    </row>
  </sheetData>
  <mergeCells count="8">
    <mergeCell ref="E19:E25"/>
    <mergeCell ref="BG19:BG25"/>
    <mergeCell ref="A4:BF4"/>
    <mergeCell ref="A16:C16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45"/>
  <sheetViews>
    <sheetView topLeftCell="A3" zoomScale="70" zoomScaleNormal="70" workbookViewId="0">
      <selection activeCell="A4" sqref="A4:BG4"/>
    </sheetView>
  </sheetViews>
  <sheetFormatPr baseColWidth="10" defaultRowHeight="14.5" x14ac:dyDescent="0.35"/>
  <cols>
    <col min="1" max="1" width="15.36328125" customWidth="1"/>
    <col min="3" max="4" width="10.54296875" customWidth="1"/>
    <col min="5" max="5" width="5.81640625" customWidth="1"/>
    <col min="6" max="6" width="5.1796875" customWidth="1"/>
    <col min="7" max="30" width="2.6328125" customWidth="1"/>
    <col min="31" max="31" width="3.26953125" customWidth="1"/>
    <col min="32" max="32" width="4.81640625" customWidth="1"/>
    <col min="33" max="33" width="3.26953125" customWidth="1"/>
    <col min="34" max="57" width="2.6328125" customWidth="1"/>
    <col min="58" max="58" width="5.453125" style="24" customWidth="1"/>
    <col min="59" max="66" width="3.7265625" style="24" customWidth="1"/>
    <col min="74" max="74" width="2.54296875" customWidth="1"/>
  </cols>
  <sheetData>
    <row r="1" spans="1:64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BF1"/>
      <c r="BG1"/>
      <c r="BH1"/>
      <c r="BI1"/>
      <c r="BJ1"/>
    </row>
    <row r="2" spans="1:64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24 pacientes, a los 24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BF2"/>
      <c r="BG2"/>
      <c r="BH2"/>
      <c r="BI2"/>
      <c r="BJ2"/>
    </row>
    <row r="3" spans="1:64" ht="8.25" customHeight="1" thickBot="1" x14ac:dyDescent="0.4"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8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/>
      <c r="BI3"/>
      <c r="BJ3"/>
    </row>
    <row r="4" spans="1:64" ht="56" customHeight="1" thickBot="1" x14ac:dyDescent="0.4">
      <c r="A4" s="591" t="s">
        <v>306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2"/>
      <c r="AM4" s="592"/>
      <c r="AN4" s="592"/>
      <c r="AO4" s="592"/>
      <c r="AP4" s="592"/>
      <c r="AQ4" s="592"/>
      <c r="AR4" s="592"/>
      <c r="AS4" s="592"/>
      <c r="AT4" s="592"/>
      <c r="AU4" s="592"/>
      <c r="AV4" s="592"/>
      <c r="AW4" s="592"/>
      <c r="AX4" s="592"/>
      <c r="AY4" s="592"/>
      <c r="AZ4" s="592"/>
      <c r="BA4" s="592"/>
      <c r="BB4" s="592"/>
      <c r="BC4" s="592"/>
      <c r="BD4" s="592"/>
      <c r="BE4" s="592"/>
      <c r="BF4" s="592"/>
      <c r="BG4" s="593"/>
      <c r="BH4"/>
      <c r="BI4"/>
      <c r="BJ4"/>
    </row>
    <row r="5" spans="1:64" ht="28.5" customHeight="1" x14ac:dyDescent="0.35">
      <c r="A5" s="397" t="s">
        <v>246</v>
      </c>
      <c r="B5" s="28">
        <f>C5+D5+E5</f>
        <v>24</v>
      </c>
      <c r="C5" s="454">
        <v>2</v>
      </c>
      <c r="D5" s="455">
        <v>1</v>
      </c>
      <c r="E5" s="456">
        <v>21</v>
      </c>
      <c r="G5" s="26"/>
      <c r="H5" s="445" t="s">
        <v>248</v>
      </c>
      <c r="I5" s="26"/>
      <c r="J5" s="391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"/>
      <c r="BF5"/>
      <c r="BG5"/>
      <c r="BH5"/>
      <c r="BI5"/>
      <c r="BJ5"/>
    </row>
    <row r="6" spans="1:64" ht="15" customHeight="1" x14ac:dyDescent="0.35">
      <c r="A6" s="26"/>
      <c r="C6" s="29"/>
      <c r="D6" s="30"/>
      <c r="E6" s="31"/>
      <c r="F6" s="26"/>
      <c r="G6" s="26"/>
      <c r="H6" s="446" t="s">
        <v>247</v>
      </c>
      <c r="I6" s="26"/>
      <c r="J6" s="39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BF6"/>
      <c r="BG6"/>
      <c r="BH6"/>
      <c r="BI6"/>
      <c r="BJ6"/>
    </row>
    <row r="7" spans="1:64" ht="39.75" customHeight="1" x14ac:dyDescent="0.35">
      <c r="A7" s="398" t="s">
        <v>245</v>
      </c>
      <c r="B7" s="32" t="s">
        <v>144</v>
      </c>
      <c r="C7" s="33" t="str">
        <f>CONCATENATE(A1," ",B1," ",B5," ",C1)</f>
        <v>meses de los 24 del grupo Interv</v>
      </c>
      <c r="D7" s="33" t="str">
        <f>CONCATENATE(A1," ",B1," ",B5," ",D1)</f>
        <v>meses de los 24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BF7"/>
      <c r="BG7"/>
      <c r="BH7"/>
      <c r="BI7"/>
      <c r="BJ7"/>
    </row>
    <row r="8" spans="1:64" ht="26.5" x14ac:dyDescent="0.35">
      <c r="A8" s="34" t="s">
        <v>1</v>
      </c>
      <c r="B8" s="35">
        <v>1.1208178438661709</v>
      </c>
      <c r="C8" s="439">
        <f>B8*B5</f>
        <v>26.899628252788101</v>
      </c>
      <c r="D8" s="597">
        <f>(B8+B9)*B5</f>
        <v>38.810408921933082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6"/>
      <c r="AE8" s="26"/>
      <c r="AF8" s="26"/>
      <c r="AG8" s="26"/>
      <c r="BF8"/>
      <c r="BG8"/>
      <c r="BH8"/>
      <c r="BI8"/>
      <c r="BJ8"/>
    </row>
    <row r="9" spans="1:64" ht="26.5" x14ac:dyDescent="0.35">
      <c r="A9" s="38" t="s">
        <v>3</v>
      </c>
      <c r="B9" s="39">
        <v>0.49628252788104077</v>
      </c>
      <c r="C9" s="598">
        <f>(B10+B9)*B5</f>
        <v>549.10037174721197</v>
      </c>
      <c r="D9" s="597"/>
      <c r="E9" s="3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6"/>
      <c r="AE9" s="26"/>
      <c r="AF9" s="26"/>
      <c r="AG9" s="26"/>
      <c r="BF9"/>
      <c r="BG9"/>
      <c r="BH9"/>
      <c r="BI9"/>
      <c r="BJ9"/>
    </row>
    <row r="10" spans="1:64" ht="26.5" x14ac:dyDescent="0.35">
      <c r="A10" s="41" t="s">
        <v>2</v>
      </c>
      <c r="B10" s="42">
        <v>22.38289962825279</v>
      </c>
      <c r="C10" s="598"/>
      <c r="D10" s="43">
        <f>B10*B5</f>
        <v>537.189591078067</v>
      </c>
      <c r="E10" s="29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64" x14ac:dyDescent="0.35">
      <c r="A11" s="3"/>
      <c r="B11" s="45">
        <v>24.000000000000004</v>
      </c>
      <c r="C11" s="46">
        <f>C8+C9</f>
        <v>576.00000000000011</v>
      </c>
      <c r="D11" s="46">
        <f>D8+D10</f>
        <v>576.00000000000011</v>
      </c>
      <c r="E11" s="47"/>
      <c r="F11" s="47"/>
      <c r="G11" s="444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4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4" x14ac:dyDescent="0.35">
      <c r="A13" s="26"/>
      <c r="B13" s="26"/>
      <c r="C13" s="22">
        <f>(E5+D5)*B11</f>
        <v>528.00000000000011</v>
      </c>
      <c r="D13" s="22">
        <f>E5*B11</f>
        <v>504.00000000000006</v>
      </c>
      <c r="E13" s="26"/>
      <c r="F13" s="48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4" ht="36" customHeight="1" x14ac:dyDescent="0.35">
      <c r="A14" s="599" t="s">
        <v>13</v>
      </c>
      <c r="B14" s="599"/>
      <c r="C14" s="49">
        <f>C9-C13</f>
        <v>21.100371747211852</v>
      </c>
      <c r="D14" s="49">
        <f>D10-D13</f>
        <v>33.18959107806694</v>
      </c>
      <c r="F14" s="600" t="str">
        <f>IF((AND(((B9+B10)/B11)&gt;((D5+E5)/B5),(B10/B11)&gt;(E5/B5))),E2,#REF!)</f>
        <v>puede representarse llegando los 24 pacientes, a los 24 meses</v>
      </c>
      <c r="G14" s="600"/>
      <c r="H14" s="600"/>
      <c r="I14" s="600"/>
      <c r="J14" s="600"/>
      <c r="K14" s="600"/>
      <c r="L14" s="600"/>
      <c r="M14" s="600"/>
      <c r="N14" s="600"/>
      <c r="O14" s="600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4" ht="18.75" customHeight="1" thickBot="1" x14ac:dyDescent="0.4">
      <c r="A15" s="50"/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26"/>
    </row>
    <row r="16" spans="1:64" ht="17.25" customHeight="1" thickBot="1" x14ac:dyDescent="0.4">
      <c r="A16" s="408" t="s">
        <v>158</v>
      </c>
      <c r="B16" s="442"/>
      <c r="C16" s="443"/>
      <c r="D16" s="50"/>
      <c r="G16" s="52" t="s">
        <v>330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1"/>
      <c r="AE16" s="51"/>
      <c r="AF16" s="51"/>
      <c r="AG16" s="51"/>
      <c r="AH16" s="52" t="s">
        <v>14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1"/>
      <c r="BF16" s="51"/>
      <c r="BG16" s="51"/>
      <c r="BH16" s="51"/>
      <c r="BI16" s="51"/>
      <c r="BJ16" s="51"/>
    </row>
    <row r="17" spans="1:66" x14ac:dyDescent="0.35">
      <c r="A17" s="365" t="s">
        <v>331</v>
      </c>
      <c r="C17" s="50"/>
      <c r="D17" s="50"/>
      <c r="G17" s="52" t="s">
        <v>145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H17" s="52" t="s">
        <v>145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1:66" x14ac:dyDescent="0.35">
      <c r="A18" s="365" t="s">
        <v>159</v>
      </c>
      <c r="B18" s="50"/>
      <c r="C18" s="50"/>
      <c r="D18" s="50"/>
      <c r="F18" s="24"/>
      <c r="G18" s="404">
        <v>1</v>
      </c>
      <c r="H18" s="404">
        <v>2</v>
      </c>
      <c r="I18" s="404">
        <v>3</v>
      </c>
      <c r="J18" s="404">
        <v>4</v>
      </c>
      <c r="K18" s="404">
        <v>5</v>
      </c>
      <c r="L18" s="404">
        <v>6</v>
      </c>
      <c r="M18" s="404">
        <v>7</v>
      </c>
      <c r="N18" s="404">
        <v>8</v>
      </c>
      <c r="O18" s="404">
        <v>9</v>
      </c>
      <c r="P18" s="404">
        <v>10</v>
      </c>
      <c r="Q18" s="404">
        <v>11</v>
      </c>
      <c r="R18" s="404">
        <v>12</v>
      </c>
      <c r="S18" s="404">
        <v>13</v>
      </c>
      <c r="T18" s="404">
        <v>14</v>
      </c>
      <c r="U18" s="404">
        <v>15</v>
      </c>
      <c r="V18" s="404">
        <v>16</v>
      </c>
      <c r="W18" s="404">
        <v>17</v>
      </c>
      <c r="X18" s="404">
        <v>18</v>
      </c>
      <c r="Y18" s="404">
        <v>19</v>
      </c>
      <c r="Z18" s="404">
        <v>20</v>
      </c>
      <c r="AA18" s="404">
        <v>21</v>
      </c>
      <c r="AB18" s="404">
        <v>22</v>
      </c>
      <c r="AC18" s="404">
        <v>23</v>
      </c>
      <c r="AD18" s="404">
        <v>24</v>
      </c>
      <c r="AE18" s="403"/>
      <c r="AF18" s="403"/>
      <c r="AG18" s="403"/>
      <c r="AH18" s="404">
        <v>1</v>
      </c>
      <c r="AI18" s="404">
        <v>2</v>
      </c>
      <c r="AJ18" s="404">
        <v>3</v>
      </c>
      <c r="AK18" s="404">
        <v>4</v>
      </c>
      <c r="AL18" s="404">
        <v>5</v>
      </c>
      <c r="AM18" s="404">
        <v>6</v>
      </c>
      <c r="AN18" s="404">
        <v>7</v>
      </c>
      <c r="AO18" s="404">
        <v>8</v>
      </c>
      <c r="AP18" s="404">
        <v>9</v>
      </c>
      <c r="AQ18" s="404">
        <v>10</v>
      </c>
      <c r="AR18" s="404">
        <v>11</v>
      </c>
      <c r="AS18" s="404">
        <v>12</v>
      </c>
      <c r="AT18" s="404">
        <v>13</v>
      </c>
      <c r="AU18" s="404">
        <v>14</v>
      </c>
      <c r="AV18" s="404">
        <v>15</v>
      </c>
      <c r="AW18" s="404">
        <v>16</v>
      </c>
      <c r="AX18" s="404">
        <v>17</v>
      </c>
      <c r="AY18" s="404">
        <v>18</v>
      </c>
      <c r="AZ18" s="404">
        <v>19</v>
      </c>
      <c r="BA18" s="404">
        <v>20</v>
      </c>
      <c r="BB18" s="404">
        <v>21</v>
      </c>
      <c r="BC18" s="404">
        <v>22</v>
      </c>
      <c r="BD18" s="404">
        <v>23</v>
      </c>
      <c r="BE18" s="404">
        <v>24</v>
      </c>
    </row>
    <row r="19" spans="1:66" x14ac:dyDescent="0.35">
      <c r="A19" s="365"/>
      <c r="E19" s="590" t="s">
        <v>315</v>
      </c>
      <c r="F19" s="55">
        <v>24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516">
        <v>24</v>
      </c>
      <c r="AF19" s="24"/>
      <c r="AG19" s="55">
        <v>24</v>
      </c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516">
        <v>24</v>
      </c>
      <c r="BG19" s="590" t="s">
        <v>315</v>
      </c>
      <c r="BH19" s="53"/>
      <c r="BI19" s="53"/>
      <c r="BJ19" s="53"/>
      <c r="BK19" s="53"/>
      <c r="BL19" s="53"/>
      <c r="BM19" s="53"/>
      <c r="BN19" s="53"/>
    </row>
    <row r="20" spans="1:66" ht="15" thickBot="1" x14ac:dyDescent="0.4">
      <c r="A20" s="365"/>
      <c r="E20" s="590"/>
      <c r="F20" s="55">
        <v>23</v>
      </c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6">
        <v>23</v>
      </c>
      <c r="AF20" s="24"/>
      <c r="AG20" s="55">
        <v>23</v>
      </c>
      <c r="AH20" s="504"/>
      <c r="AI20" s="504"/>
      <c r="AJ20" s="504"/>
      <c r="AK20" s="504"/>
      <c r="AL20" s="504"/>
      <c r="AM20" s="504"/>
      <c r="AN20" s="504"/>
      <c r="AO20" s="504"/>
      <c r="AP20" s="504"/>
      <c r="AQ20" s="504"/>
      <c r="AR20" s="50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16">
        <v>23</v>
      </c>
      <c r="BG20" s="590"/>
      <c r="BH20" s="53"/>
      <c r="BI20" s="53"/>
      <c r="BJ20" s="53"/>
      <c r="BK20" s="53"/>
      <c r="BL20" s="53"/>
      <c r="BM20" s="53"/>
      <c r="BN20" s="53"/>
    </row>
    <row r="21" spans="1:66" ht="16" thickBot="1" x14ac:dyDescent="0.4">
      <c r="E21" s="590"/>
      <c r="F21" s="507">
        <v>22</v>
      </c>
      <c r="G21" s="508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13">
        <v>22</v>
      </c>
      <c r="AF21" s="24"/>
      <c r="AG21" s="507">
        <v>22</v>
      </c>
      <c r="AH21" s="508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7">
        <v>22</v>
      </c>
      <c r="BG21" s="590"/>
      <c r="BH21" s="53"/>
      <c r="BI21" s="53"/>
      <c r="BJ21" s="53"/>
      <c r="BK21" s="53"/>
      <c r="BL21" s="53"/>
      <c r="BM21" s="53"/>
      <c r="BN21" s="53"/>
    </row>
    <row r="22" spans="1:66" x14ac:dyDescent="0.35">
      <c r="A22" s="335" t="s">
        <v>129</v>
      </c>
      <c r="B22" s="336"/>
      <c r="C22" s="336"/>
      <c r="D22" s="337"/>
      <c r="E22" s="590"/>
      <c r="F22" s="55">
        <v>21</v>
      </c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5">
        <v>21</v>
      </c>
      <c r="AF22" s="24"/>
      <c r="AG22" s="55">
        <v>21</v>
      </c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5">
        <v>21</v>
      </c>
      <c r="BG22" s="590"/>
      <c r="BH22" s="53"/>
      <c r="BI22" s="53"/>
      <c r="BJ22" s="53"/>
      <c r="BK22" s="53"/>
      <c r="BL22" s="53"/>
      <c r="BM22" s="53"/>
      <c r="BN22" s="53"/>
    </row>
    <row r="23" spans="1:66" x14ac:dyDescent="0.35">
      <c r="A23" s="338" t="s">
        <v>125</v>
      </c>
      <c r="B23" s="339" t="s">
        <v>126</v>
      </c>
      <c r="C23" s="339" t="s">
        <v>114</v>
      </c>
      <c r="D23" s="340" t="s">
        <v>11</v>
      </c>
      <c r="E23" s="590"/>
      <c r="F23" s="55">
        <v>20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>
        <v>20</v>
      </c>
      <c r="AF23" s="24"/>
      <c r="AG23" s="55">
        <v>20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>
        <v>20</v>
      </c>
      <c r="BG23" s="590"/>
      <c r="BH23" s="53"/>
      <c r="BI23" s="53"/>
      <c r="BJ23" s="53"/>
      <c r="BK23" s="53"/>
      <c r="BL23" s="53"/>
      <c r="BM23" s="53"/>
      <c r="BN23" s="53"/>
    </row>
    <row r="24" spans="1:66" x14ac:dyDescent="0.35">
      <c r="A24" s="341">
        <v>5.204460966542751E-2</v>
      </c>
      <c r="B24" s="342">
        <v>9.3401486988847579E-2</v>
      </c>
      <c r="C24" s="343">
        <f>B24-A24</f>
        <v>4.1356877323420069E-2</v>
      </c>
      <c r="D24" s="344">
        <f>1/C24</f>
        <v>24.17977528089888</v>
      </c>
      <c r="E24" s="590"/>
      <c r="F24" s="55">
        <v>19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>
        <v>19</v>
      </c>
      <c r="AF24" s="24"/>
      <c r="AG24" s="55">
        <v>19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>
        <v>19</v>
      </c>
      <c r="BG24" s="590"/>
      <c r="BH24" s="53"/>
      <c r="BI24" s="53"/>
      <c r="BJ24" s="53"/>
      <c r="BK24" s="53"/>
      <c r="BL24" s="53"/>
      <c r="BM24" s="53"/>
      <c r="BN24" s="53"/>
    </row>
    <row r="25" spans="1:66" ht="15" thickBot="1" x14ac:dyDescent="0.4">
      <c r="A25" s="483" t="s">
        <v>308</v>
      </c>
      <c r="B25" s="379">
        <f>A24*D24</f>
        <v>1.258426966292135</v>
      </c>
      <c r="C25" s="345">
        <f>C24*D24</f>
        <v>1</v>
      </c>
      <c r="D25" s="378">
        <f>(1-B24)*D24</f>
        <v>21.921348314606746</v>
      </c>
      <c r="E25" s="590"/>
      <c r="F25" s="55">
        <v>18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>
        <v>18</v>
      </c>
      <c r="AF25" s="24"/>
      <c r="AG25" s="55">
        <v>18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5">
        <v>18</v>
      </c>
      <c r="BG25" s="590"/>
      <c r="BH25" s="53"/>
      <c r="BI25" s="53"/>
      <c r="BJ25" s="53"/>
      <c r="BK25" s="53"/>
      <c r="BL25" s="53"/>
      <c r="BM25" s="53"/>
      <c r="BN25" s="53"/>
    </row>
    <row r="26" spans="1:66" x14ac:dyDescent="0.35">
      <c r="F26" s="55">
        <v>17</v>
      </c>
      <c r="G26" s="40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>
        <v>17</v>
      </c>
      <c r="AF26" s="56"/>
      <c r="AG26" s="55">
        <v>17</v>
      </c>
      <c r="AH26" s="406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5">
        <v>17</v>
      </c>
      <c r="BG26" s="53"/>
      <c r="BH26" s="53"/>
      <c r="BI26" s="53"/>
      <c r="BJ26" s="53"/>
      <c r="BK26" s="53"/>
      <c r="BL26" s="53"/>
      <c r="BM26" s="53"/>
      <c r="BN26" s="53"/>
    </row>
    <row r="27" spans="1:66" x14ac:dyDescent="0.35">
      <c r="F27" s="55">
        <v>16</v>
      </c>
      <c r="G27" s="406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>
        <v>16</v>
      </c>
      <c r="AF27" s="56"/>
      <c r="AG27" s="55">
        <v>16</v>
      </c>
      <c r="AH27" s="406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>
        <v>16</v>
      </c>
      <c r="BG27" s="53"/>
      <c r="BH27" s="53"/>
      <c r="BI27" s="53"/>
      <c r="BJ27" s="53"/>
      <c r="BK27" s="53"/>
      <c r="BL27" s="53"/>
      <c r="BM27" s="53"/>
      <c r="BN27" s="53"/>
    </row>
    <row r="28" spans="1:66" x14ac:dyDescent="0.35">
      <c r="F28" s="55">
        <v>15</v>
      </c>
      <c r="G28" s="40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>
        <v>15</v>
      </c>
      <c r="AG28" s="55">
        <v>15</v>
      </c>
      <c r="AH28" s="406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5">
        <v>15</v>
      </c>
    </row>
    <row r="29" spans="1:66" x14ac:dyDescent="0.35">
      <c r="F29" s="55">
        <v>14</v>
      </c>
      <c r="G29" s="40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v>14</v>
      </c>
      <c r="AG29" s="55">
        <v>14</v>
      </c>
      <c r="AH29" s="406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5">
        <v>14</v>
      </c>
    </row>
    <row r="30" spans="1:66" x14ac:dyDescent="0.35">
      <c r="F30" s="55">
        <v>13</v>
      </c>
      <c r="G30" s="40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>
        <v>13</v>
      </c>
      <c r="AG30" s="55">
        <v>13</v>
      </c>
      <c r="AH30" s="406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5">
        <v>13</v>
      </c>
    </row>
    <row r="31" spans="1:66" x14ac:dyDescent="0.35">
      <c r="F31" s="55">
        <v>12</v>
      </c>
      <c r="G31" s="40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>
        <v>12</v>
      </c>
      <c r="AG31" s="55">
        <v>12</v>
      </c>
      <c r="AH31" s="406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>
        <v>12</v>
      </c>
    </row>
    <row r="32" spans="1:66" x14ac:dyDescent="0.35">
      <c r="F32" s="55">
        <v>11</v>
      </c>
      <c r="G32" s="40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>
        <v>11</v>
      </c>
      <c r="AG32" s="55">
        <v>11</v>
      </c>
      <c r="AH32" s="406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>
        <v>11</v>
      </c>
    </row>
    <row r="33" spans="6:58" x14ac:dyDescent="0.35">
      <c r="F33" s="55">
        <v>10</v>
      </c>
      <c r="G33" s="40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10</v>
      </c>
      <c r="AG33" s="55">
        <v>10</v>
      </c>
      <c r="AH33" s="406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5">
        <v>10</v>
      </c>
    </row>
    <row r="34" spans="6:58" x14ac:dyDescent="0.35">
      <c r="F34" s="55">
        <v>9</v>
      </c>
      <c r="G34" s="40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>
        <v>9</v>
      </c>
      <c r="AG34" s="55">
        <v>9</v>
      </c>
      <c r="AH34" s="406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5">
        <v>9</v>
      </c>
    </row>
    <row r="35" spans="6:58" x14ac:dyDescent="0.35">
      <c r="F35" s="55">
        <v>8</v>
      </c>
      <c r="G35" s="406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v>8</v>
      </c>
      <c r="AG35" s="55">
        <v>8</v>
      </c>
      <c r="AH35" s="406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5">
        <v>8</v>
      </c>
    </row>
    <row r="36" spans="6:58" x14ac:dyDescent="0.35">
      <c r="F36" s="55">
        <v>7</v>
      </c>
      <c r="G36" s="40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>
        <v>7</v>
      </c>
      <c r="AG36" s="55">
        <v>7</v>
      </c>
      <c r="AH36" s="406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5">
        <v>7</v>
      </c>
    </row>
    <row r="37" spans="6:58" x14ac:dyDescent="0.35">
      <c r="F37" s="55">
        <v>6</v>
      </c>
      <c r="G37" s="40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>
        <v>6</v>
      </c>
      <c r="AG37" s="55">
        <v>6</v>
      </c>
      <c r="AH37" s="406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5">
        <v>6</v>
      </c>
    </row>
    <row r="38" spans="6:58" x14ac:dyDescent="0.35">
      <c r="F38" s="55">
        <v>5</v>
      </c>
      <c r="G38" s="406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5">
        <v>5</v>
      </c>
      <c r="AG38" s="55">
        <v>5</v>
      </c>
      <c r="AH38" s="406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5">
        <v>5</v>
      </c>
    </row>
    <row r="39" spans="6:58" x14ac:dyDescent="0.35">
      <c r="F39" s="55">
        <v>4</v>
      </c>
      <c r="G39" s="406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5">
        <v>4</v>
      </c>
      <c r="AG39" s="55">
        <v>4</v>
      </c>
      <c r="AH39" s="406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5">
        <v>4</v>
      </c>
    </row>
    <row r="40" spans="6:58" x14ac:dyDescent="0.35">
      <c r="F40" s="55">
        <v>3</v>
      </c>
      <c r="G40" s="406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5">
        <v>3</v>
      </c>
      <c r="AG40" s="55">
        <v>3</v>
      </c>
      <c r="AH40" s="406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5">
        <v>3</v>
      </c>
    </row>
    <row r="41" spans="6:58" x14ac:dyDescent="0.35">
      <c r="F41" s="55">
        <v>2</v>
      </c>
      <c r="G41" s="406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5">
        <v>2</v>
      </c>
      <c r="AG41" s="55">
        <v>2</v>
      </c>
      <c r="AH41" s="406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5">
        <v>2</v>
      </c>
    </row>
    <row r="42" spans="6:58" x14ac:dyDescent="0.35">
      <c r="F42" s="55">
        <v>1</v>
      </c>
      <c r="G42" s="40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5">
        <v>1</v>
      </c>
      <c r="AG42" s="55">
        <v>1</v>
      </c>
      <c r="AH42" s="406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5">
        <v>1</v>
      </c>
    </row>
    <row r="43" spans="6:58" x14ac:dyDescent="0.35">
      <c r="G43" s="404">
        <v>1</v>
      </c>
      <c r="H43" s="404">
        <v>2</v>
      </c>
      <c r="I43" s="404">
        <v>3</v>
      </c>
      <c r="J43" s="404">
        <v>4</v>
      </c>
      <c r="K43" s="404">
        <v>5</v>
      </c>
      <c r="L43" s="404">
        <v>6</v>
      </c>
      <c r="M43" s="404">
        <v>7</v>
      </c>
      <c r="N43" s="404">
        <v>8</v>
      </c>
      <c r="O43" s="404">
        <v>9</v>
      </c>
      <c r="P43" s="404">
        <v>10</v>
      </c>
      <c r="Q43" s="404">
        <v>11</v>
      </c>
      <c r="R43" s="404">
        <v>12</v>
      </c>
      <c r="S43" s="404">
        <v>13</v>
      </c>
      <c r="T43" s="404">
        <v>14</v>
      </c>
      <c r="U43" s="404">
        <v>15</v>
      </c>
      <c r="V43" s="404">
        <v>16</v>
      </c>
      <c r="W43" s="404">
        <v>17</v>
      </c>
      <c r="X43" s="404">
        <v>18</v>
      </c>
      <c r="Y43" s="404">
        <v>19</v>
      </c>
      <c r="Z43" s="404">
        <v>20</v>
      </c>
      <c r="AA43" s="404">
        <v>21</v>
      </c>
      <c r="AB43" s="404">
        <v>22</v>
      </c>
      <c r="AC43" s="404">
        <v>23</v>
      </c>
      <c r="AD43" s="404">
        <v>24</v>
      </c>
      <c r="AE43" s="403"/>
      <c r="AF43" s="403"/>
      <c r="AG43" s="403"/>
      <c r="AH43" s="405">
        <v>1</v>
      </c>
      <c r="AI43" s="404">
        <v>2</v>
      </c>
      <c r="AJ43" s="404">
        <v>3</v>
      </c>
      <c r="AK43" s="404">
        <v>4</v>
      </c>
      <c r="AL43" s="404">
        <v>5</v>
      </c>
      <c r="AM43" s="404">
        <v>6</v>
      </c>
      <c r="AN43" s="404">
        <v>7</v>
      </c>
      <c r="AO43" s="404">
        <v>8</v>
      </c>
      <c r="AP43" s="404">
        <v>9</v>
      </c>
      <c r="AQ43" s="404">
        <v>10</v>
      </c>
      <c r="AR43" s="404">
        <v>11</v>
      </c>
      <c r="AS43" s="404">
        <v>12</v>
      </c>
      <c r="AT43" s="404">
        <v>13</v>
      </c>
      <c r="AU43" s="404">
        <v>14</v>
      </c>
      <c r="AV43" s="404">
        <v>15</v>
      </c>
      <c r="AW43" s="404">
        <v>16</v>
      </c>
      <c r="AX43" s="404">
        <v>17</v>
      </c>
      <c r="AY43" s="404">
        <v>18</v>
      </c>
      <c r="AZ43" s="404">
        <v>19</v>
      </c>
      <c r="BA43" s="404">
        <v>20</v>
      </c>
      <c r="BB43" s="404">
        <v>21</v>
      </c>
      <c r="BC43" s="404">
        <v>22</v>
      </c>
      <c r="BD43" s="404">
        <v>23</v>
      </c>
      <c r="BE43" s="404">
        <v>24</v>
      </c>
    </row>
    <row r="44" spans="6:58" x14ac:dyDescent="0.35">
      <c r="G44" s="52" t="s">
        <v>145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H44" s="52" t="s">
        <v>145</v>
      </c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6:58" x14ac:dyDescent="0.35">
      <c r="G45" s="52" t="s">
        <v>330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1"/>
      <c r="AE45" s="51"/>
      <c r="AF45" s="51"/>
      <c r="AG45" s="51"/>
      <c r="AH45" s="52" t="s">
        <v>14</v>
      </c>
      <c r="AI45" s="52"/>
    </row>
  </sheetData>
  <mergeCells count="7">
    <mergeCell ref="E19:E25"/>
    <mergeCell ref="BG19:BG25"/>
    <mergeCell ref="A4:BG4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41"/>
  <sheetViews>
    <sheetView topLeftCell="A3" zoomScale="70" zoomScaleNormal="70" workbookViewId="0">
      <selection activeCell="A16" sqref="A16:D18"/>
    </sheetView>
  </sheetViews>
  <sheetFormatPr baseColWidth="10" defaultRowHeight="14.5" x14ac:dyDescent="0.35"/>
  <cols>
    <col min="1" max="1" width="15.54296875" customWidth="1"/>
    <col min="3" max="4" width="10.54296875" customWidth="1"/>
    <col min="5" max="5" width="5.81640625" customWidth="1"/>
    <col min="6" max="6" width="5.1796875" customWidth="1"/>
    <col min="7" max="30" width="2.6328125" customWidth="1"/>
    <col min="31" max="33" width="3.26953125" customWidth="1"/>
    <col min="34" max="57" width="2.6328125" customWidth="1"/>
    <col min="58" max="58" width="5.453125" style="24" customWidth="1"/>
    <col min="59" max="66" width="3.7265625" style="24" customWidth="1"/>
    <col min="74" max="74" width="2.54296875" customWidth="1"/>
  </cols>
  <sheetData>
    <row r="1" spans="1:62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  <c r="BF1"/>
      <c r="BG1"/>
      <c r="BH1"/>
      <c r="BI1"/>
      <c r="BJ1"/>
    </row>
    <row r="2" spans="1:62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19 pacientes, a los 24 meses</v>
      </c>
      <c r="F2" s="2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BF2"/>
      <c r="BG2"/>
      <c r="BH2"/>
      <c r="BI2"/>
      <c r="BJ2"/>
    </row>
    <row r="3" spans="1:62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/>
      <c r="AF3" s="27"/>
      <c r="AG3" s="27"/>
      <c r="BF3"/>
      <c r="BG3"/>
      <c r="BH3"/>
      <c r="BI3"/>
      <c r="BJ3"/>
    </row>
    <row r="4" spans="1:62" ht="59.5" customHeight="1" thickBot="1" x14ac:dyDescent="0.4">
      <c r="A4" s="591" t="s">
        <v>307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2"/>
      <c r="T4" s="592"/>
      <c r="U4" s="592"/>
      <c r="V4" s="592"/>
      <c r="W4" s="592"/>
      <c r="X4" s="592"/>
      <c r="Y4" s="592"/>
      <c r="Z4" s="592"/>
      <c r="AA4" s="592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2"/>
      <c r="AM4" s="592"/>
      <c r="AN4" s="592"/>
      <c r="AO4" s="592"/>
      <c r="AP4" s="592"/>
      <c r="AQ4" s="592"/>
      <c r="AR4" s="592"/>
      <c r="AS4" s="592"/>
      <c r="AT4" s="592"/>
      <c r="AU4" s="592"/>
      <c r="AV4" s="592"/>
      <c r="AW4" s="592"/>
      <c r="AX4" s="592"/>
      <c r="AY4" s="592"/>
      <c r="AZ4" s="592"/>
      <c r="BA4" s="592"/>
      <c r="BB4" s="592"/>
      <c r="BC4" s="592"/>
      <c r="BD4" s="592"/>
      <c r="BE4" s="592"/>
      <c r="BF4" s="592"/>
      <c r="BG4" s="593"/>
      <c r="BH4"/>
      <c r="BI4"/>
      <c r="BJ4"/>
    </row>
    <row r="5" spans="1:62" ht="26" x14ac:dyDescent="0.35">
      <c r="A5" s="397" t="s">
        <v>246</v>
      </c>
      <c r="B5" s="28">
        <f>C5+D5+E5</f>
        <v>19</v>
      </c>
      <c r="C5" s="454">
        <v>2</v>
      </c>
      <c r="D5" s="455">
        <v>1</v>
      </c>
      <c r="E5" s="456">
        <v>16</v>
      </c>
      <c r="G5" s="26"/>
      <c r="H5" s="445" t="s">
        <v>248</v>
      </c>
      <c r="I5" s="26"/>
      <c r="J5" s="391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"/>
      <c r="BF5"/>
      <c r="BG5"/>
      <c r="BH5"/>
      <c r="BI5"/>
      <c r="BJ5"/>
    </row>
    <row r="6" spans="1:62" ht="15" customHeight="1" x14ac:dyDescent="0.35">
      <c r="A6" s="26"/>
      <c r="C6" s="29"/>
      <c r="D6" s="30"/>
      <c r="E6" s="31"/>
      <c r="F6" s="26"/>
      <c r="G6" s="26"/>
      <c r="H6" s="446" t="s">
        <v>247</v>
      </c>
      <c r="I6" s="26"/>
      <c r="J6" s="390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BF6"/>
      <c r="BG6"/>
      <c r="BH6"/>
      <c r="BI6"/>
      <c r="BJ6"/>
    </row>
    <row r="7" spans="1:62" ht="39.75" customHeight="1" x14ac:dyDescent="0.35">
      <c r="A7" s="398" t="s">
        <v>245</v>
      </c>
      <c r="B7" s="32" t="s">
        <v>144</v>
      </c>
      <c r="C7" s="33" t="str">
        <f>CONCATENATE(A1," ",B1," ",B5," ",C1)</f>
        <v>meses de los 19 del grupo Interv</v>
      </c>
      <c r="D7" s="33" t="str">
        <f>CONCATENATE(A1," ",B1," ",B5," ",D1)</f>
        <v>meses de los 19 del grupo Contr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BF7"/>
      <c r="BG7"/>
      <c r="BH7"/>
      <c r="BI7"/>
      <c r="BJ7"/>
    </row>
    <row r="8" spans="1:62" x14ac:dyDescent="0.35">
      <c r="A8" s="34" t="s">
        <v>1</v>
      </c>
      <c r="B8" s="35">
        <v>1.7397769516728623</v>
      </c>
      <c r="C8" s="439">
        <f>B8*B5</f>
        <v>33.05576208178438</v>
      </c>
      <c r="D8" s="610">
        <f>(B8+B9)*B5</f>
        <v>45.239776951672852</v>
      </c>
      <c r="E8" s="36"/>
      <c r="F8" s="36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26"/>
      <c r="AE8" s="26"/>
      <c r="AF8" s="26"/>
      <c r="AG8" s="26"/>
      <c r="BF8"/>
      <c r="BG8"/>
      <c r="BH8"/>
      <c r="BI8"/>
      <c r="BJ8"/>
    </row>
    <row r="9" spans="1:62" ht="26.5" x14ac:dyDescent="0.35">
      <c r="A9" s="38" t="s">
        <v>3</v>
      </c>
      <c r="B9" s="39">
        <v>0.64126394052044589</v>
      </c>
      <c r="C9" s="612">
        <f>(B10+B9)*B5</f>
        <v>422.94423791821561</v>
      </c>
      <c r="D9" s="611"/>
      <c r="E9" s="30"/>
      <c r="F9" s="40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26"/>
      <c r="AE9" s="26"/>
      <c r="AF9" s="26"/>
      <c r="AG9" s="26"/>
      <c r="BF9"/>
      <c r="BG9"/>
      <c r="BH9"/>
      <c r="BI9"/>
      <c r="BJ9"/>
    </row>
    <row r="10" spans="1:62" ht="26.5" x14ac:dyDescent="0.35">
      <c r="A10" s="41" t="s">
        <v>2</v>
      </c>
      <c r="B10" s="42">
        <v>21.618959107806692</v>
      </c>
      <c r="C10" s="613"/>
      <c r="D10" s="43">
        <f>B10*B5</f>
        <v>410.76022304832713</v>
      </c>
      <c r="E10" s="29"/>
      <c r="F10" s="40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26"/>
      <c r="AE10" s="26"/>
      <c r="AF10" s="26"/>
      <c r="AG10" s="26"/>
      <c r="BF10"/>
      <c r="BG10"/>
      <c r="BH10"/>
      <c r="BI10"/>
      <c r="BJ10"/>
    </row>
    <row r="11" spans="1:62" x14ac:dyDescent="0.35">
      <c r="A11" s="3"/>
      <c r="B11" s="45">
        <v>24</v>
      </c>
      <c r="C11" s="46">
        <f>C8+C9</f>
        <v>456</v>
      </c>
      <c r="D11" s="46">
        <f>D8+D10</f>
        <v>456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</row>
    <row r="12" spans="1:62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</row>
    <row r="13" spans="1:62" x14ac:dyDescent="0.35">
      <c r="A13" s="26"/>
      <c r="B13" s="26"/>
      <c r="C13" s="22">
        <f>(E5+D5)*B11</f>
        <v>408</v>
      </c>
      <c r="D13" s="22">
        <f>E5*B11</f>
        <v>384</v>
      </c>
      <c r="E13" s="26"/>
      <c r="F13" s="48" t="s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</row>
    <row r="14" spans="1:62" ht="36" customHeight="1" x14ac:dyDescent="0.35">
      <c r="A14" s="614" t="s">
        <v>13</v>
      </c>
      <c r="B14" s="615"/>
      <c r="C14" s="49">
        <f>C9-C13</f>
        <v>14.944237918215606</v>
      </c>
      <c r="D14" s="49">
        <f>D10-D13</f>
        <v>26.760223048327134</v>
      </c>
      <c r="F14" s="616" t="str">
        <f>IF((AND(((B9+B10)/B11)&gt;((D5+E5)/B5),(B10/B11)&gt;(E5/B5))),E2,#REF!)</f>
        <v>puede representarse llegando los 19 pacientes, a los 24 meses</v>
      </c>
      <c r="G14" s="617"/>
      <c r="H14" s="617"/>
      <c r="I14" s="617"/>
      <c r="J14" s="617"/>
      <c r="K14" s="617"/>
      <c r="L14" s="617"/>
      <c r="M14" s="617"/>
      <c r="N14" s="617"/>
      <c r="O14" s="618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</row>
    <row r="15" spans="1:62" ht="18.75" customHeight="1" thickBot="1" x14ac:dyDescent="0.4">
      <c r="A15" s="478" t="s">
        <v>299</v>
      </c>
      <c r="B15" s="50"/>
      <c r="C15" s="50"/>
      <c r="D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26"/>
    </row>
    <row r="16" spans="1:62" ht="17.25" customHeight="1" x14ac:dyDescent="0.35">
      <c r="A16" s="601" t="s">
        <v>298</v>
      </c>
      <c r="B16" s="602"/>
      <c r="C16" s="602"/>
      <c r="D16" s="603"/>
      <c r="G16" s="52" t="s">
        <v>330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1"/>
      <c r="AE16" s="51"/>
      <c r="AF16" s="51"/>
      <c r="AG16" s="51"/>
      <c r="AH16" s="52" t="s">
        <v>14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1"/>
      <c r="BF16" s="51"/>
      <c r="BG16" s="51"/>
      <c r="BH16" s="51"/>
      <c r="BI16" s="51"/>
      <c r="BJ16" s="51"/>
    </row>
    <row r="17" spans="1:66" x14ac:dyDescent="0.35">
      <c r="A17" s="604"/>
      <c r="B17" s="605"/>
      <c r="C17" s="605"/>
      <c r="D17" s="606"/>
      <c r="G17" s="52" t="s">
        <v>145</v>
      </c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H17" s="52" t="s">
        <v>145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</row>
    <row r="18" spans="1:66" ht="15" thickBot="1" x14ac:dyDescent="0.4">
      <c r="A18" s="607"/>
      <c r="B18" s="608"/>
      <c r="C18" s="608"/>
      <c r="D18" s="609"/>
      <c r="F18" s="24"/>
      <c r="G18" s="404">
        <v>1</v>
      </c>
      <c r="H18" s="404">
        <v>2</v>
      </c>
      <c r="I18" s="404">
        <v>3</v>
      </c>
      <c r="J18" s="404">
        <v>4</v>
      </c>
      <c r="K18" s="404">
        <v>5</v>
      </c>
      <c r="L18" s="404">
        <v>6</v>
      </c>
      <c r="M18" s="404">
        <v>7</v>
      </c>
      <c r="N18" s="404">
        <v>8</v>
      </c>
      <c r="O18" s="404">
        <v>9</v>
      </c>
      <c r="P18" s="404">
        <v>10</v>
      </c>
      <c r="Q18" s="404">
        <v>11</v>
      </c>
      <c r="R18" s="404">
        <v>12</v>
      </c>
      <c r="S18" s="404">
        <v>13</v>
      </c>
      <c r="T18" s="404">
        <v>14</v>
      </c>
      <c r="U18" s="404">
        <v>15</v>
      </c>
      <c r="V18" s="404">
        <v>16</v>
      </c>
      <c r="W18" s="404">
        <v>17</v>
      </c>
      <c r="X18" s="404">
        <v>18</v>
      </c>
      <c r="Y18" s="404">
        <v>19</v>
      </c>
      <c r="Z18" s="404">
        <v>20</v>
      </c>
      <c r="AA18" s="404">
        <v>21</v>
      </c>
      <c r="AB18" s="404">
        <v>22</v>
      </c>
      <c r="AC18" s="404">
        <v>23</v>
      </c>
      <c r="AD18" s="404">
        <v>24</v>
      </c>
      <c r="AE18" s="403"/>
      <c r="AF18" s="403"/>
      <c r="AG18" s="403"/>
      <c r="AH18" s="404">
        <v>1</v>
      </c>
      <c r="AI18" s="404">
        <v>2</v>
      </c>
      <c r="AJ18" s="404">
        <v>3</v>
      </c>
      <c r="AK18" s="404">
        <v>4</v>
      </c>
      <c r="AL18" s="404">
        <v>5</v>
      </c>
      <c r="AM18" s="404">
        <v>6</v>
      </c>
      <c r="AN18" s="404">
        <v>7</v>
      </c>
      <c r="AO18" s="404">
        <v>8</v>
      </c>
      <c r="AP18" s="404">
        <v>9</v>
      </c>
      <c r="AQ18" s="404">
        <v>10</v>
      </c>
      <c r="AR18" s="404">
        <v>11</v>
      </c>
      <c r="AS18" s="404">
        <v>12</v>
      </c>
      <c r="AT18" s="404">
        <v>13</v>
      </c>
      <c r="AU18" s="404">
        <v>14</v>
      </c>
      <c r="AV18" s="404">
        <v>15</v>
      </c>
      <c r="AW18" s="404">
        <v>16</v>
      </c>
      <c r="AX18" s="404">
        <v>17</v>
      </c>
      <c r="AY18" s="404">
        <v>18</v>
      </c>
      <c r="AZ18" s="404">
        <v>19</v>
      </c>
      <c r="BA18" s="404">
        <v>20</v>
      </c>
      <c r="BB18" s="404">
        <v>21</v>
      </c>
      <c r="BC18" s="404">
        <v>22</v>
      </c>
      <c r="BD18" s="404">
        <v>23</v>
      </c>
      <c r="BE18" s="404">
        <v>24</v>
      </c>
    </row>
    <row r="19" spans="1:66" x14ac:dyDescent="0.35">
      <c r="A19" s="365" t="s">
        <v>331</v>
      </c>
      <c r="E19" s="590" t="s">
        <v>315</v>
      </c>
      <c r="F19" s="55">
        <v>19</v>
      </c>
      <c r="G19" s="54"/>
      <c r="H19" s="54"/>
      <c r="I19" s="54"/>
      <c r="J19" s="54"/>
      <c r="K19" s="54"/>
      <c r="L19" s="54"/>
      <c r="M19" s="54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55">
        <v>19</v>
      </c>
      <c r="AF19" s="24"/>
      <c r="AG19" s="55">
        <v>19</v>
      </c>
      <c r="AH19" s="54"/>
      <c r="AI19" s="54"/>
      <c r="AJ19" s="54"/>
      <c r="AK19" s="54"/>
      <c r="AL19" s="54"/>
      <c r="AM19" s="54"/>
      <c r="AN19" s="54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57">
        <v>19</v>
      </c>
      <c r="BG19" s="590" t="s">
        <v>315</v>
      </c>
      <c r="BH19" s="53"/>
      <c r="BI19" s="53"/>
      <c r="BJ19" s="53"/>
      <c r="BK19" s="53"/>
      <c r="BL19" s="53"/>
      <c r="BM19" s="53"/>
      <c r="BN19" s="53"/>
    </row>
    <row r="20" spans="1:66" ht="15" thickBot="1" x14ac:dyDescent="0.4">
      <c r="A20" s="365" t="s">
        <v>159</v>
      </c>
      <c r="E20" s="590"/>
      <c r="F20" s="55">
        <v>18</v>
      </c>
      <c r="G20" s="504"/>
      <c r="H20" s="504"/>
      <c r="I20" s="504"/>
      <c r="J20" s="504"/>
      <c r="K20" s="504"/>
      <c r="L20" s="504"/>
      <c r="M20" s="504"/>
      <c r="N20" s="50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5">
        <v>18</v>
      </c>
      <c r="AG20" s="55">
        <v>18</v>
      </c>
      <c r="AH20" s="504"/>
      <c r="AI20" s="504"/>
      <c r="AJ20" s="504"/>
      <c r="AK20" s="504"/>
      <c r="AL20" s="504"/>
      <c r="AM20" s="504"/>
      <c r="AN20" s="504"/>
      <c r="AO20" s="504"/>
      <c r="AP20" s="514"/>
      <c r="AQ20" s="514"/>
      <c r="AR20" s="514"/>
      <c r="AS20" s="514"/>
      <c r="AT20" s="514"/>
      <c r="AU20" s="514"/>
      <c r="AV20" s="514"/>
      <c r="AW20" s="514"/>
      <c r="AX20" s="514"/>
      <c r="AY20" s="514"/>
      <c r="AZ20" s="514"/>
      <c r="BA20" s="514"/>
      <c r="BB20" s="514"/>
      <c r="BC20" s="514"/>
      <c r="BD20" s="514"/>
      <c r="BE20" s="514"/>
      <c r="BF20" s="57">
        <v>18</v>
      </c>
      <c r="BG20" s="590"/>
      <c r="BH20" s="53"/>
      <c r="BI20" s="53"/>
      <c r="BJ20" s="53"/>
      <c r="BK20" s="53"/>
      <c r="BL20" s="53"/>
      <c r="BM20" s="53"/>
      <c r="BN20" s="53"/>
    </row>
    <row r="21" spans="1:66" ht="16" thickBot="1" x14ac:dyDescent="0.4">
      <c r="E21" s="590"/>
      <c r="F21" s="507">
        <v>17</v>
      </c>
      <c r="G21" s="508"/>
      <c r="H21" s="509"/>
      <c r="I21" s="509"/>
      <c r="J21" s="509"/>
      <c r="K21" s="509"/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13">
        <v>17</v>
      </c>
      <c r="AF21" s="24"/>
      <c r="AG21" s="507">
        <v>17</v>
      </c>
      <c r="AH21" s="508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2">
        <v>17</v>
      </c>
      <c r="BG21" s="590"/>
      <c r="BH21" s="53"/>
      <c r="BI21" s="53"/>
      <c r="BJ21" s="53"/>
      <c r="BK21" s="53"/>
      <c r="BL21" s="53"/>
      <c r="BM21" s="53"/>
      <c r="BN21" s="53"/>
    </row>
    <row r="22" spans="1:66" x14ac:dyDescent="0.35">
      <c r="A22" s="335" t="s">
        <v>129</v>
      </c>
      <c r="B22" s="336"/>
      <c r="C22" s="336"/>
      <c r="D22" s="337"/>
      <c r="E22" s="590"/>
      <c r="F22" s="55">
        <v>16</v>
      </c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5">
        <v>16</v>
      </c>
      <c r="AF22" s="24"/>
      <c r="AG22" s="55">
        <v>16</v>
      </c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506"/>
      <c r="AX22" s="506"/>
      <c r="AY22" s="506"/>
      <c r="AZ22" s="506"/>
      <c r="BA22" s="506"/>
      <c r="BB22" s="506"/>
      <c r="BC22" s="506"/>
      <c r="BD22" s="506"/>
      <c r="BE22" s="506"/>
      <c r="BF22" s="55">
        <v>16</v>
      </c>
      <c r="BG22" s="590"/>
      <c r="BH22" s="53"/>
      <c r="BI22" s="53"/>
      <c r="BJ22" s="53"/>
      <c r="BK22" s="53"/>
      <c r="BL22" s="53"/>
      <c r="BM22" s="53"/>
      <c r="BN22" s="53"/>
    </row>
    <row r="23" spans="1:66" x14ac:dyDescent="0.35">
      <c r="A23" s="338" t="s">
        <v>125</v>
      </c>
      <c r="B23" s="339" t="s">
        <v>126</v>
      </c>
      <c r="C23" s="339" t="s">
        <v>114</v>
      </c>
      <c r="D23" s="340" t="s">
        <v>11</v>
      </c>
      <c r="E23" s="590"/>
      <c r="F23" s="55">
        <v>15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5">
        <v>15</v>
      </c>
      <c r="AF23" s="24"/>
      <c r="AG23" s="55">
        <v>15</v>
      </c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5">
        <v>15</v>
      </c>
      <c r="BG23" s="590"/>
      <c r="BH23" s="53"/>
      <c r="BI23" s="53"/>
      <c r="BJ23" s="53"/>
      <c r="BK23" s="53"/>
      <c r="BL23" s="53"/>
      <c r="BM23" s="53"/>
      <c r="BN23" s="53"/>
    </row>
    <row r="24" spans="1:66" x14ac:dyDescent="0.35">
      <c r="A24" s="341">
        <v>9.1542750929368033E-2</v>
      </c>
      <c r="B24" s="342">
        <v>0.1449814126394052</v>
      </c>
      <c r="C24" s="343">
        <f>B24-A24</f>
        <v>5.3438661710037166E-2</v>
      </c>
      <c r="D24" s="344">
        <f>1/C24</f>
        <v>18.713043478260872</v>
      </c>
      <c r="E24" s="590"/>
      <c r="F24" s="55">
        <v>14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5">
        <v>14</v>
      </c>
      <c r="AF24" s="24"/>
      <c r="AG24" s="55">
        <v>14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5">
        <v>14</v>
      </c>
      <c r="BG24" s="590"/>
      <c r="BH24" s="53"/>
      <c r="BI24" s="53"/>
      <c r="BJ24" s="53"/>
      <c r="BK24" s="53"/>
      <c r="BL24" s="53"/>
      <c r="BM24" s="53"/>
      <c r="BN24" s="53"/>
    </row>
    <row r="25" spans="1:66" ht="15" thickBot="1" x14ac:dyDescent="0.4">
      <c r="A25" s="483" t="s">
        <v>308</v>
      </c>
      <c r="B25" s="379">
        <f>A24*D24</f>
        <v>1.7130434782608699</v>
      </c>
      <c r="C25" s="345">
        <f>C24*D24</f>
        <v>1</v>
      </c>
      <c r="D25" s="378">
        <f>(1-B24)*D24</f>
        <v>16</v>
      </c>
      <c r="E25" s="590"/>
      <c r="F25" s="55">
        <v>13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>
        <v>13</v>
      </c>
      <c r="AF25" s="24"/>
      <c r="AG25" s="55">
        <v>13</v>
      </c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5">
        <v>13</v>
      </c>
      <c r="BG25" s="590"/>
      <c r="BH25" s="53"/>
      <c r="BI25" s="53"/>
      <c r="BJ25" s="53"/>
      <c r="BK25" s="53"/>
      <c r="BL25" s="53"/>
      <c r="BM25" s="53"/>
      <c r="BN25" s="53"/>
    </row>
    <row r="26" spans="1:66" x14ac:dyDescent="0.35">
      <c r="F26" s="55">
        <v>12</v>
      </c>
      <c r="G26" s="406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5">
        <v>12</v>
      </c>
      <c r="AF26" s="56"/>
      <c r="AG26" s="55">
        <v>12</v>
      </c>
      <c r="AH26" s="406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5">
        <v>12</v>
      </c>
      <c r="BG26" s="53"/>
      <c r="BH26" s="53"/>
      <c r="BI26" s="53"/>
      <c r="BJ26" s="53"/>
      <c r="BK26" s="53"/>
      <c r="BL26" s="53"/>
      <c r="BM26" s="53"/>
      <c r="BN26" s="53"/>
    </row>
    <row r="27" spans="1:66" x14ac:dyDescent="0.35">
      <c r="F27" s="55">
        <v>11</v>
      </c>
      <c r="G27" s="406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5">
        <v>11</v>
      </c>
      <c r="AF27" s="56"/>
      <c r="AG27" s="55">
        <v>11</v>
      </c>
      <c r="AH27" s="406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5">
        <v>11</v>
      </c>
      <c r="BG27" s="53"/>
      <c r="BH27" s="53"/>
      <c r="BI27" s="53"/>
      <c r="BJ27" s="53"/>
      <c r="BK27" s="53"/>
      <c r="BL27" s="53"/>
      <c r="BM27" s="53"/>
      <c r="BN27" s="53"/>
    </row>
    <row r="28" spans="1:66" x14ac:dyDescent="0.35">
      <c r="F28" s="55">
        <v>10</v>
      </c>
      <c r="G28" s="40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5">
        <v>10</v>
      </c>
      <c r="AG28" s="55">
        <v>10</v>
      </c>
      <c r="AH28" s="406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5">
        <v>10</v>
      </c>
    </row>
    <row r="29" spans="1:66" x14ac:dyDescent="0.35">
      <c r="F29" s="55">
        <v>9</v>
      </c>
      <c r="G29" s="40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5">
        <v>9</v>
      </c>
      <c r="AG29" s="55">
        <v>9</v>
      </c>
      <c r="AH29" s="406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5">
        <v>9</v>
      </c>
    </row>
    <row r="30" spans="1:66" x14ac:dyDescent="0.35">
      <c r="F30" s="55">
        <v>8</v>
      </c>
      <c r="G30" s="40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5">
        <v>8</v>
      </c>
      <c r="AG30" s="55">
        <v>8</v>
      </c>
      <c r="AH30" s="406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5">
        <v>8</v>
      </c>
    </row>
    <row r="31" spans="1:66" x14ac:dyDescent="0.35">
      <c r="F31" s="55">
        <v>7</v>
      </c>
      <c r="G31" s="40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5">
        <v>7</v>
      </c>
      <c r="AG31" s="55">
        <v>7</v>
      </c>
      <c r="AH31" s="406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5">
        <v>7</v>
      </c>
    </row>
    <row r="32" spans="1:66" x14ac:dyDescent="0.35">
      <c r="F32" s="55">
        <v>6</v>
      </c>
      <c r="G32" s="406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5">
        <v>6</v>
      </c>
      <c r="AG32" s="55">
        <v>6</v>
      </c>
      <c r="AH32" s="406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5">
        <v>6</v>
      </c>
    </row>
    <row r="33" spans="6:58" x14ac:dyDescent="0.35">
      <c r="F33" s="55">
        <v>5</v>
      </c>
      <c r="G33" s="406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>
        <v>5</v>
      </c>
      <c r="AG33" s="55">
        <v>5</v>
      </c>
      <c r="AH33" s="406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5">
        <v>5</v>
      </c>
    </row>
    <row r="34" spans="6:58" x14ac:dyDescent="0.35">
      <c r="F34" s="55">
        <v>4</v>
      </c>
      <c r="G34" s="406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5">
        <v>4</v>
      </c>
      <c r="AG34" s="55">
        <v>4</v>
      </c>
      <c r="AH34" s="406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5">
        <v>4</v>
      </c>
    </row>
    <row r="35" spans="6:58" x14ac:dyDescent="0.35">
      <c r="F35" s="55">
        <v>3</v>
      </c>
      <c r="G35" s="406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5">
        <v>3</v>
      </c>
      <c r="AG35" s="55">
        <v>3</v>
      </c>
      <c r="AH35" s="406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5">
        <v>3</v>
      </c>
    </row>
    <row r="36" spans="6:58" x14ac:dyDescent="0.35">
      <c r="F36" s="55">
        <v>2</v>
      </c>
      <c r="G36" s="406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5">
        <v>2</v>
      </c>
      <c r="AG36" s="55">
        <v>2</v>
      </c>
      <c r="AH36" s="406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5">
        <v>2</v>
      </c>
    </row>
    <row r="37" spans="6:58" x14ac:dyDescent="0.35">
      <c r="F37" s="55">
        <v>1</v>
      </c>
      <c r="G37" s="406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5">
        <v>1</v>
      </c>
      <c r="AG37" s="55">
        <v>1</v>
      </c>
      <c r="AH37" s="406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5">
        <v>1</v>
      </c>
    </row>
    <row r="38" spans="6:58" x14ac:dyDescent="0.35">
      <c r="G38" s="404">
        <v>1</v>
      </c>
      <c r="H38" s="404">
        <v>2</v>
      </c>
      <c r="I38" s="404">
        <v>3</v>
      </c>
      <c r="J38" s="404">
        <v>4</v>
      </c>
      <c r="K38" s="404">
        <v>5</v>
      </c>
      <c r="L38" s="404">
        <v>6</v>
      </c>
      <c r="M38" s="404">
        <v>7</v>
      </c>
      <c r="N38" s="404">
        <v>8</v>
      </c>
      <c r="O38" s="404">
        <v>9</v>
      </c>
      <c r="P38" s="404">
        <v>10</v>
      </c>
      <c r="Q38" s="404">
        <v>11</v>
      </c>
      <c r="R38" s="404">
        <v>12</v>
      </c>
      <c r="S38" s="404">
        <v>13</v>
      </c>
      <c r="T38" s="404">
        <v>14</v>
      </c>
      <c r="U38" s="404">
        <v>15</v>
      </c>
      <c r="V38" s="404">
        <v>16</v>
      </c>
      <c r="W38" s="404">
        <v>17</v>
      </c>
      <c r="X38" s="404">
        <v>18</v>
      </c>
      <c r="Y38" s="404">
        <v>19</v>
      </c>
      <c r="Z38" s="404">
        <v>20</v>
      </c>
      <c r="AA38" s="404">
        <v>21</v>
      </c>
      <c r="AB38" s="404">
        <v>22</v>
      </c>
      <c r="AC38" s="404">
        <v>23</v>
      </c>
      <c r="AD38" s="404">
        <v>24</v>
      </c>
      <c r="AE38" s="403"/>
      <c r="AF38" s="403"/>
      <c r="AG38" s="403"/>
      <c r="AH38" s="405">
        <v>1</v>
      </c>
      <c r="AI38" s="404">
        <v>2</v>
      </c>
      <c r="AJ38" s="404">
        <v>3</v>
      </c>
      <c r="AK38" s="404">
        <v>4</v>
      </c>
      <c r="AL38" s="404">
        <v>5</v>
      </c>
      <c r="AM38" s="404">
        <v>6</v>
      </c>
      <c r="AN38" s="404">
        <v>7</v>
      </c>
      <c r="AO38" s="404">
        <v>8</v>
      </c>
      <c r="AP38" s="404">
        <v>9</v>
      </c>
      <c r="AQ38" s="404">
        <v>10</v>
      </c>
      <c r="AR38" s="404">
        <v>11</v>
      </c>
      <c r="AS38" s="404">
        <v>12</v>
      </c>
      <c r="AT38" s="404">
        <v>13</v>
      </c>
      <c r="AU38" s="404">
        <v>14</v>
      </c>
      <c r="AV38" s="404">
        <v>15</v>
      </c>
      <c r="AW38" s="404">
        <v>16</v>
      </c>
      <c r="AX38" s="404">
        <v>17</v>
      </c>
      <c r="AY38" s="404">
        <v>18</v>
      </c>
      <c r="AZ38" s="404">
        <v>19</v>
      </c>
      <c r="BA38" s="404">
        <v>20</v>
      </c>
      <c r="BB38" s="404">
        <v>21</v>
      </c>
      <c r="BC38" s="404">
        <v>22</v>
      </c>
      <c r="BD38" s="404">
        <v>23</v>
      </c>
      <c r="BE38" s="404">
        <v>24</v>
      </c>
    </row>
    <row r="39" spans="6:58" x14ac:dyDescent="0.35">
      <c r="F39" s="24"/>
      <c r="G39" s="52" t="s">
        <v>145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H39" s="52" t="s">
        <v>145</v>
      </c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6:58" x14ac:dyDescent="0.35">
      <c r="G40" s="52" t="s">
        <v>330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1"/>
      <c r="AE40" s="51"/>
      <c r="AF40" s="51"/>
      <c r="AG40" s="51"/>
      <c r="AH40" s="52" t="s">
        <v>14</v>
      </c>
      <c r="AI40" s="52"/>
    </row>
    <row r="41" spans="6:58" x14ac:dyDescent="0.35">
      <c r="AI41" s="52"/>
    </row>
  </sheetData>
  <mergeCells count="8">
    <mergeCell ref="E19:E25"/>
    <mergeCell ref="BG19:BG25"/>
    <mergeCell ref="A4:BG4"/>
    <mergeCell ref="A16:D18"/>
    <mergeCell ref="D8:D9"/>
    <mergeCell ref="C9:C10"/>
    <mergeCell ref="A14:B14"/>
    <mergeCell ref="F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IncAcum</vt:lpstr>
      <vt:lpstr>Gráf1 Mort 3x3</vt:lpstr>
      <vt:lpstr>Gráf2 Decl FGe+50pc 3x3</vt:lpstr>
      <vt:lpstr>Gráf3 VarPrim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2022-12-17T15:58:04Z</dcterms:modified>
</cp:coreProperties>
</file>