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VÑ SCORED\"/>
    </mc:Choice>
  </mc:AlternateContent>
  <xr:revisionPtr revIDLastSave="0" documentId="13_ncr:1_{0CD044AC-6F7F-413A-A5D3-D8BAA090FB12}" xr6:coauthVersionLast="47" xr6:coauthVersionMax="47" xr10:uidLastSave="{00000000-0000-0000-0000-000000000000}"/>
  <bookViews>
    <workbookView xWindow="1580" yWindow="730" windowWidth="17620" windowHeight="9470" tabRatio="642" xr2:uid="{00000000-000D-0000-FFFF-FFFF00000000}"/>
  </bookViews>
  <sheets>
    <sheet name="IncAcum" sheetId="6" r:id="rId1"/>
    <sheet name="Gráf1 InsCar, 3x3" sheetId="11" r:id="rId2"/>
    <sheet name="Gráf2 MortCV InsCar, 3x3" sheetId="4" r:id="rId3"/>
    <sheet name="Gráf3 MorCV IM Ict, 3x3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3" i="6" l="1"/>
  <c r="P93" i="6"/>
  <c r="O94" i="6"/>
  <c r="P94" i="6"/>
  <c r="O95" i="6"/>
  <c r="P95" i="6"/>
  <c r="O96" i="6"/>
  <c r="P96" i="6"/>
  <c r="O97" i="6"/>
  <c r="P97" i="6"/>
  <c r="O98" i="6"/>
  <c r="P98" i="6"/>
  <c r="O99" i="6"/>
  <c r="P99" i="6"/>
  <c r="O100" i="6"/>
  <c r="P100" i="6"/>
  <c r="O101" i="6"/>
  <c r="P101" i="6"/>
  <c r="P92" i="6"/>
  <c r="O92" i="6"/>
  <c r="D9" i="6"/>
  <c r="B14" i="6" l="1"/>
  <c r="B21" i="6"/>
  <c r="B22" i="6"/>
  <c r="B53" i="6"/>
  <c r="C23" i="12"/>
  <c r="D23" i="12" s="1"/>
  <c r="D24" i="12" s="1"/>
  <c r="D13" i="12"/>
  <c r="C13" i="12"/>
  <c r="B5" i="12"/>
  <c r="E2" i="12" s="1"/>
  <c r="G2" i="12" s="1"/>
  <c r="A1" i="12"/>
  <c r="D7" i="12" s="1"/>
  <c r="C24" i="12" l="1"/>
  <c r="C9" i="12"/>
  <c r="C14" i="12" s="1"/>
  <c r="B24" i="12"/>
  <c r="C7" i="12"/>
  <c r="C8" i="12"/>
  <c r="D8" i="12"/>
  <c r="D10" i="12"/>
  <c r="D14" i="12" s="1"/>
  <c r="F14" i="12"/>
  <c r="A1" i="11"/>
  <c r="C23" i="11"/>
  <c r="D13" i="11"/>
  <c r="C13" i="11"/>
  <c r="B5" i="11"/>
  <c r="D10" i="11" s="1"/>
  <c r="C11" i="12" l="1"/>
  <c r="D11" i="12"/>
  <c r="D14" i="11"/>
  <c r="D7" i="11"/>
  <c r="C8" i="11"/>
  <c r="D23" i="11"/>
  <c r="D24" i="11" s="1"/>
  <c r="D8" i="11"/>
  <c r="D11" i="11" s="1"/>
  <c r="B24" i="11"/>
  <c r="C9" i="11"/>
  <c r="C14" i="11" s="1"/>
  <c r="C7" i="11"/>
  <c r="E2" i="11"/>
  <c r="G2" i="11" s="1"/>
  <c r="C24" i="11" l="1"/>
  <c r="F14" i="11"/>
  <c r="C11" i="11"/>
  <c r="G8" i="6" l="1"/>
  <c r="I8" i="6" s="1"/>
  <c r="O8" i="6" s="1"/>
  <c r="G7" i="6"/>
  <c r="I7" i="6" s="1"/>
  <c r="O7" i="6" s="1"/>
  <c r="E8" i="6"/>
  <c r="E7" i="6"/>
  <c r="I9" i="6" l="1"/>
  <c r="O9" i="6" s="1"/>
  <c r="B5" i="4"/>
  <c r="S5" i="6"/>
  <c r="C23" i="4"/>
  <c r="D23" i="4" l="1"/>
  <c r="D24" i="4" l="1"/>
  <c r="B24" i="4"/>
  <c r="C24" i="4"/>
  <c r="V62" i="6" l="1"/>
  <c r="P14" i="6"/>
  <c r="T14" i="6"/>
  <c r="O14" i="6"/>
  <c r="S14" i="6" l="1"/>
  <c r="R14" i="6"/>
  <c r="Q14" i="6" l="1"/>
  <c r="S7" i="6"/>
  <c r="V7" i="6" s="1"/>
  <c r="T62" i="6"/>
  <c r="S6" i="6"/>
  <c r="V6" i="6" s="1"/>
  <c r="S62" i="6"/>
  <c r="R62" i="6" l="1"/>
  <c r="U62" i="6" s="1"/>
  <c r="S8" i="6"/>
  <c r="D56" i="6"/>
  <c r="G61" i="6"/>
  <c r="E41" i="6"/>
  <c r="E40" i="6"/>
  <c r="I23" i="6"/>
  <c r="I22" i="6"/>
  <c r="C22" i="6"/>
  <c r="I21" i="6"/>
  <c r="C21" i="6"/>
  <c r="G14" i="6"/>
  <c r="E54" i="6" s="1"/>
  <c r="D14" i="6"/>
  <c r="F9" i="6"/>
  <c r="B23" i="6"/>
  <c r="V8" i="6" l="1"/>
  <c r="V9" i="6" s="1"/>
  <c r="G9" i="6"/>
  <c r="C23" i="6"/>
  <c r="G23" i="6" s="1"/>
  <c r="S9" i="6"/>
  <c r="T8" i="6" s="1"/>
  <c r="E22" i="6"/>
  <c r="E42" i="6"/>
  <c r="N21" i="6"/>
  <c r="C41" i="6"/>
  <c r="C46" i="6" s="1"/>
  <c r="G21" i="6"/>
  <c r="G22" i="6"/>
  <c r="D22" i="6"/>
  <c r="J22" i="6" s="1"/>
  <c r="K56" i="6" s="1"/>
  <c r="D58" i="6" s="1"/>
  <c r="D62" i="6" s="1"/>
  <c r="C56" i="6"/>
  <c r="E61" i="6"/>
  <c r="K14" i="6"/>
  <c r="F61" i="6"/>
  <c r="C40" i="6"/>
  <c r="T7" i="6" l="1"/>
  <c r="T6" i="6"/>
  <c r="F22" i="6"/>
  <c r="L22" i="6" s="1"/>
  <c r="M56" i="6" s="1"/>
  <c r="C42" i="6"/>
  <c r="E21" i="6"/>
  <c r="N23" i="6"/>
  <c r="D21" i="6"/>
  <c r="F21" i="6" s="1"/>
  <c r="E9" i="6"/>
  <c r="C14" i="6"/>
  <c r="F14" i="6" s="1"/>
  <c r="I14" i="6" s="1"/>
  <c r="C45" i="6"/>
  <c r="E23" i="6"/>
  <c r="D23" i="6"/>
  <c r="F23" i="6" s="1"/>
  <c r="K22" i="6" l="1"/>
  <c r="L56" i="6" s="1"/>
  <c r="N56" i="6" s="1"/>
  <c r="E14" i="6"/>
  <c r="H14" i="6" s="1"/>
  <c r="E55" i="6" s="1"/>
  <c r="M14" i="6"/>
  <c r="E56" i="6"/>
  <c r="Q28" i="6"/>
  <c r="J23" i="6"/>
  <c r="K57" i="6" s="1"/>
  <c r="W22" i="6"/>
  <c r="W21" i="6"/>
  <c r="J21" i="6"/>
  <c r="K55" i="6" s="1"/>
  <c r="J26" i="6"/>
  <c r="L23" i="6"/>
  <c r="M57" i="6" s="1"/>
  <c r="K23" i="6"/>
  <c r="L57" i="6" s="1"/>
  <c r="D41" i="6"/>
  <c r="D46" i="6" s="1"/>
  <c r="D40" i="6"/>
  <c r="L21" i="6"/>
  <c r="M55" i="6" s="1"/>
  <c r="K21" i="6"/>
  <c r="L55" i="6" s="1"/>
  <c r="L14" i="6" l="1"/>
  <c r="E58" i="6"/>
  <c r="E62" i="6" s="1"/>
  <c r="D42" i="6"/>
  <c r="D45" i="6"/>
  <c r="C48" i="6" s="1"/>
  <c r="K41" i="6"/>
  <c r="I40" i="6" s="1"/>
  <c r="F54" i="6"/>
  <c r="N31" i="6"/>
  <c r="N32" i="6" s="1"/>
  <c r="K26" i="6"/>
  <c r="L26" i="6"/>
  <c r="N22" i="6"/>
  <c r="N24" i="6" s="1"/>
  <c r="N25" i="6" s="1"/>
  <c r="N26" i="6" s="1"/>
  <c r="J27" i="6"/>
  <c r="J35" i="6" s="1"/>
  <c r="N57" i="6"/>
  <c r="N55" i="6"/>
  <c r="C58" i="6"/>
  <c r="C62" i="6" s="1"/>
  <c r="W23" i="6"/>
  <c r="W24" i="6" s="1"/>
  <c r="W25" i="6" s="1"/>
  <c r="J32" i="6" l="1"/>
  <c r="T3" i="6" s="1"/>
  <c r="F55" i="6"/>
  <c r="L27" i="6"/>
  <c r="K35" i="6" s="1"/>
  <c r="M62" i="6"/>
  <c r="P62" i="6" s="1"/>
  <c r="F56" i="6"/>
  <c r="L62" i="6"/>
  <c r="O62" i="6" s="1"/>
  <c r="K27" i="6"/>
  <c r="L35" i="6" s="1"/>
  <c r="G46" i="6"/>
  <c r="C49" i="6"/>
  <c r="J62" i="6" s="1"/>
  <c r="J34" i="6"/>
  <c r="J36" i="6"/>
  <c r="J31" i="6"/>
  <c r="U3" i="6" s="1"/>
  <c r="G54" i="6"/>
  <c r="J29" i="6"/>
  <c r="J37" i="6"/>
  <c r="J30" i="6"/>
  <c r="V3" i="6" s="1"/>
  <c r="H56" i="6"/>
  <c r="H58" i="6" s="1"/>
  <c r="H62" i="6" s="1"/>
  <c r="N33" i="6"/>
  <c r="S3" i="6" l="1"/>
  <c r="K32" i="6"/>
  <c r="F58" i="6"/>
  <c r="F62" i="6" s="1"/>
  <c r="G55" i="6"/>
  <c r="K36" i="6"/>
  <c r="L29" i="6"/>
  <c r="K34" i="6"/>
  <c r="L31" i="6"/>
  <c r="L30" i="6"/>
  <c r="K37" i="6"/>
  <c r="L36" i="6"/>
  <c r="K31" i="6"/>
  <c r="L34" i="6"/>
  <c r="K29" i="6"/>
  <c r="G56" i="6"/>
  <c r="K30" i="6"/>
  <c r="L37" i="6"/>
  <c r="L32" i="6"/>
  <c r="G58" i="6" l="1"/>
  <c r="G62" i="6" s="1"/>
  <c r="D13" i="4"/>
  <c r="C13" i="4"/>
  <c r="E2" i="4"/>
  <c r="G2" i="4" s="1"/>
  <c r="A1" i="4"/>
  <c r="D10" i="4" l="1"/>
  <c r="D14" i="4" s="1"/>
  <c r="C7" i="4"/>
  <c r="F14" i="4"/>
  <c r="D7" i="4"/>
  <c r="C8" i="4"/>
  <c r="D8" i="4"/>
  <c r="D11" i="4" s="1"/>
  <c r="C9" i="4"/>
  <c r="C14" i="4" s="1"/>
  <c r="C11" i="4" l="1"/>
</calcChain>
</file>

<file path=xl/sharedStrings.xml><?xml version="1.0" encoding="utf-8"?>
<sst xmlns="http://schemas.openxmlformats.org/spreadsheetml/2006/main" count="464" uniqueCount="316">
  <si>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</si>
  <si>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</si>
  <si>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</si>
  <si>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</si>
  <si>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</si>
  <si>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</si>
  <si>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</si>
  <si>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</si>
  <si>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</si>
  <si>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</si>
  <si>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</si>
  <si>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</si>
  <si>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</si>
  <si>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</si>
  <si>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Placebo</t>
  </si>
  <si>
    <t>Personas</t>
  </si>
  <si>
    <t>IC</t>
  </si>
  <si>
    <t xml:space="preserve"> </t>
  </si>
  <si>
    <t>Enferman</t>
  </si>
  <si>
    <t>No enferman</t>
  </si>
  <si>
    <t>Con eventos</t>
  </si>
  <si>
    <t>Sin eventos</t>
  </si>
  <si>
    <t>Total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</si>
  <si>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</si>
  <si>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</si>
  <si>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</si>
  <si>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</si>
  <si>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</si>
  <si>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</si>
  <si>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</si>
  <si>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</si>
  <si>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</si>
  <si>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</si>
  <si>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</si>
  <si>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</si>
  <si>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</si>
  <si>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</si>
  <si>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</si>
  <si>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</si>
  <si>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</si>
  <si>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</si>
  <si>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</si>
  <si>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</si>
  <si>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</si>
  <si>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</si>
  <si>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</si>
  <si>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</si>
  <si>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</si>
  <si>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</si>
  <si>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</si>
  <si>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</si>
  <si>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</si>
  <si>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</si>
  <si>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</si>
  <si>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</si>
  <si>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</si>
  <si>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</si>
  <si>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</si>
  <si>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</si>
  <si>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</si>
  <si>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</si>
  <si>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</si>
  <si>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</si>
  <si>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</si>
  <si>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</si>
  <si>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</si>
  <si>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</si>
  <si>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</si>
  <si>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</si>
  <si>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</si>
  <si>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</si>
  <si>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</si>
  <si>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</si>
  <si>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</si>
  <si>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</si>
  <si>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</si>
  <si>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</si>
  <si>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</si>
  <si>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</si>
  <si>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</si>
  <si>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</si>
  <si>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</si>
  <si>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</si>
  <si>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</si>
  <si>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</si>
  <si>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</si>
  <si>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</si>
  <si>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</si>
  <si>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</si>
  <si>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NND</t>
  </si>
  <si>
    <t>Enfermarán por tomar el Mto de Intervención</t>
  </si>
  <si>
    <t>Chi cuadrado de Pearson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</si>
  <si>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</si>
  <si>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</si>
  <si>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</si>
  <si>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</si>
  <si>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</si>
  <si>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</si>
  <si>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</si>
  <si>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</si>
  <si>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</si>
  <si>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</si>
  <si>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</si>
  <si>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</si>
  <si>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</si>
  <si>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</si>
  <si>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</si>
  <si>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</si>
  <si>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</si>
  <si>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</si>
  <si>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</si>
  <si>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</si>
  <si>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</si>
  <si>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</si>
  <si>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</si>
  <si>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</si>
  <si>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</si>
  <si>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</si>
  <si>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</si>
  <si>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</si>
  <si>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</si>
  <si>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</si>
  <si>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</si>
  <si>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</si>
  <si>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</si>
  <si>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</si>
  <si>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</si>
  <si>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</si>
  <si>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meses</t>
  </si>
  <si>
    <t>tiempo</t>
  </si>
  <si>
    <t>Meses</t>
  </si>
  <si>
    <t>RA interv</t>
  </si>
  <si>
    <t>RA contr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</si>
  <si>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</si>
  <si>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</si>
  <si>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</si>
  <si>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</si>
  <si>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</si>
  <si>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</si>
  <si>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</si>
  <si>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tiempo medio de Supervivencia Libre de Evento (tSLEv) sin la intervención</t>
  </si>
  <si>
    <t>Prolongación del tiempo medio de Supervivencia Libre de Evento (PtSLEv) por la intervención</t>
  </si>
  <si>
    <t>Resto de tiempo sin éxito durante todo el tiempo de seguimiento</t>
  </si>
  <si>
    <t>Total de t de seguimiento</t>
  </si>
  <si>
    <t>Total del tiempo medio de seguimiento</t>
  </si>
  <si>
    <t>% Interv (Fact Box)</t>
  </si>
  <si>
    <t>años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</si>
  <si>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</si>
  <si>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Hoja información al usuario (FACT BOX)</t>
  </si>
  <si>
    <t>Nº Eventos crudos (%)</t>
  </si>
  <si>
    <r>
      <t>Valor de</t>
    </r>
    <r>
      <rPr>
        <b/>
        <i/>
        <sz val="10"/>
        <rFont val="Calibri"/>
        <family val="2"/>
      </rPr>
      <t xml:space="preserve"> p</t>
    </r>
  </si>
  <si>
    <t>%Ev/año</t>
  </si>
  <si>
    <t>400/5292 (7,56%)</t>
  </si>
  <si>
    <t>530/5292 (10,02%)</t>
  </si>
  <si>
    <t>0,75 (0,67-0,85)</t>
  </si>
  <si>
    <t>2,46% (1,38% a 3,53%)</t>
  </si>
  <si>
    <t>41 (28 a 73)</t>
  </si>
  <si>
    <t>RAR (IC 95%) en 16 meses</t>
  </si>
  <si>
    <t>NNT (IC 95%) en 16 meses</t>
  </si>
  <si>
    <t>Medidas del efecto obtenidas por incidencias acumuladas, en 16 meses</t>
  </si>
  <si>
    <t>Sotaglifozina</t>
  </si>
  <si>
    <t>245/5292 (4,63%)</t>
  </si>
  <si>
    <t>360/5292 (6,8%)</t>
  </si>
  <si>
    <t>0,68 (0,58-0,8)</t>
  </si>
  <si>
    <t>2,17% (1,28% a 3,06%)</t>
  </si>
  <si>
    <t>46 (33 a 78)</t>
  </si>
  <si>
    <t>155/5292 (2,93%)</t>
  </si>
  <si>
    <t>170/5292 (3,21%)</t>
  </si>
  <si>
    <t>0,91 (0,74-1,13)</t>
  </si>
  <si>
    <t>0,28% (-0,38% a 0,94%)</t>
  </si>
  <si>
    <t>353 (106 a -264)</t>
  </si>
  <si>
    <t>Bhatt DL, Szarek M, Pitt B, Cannon CP, on behalf of the SCORED Investigators. Sotagliflozin in Patients with Diabetes and Chronic Kidney Disease. N Engl J Med. 2021 Jan 14;384(2):129-139.</t>
  </si>
  <si>
    <t>Variables experienciales</t>
  </si>
  <si>
    <t>20210114-ECA Scored 16m, DM2+ERC [Sotaglif vs Pl], -InsCar =Mort yCV. Bhatt</t>
  </si>
  <si>
    <t>Los 3 destinos del NNT (3dNNT)</t>
  </si>
  <si>
    <t>Los 3 tiempos biográficos (3tB)</t>
  </si>
  <si>
    <t>Variables NO experienciales</t>
  </si>
  <si>
    <t>Los 3 destinos NNT</t>
  </si>
  <si>
    <t>Mortalidad por cualquier causa</t>
  </si>
  <si>
    <t>246/5292 (4,65%)</t>
  </si>
  <si>
    <t>1 (0,84-1,19)</t>
  </si>
  <si>
    <t>0% (-0,8% a 0,8%)</t>
  </si>
  <si>
    <t>2,5%</t>
  </si>
  <si>
    <t>-------</t>
  </si>
  <si>
    <t>Mortalidad por causa CV</t>
  </si>
  <si>
    <t>37/5292 (0,7%)</t>
  </si>
  <si>
    <t>52/5292 (0,98%)</t>
  </si>
  <si>
    <t>0,71 (0,47-1,08)</t>
  </si>
  <si>
    <t>0,28% (-0,08% a 0,63%)</t>
  </si>
  <si>
    <t>353 (158 a -1325)</t>
  </si>
  <si>
    <r>
      <rPr>
        <b/>
        <sz val="11"/>
        <color rgb="FF993300"/>
        <rFont val="Calibri"/>
        <family val="2"/>
        <scheme val="minor"/>
      </rPr>
      <t>Tabla nnt-2:</t>
    </r>
    <r>
      <rPr>
        <b/>
        <sz val="11"/>
        <rFont val="Calibri"/>
        <family val="2"/>
        <scheme val="minor"/>
      </rPr>
      <t xml:space="preserve"> EFECTOS ADVERSOS ACUMULADOS MÁS RELEVANTES INFORMADOS POR LOS INVESTIGADORES</t>
    </r>
  </si>
  <si>
    <t>Medidas del efecto obtenidas por incidencias acumuladas</t>
  </si>
  <si>
    <t>RAR (IC 95%)</t>
  </si>
  <si>
    <t>EFECTOS ADVERSOS (EA) sin especificar los atribuidos a los tratamientos estudiados</t>
  </si>
  <si>
    <r>
      <t xml:space="preserve">Cualquier EA que amenaza la vida o el funcionamiento del paciente (“serious”) </t>
    </r>
    <r>
      <rPr>
        <sz val="10"/>
        <color indexed="12"/>
        <rFont val="Calibri"/>
        <family val="2"/>
      </rPr>
      <t>(*)</t>
    </r>
  </si>
  <si>
    <r>
      <rPr>
        <b/>
        <sz val="10"/>
        <color rgb="FF0000FF"/>
        <rFont val="Calibri"/>
        <family val="2"/>
        <scheme val="minor"/>
      </rPr>
      <t xml:space="preserve">(*) </t>
    </r>
    <r>
      <rPr>
        <sz val="10"/>
        <rFont val="Calibri"/>
        <family val="2"/>
        <scheme val="minor"/>
      </rPr>
      <t>La FDA define un evento adverso grave (serious adverse event, SAE) cuando el resultado del paciente es uno de los siguientes: 1) Mortalidad;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</si>
  <si>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</si>
  <si>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343/5292 (6,48%)</t>
  </si>
  <si>
    <t>442/5292 (8,35%)</t>
  </si>
  <si>
    <t>0,78 (0,68-0,89)</t>
  </si>
  <si>
    <t>1,87% (0,87% a 2,87%)</t>
  </si>
  <si>
    <t>53 (35 a 115)</t>
  </si>
  <si>
    <r>
      <t>1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evento de [MortCV, IAM o Ictus]</t>
    </r>
  </si>
  <si>
    <r>
      <t>Variable no experiencial: ¿</t>
    </r>
    <r>
      <rPr>
        <sz val="10"/>
        <color rgb="FF0000FF"/>
        <rFont val="Calibri"/>
        <family val="2"/>
        <scheme val="minor"/>
      </rPr>
      <t>1</t>
    </r>
    <r>
      <rPr>
        <b/>
        <vertAlign val="superscript"/>
        <sz val="10"/>
        <color rgb="FF0000FF"/>
        <rFont val="Calibri"/>
        <family val="2"/>
        <scheme val="minor"/>
      </rPr>
      <t>os</t>
    </r>
    <r>
      <rPr>
        <b/>
        <sz val="10"/>
        <color rgb="FF0000FF"/>
        <rFont val="Calibri"/>
        <family val="2"/>
        <scheme val="minor"/>
      </rPr>
      <t xml:space="preserve"> </t>
    </r>
    <r>
      <rPr>
        <sz val="10"/>
        <color rgb="FF0000FF"/>
        <rFont val="Calibri"/>
        <family val="2"/>
        <scheme val="minor"/>
      </rPr>
      <t>eventos de</t>
    </r>
    <r>
      <rPr>
        <b/>
        <sz val="10"/>
        <color rgb="FF0000FF"/>
        <rFont val="Calibri"/>
        <family val="2"/>
        <scheme val="minor"/>
      </rPr>
      <t xml:space="preserve"> MortC-vinsucár?</t>
    </r>
  </si>
  <si>
    <r>
      <t>Variable no experiencial: ¿</t>
    </r>
    <r>
      <rPr>
        <sz val="10"/>
        <color rgb="FF0000FF"/>
        <rFont val="Calibri"/>
        <family val="2"/>
        <scheme val="minor"/>
      </rPr>
      <t>1</t>
    </r>
    <r>
      <rPr>
        <b/>
        <vertAlign val="superscript"/>
        <sz val="10"/>
        <color rgb="FF0000FF"/>
        <rFont val="Calibri"/>
        <family val="2"/>
        <scheme val="minor"/>
      </rPr>
      <t>os</t>
    </r>
    <r>
      <rPr>
        <b/>
        <sz val="10"/>
        <color rgb="FF0000FF"/>
        <rFont val="Calibri"/>
        <family val="2"/>
        <scheme val="minor"/>
      </rPr>
      <t xml:space="preserve"> </t>
    </r>
    <r>
      <rPr>
        <sz val="10"/>
        <color rgb="FF0000FF"/>
        <rFont val="Calibri"/>
        <family val="2"/>
        <scheme val="minor"/>
      </rPr>
      <t>eventos de</t>
    </r>
    <r>
      <rPr>
        <b/>
        <sz val="10"/>
        <color rgb="FF0000FF"/>
        <rFont val="Calibri"/>
        <family val="2"/>
        <scheme val="minor"/>
      </rPr>
      <t xml:space="preserve"> MortC-viamíctus?</t>
    </r>
  </si>
  <si>
    <t>NNT (IC 95%)</t>
  </si>
  <si>
    <t>ECA SCORED, seguImiento 16,1 meses</t>
  </si>
  <si>
    <t>Tto estándar + Placebo, n= 5286</t>
  </si>
  <si>
    <t>Tto estándar + Sotaglifozina, n= 5292</t>
  </si>
  <si>
    <t>Tto estándar + Placebo, n= 5292</t>
  </si>
  <si>
    <t>Tto estándar + Sotaglifozina, n= 5291</t>
  </si>
  <si>
    <t>3720/5291 (70,31%)</t>
  </si>
  <si>
    <t>3743/5286 (70,81%)</t>
  </si>
  <si>
    <t>0,99 (0,97-1,02)</t>
  </si>
  <si>
    <t>0,5% (-1,23% a 2,24%)</t>
  </si>
  <si>
    <t>199 (45 a -81)</t>
  </si>
  <si>
    <t>8,17%</t>
  </si>
  <si>
    <t>1236/5291 (23,36%)</t>
  </si>
  <si>
    <t>1331/5286 (25,18%)</t>
  </si>
  <si>
    <t>0,93 (0,87-0,99)</t>
  </si>
  <si>
    <t>1,82% (0,19% a 3,45%)</t>
  </si>
  <si>
    <t>55 (29 a 537)</t>
  </si>
  <si>
    <t>58,79%</t>
  </si>
  <si>
    <t>228/5291 (4,31%)</t>
  </si>
  <si>
    <t>200/5286 (3,78%)</t>
  </si>
  <si>
    <t>1,14 (0,95-1,37)</t>
  </si>
  <si>
    <t>-0,53% (-1,28% a 0,23%)</t>
  </si>
  <si>
    <t>-190 (436 a -78)</t>
  </si>
  <si>
    <t>112/5291 (2,12%)</t>
  </si>
  <si>
    <t>94/5286 (1,78%)</t>
  </si>
  <si>
    <t>1,19 (0,91-1,56)</t>
  </si>
  <si>
    <t>-0,34% (-0,87% a 0,19%)</t>
  </si>
  <si>
    <t>-295 (514 a -115)</t>
  </si>
  <si>
    <t>24,19%</t>
  </si>
  <si>
    <t>EA que conducen a la muerte</t>
  </si>
  <si>
    <t>173/5291 (3,27%)</t>
  </si>
  <si>
    <t>192/5286 (3,63%)</t>
  </si>
  <si>
    <t>0,9 (0,74-1,1)</t>
  </si>
  <si>
    <t>0,36% (-0,34% a 1,06%)</t>
  </si>
  <si>
    <t>276 (94 a -297)</t>
  </si>
  <si>
    <t>17,4%</t>
  </si>
  <si>
    <t>Pacientes con al menos 1 EA de cualquier tipo</t>
  </si>
  <si>
    <t>Abandono del tratamiento por EA de cualquier tipo</t>
  </si>
  <si>
    <r>
      <t>Nº de pacientes con evento en</t>
    </r>
    <r>
      <rPr>
        <b/>
        <sz val="10"/>
        <rFont val="Calibri"/>
        <family val="2"/>
      </rPr>
      <t xml:space="preserve"> 16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</si>
  <si>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CV:</t>
    </r>
    <r>
      <rPr>
        <sz val="10"/>
        <rFont val="Calibri"/>
        <family val="2"/>
      </rPr>
      <t xml:space="preserve"> cardiovascular; </t>
    </r>
    <r>
      <rPr>
        <b/>
        <sz val="10"/>
        <rFont val="Calibri"/>
        <family val="2"/>
      </rPr>
      <t xml:space="preserve">DM2: </t>
    </r>
    <r>
      <rPr>
        <sz val="10"/>
        <rFont val="Calibri"/>
        <family val="2"/>
      </rPr>
      <t xml:space="preserve">diabetes mellitus tipo 2; </t>
    </r>
    <r>
      <rPr>
        <b/>
        <sz val="10"/>
        <rFont val="Calibri"/>
        <family val="2"/>
      </rPr>
      <t>ERC:</t>
    </r>
    <r>
      <rPr>
        <sz val="10"/>
        <rFont val="Calibri"/>
        <family val="2"/>
      </rPr>
      <t xml:space="preserve"> enfermedad renal crónica; </t>
    </r>
    <r>
      <rPr>
        <b/>
        <sz val="10"/>
        <rFont val="Calibri"/>
        <family val="2"/>
      </rPr>
      <t xml:space="preserve">ERT: </t>
    </r>
    <r>
      <rPr>
        <sz val="10"/>
        <rFont val="Calibri"/>
        <family val="2"/>
      </rPr>
      <t xml:space="preserve">enfermedad renal en etapa terminal; </t>
    </r>
    <r>
      <rPr>
        <b/>
        <sz val="10"/>
        <rFont val="Calibri"/>
        <family val="2"/>
      </rPr>
      <t>FGe:</t>
    </r>
    <r>
      <rPr>
        <sz val="10"/>
        <rFont val="Calibri"/>
        <family val="2"/>
      </rPr>
      <t xml:space="preserve"> filtración glomerular estimada, en ml/ min/ 1,73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de superficie corporal; </t>
    </r>
    <r>
      <rPr>
        <b/>
        <sz val="10"/>
        <rFont val="Calibri"/>
        <family val="2"/>
      </rPr>
      <t>Hosp:</t>
    </r>
    <r>
      <rPr>
        <sz val="10"/>
        <rFont val="Calibri"/>
        <family val="2"/>
      </rPr>
      <t xml:space="preserve"> hospitalización; </t>
    </r>
    <r>
      <rPr>
        <b/>
        <sz val="10"/>
        <rFont val="Calibri"/>
        <family val="2"/>
      </rPr>
      <t xml:space="preserve">IAM: </t>
    </r>
    <r>
      <rPr>
        <sz val="10"/>
        <rFont val="Calibri"/>
        <family val="2"/>
      </rPr>
      <t xml:space="preserve">infarto agudo de miocardio;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ml/min: mililitros por minuto; </t>
    </r>
    <r>
      <rPr>
        <b/>
        <sz val="10"/>
        <rFont val="Calibri"/>
        <family val="2"/>
      </rPr>
      <t xml:space="preserve">InsCar: </t>
    </r>
    <r>
      <rPr>
        <sz val="10"/>
        <rFont val="Calibri"/>
        <family val="2"/>
      </rPr>
      <t xml:space="preserve">insuficiencia cardíaca; </t>
    </r>
    <r>
      <rPr>
        <b/>
        <sz val="10"/>
        <rFont val="Calibri"/>
        <family val="2"/>
      </rPr>
      <t xml:space="preserve">Mort CV: </t>
    </r>
    <r>
      <rPr>
        <sz val="10"/>
        <rFont val="Calibri"/>
        <family val="2"/>
      </rPr>
      <t xml:space="preserve">mortalidad por causa cardiovascular;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para proteger a 1 paciente más que sin tratar;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 xml:space="preserve">RR: </t>
    </r>
    <r>
      <rPr>
        <sz val="10"/>
        <rFont val="Calibri"/>
        <family val="2"/>
      </rPr>
      <t>riesgo relativo (obtenido por incidencias acumuladas).</t>
    </r>
  </si>
  <si>
    <t>Hosp o visita a urgencias por InsCar</t>
  </si>
  <si>
    <r>
      <t>1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evento de [MortCV u Hosp o visita urg por InsCar]</t>
    </r>
  </si>
  <si>
    <t>EA de especial interés con los inhibidores del cotransportador sodio-glucosa tipo 2, SGTL-2</t>
  </si>
  <si>
    <t>Infección del tracto urinario</t>
  </si>
  <si>
    <t>Diarrea</t>
  </si>
  <si>
    <t>Contracción del volumen del líquido extracelular</t>
  </si>
  <si>
    <t>Fractura ósea</t>
  </si>
  <si>
    <t>Infección micotica genital</t>
  </si>
  <si>
    <t>Hipoglucemia (Glu plasma &lt; 76 mg/dl ó que requiere asistencia)</t>
  </si>
  <si>
    <t>Tromboembolismo venoso</t>
  </si>
  <si>
    <t>Cetoacidois diabética</t>
  </si>
  <si>
    <t>Pancreatitis</t>
  </si>
  <si>
    <t>610/5291 (11,53%)</t>
  </si>
  <si>
    <t>585/5286 (11,07%)</t>
  </si>
  <si>
    <t>1,04 (0,94-1,16)</t>
  </si>
  <si>
    <t>-0,46% (-1,67% a 0,75%)</t>
  </si>
  <si>
    <t>-216 (134 a -60)</t>
  </si>
  <si>
    <t>448/5291 (8,47%)</t>
  </si>
  <si>
    <t>315/5286 (5,96%)</t>
  </si>
  <si>
    <t>1,42 (1,24-1,63)</t>
  </si>
  <si>
    <t>-2,51% (-3,49% a -1,52%)</t>
  </si>
  <si>
    <t>-40 (-66 a -29)</t>
  </si>
  <si>
    <t>278/5291 (5,25%)</t>
  </si>
  <si>
    <t>213/5286 (4,03%)</t>
  </si>
  <si>
    <t>1,3 (1,1-1,55)</t>
  </si>
  <si>
    <t>-1,22% (-2,03% a -0,42%)</t>
  </si>
  <si>
    <t>-82 (-239 a -49)</t>
  </si>
  <si>
    <t>111/5291 (2,1%)</t>
  </si>
  <si>
    <t>117/5286 (2,21%)</t>
  </si>
  <si>
    <t>0,95 (0,73-1,23)</t>
  </si>
  <si>
    <t>0,12% (-0,44% a 0,67%)</t>
  </si>
  <si>
    <t>866 (149 a -226)</t>
  </si>
  <si>
    <t>125/5291 (2,36%)</t>
  </si>
  <si>
    <t>45/5286 (0,85%)</t>
  </si>
  <si>
    <t>2,78 (1,98-3,89)</t>
  </si>
  <si>
    <t>-1,51% (-1,98% a -1,02%)</t>
  </si>
  <si>
    <t>-66 (-98 a -50)</t>
  </si>
  <si>
    <t>53/5291 (1%)</t>
  </si>
  <si>
    <t>55/5286 (1,04%)</t>
  </si>
  <si>
    <t>0,96 (0,66-1,4)</t>
  </si>
  <si>
    <t>0,04% (-0,35% a 0,43%)</t>
  </si>
  <si>
    <t>2578 (234 a -285)</t>
  </si>
  <si>
    <t>31/5291 (0,59%)</t>
  </si>
  <si>
    <t>37/5286 (0,7%)</t>
  </si>
  <si>
    <t>0,84 (0,52-1,35)</t>
  </si>
  <si>
    <t>0,11% (-0,2% a 0,42%)</t>
  </si>
  <si>
    <t>877 (235 a -498)</t>
  </si>
  <si>
    <t>32/5291 (0,6%)</t>
  </si>
  <si>
    <t>33/5286 (0,62%)</t>
  </si>
  <si>
    <t>0,97 (0,6-1,57)</t>
  </si>
  <si>
    <t>0,02% (-0,29% a 0,33%)</t>
  </si>
  <si>
    <t>5131 (307 a -348)</t>
  </si>
  <si>
    <t>30/5291 (0,57%)</t>
  </si>
  <si>
    <t>14/5286 (0,26%)</t>
  </si>
  <si>
    <t>2,14 (1,14-4,03)</t>
  </si>
  <si>
    <t>-0,3% (-0,55% a -0,04%)</t>
  </si>
  <si>
    <t>-331 (-2617 a -182)</t>
  </si>
  <si>
    <t>12/5291 (0,23%)</t>
  </si>
  <si>
    <t>20/5286 (0,38%)</t>
  </si>
  <si>
    <t>0,6 (0,29-1,22)</t>
  </si>
  <si>
    <t>0,15% (-0,08% a 0,37%)</t>
  </si>
  <si>
    <t>660 (272 a -1323)</t>
  </si>
  <si>
    <t>Eventos que conducen a amputación</t>
  </si>
  <si>
    <r>
      <t>Abandono tratamiento por EA "serious"</t>
    </r>
    <r>
      <rPr>
        <i/>
        <sz val="10"/>
        <color rgb="FF0000FF"/>
        <rFont val="Calibri"/>
        <family val="2"/>
        <scheme val="minor"/>
      </rPr>
      <t>(*)</t>
    </r>
  </si>
  <si>
    <r>
      <rPr>
        <b/>
        <sz val="20"/>
        <color rgb="FF993300"/>
        <rFont val="Calibri"/>
        <family val="2"/>
        <scheme val="minor"/>
      </rPr>
      <t xml:space="preserve">Gráfico g-1: </t>
    </r>
    <r>
      <rPr>
        <b/>
        <sz val="20"/>
        <color theme="1"/>
        <rFont val="Calibri"/>
        <family val="2"/>
        <scheme val="minor"/>
      </rPr>
      <t>Cruce de "Los 3 tiempos biográficos (3tB)” con "Los 3 destinos del NNT (3dNNT)” en "Hospitalización o visita urgencias por Insuficiencia cardíaca", durante un seguimiento de 16 meses.</t>
    </r>
  </si>
  <si>
    <r>
      <rPr>
        <b/>
        <sz val="20"/>
        <color rgb="FF993300"/>
        <rFont val="Calibri"/>
        <family val="2"/>
        <scheme val="minor"/>
      </rPr>
      <t xml:space="preserve">Gráfico g-2: </t>
    </r>
    <r>
      <rPr>
        <b/>
        <sz val="20"/>
        <color theme="1"/>
        <rFont val="Calibri"/>
        <family val="2"/>
        <scheme val="minor"/>
      </rPr>
      <t>Cruce de "Los 3 tiempos biográficos (3tB)” con "Los 3 destinos del NNT (3dNNT)” en [Mort CV u Hospitalización o visita urgencias por Insuficiencia cardíaca], durante un seguimiento de 16 meses.</t>
    </r>
  </si>
  <si>
    <r>
      <rPr>
        <b/>
        <sz val="20"/>
        <color rgb="FF993300"/>
        <rFont val="Calibri"/>
        <family val="2"/>
        <scheme val="minor"/>
      </rPr>
      <t xml:space="preserve">Gráfico g-3: </t>
    </r>
    <r>
      <rPr>
        <b/>
        <sz val="20"/>
        <color theme="1"/>
        <rFont val="Calibri"/>
        <family val="2"/>
        <scheme val="minor"/>
      </rPr>
      <t>Cruce de "Los 3 tiempos biográficos (3tB)” con "Los 3 destinos del NNT (3dNNT)” en [Mort CV, IAM o Ictus], durante un seguimiento de 16 meses.</t>
    </r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</si>
  <si>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evento de </t>
    </r>
    <r>
      <rPr>
        <b/>
        <sz val="11"/>
        <rFont val="Calibri"/>
        <family val="2"/>
        <scheme val="minor"/>
      </rPr>
      <t>[Mort CV u Hosp o visita urgencias por InsCar]</t>
    </r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</si>
  <si>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evento de </t>
    </r>
    <r>
      <rPr>
        <b/>
        <sz val="11"/>
        <rFont val="Calibri"/>
        <family val="2"/>
        <scheme val="minor"/>
      </rPr>
      <t>[Mort CV, IAM o Ictus]</t>
    </r>
  </si>
  <si>
    <r>
      <rPr>
        <sz val="11"/>
        <rFont val="Calibri"/>
        <family val="2"/>
        <scheme val="minor"/>
      </rP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evento de </t>
    </r>
    <r>
      <rPr>
        <b/>
        <sz val="11"/>
        <rFont val="Calibri"/>
        <family val="2"/>
        <scheme val="minor"/>
      </rPr>
      <t>[Declinación FGe &gt; 50%, FGe &lt;15 ml/min, Diálisis de larga duración, o Trasplante renal]</t>
    </r>
  </si>
  <si>
    <r>
      <rPr>
        <b/>
        <sz val="12"/>
        <color indexed="60"/>
        <rFont val="Calibri"/>
        <family val="2"/>
      </rPr>
      <t xml:space="preserve">Tabla nnt-1: </t>
    </r>
    <r>
      <rPr>
        <b/>
        <sz val="12"/>
        <rFont val="Calibri"/>
        <family val="2"/>
      </rPr>
      <t>Pacientes de 69 años [rango, 63 a 74], con DM2, FGe 44 ml/min (IQR, 37 a 51), enfermedad CV en un 49% e insuficiencia cardíaca en un 31%.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</si>
</sst>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0.0%"/>
    <numFmt numFmtId="168" formatCode="_-* #,##0\ _€_-;\-* #,##0\ _€_-;_-* &quot;-&quot;??\ _€_-;_-@_-"/>
    <numFmt numFmtId="169" formatCode="_-* #,##0.000\ _€_-;\-* #,##0.000\ _€_-;_-* &quot;-&quot;??\ _€_-;_-@_-"/>
    <numFmt numFmtId="170" formatCode="#,##0.00_ ;\-#,##0.00\ "/>
    <numFmt numFmtId="171" formatCode="_-* #,##0.0000\ _€_-;\-* #,##0.0000\ _€_-;_-* &quot;-&quot;??\ _€_-;_-@_-"/>
    <numFmt numFmtId="172" formatCode="_-* #,##0.00000\ _€_-;\-* #,##0.00000\ _€_-;_-* &quot;-&quot;??\ _€_-;_-@_-"/>
    <numFmt numFmtId="173" formatCode="_-* #,##0.0\ _€_-;\-* #,##0.0\ _€_-;_-* &quot;-&quot;?\ _€_-;_-@_-"/>
    <numFmt numFmtId="174" formatCode="_-* #,##0.000000\ _€_-;\-* #,##0.000000\ _€_-;_-* &quot;-&quot;??\ _€_-;_-@_-"/>
    <numFmt numFmtId="175" formatCode="_-* #,##0.0000\ _€_-;\-* #,##0.0000\ _€_-;_-* &quot;-&quot;?\ _€_-;_-@_-"/>
    <numFmt numFmtId="176" formatCode="0.000"/>
    <numFmt numFmtId="177" formatCode="_-* #,##0.000\ _€_-;\-* #,##0.000\ _€_-;_-* &quot;-&quot;???\ _€_-;_-@_-"/>
    <numFmt numFmtId="178" formatCode="0.0000"/>
    <numFmt numFmtId="179" formatCode="0.0000%"/>
  </numFmts>
  <fonts count="9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rgb="FF006600"/>
      <name val="Calibri"/>
      <family val="2"/>
      <scheme val="minor"/>
    </font>
    <font>
      <b/>
      <vertAlign val="superscript"/>
      <sz val="10"/>
      <color rgb="FF0000FF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6699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u/>
      <sz val="10"/>
      <name val="Calibri"/>
      <family val="2"/>
    </font>
    <font>
      <b/>
      <sz val="11"/>
      <color rgb="FF0000FF"/>
      <name val="Calibri"/>
      <family val="2"/>
      <scheme val="minor"/>
    </font>
    <font>
      <b/>
      <sz val="12"/>
      <color indexed="60"/>
      <name val="Calibri"/>
      <family val="2"/>
    </font>
    <font>
      <b/>
      <sz val="11"/>
      <color rgb="FF9933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10"/>
      <color indexed="12"/>
      <name val="Calibri"/>
      <family val="2"/>
    </font>
    <font>
      <u/>
      <sz val="10"/>
      <color rgb="FF9933FF"/>
      <name val="Calibri"/>
      <family val="2"/>
      <scheme val="minor"/>
    </font>
    <font>
      <sz val="10"/>
      <color rgb="FF9933FF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0099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20"/>
      <color rgb="FF9933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rgb="FF008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" fontId="4" fillId="0" borderId="7" xfId="0" applyNumberFormat="1" applyFont="1" applyBorder="1"/>
    <xf numFmtId="0" fontId="2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" fontId="7" fillId="0" borderId="0" xfId="0" applyNumberFormat="1" applyFont="1"/>
    <xf numFmtId="167" fontId="8" fillId="0" borderId="0" xfId="2" applyNumberFormat="1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/>
    <xf numFmtId="167" fontId="10" fillId="0" borderId="0" xfId="2" applyNumberFormat="1" applyFont="1" applyAlignment="1">
      <alignment horizontal="center"/>
    </xf>
    <xf numFmtId="0" fontId="11" fillId="0" borderId="0" xfId="0" applyFont="1" applyAlignment="1">
      <alignment horizontal="right"/>
    </xf>
    <xf numFmtId="2" fontId="11" fillId="0" borderId="0" xfId="0" applyNumberFormat="1" applyFont="1"/>
    <xf numFmtId="167" fontId="12" fillId="0" borderId="0" xfId="2" applyNumberFormat="1" applyFont="1" applyAlignment="1">
      <alignment horizontal="center"/>
    </xf>
    <xf numFmtId="3" fontId="4" fillId="0" borderId="7" xfId="0" applyNumberFormat="1" applyFont="1" applyBorder="1"/>
    <xf numFmtId="1" fontId="11" fillId="0" borderId="0" xfId="0" applyNumberFormat="1" applyFont="1"/>
    <xf numFmtId="0" fontId="15" fillId="0" borderId="0" xfId="0" applyFont="1" applyAlignment="1">
      <alignment vertical="center"/>
    </xf>
    <xf numFmtId="0" fontId="0" fillId="0" borderId="0" xfId="0" applyBorder="1"/>
    <xf numFmtId="167" fontId="15" fillId="0" borderId="0" xfId="2" applyNumberFormat="1" applyFont="1" applyAlignment="1">
      <alignment horizontal="left" vertical="center"/>
    </xf>
    <xf numFmtId="0" fontId="15" fillId="0" borderId="0" xfId="0" applyFont="1"/>
    <xf numFmtId="49" fontId="15" fillId="0" borderId="0" xfId="0" applyNumberFormat="1" applyFont="1"/>
    <xf numFmtId="1" fontId="15" fillId="3" borderId="0" xfId="0" applyNumberFormat="1" applyFont="1" applyFill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top" wrapText="1"/>
    </xf>
    <xf numFmtId="0" fontId="1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wrapText="1"/>
    </xf>
    <xf numFmtId="2" fontId="7" fillId="2" borderId="7" xfId="0" applyNumberFormat="1" applyFont="1" applyFill="1" applyBorder="1" applyAlignment="1">
      <alignment vertical="center"/>
    </xf>
    <xf numFmtId="1" fontId="7" fillId="0" borderId="7" xfId="0" applyNumberFormat="1" applyFont="1" applyBorder="1" applyAlignment="1">
      <alignment vertical="center"/>
    </xf>
    <xf numFmtId="167" fontId="8" fillId="0" borderId="0" xfId="2" applyNumberFormat="1" applyFont="1" applyAlignment="1">
      <alignment horizontal="center" vertical="center"/>
    </xf>
    <xf numFmtId="167" fontId="8" fillId="0" borderId="0" xfId="0" applyNumberFormat="1" applyFont="1" applyAlignment="1">
      <alignment vertical="center" wrapText="1"/>
    </xf>
    <xf numFmtId="0" fontId="16" fillId="0" borderId="7" xfId="0" applyFont="1" applyBorder="1" applyAlignment="1">
      <alignment horizontal="right" wrapText="1"/>
    </xf>
    <xf numFmtId="2" fontId="16" fillId="2" borderId="7" xfId="0" applyNumberFormat="1" applyFont="1" applyFill="1" applyBorder="1" applyAlignment="1">
      <alignment vertical="center"/>
    </xf>
    <xf numFmtId="167" fontId="12" fillId="0" borderId="0" xfId="2" applyNumberFormat="1" applyFont="1" applyFill="1" applyBorder="1" applyAlignment="1">
      <alignment vertical="center"/>
    </xf>
    <xf numFmtId="0" fontId="11" fillId="0" borderId="7" xfId="0" applyFont="1" applyBorder="1" applyAlignment="1">
      <alignment horizontal="right" wrapText="1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7" fontId="12" fillId="0" borderId="0" xfId="2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vertical="center"/>
    </xf>
    <xf numFmtId="1" fontId="18" fillId="0" borderId="7" xfId="0" applyNumberFormat="1" applyFont="1" applyBorder="1" applyAlignment="1">
      <alignment horizontal="right" vertical="center"/>
    </xf>
    <xf numFmtId="9" fontId="15" fillId="0" borderId="0" xfId="0" applyNumberFormat="1" applyFont="1"/>
    <xf numFmtId="0" fontId="15" fillId="0" borderId="0" xfId="0" applyFont="1" applyAlignment="1">
      <alignment horizontal="left" vertical="top"/>
    </xf>
    <xf numFmtId="165" fontId="11" fillId="3" borderId="7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0" xfId="0" applyFill="1" applyBorder="1"/>
    <xf numFmtId="0" fontId="0" fillId="5" borderId="7" xfId="0" applyFill="1" applyBorder="1"/>
    <xf numFmtId="0" fontId="20" fillId="0" borderId="0" xfId="0" applyFont="1" applyAlignment="1">
      <alignment horizontal="center" vertical="center"/>
    </xf>
    <xf numFmtId="0" fontId="0" fillId="0" borderId="0" xfId="0" applyFill="1"/>
    <xf numFmtId="0" fontId="13" fillId="0" borderId="0" xfId="0" applyFont="1" applyBorder="1" applyAlignment="1">
      <alignment horizontal="center" vertical="center"/>
    </xf>
    <xf numFmtId="168" fontId="4" fillId="0" borderId="0" xfId="1" applyNumberFormat="1" applyFont="1" applyFill="1" applyBorder="1" applyAlignment="1"/>
    <xf numFmtId="168" fontId="21" fillId="0" borderId="0" xfId="1" applyNumberFormat="1" applyFont="1" applyFill="1" applyBorder="1" applyAlignment="1"/>
    <xf numFmtId="168" fontId="2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10" fontId="23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vertical="distributed"/>
    </xf>
    <xf numFmtId="0" fontId="2" fillId="0" borderId="7" xfId="0" applyFont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/>
    </xf>
    <xf numFmtId="0" fontId="25" fillId="0" borderId="0" xfId="0" applyFont="1" applyFill="1" applyBorder="1" applyAlignment="1">
      <alignment vertical="distributed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8" fillId="0" borderId="0" xfId="0" applyFont="1"/>
    <xf numFmtId="18" fontId="2" fillId="0" borderId="0" xfId="1" applyNumberFormat="1" applyFont="1" applyBorder="1" applyAlignment="1">
      <alignment horizontal="center"/>
    </xf>
    <xf numFmtId="9" fontId="2" fillId="0" borderId="0" xfId="0" applyNumberFormat="1" applyFont="1" applyBorder="1"/>
    <xf numFmtId="164" fontId="2" fillId="0" borderId="0" xfId="0" applyNumberFormat="1" applyFont="1"/>
    <xf numFmtId="164" fontId="29" fillId="0" borderId="0" xfId="1" applyFont="1" applyFill="1" applyBorder="1" applyAlignment="1">
      <alignment horizontal="center"/>
    </xf>
    <xf numFmtId="164" fontId="2" fillId="0" borderId="0" xfId="1" applyFont="1" applyFill="1"/>
    <xf numFmtId="0" fontId="30" fillId="0" borderId="0" xfId="0" applyFont="1" applyFill="1"/>
    <xf numFmtId="169" fontId="2" fillId="0" borderId="0" xfId="0" applyNumberFormat="1" applyFont="1" applyBorder="1" applyAlignment="1">
      <alignment horizontal="left" vertical="center"/>
    </xf>
    <xf numFmtId="166" fontId="4" fillId="0" borderId="1" xfId="1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4" xfId="0" applyFont="1" applyBorder="1"/>
    <xf numFmtId="0" fontId="4" fillId="0" borderId="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68" fontId="2" fillId="7" borderId="7" xfId="0" applyNumberFormat="1" applyFont="1" applyFill="1" applyBorder="1" applyAlignment="1">
      <alignment vertical="center"/>
    </xf>
    <xf numFmtId="168" fontId="2" fillId="0" borderId="7" xfId="0" applyNumberFormat="1" applyFont="1" applyBorder="1" applyAlignment="1">
      <alignment vertical="center"/>
    </xf>
    <xf numFmtId="168" fontId="2" fillId="7" borderId="7" xfId="1" applyNumberFormat="1" applyFont="1" applyFill="1" applyBorder="1" applyAlignment="1">
      <alignment vertical="center"/>
    </xf>
    <xf numFmtId="164" fontId="2" fillId="0" borderId="0" xfId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168" fontId="4" fillId="0" borderId="6" xfId="0" applyNumberFormat="1" applyFont="1" applyBorder="1" applyAlignment="1">
      <alignment horizontal="right"/>
    </xf>
    <xf numFmtId="10" fontId="2" fillId="0" borderId="0" xfId="2" applyNumberFormat="1" applyFont="1" applyFill="1"/>
    <xf numFmtId="10" fontId="2" fillId="0" borderId="0" xfId="0" applyNumberFormat="1" applyFont="1" applyFill="1"/>
    <xf numFmtId="0" fontId="32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15" xfId="1" applyFont="1" applyFill="1" applyBorder="1" applyAlignment="1">
      <alignment horizontal="center" vertical="center" wrapText="1"/>
    </xf>
    <xf numFmtId="164" fontId="4" fillId="0" borderId="15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170" fontId="2" fillId="0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67" fontId="4" fillId="0" borderId="7" xfId="2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4" fontId="34" fillId="0" borderId="0" xfId="1" applyFont="1" applyFill="1" applyBorder="1"/>
    <xf numFmtId="16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164" fontId="34" fillId="0" borderId="0" xfId="1" applyFont="1" applyFill="1" applyAlignment="1">
      <alignment horizontal="right"/>
    </xf>
    <xf numFmtId="0" fontId="34" fillId="0" borderId="0" xfId="0" applyFont="1" applyFill="1" applyBorder="1"/>
    <xf numFmtId="164" fontId="2" fillId="0" borderId="0" xfId="0" applyNumberFormat="1" applyFont="1" applyFill="1"/>
    <xf numFmtId="171" fontId="2" fillId="0" borderId="0" xfId="0" applyNumberFormat="1" applyFont="1" applyFill="1" applyBorder="1" applyAlignment="1">
      <alignment horizontal="center" vertical="center" wrapText="1"/>
    </xf>
    <xf numFmtId="172" fontId="2" fillId="0" borderId="0" xfId="1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4" fontId="2" fillId="0" borderId="0" xfId="1" applyFont="1" applyBorder="1" applyAlignment="1">
      <alignment horizontal="center"/>
    </xf>
    <xf numFmtId="174" fontId="2" fillId="0" borderId="0" xfId="1" applyNumberFormat="1" applyFont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10" fontId="4" fillId="0" borderId="0" xfId="2" applyNumberFormat="1" applyFont="1" applyFill="1" applyBorder="1" applyAlignment="1"/>
    <xf numFmtId="174" fontId="2" fillId="0" borderId="0" xfId="1" applyNumberFormat="1" applyFont="1" applyFill="1" applyBorder="1" applyAlignment="1">
      <alignment horizontal="center"/>
    </xf>
    <xf numFmtId="164" fontId="4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0" fontId="35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8" fillId="0" borderId="2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74" fontId="2" fillId="0" borderId="2" xfId="1" applyNumberFormat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164" fontId="4" fillId="0" borderId="2" xfId="1" applyFont="1" applyFill="1" applyBorder="1" applyAlignment="1"/>
    <xf numFmtId="164" fontId="4" fillId="0" borderId="3" xfId="1" applyFont="1" applyFill="1" applyBorder="1" applyAlignment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68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0" fontId="4" fillId="0" borderId="7" xfId="2" applyNumberFormat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0" fontId="4" fillId="8" borderId="7" xfId="2" applyNumberFormat="1" applyFont="1" applyFill="1" applyBorder="1" applyAlignment="1"/>
    <xf numFmtId="1" fontId="2" fillId="0" borderId="23" xfId="0" applyNumberFormat="1" applyFont="1" applyFill="1" applyBorder="1" applyAlignment="1">
      <alignment horizontal="center" vertical="center" wrapText="1"/>
    </xf>
    <xf numFmtId="164" fontId="4" fillId="0" borderId="22" xfId="1" applyFont="1" applyFill="1" applyBorder="1" applyAlignment="1"/>
    <xf numFmtId="10" fontId="2" fillId="0" borderId="23" xfId="2" applyNumberFormat="1" applyFont="1" applyFill="1" applyBorder="1"/>
    <xf numFmtId="0" fontId="2" fillId="0" borderId="22" xfId="0" applyFont="1" applyBorder="1"/>
    <xf numFmtId="2" fontId="2" fillId="0" borderId="23" xfId="1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175" fontId="2" fillId="0" borderId="23" xfId="0" applyNumberFormat="1" applyFont="1" applyBorder="1"/>
    <xf numFmtId="167" fontId="2" fillId="0" borderId="23" xfId="2" applyNumberFormat="1" applyFont="1" applyFill="1" applyBorder="1" applyAlignment="1">
      <alignment horizontal="center" vertical="center" wrapText="1"/>
    </xf>
    <xf numFmtId="169" fontId="4" fillId="0" borderId="23" xfId="1" applyNumberFormat="1" applyFont="1" applyFill="1" applyBorder="1"/>
    <xf numFmtId="0" fontId="4" fillId="0" borderId="0" xfId="0" applyFont="1" applyAlignment="1">
      <alignment horizontal="left"/>
    </xf>
    <xf numFmtId="166" fontId="2" fillId="0" borderId="0" xfId="0" applyNumberFormat="1" applyFont="1" applyFill="1" applyBorder="1"/>
    <xf numFmtId="176" fontId="2" fillId="0" borderId="23" xfId="0" applyNumberFormat="1" applyFont="1" applyFill="1" applyBorder="1" applyAlignment="1">
      <alignment horizontal="center" vertical="center" wrapText="1"/>
    </xf>
    <xf numFmtId="171" fontId="2" fillId="9" borderId="23" xfId="1" applyNumberFormat="1" applyFont="1" applyFill="1" applyBorder="1"/>
    <xf numFmtId="0" fontId="4" fillId="0" borderId="0" xfId="0" applyFont="1" applyBorder="1"/>
    <xf numFmtId="167" fontId="2" fillId="0" borderId="0" xfId="2" applyNumberFormat="1" applyFont="1" applyAlignment="1">
      <alignment horizontal="center" vertical="center" wrapText="1"/>
    </xf>
    <xf numFmtId="10" fontId="2" fillId="3" borderId="23" xfId="2" applyNumberFormat="1" applyFont="1" applyFill="1" applyBorder="1" applyAlignment="1">
      <alignment horizontal="center" vertical="center" wrapText="1"/>
    </xf>
    <xf numFmtId="174" fontId="2" fillId="0" borderId="0" xfId="0" applyNumberFormat="1" applyFont="1" applyBorder="1"/>
    <xf numFmtId="10" fontId="42" fillId="0" borderId="23" xfId="0" applyNumberFormat="1" applyFont="1" applyBorder="1"/>
    <xf numFmtId="0" fontId="43" fillId="0" borderId="0" xfId="0" applyFont="1" applyBorder="1"/>
    <xf numFmtId="49" fontId="5" fillId="0" borderId="0" xfId="0" applyNumberFormat="1" applyFont="1"/>
    <xf numFmtId="10" fontId="2" fillId="9" borderId="7" xfId="2" applyNumberFormat="1" applyFont="1" applyFill="1" applyBorder="1" applyAlignment="1">
      <alignment horizontal="center"/>
    </xf>
    <xf numFmtId="10" fontId="2" fillId="10" borderId="7" xfId="2" applyNumberFormat="1" applyFont="1" applyFill="1" applyBorder="1" applyAlignment="1">
      <alignment horizontal="center"/>
    </xf>
    <xf numFmtId="10" fontId="2" fillId="11" borderId="7" xfId="2" applyNumberFormat="1" applyFont="1" applyFill="1" applyBorder="1" applyAlignment="1">
      <alignment horizontal="center"/>
    </xf>
    <xf numFmtId="10" fontId="2" fillId="0" borderId="4" xfId="2" applyNumberFormat="1" applyFont="1" applyBorder="1" applyAlignment="1">
      <alignment horizontal="center" vertical="center" wrapText="1"/>
    </xf>
    <xf numFmtId="0" fontId="43" fillId="0" borderId="5" xfId="0" applyFont="1" applyBorder="1"/>
    <xf numFmtId="0" fontId="2" fillId="0" borderId="5" xfId="0" applyFont="1" applyBorder="1"/>
    <xf numFmtId="177" fontId="2" fillId="0" borderId="5" xfId="0" applyNumberFormat="1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0" fontId="2" fillId="0" borderId="0" xfId="0" applyNumberFormat="1" applyFont="1"/>
    <xf numFmtId="1" fontId="2" fillId="9" borderId="7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" fontId="2" fillId="11" borderId="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78" fontId="2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/>
    <xf numFmtId="10" fontId="24" fillId="0" borderId="0" xfId="2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/>
    </xf>
    <xf numFmtId="49" fontId="45" fillId="0" borderId="0" xfId="1" applyNumberFormat="1" applyFont="1" applyBorder="1" applyAlignment="1">
      <alignment horizontal="right"/>
    </xf>
    <xf numFmtId="1" fontId="45" fillId="0" borderId="0" xfId="0" applyNumberFormat="1" applyFont="1" applyFill="1" applyBorder="1" applyAlignment="1">
      <alignment horizontal="center"/>
    </xf>
    <xf numFmtId="164" fontId="4" fillId="0" borderId="23" xfId="1" applyFont="1" applyFill="1" applyBorder="1" applyAlignment="1">
      <alignment horizontal="center" vertical="center" wrapText="1"/>
    </xf>
    <xf numFmtId="0" fontId="29" fillId="0" borderId="0" xfId="0" applyFont="1" applyFill="1" applyBorder="1"/>
    <xf numFmtId="164" fontId="2" fillId="0" borderId="0" xfId="1" applyFont="1" applyFill="1" applyBorder="1" applyAlignment="1"/>
    <xf numFmtId="10" fontId="24" fillId="0" borderId="0" xfId="2" applyNumberFormat="1" applyFont="1" applyFill="1" applyBorder="1" applyAlignment="1">
      <alignment horizontal="center"/>
    </xf>
    <xf numFmtId="0" fontId="44" fillId="12" borderId="0" xfId="0" applyFont="1" applyFill="1" applyBorder="1" applyAlignment="1">
      <alignment horizontal="center" vertical="center" wrapText="1"/>
    </xf>
    <xf numFmtId="0" fontId="44" fillId="12" borderId="0" xfId="0" applyFont="1" applyFill="1" applyBorder="1"/>
    <xf numFmtId="0" fontId="44" fillId="12" borderId="0" xfId="0" applyFont="1" applyFill="1" applyBorder="1" applyAlignment="1">
      <alignment horizontal="right"/>
    </xf>
    <xf numFmtId="1" fontId="44" fillId="12" borderId="0" xfId="0" applyNumberFormat="1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8" fontId="24" fillId="0" borderId="0" xfId="1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center" vertical="center" wrapText="1"/>
    </xf>
    <xf numFmtId="0" fontId="44" fillId="13" borderId="0" xfId="0" applyFont="1" applyFill="1" applyBorder="1"/>
    <xf numFmtId="0" fontId="44" fillId="13" borderId="0" xfId="0" applyFont="1" applyFill="1" applyBorder="1" applyAlignment="1">
      <alignment horizontal="right"/>
    </xf>
    <xf numFmtId="1" fontId="44" fillId="13" borderId="0" xfId="0" applyNumberFormat="1" applyFont="1" applyFill="1" applyBorder="1" applyAlignment="1">
      <alignment horizontal="center" vertical="distributed"/>
    </xf>
    <xf numFmtId="164" fontId="2" fillId="0" borderId="0" xfId="0" applyNumberFormat="1" applyFont="1" applyFill="1" applyBorder="1" applyAlignment="1">
      <alignment horizontal="left" vertical="center"/>
    </xf>
    <xf numFmtId="169" fontId="2" fillId="0" borderId="0" xfId="0" applyNumberFormat="1" applyFont="1" applyFill="1" applyBorder="1"/>
    <xf numFmtId="164" fontId="2" fillId="0" borderId="0" xfId="0" applyNumberFormat="1" applyFont="1" applyFill="1" applyBorder="1"/>
    <xf numFmtId="168" fontId="44" fillId="14" borderId="0" xfId="0" applyNumberFormat="1" applyFont="1" applyFill="1" applyBorder="1" applyAlignment="1">
      <alignment horizontal="center" vertical="center" wrapText="1"/>
    </xf>
    <xf numFmtId="164" fontId="46" fillId="14" borderId="0" xfId="1" applyFont="1" applyFill="1" applyBorder="1"/>
    <xf numFmtId="164" fontId="44" fillId="14" borderId="0" xfId="1" applyFont="1" applyFill="1" applyBorder="1" applyAlignment="1">
      <alignment horizontal="right"/>
    </xf>
    <xf numFmtId="1" fontId="44" fillId="14" borderId="0" xfId="0" applyNumberFormat="1" applyFont="1" applyFill="1" applyBorder="1" applyAlignment="1">
      <alignment horizontal="center" vertical="distributed"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/>
    <xf numFmtId="1" fontId="44" fillId="0" borderId="0" xfId="0" applyNumberFormat="1" applyFont="1" applyBorder="1" applyAlignment="1">
      <alignment horizontal="center"/>
    </xf>
    <xf numFmtId="164" fontId="2" fillId="0" borderId="5" xfId="1" applyFont="1" applyFill="1" applyBorder="1" applyAlignment="1">
      <alignment horizontal="center"/>
    </xf>
    <xf numFmtId="164" fontId="4" fillId="0" borderId="5" xfId="1" applyFont="1" applyFill="1" applyBorder="1" applyAlignment="1"/>
    <xf numFmtId="0" fontId="44" fillId="0" borderId="0" xfId="0" applyFont="1" applyFill="1" applyBorder="1" applyAlignment="1">
      <alignment horizontal="right" vertical="center"/>
    </xf>
    <xf numFmtId="49" fontId="44" fillId="0" borderId="0" xfId="1" applyNumberFormat="1" applyFont="1" applyBorder="1" applyAlignment="1">
      <alignment horizontal="right"/>
    </xf>
    <xf numFmtId="1" fontId="44" fillId="0" borderId="0" xfId="0" applyNumberFormat="1" applyFont="1" applyFill="1" applyBorder="1" applyAlignment="1">
      <alignment horizontal="center"/>
    </xf>
    <xf numFmtId="49" fontId="23" fillId="0" borderId="0" xfId="0" applyNumberFormat="1" applyFont="1"/>
    <xf numFmtId="0" fontId="44" fillId="11" borderId="0" xfId="0" applyFont="1" applyFill="1" applyBorder="1" applyAlignment="1">
      <alignment horizontal="center" vertical="center" wrapText="1"/>
    </xf>
    <xf numFmtId="0" fontId="44" fillId="11" borderId="0" xfId="0" applyFont="1" applyFill="1" applyBorder="1"/>
    <xf numFmtId="0" fontId="44" fillId="11" borderId="0" xfId="0" applyFont="1" applyFill="1" applyBorder="1" applyAlignment="1">
      <alignment horizontal="right"/>
    </xf>
    <xf numFmtId="1" fontId="44" fillId="11" borderId="0" xfId="0" applyNumberFormat="1" applyFont="1" applyFill="1" applyBorder="1" applyAlignment="1">
      <alignment horizontal="center" vertical="distributed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Border="1"/>
    <xf numFmtId="49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29" fillId="0" borderId="0" xfId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7" xfId="0" applyFont="1" applyBorder="1" applyAlignment="1">
      <alignment horizontal="left" vertical="center"/>
    </xf>
    <xf numFmtId="168" fontId="23" fillId="0" borderId="7" xfId="1" applyNumberFormat="1" applyFont="1" applyFill="1" applyBorder="1"/>
    <xf numFmtId="0" fontId="22" fillId="0" borderId="7" xfId="0" applyFont="1" applyFill="1" applyBorder="1" applyAlignment="1">
      <alignment horizontal="right" vertical="center"/>
    </xf>
    <xf numFmtId="164" fontId="2" fillId="0" borderId="7" xfId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/>
    <xf numFmtId="0" fontId="34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168" fontId="4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68" fontId="25" fillId="0" borderId="7" xfId="1" applyNumberFormat="1" applyFont="1" applyFill="1" applyBorder="1"/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8" fontId="4" fillId="0" borderId="0" xfId="0" applyNumberFormat="1" applyFont="1" applyFill="1" applyBorder="1" applyAlignment="1">
      <alignment horizontal="center"/>
    </xf>
    <xf numFmtId="168" fontId="23" fillId="0" borderId="0" xfId="1" applyNumberFormat="1" applyFont="1" applyFill="1" applyBorder="1"/>
    <xf numFmtId="168" fontId="25" fillId="0" borderId="0" xfId="1" applyNumberFormat="1" applyFont="1" applyFill="1" applyBorder="1"/>
    <xf numFmtId="168" fontId="35" fillId="0" borderId="0" xfId="0" applyNumberFormat="1" applyFont="1" applyFill="1" applyBorder="1"/>
    <xf numFmtId="0" fontId="49" fillId="0" borderId="20" xfId="0" applyFont="1" applyBorder="1" applyAlignment="1">
      <alignment horizontal="left" vertical="center"/>
    </xf>
    <xf numFmtId="168" fontId="2" fillId="0" borderId="0" xfId="1" applyNumberFormat="1" applyFont="1" applyAlignment="1">
      <alignment horizontal="center" vertical="center" wrapText="1"/>
    </xf>
    <xf numFmtId="164" fontId="49" fillId="0" borderId="7" xfId="1" applyFont="1" applyBorder="1"/>
    <xf numFmtId="0" fontId="25" fillId="0" borderId="0" xfId="0" applyFont="1" applyAlignment="1">
      <alignment horizontal="right"/>
    </xf>
    <xf numFmtId="164" fontId="4" fillId="0" borderId="0" xfId="1" applyFont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164" fontId="2" fillId="3" borderId="0" xfId="0" applyNumberFormat="1" applyFont="1" applyFill="1" applyAlignment="1">
      <alignment horizontal="center" vertical="center" wrapText="1"/>
    </xf>
    <xf numFmtId="164" fontId="2" fillId="0" borderId="0" xfId="1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4" fillId="0" borderId="7" xfId="0" applyNumberFormat="1" applyFont="1" applyBorder="1"/>
    <xf numFmtId="164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69" fontId="4" fillId="3" borderId="7" xfId="1" applyNumberFormat="1" applyFont="1" applyFill="1" applyBorder="1"/>
    <xf numFmtId="17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9" fontId="2" fillId="0" borderId="0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/>
    </xf>
    <xf numFmtId="168" fontId="2" fillId="0" borderId="0" xfId="0" applyNumberFormat="1" applyFont="1" applyFill="1" applyBorder="1"/>
    <xf numFmtId="2" fontId="2" fillId="0" borderId="0" xfId="0" applyNumberFormat="1" applyFont="1" applyFill="1" applyBorder="1"/>
    <xf numFmtId="10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/>
    <xf numFmtId="16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22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/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49" fontId="4" fillId="15" borderId="7" xfId="0" applyNumberFormat="1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9" fontId="2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/>
    <xf numFmtId="176" fontId="2" fillId="0" borderId="0" xfId="0" applyNumberFormat="1" applyFont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2" fontId="11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0" fontId="15" fillId="0" borderId="2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165" fontId="15" fillId="2" borderId="21" xfId="0" applyNumberFormat="1" applyFont="1" applyFill="1" applyBorder="1" applyAlignment="1">
      <alignment horizontal="center"/>
    </xf>
    <xf numFmtId="165" fontId="16" fillId="2" borderId="25" xfId="0" applyNumberFormat="1" applyFont="1" applyFill="1" applyBorder="1" applyAlignment="1">
      <alignment horizontal="center" vertical="center"/>
    </xf>
    <xf numFmtId="2" fontId="11" fillId="2" borderId="26" xfId="0" applyNumberFormat="1" applyFont="1" applyFill="1" applyBorder="1" applyAlignment="1">
      <alignment horizontal="center" vertical="center"/>
    </xf>
    <xf numFmtId="2" fontId="44" fillId="14" borderId="0" xfId="0" applyNumberFormat="1" applyFont="1" applyFill="1" applyBorder="1" applyAlignment="1">
      <alignment horizontal="center" vertical="distributed"/>
    </xf>
    <xf numFmtId="165" fontId="44" fillId="12" borderId="0" xfId="0" applyNumberFormat="1" applyFont="1" applyFill="1" applyBorder="1" applyAlignment="1">
      <alignment horizontal="center" vertical="distributed"/>
    </xf>
    <xf numFmtId="2" fontId="7" fillId="2" borderId="25" xfId="0" applyNumberFormat="1" applyFont="1" applyFill="1" applyBorder="1" applyAlignment="1">
      <alignment horizontal="center" vertical="center"/>
    </xf>
    <xf numFmtId="0" fontId="27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51" fillId="0" borderId="7" xfId="0" applyNumberFormat="1" applyFont="1" applyFill="1" applyBorder="1" applyAlignment="1">
      <alignment horizontal="center" vertical="center" wrapText="1"/>
    </xf>
    <xf numFmtId="1" fontId="52" fillId="0" borderId="7" xfId="0" applyNumberFormat="1" applyFont="1" applyFill="1" applyBorder="1" applyAlignment="1">
      <alignment horizontal="center" vertical="center" wrapText="1"/>
    </xf>
    <xf numFmtId="1" fontId="53" fillId="0" borderId="7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right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69" fontId="2" fillId="4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9" fontId="2" fillId="4" borderId="0" xfId="2" applyNumberFormat="1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0" fillId="6" borderId="7" xfId="0" applyFill="1" applyBorder="1"/>
    <xf numFmtId="0" fontId="50" fillId="2" borderId="7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right" vertical="center" wrapText="1"/>
    </xf>
    <xf numFmtId="176" fontId="2" fillId="4" borderId="7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" fontId="65" fillId="4" borderId="7" xfId="0" applyNumberFormat="1" applyFont="1" applyFill="1" applyBorder="1" applyAlignment="1">
      <alignment horizontal="center" vertical="center"/>
    </xf>
    <xf numFmtId="1" fontId="66" fillId="4" borderId="7" xfId="0" applyNumberFormat="1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4" borderId="0" xfId="0" applyFont="1" applyFill="1"/>
    <xf numFmtId="0" fontId="27" fillId="0" borderId="32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8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167" fontId="2" fillId="0" borderId="0" xfId="2" applyNumberFormat="1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1" fontId="55" fillId="4" borderId="7" xfId="0" applyNumberFormat="1" applyFont="1" applyFill="1" applyBorder="1" applyAlignment="1">
      <alignment horizontal="center" vertical="center"/>
    </xf>
    <xf numFmtId="1" fontId="54" fillId="4" borderId="7" xfId="0" applyNumberFormat="1" applyFont="1" applyFill="1" applyBorder="1" applyAlignment="1">
      <alignment horizontal="center" vertical="center"/>
    </xf>
    <xf numFmtId="1" fontId="64" fillId="4" borderId="7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14" fillId="2" borderId="13" xfId="0" applyFont="1" applyFill="1" applyBorder="1"/>
    <xf numFmtId="0" fontId="14" fillId="2" borderId="14" xfId="0" applyFont="1" applyFill="1" applyBorder="1"/>
    <xf numFmtId="0" fontId="18" fillId="0" borderId="24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4" fillId="2" borderId="16" xfId="0" applyFont="1" applyFill="1" applyBorder="1" applyAlignment="1">
      <alignment vertical="top"/>
    </xf>
    <xf numFmtId="0" fontId="15" fillId="2" borderId="14" xfId="0" applyFont="1" applyFill="1" applyBorder="1" applyAlignment="1">
      <alignment horizontal="left" vertical="center" wrapText="1"/>
    </xf>
    <xf numFmtId="176" fontId="2" fillId="4" borderId="0" xfId="0" applyNumberFormat="1" applyFont="1" applyFill="1" applyBorder="1" applyAlignment="1">
      <alignment horizontal="center" vertical="center"/>
    </xf>
    <xf numFmtId="0" fontId="47" fillId="4" borderId="7" xfId="0" applyFont="1" applyFill="1" applyBorder="1" applyAlignment="1">
      <alignment horizontal="center" vertical="center"/>
    </xf>
    <xf numFmtId="0" fontId="73" fillId="2" borderId="7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1" fontId="74" fillId="4" borderId="7" xfId="0" applyNumberFormat="1" applyFont="1" applyFill="1" applyBorder="1" applyAlignment="1">
      <alignment horizontal="center" vertical="center"/>
    </xf>
    <xf numFmtId="1" fontId="19" fillId="4" borderId="7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38" fillId="4" borderId="0" xfId="0" applyFont="1" applyFill="1" applyBorder="1" applyAlignment="1">
      <alignment horizontal="left" vertical="center" wrapText="1"/>
    </xf>
    <xf numFmtId="0" fontId="79" fillId="0" borderId="0" xfId="0" applyFont="1" applyAlignment="1">
      <alignment horizontal="left"/>
    </xf>
    <xf numFmtId="0" fontId="6" fillId="4" borderId="7" xfId="0" applyFont="1" applyFill="1" applyBorder="1" applyAlignment="1">
      <alignment horizontal="left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2" fontId="62" fillId="4" borderId="7" xfId="0" applyNumberFormat="1" applyFont="1" applyFill="1" applyBorder="1" applyAlignment="1">
      <alignment horizontal="center" vertical="center"/>
    </xf>
    <xf numFmtId="2" fontId="63" fillId="4" borderId="7" xfId="0" applyNumberFormat="1" applyFont="1" applyFill="1" applyBorder="1" applyAlignment="1">
      <alignment horizontal="center" vertical="center"/>
    </xf>
    <xf numFmtId="2" fontId="54" fillId="4" borderId="7" xfId="0" applyNumberFormat="1" applyFont="1" applyFill="1" applyBorder="1" applyAlignment="1">
      <alignment horizontal="center" vertical="center"/>
    </xf>
    <xf numFmtId="2" fontId="64" fillId="4" borderId="7" xfId="0" applyNumberFormat="1" applyFont="1" applyFill="1" applyBorder="1" applyAlignment="1">
      <alignment horizontal="center" vertical="center"/>
    </xf>
    <xf numFmtId="0" fontId="48" fillId="4" borderId="0" xfId="0" applyFont="1" applyFill="1" applyAlignment="1">
      <alignment horizontal="left" vertical="center"/>
    </xf>
    <xf numFmtId="0" fontId="48" fillId="4" borderId="0" xfId="0" applyFont="1" applyFill="1" applyAlignment="1">
      <alignment horizontal="left"/>
    </xf>
    <xf numFmtId="2" fontId="76" fillId="4" borderId="7" xfId="0" applyNumberFormat="1" applyFont="1" applyFill="1" applyBorder="1" applyAlignment="1">
      <alignment horizontal="center" vertical="center"/>
    </xf>
    <xf numFmtId="2" fontId="77" fillId="4" borderId="7" xfId="0" applyNumberFormat="1" applyFont="1" applyFill="1" applyBorder="1" applyAlignment="1">
      <alignment horizontal="center" vertical="center"/>
    </xf>
    <xf numFmtId="2" fontId="19" fillId="4" borderId="7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0" fontId="57" fillId="4" borderId="0" xfId="0" applyFont="1" applyFill="1" applyAlignment="1">
      <alignment horizontal="left" vertical="center"/>
    </xf>
    <xf numFmtId="0" fontId="79" fillId="4" borderId="0" xfId="0" applyFont="1" applyFill="1" applyAlignment="1">
      <alignment horizontal="left"/>
    </xf>
    <xf numFmtId="9" fontId="2" fillId="0" borderId="0" xfId="2" applyNumberFormat="1" applyFont="1" applyAlignment="1">
      <alignment horizontal="left" vertical="center"/>
    </xf>
    <xf numFmtId="0" fontId="6" fillId="16" borderId="16" xfId="0" applyFont="1" applyFill="1" applyBorder="1" applyAlignment="1">
      <alignment vertical="center"/>
    </xf>
    <xf numFmtId="0" fontId="56" fillId="16" borderId="13" xfId="0" applyFont="1" applyFill="1" applyBorder="1" applyAlignment="1">
      <alignment vertical="center"/>
    </xf>
    <xf numFmtId="0" fontId="56" fillId="16" borderId="14" xfId="0" applyFont="1" applyFill="1" applyBorder="1" applyAlignment="1">
      <alignment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2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9" fontId="2" fillId="4" borderId="0" xfId="0" applyNumberFormat="1" applyFont="1" applyFill="1" applyAlignment="1">
      <alignment horizontal="center" vertical="center"/>
    </xf>
    <xf numFmtId="169" fontId="2" fillId="4" borderId="0" xfId="0" applyNumberFormat="1" applyFont="1" applyFill="1"/>
    <xf numFmtId="176" fontId="2" fillId="4" borderId="0" xfId="0" applyNumberFormat="1" applyFont="1" applyFill="1" applyAlignment="1">
      <alignment horizontal="center" vertical="center"/>
    </xf>
    <xf numFmtId="9" fontId="2" fillId="4" borderId="0" xfId="2" applyFont="1" applyFill="1" applyAlignment="1">
      <alignment horizontal="center" vertical="center"/>
    </xf>
    <xf numFmtId="1" fontId="65" fillId="4" borderId="0" xfId="0" applyNumberFormat="1" applyFont="1" applyFill="1" applyAlignment="1">
      <alignment horizontal="center" vertical="center"/>
    </xf>
    <xf numFmtId="1" fontId="66" fillId="4" borderId="0" xfId="0" applyNumberFormat="1" applyFont="1" applyFill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10" fontId="47" fillId="4" borderId="7" xfId="0" applyNumberFormat="1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49" fontId="47" fillId="4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Alignment="1">
      <alignment horizontal="center" vertical="center" wrapText="1"/>
    </xf>
    <xf numFmtId="3" fontId="7" fillId="0" borderId="0" xfId="0" applyNumberFormat="1" applyFont="1"/>
    <xf numFmtId="3" fontId="9" fillId="0" borderId="0" xfId="0" applyNumberFormat="1" applyFont="1"/>
    <xf numFmtId="3" fontId="11" fillId="0" borderId="0" xfId="0" applyNumberFormat="1" applyFont="1"/>
    <xf numFmtId="0" fontId="84" fillId="0" borderId="0" xfId="0" applyFont="1" applyAlignment="1">
      <alignment horizontal="center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horizontal="center" vertical="center" wrapText="1"/>
    </xf>
    <xf numFmtId="0" fontId="84" fillId="0" borderId="0" xfId="0" applyFont="1" applyFill="1" applyAlignment="1">
      <alignment horizontal="center"/>
    </xf>
    <xf numFmtId="10" fontId="85" fillId="0" borderId="0" xfId="0" applyNumberFormat="1" applyFont="1" applyBorder="1" applyAlignment="1">
      <alignment horizontal="center" vertical="center" wrapText="1"/>
    </xf>
    <xf numFmtId="2" fontId="85" fillId="0" borderId="0" xfId="0" applyNumberFormat="1" applyFont="1" applyBorder="1" applyAlignment="1">
      <alignment horizontal="center" vertical="center" wrapText="1"/>
    </xf>
    <xf numFmtId="0" fontId="85" fillId="0" borderId="0" xfId="0" applyFont="1"/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165" fontId="85" fillId="0" borderId="0" xfId="0" applyNumberFormat="1" applyFont="1" applyFill="1" applyAlignment="1">
      <alignment horizontal="center"/>
    </xf>
    <xf numFmtId="164" fontId="85" fillId="0" borderId="0" xfId="1" applyFont="1" applyFill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/>
    </xf>
    <xf numFmtId="167" fontId="2" fillId="0" borderId="0" xfId="2" applyNumberFormat="1" applyFont="1"/>
    <xf numFmtId="0" fontId="0" fillId="18" borderId="7" xfId="0" applyFill="1" applyBorder="1"/>
    <xf numFmtId="0" fontId="47" fillId="4" borderId="0" xfId="0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0" fontId="47" fillId="4" borderId="0" xfId="0" applyNumberFormat="1" applyFont="1" applyFill="1" applyBorder="1" applyAlignment="1">
      <alignment horizontal="center" vertical="center"/>
    </xf>
    <xf numFmtId="1" fontId="75" fillId="4" borderId="0" xfId="0" applyNumberFormat="1" applyFont="1" applyFill="1" applyBorder="1" applyAlignment="1">
      <alignment horizontal="center" vertical="center"/>
    </xf>
    <xf numFmtId="1" fontId="86" fillId="4" borderId="7" xfId="0" applyNumberFormat="1" applyFont="1" applyFill="1" applyBorder="1" applyAlignment="1">
      <alignment horizontal="center" vertical="center"/>
    </xf>
    <xf numFmtId="1" fontId="87" fillId="4" borderId="7" xfId="0" applyNumberFormat="1" applyFont="1" applyFill="1" applyBorder="1" applyAlignment="1">
      <alignment horizontal="center" vertical="center"/>
    </xf>
    <xf numFmtId="1" fontId="88" fillId="4" borderId="7" xfId="0" applyNumberFormat="1" applyFont="1" applyFill="1" applyBorder="1" applyAlignment="1">
      <alignment horizontal="center" vertical="center"/>
    </xf>
    <xf numFmtId="165" fontId="86" fillId="4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65" fontId="87" fillId="4" borderId="7" xfId="0" applyNumberFormat="1" applyFont="1" applyFill="1" applyBorder="1" applyAlignment="1">
      <alignment horizontal="center" vertical="center"/>
    </xf>
    <xf numFmtId="165" fontId="88" fillId="4" borderId="7" xfId="0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right" vertical="center" wrapText="1"/>
    </xf>
    <xf numFmtId="0" fontId="89" fillId="4" borderId="7" xfId="0" applyFont="1" applyFill="1" applyBorder="1" applyAlignment="1">
      <alignment horizontal="right" vertical="center"/>
    </xf>
    <xf numFmtId="0" fontId="89" fillId="0" borderId="7" xfId="0" applyFont="1" applyBorder="1" applyAlignment="1">
      <alignment horizontal="right" vertical="center"/>
    </xf>
    <xf numFmtId="10" fontId="89" fillId="4" borderId="7" xfId="0" applyNumberFormat="1" applyFont="1" applyFill="1" applyBorder="1" applyAlignment="1">
      <alignment horizontal="right" vertical="center"/>
    </xf>
    <xf numFmtId="169" fontId="35" fillId="4" borderId="0" xfId="0" applyNumberFormat="1" applyFont="1" applyFill="1" applyAlignment="1">
      <alignment horizontal="right"/>
    </xf>
    <xf numFmtId="176" fontId="35" fillId="4" borderId="7" xfId="0" applyNumberFormat="1" applyFont="1" applyFill="1" applyBorder="1" applyAlignment="1">
      <alignment horizontal="right" vertical="center"/>
    </xf>
    <xf numFmtId="0" fontId="35" fillId="4" borderId="0" xfId="0" applyFont="1" applyFill="1" applyAlignment="1">
      <alignment horizontal="right" vertical="center"/>
    </xf>
    <xf numFmtId="9" fontId="35" fillId="4" borderId="0" xfId="2" applyFont="1" applyFill="1" applyAlignment="1">
      <alignment horizontal="right" vertical="center"/>
    </xf>
    <xf numFmtId="1" fontId="90" fillId="4" borderId="7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47" fillId="4" borderId="7" xfId="0" applyFont="1" applyFill="1" applyBorder="1" applyAlignment="1">
      <alignment horizontal="left" vertical="center" wrapText="1"/>
    </xf>
    <xf numFmtId="167" fontId="47" fillId="4" borderId="7" xfId="0" applyNumberFormat="1" applyFont="1" applyFill="1" applyBorder="1" applyAlignment="1">
      <alignment horizontal="center" vertical="center"/>
    </xf>
    <xf numFmtId="167" fontId="47" fillId="4" borderId="7" xfId="2" applyNumberFormat="1" applyFont="1" applyFill="1" applyBorder="1" applyAlignment="1">
      <alignment horizontal="center" vertical="center"/>
    </xf>
    <xf numFmtId="0" fontId="48" fillId="4" borderId="7" xfId="0" applyFont="1" applyFill="1" applyBorder="1" applyAlignment="1">
      <alignment horizontal="center" vertical="center"/>
    </xf>
    <xf numFmtId="0" fontId="96" fillId="2" borderId="7" xfId="0" applyFont="1" applyFill="1" applyBorder="1" applyAlignment="1">
      <alignment horizontal="center" vertical="center"/>
    </xf>
    <xf numFmtId="167" fontId="48" fillId="4" borderId="7" xfId="1" applyNumberFormat="1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49" fontId="48" fillId="0" borderId="7" xfId="0" applyNumberFormat="1" applyFont="1" applyFill="1" applyBorder="1" applyAlignment="1">
      <alignment horizontal="center" vertical="center"/>
    </xf>
    <xf numFmtId="179" fontId="48" fillId="4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56" fillId="17" borderId="16" xfId="0" applyFont="1" applyFill="1" applyBorder="1" applyAlignment="1">
      <alignment horizontal="left" vertical="center" wrapText="1"/>
    </xf>
    <xf numFmtId="0" fontId="56" fillId="17" borderId="13" xfId="0" applyFont="1" applyFill="1" applyBorder="1" applyAlignment="1">
      <alignment horizontal="left" vertical="center" wrapText="1"/>
    </xf>
    <xf numFmtId="0" fontId="56" fillId="17" borderId="14" xfId="0" applyFont="1" applyFill="1" applyBorder="1" applyAlignment="1">
      <alignment horizontal="left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9" fillId="4" borderId="28" xfId="0" applyFont="1" applyFill="1" applyBorder="1" applyAlignment="1">
      <alignment horizontal="center" vertical="top" wrapText="1"/>
    </xf>
    <xf numFmtId="0" fontId="59" fillId="4" borderId="31" xfId="0" applyFont="1" applyFill="1" applyBorder="1" applyAlignment="1">
      <alignment horizontal="center" vertical="top" wrapText="1"/>
    </xf>
    <xf numFmtId="0" fontId="59" fillId="4" borderId="30" xfId="0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center" vertical="top" wrapText="1"/>
    </xf>
    <xf numFmtId="0" fontId="6" fillId="4" borderId="31" xfId="0" applyFont="1" applyFill="1" applyBorder="1" applyAlignment="1">
      <alignment horizontal="center" vertical="top" wrapText="1"/>
    </xf>
    <xf numFmtId="0" fontId="6" fillId="4" borderId="30" xfId="0" applyFont="1" applyFill="1" applyBorder="1" applyAlignment="1">
      <alignment horizontal="center" vertical="top" wrapText="1"/>
    </xf>
    <xf numFmtId="0" fontId="67" fillId="0" borderId="4" xfId="0" applyFont="1" applyBorder="1" applyAlignment="1">
      <alignment horizontal="left" vertical="center" wrapText="1"/>
    </xf>
    <xf numFmtId="0" fontId="67" fillId="0" borderId="5" xfId="0" applyFont="1" applyBorder="1" applyAlignment="1">
      <alignment horizontal="left" vertical="center" wrapText="1"/>
    </xf>
    <xf numFmtId="0" fontId="67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60" fillId="4" borderId="28" xfId="0" applyFont="1" applyFill="1" applyBorder="1" applyAlignment="1">
      <alignment horizontal="center" vertical="top" wrapText="1"/>
    </xf>
    <xf numFmtId="0" fontId="60" fillId="4" borderId="31" xfId="0" applyFont="1" applyFill="1" applyBorder="1" applyAlignment="1">
      <alignment horizontal="center" vertical="top" wrapText="1"/>
    </xf>
    <xf numFmtId="0" fontId="60" fillId="4" borderId="30" xfId="0" applyFont="1" applyFill="1" applyBorder="1" applyAlignment="1">
      <alignment horizontal="center" vertical="top" wrapText="1"/>
    </xf>
    <xf numFmtId="0" fontId="61" fillId="4" borderId="28" xfId="0" applyFont="1" applyFill="1" applyBorder="1" applyAlignment="1">
      <alignment horizontal="center" vertical="top" wrapText="1"/>
    </xf>
    <xf numFmtId="0" fontId="61" fillId="4" borderId="31" xfId="0" applyFont="1" applyFill="1" applyBorder="1" applyAlignment="1">
      <alignment horizontal="center" vertical="top" wrapText="1"/>
    </xf>
    <xf numFmtId="0" fontId="61" fillId="4" borderId="30" xfId="0" applyFont="1" applyFill="1" applyBorder="1" applyAlignment="1">
      <alignment horizontal="center" vertical="top" wrapText="1"/>
    </xf>
    <xf numFmtId="0" fontId="4" fillId="17" borderId="1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 vertical="center"/>
    </xf>
    <xf numFmtId="1" fontId="7" fillId="0" borderId="7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93" fillId="0" borderId="16" xfId="0" applyFont="1" applyBorder="1" applyAlignment="1">
      <alignment horizontal="left" vertical="center" wrapText="1"/>
    </xf>
    <xf numFmtId="0" fontId="93" fillId="0" borderId="13" xfId="0" applyFont="1" applyBorder="1" applyAlignment="1">
      <alignment horizontal="left" vertical="center" wrapText="1"/>
    </xf>
    <xf numFmtId="0" fontId="93" fillId="0" borderId="14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6600"/>
      <color rgb="FFFF9900"/>
      <color rgb="FF0000FF"/>
      <color rgb="FF9933FF"/>
      <color rgb="FFFFFF99"/>
      <color rgb="FF008000"/>
      <color rgb="FF993300"/>
      <color rgb="FFFF0066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 (3tB)":</a:t>
            </a:r>
            <a:r>
              <a:rPr lang="es-ES" sz="1100" b="1">
                <a:solidFill>
                  <a:srgbClr val="006600"/>
                </a:solidFill>
              </a:rPr>
              <a:t> Prolongación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81231487632289"/>
          <c:y val="0.2353414715304854"/>
          <c:w val="0.76337729658792641"/>
          <c:h val="0.538954026622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IncAcum!$R$6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C0-4E47-B2CE-A2343354F22B}"/>
              </c:ext>
            </c:extLst>
          </c:dPt>
          <c:dLbls>
            <c:dLbl>
              <c:idx val="0"/>
              <c:layout>
                <c:manualLayout>
                  <c:x val="-0.34444444444444444"/>
                  <c:y val="9.1703206543421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IncAcum!$S$6</c:f>
              <c:numCache>
                <c:formatCode>0.00</c:formatCode>
                <c:ptCount val="1"/>
                <c:pt idx="0">
                  <c:v>0.80120937263794412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0-4E47-B2CE-A2343354F22B}"/>
            </c:ext>
          </c:extLst>
        </c:ser>
        <c:ser>
          <c:idx val="1"/>
          <c:order val="1"/>
          <c:tx>
            <c:strRef>
              <c:f>IncAcum!$R$7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888888888888886"/>
                  <c:y val="-4.58516032717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IncAcum!$S$7</c:f>
              <c:numCache>
                <c:formatCode>0.00</c:formatCode>
                <c:ptCount val="1"/>
                <c:pt idx="0">
                  <c:v>0.19652305366591083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0-4E47-B2CE-A2343354F22B}"/>
            </c:ext>
          </c:extLst>
        </c:ser>
        <c:ser>
          <c:idx val="2"/>
          <c:order val="2"/>
          <c:tx>
            <c:strRef>
              <c:f>IncAcum!$R$8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333322397200351"/>
                  <c:y val="-6.87774049075652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6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80446194225715E-2"/>
                      <c:h val="5.95384873664391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IncAcum!$S$8</c:f>
              <c:numCache>
                <c:formatCode>0.00</c:formatCode>
                <c:ptCount val="1"/>
                <c:pt idx="0">
                  <c:v>15.002267573696146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0-4E47-B2CE-A2343354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965840"/>
        <c:axId val="1511974160"/>
      </c:barChart>
      <c:catAx>
        <c:axId val="15119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74160"/>
        <c:crosses val="autoZero"/>
        <c:auto val="1"/>
        <c:lblAlgn val="ctr"/>
        <c:lblOffset val="100"/>
        <c:noMultiLvlLbl val="0"/>
      </c:catAx>
      <c:valAx>
        <c:axId val="15119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tiempode seguimieimiento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11122633889020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0.88503629675041373"/>
          <c:w val="0.9"/>
          <c:h val="8.8087327481122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446690</xdr:colOff>
      <xdr:row>0</xdr:row>
      <xdr:rowOff>105103</xdr:rowOff>
    </xdr:from>
    <xdr:to>
      <xdr:col>28</xdr:col>
      <xdr:colOff>446690</xdr:colOff>
      <xdr:row>61</xdr:row>
      <xdr:rowOff>269327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21</xdr:row>
      <xdr:rowOff>125185</xdr:rowOff>
    </xdr:from>
    <xdr:to>
      <xdr:col>22</xdr:col>
      <xdr:colOff>28575</xdr:colOff>
      <xdr:row>21</xdr:row>
      <xdr:rowOff>130634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3829050" y="4811485"/>
          <a:ext cx="3209925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57150</xdr:colOff>
      <xdr:row>20</xdr:row>
      <xdr:rowOff>77565</xdr:rowOff>
    </xdr:from>
    <xdr:to>
      <xdr:col>21</xdr:col>
      <xdr:colOff>180975</xdr:colOff>
      <xdr:row>20</xdr:row>
      <xdr:rowOff>104775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867150" y="4592415"/>
          <a:ext cx="3124200" cy="2721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22</xdr:col>
      <xdr:colOff>238125</xdr:colOff>
      <xdr:row>20</xdr:row>
      <xdr:rowOff>95250</xdr:rowOff>
    </xdr:from>
    <xdr:to>
      <xdr:col>28</xdr:col>
      <xdr:colOff>9525</xdr:colOff>
      <xdr:row>20</xdr:row>
      <xdr:rowOff>95250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248525" y="4610100"/>
          <a:ext cx="1019175" cy="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23</xdr:col>
      <xdr:colOff>24911</xdr:colOff>
      <xdr:row>18</xdr:row>
      <xdr:rowOff>136603</xdr:rowOff>
    </xdr:from>
    <xdr:to>
      <xdr:col>28</xdr:col>
      <xdr:colOff>28575</xdr:colOff>
      <xdr:row>18</xdr:row>
      <xdr:rowOff>138479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282961" y="4270453"/>
          <a:ext cx="1003789" cy="187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24179</xdr:colOff>
      <xdr:row>18</xdr:row>
      <xdr:rowOff>98182</xdr:rowOff>
    </xdr:from>
    <xdr:to>
      <xdr:col>8</xdr:col>
      <xdr:colOff>190500</xdr:colOff>
      <xdr:row>18</xdr:row>
      <xdr:rowOff>104775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834179" y="4232032"/>
          <a:ext cx="566371" cy="6593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22</xdr:col>
      <xdr:colOff>228600</xdr:colOff>
      <xdr:row>21</xdr:row>
      <xdr:rowOff>104775</xdr:rowOff>
    </xdr:from>
    <xdr:to>
      <xdr:col>38</xdr:col>
      <xdr:colOff>190500</xdr:colOff>
      <xdr:row>21</xdr:row>
      <xdr:rowOff>110224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7239000" y="4791075"/>
          <a:ext cx="3209925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22</xdr:row>
      <xdr:rowOff>115660</xdr:rowOff>
    </xdr:from>
    <xdr:to>
      <xdr:col>21</xdr:col>
      <xdr:colOff>238125</xdr:colOff>
      <xdr:row>22</xdr:row>
      <xdr:rowOff>121109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V="1">
          <a:off x="3800475" y="5030560"/>
          <a:ext cx="3962400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21</xdr:row>
      <xdr:rowOff>96615</xdr:rowOff>
    </xdr:from>
    <xdr:to>
      <xdr:col>22</xdr:col>
      <xdr:colOff>19050</xdr:colOff>
      <xdr:row>21</xdr:row>
      <xdr:rowOff>104775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3810000" y="4811490"/>
          <a:ext cx="3981450" cy="816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23</xdr:col>
      <xdr:colOff>19050</xdr:colOff>
      <xdr:row>21</xdr:row>
      <xdr:rowOff>85725</xdr:rowOff>
    </xdr:from>
    <xdr:to>
      <xdr:col>29</xdr:col>
      <xdr:colOff>19050</xdr:colOff>
      <xdr:row>21</xdr:row>
      <xdr:rowOff>85725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8039100" y="4800600"/>
          <a:ext cx="1485900" cy="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329711</xdr:colOff>
      <xdr:row>18</xdr:row>
      <xdr:rowOff>108028</xdr:rowOff>
    </xdr:from>
    <xdr:to>
      <xdr:col>10</xdr:col>
      <xdr:colOff>190500</xdr:colOff>
      <xdr:row>18</xdr:row>
      <xdr:rowOff>109904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3795346" y="4255066"/>
          <a:ext cx="996462" cy="187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23</xdr:col>
      <xdr:colOff>14654</xdr:colOff>
      <xdr:row>18</xdr:row>
      <xdr:rowOff>117231</xdr:rowOff>
    </xdr:from>
    <xdr:to>
      <xdr:col>28</xdr:col>
      <xdr:colOff>21981</xdr:colOff>
      <xdr:row>18</xdr:row>
      <xdr:rowOff>119107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7239000" y="4264269"/>
          <a:ext cx="996462" cy="187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22</xdr:row>
      <xdr:rowOff>115660</xdr:rowOff>
    </xdr:from>
    <xdr:to>
      <xdr:col>21</xdr:col>
      <xdr:colOff>238125</xdr:colOff>
      <xdr:row>22</xdr:row>
      <xdr:rowOff>121109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2EE11993-B76F-43CD-8A27-5034FCB6D566}"/>
            </a:ext>
          </a:extLst>
        </xdr:cNvPr>
        <xdr:cNvCxnSpPr/>
      </xdr:nvCxnSpPr>
      <xdr:spPr>
        <a:xfrm flipV="1">
          <a:off x="4022725" y="5456010"/>
          <a:ext cx="3378200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21</xdr:row>
      <xdr:rowOff>96615</xdr:rowOff>
    </xdr:from>
    <xdr:to>
      <xdr:col>22</xdr:col>
      <xdr:colOff>19050</xdr:colOff>
      <xdr:row>21</xdr:row>
      <xdr:rowOff>104775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57E9C39A-DD1F-4F9D-8F41-89CF6CED247A}"/>
            </a:ext>
          </a:extLst>
        </xdr:cNvPr>
        <xdr:cNvCxnSpPr/>
      </xdr:nvCxnSpPr>
      <xdr:spPr>
        <a:xfrm>
          <a:off x="4051300" y="5240115"/>
          <a:ext cx="3371850" cy="816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23</xdr:col>
      <xdr:colOff>19050</xdr:colOff>
      <xdr:row>21</xdr:row>
      <xdr:rowOff>92075</xdr:rowOff>
    </xdr:from>
    <xdr:to>
      <xdr:col>29</xdr:col>
      <xdr:colOff>19050</xdr:colOff>
      <xdr:row>21</xdr:row>
      <xdr:rowOff>92075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A1430E2E-A9F7-4AB4-83E5-F4F939C85186}"/>
            </a:ext>
          </a:extLst>
        </xdr:cNvPr>
        <xdr:cNvCxnSpPr/>
      </xdr:nvCxnSpPr>
      <xdr:spPr>
        <a:xfrm>
          <a:off x="7683500" y="5070475"/>
          <a:ext cx="1257300" cy="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18561</xdr:colOff>
      <xdr:row>18</xdr:row>
      <xdr:rowOff>82550</xdr:rowOff>
    </xdr:from>
    <xdr:to>
      <xdr:col>10</xdr:col>
      <xdr:colOff>25400</xdr:colOff>
      <xdr:row>18</xdr:row>
      <xdr:rowOff>82628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9AB5E0EC-72E3-48DF-B63E-FFFF62CCB2E8}"/>
            </a:ext>
          </a:extLst>
        </xdr:cNvPr>
        <xdr:cNvCxnSpPr/>
      </xdr:nvCxnSpPr>
      <xdr:spPr>
        <a:xfrm flipV="1">
          <a:off x="4069861" y="4521200"/>
          <a:ext cx="845039" cy="7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23</xdr:col>
      <xdr:colOff>27354</xdr:colOff>
      <xdr:row>18</xdr:row>
      <xdr:rowOff>110881</xdr:rowOff>
    </xdr:from>
    <xdr:to>
      <xdr:col>28</xdr:col>
      <xdr:colOff>34681</xdr:colOff>
      <xdr:row>18</xdr:row>
      <xdr:rowOff>112757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4A35658A-4734-4B74-8D3C-3B55FE2C2C50}"/>
            </a:ext>
          </a:extLst>
        </xdr:cNvPr>
        <xdr:cNvCxnSpPr/>
      </xdr:nvCxnSpPr>
      <xdr:spPr>
        <a:xfrm>
          <a:off x="7691804" y="4549531"/>
          <a:ext cx="1055077" cy="187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5"/>
  <sheetViews>
    <sheetView tabSelected="1" zoomScale="85" zoomScaleNormal="85" workbookViewId="0">
      <selection activeCell="R61" sqref="R61:U61"/>
    </sheetView>
  </sheetViews>
  <sheetFormatPr baseColWidth="10" defaultRowHeight="13" x14ac:dyDescent="0.3"/>
  <cols>
    <col min="1" max="1" width="0.81640625" style="1" customWidth="1"/>
    <col min="2" max="2" width="33.90625" style="1" customWidth="1"/>
    <col min="3" max="3" width="23.54296875" style="1" customWidth="1"/>
    <col min="4" max="4" width="22" style="1" customWidth="1"/>
    <col min="5" max="5" width="17.1796875" style="1" customWidth="1"/>
    <col min="6" max="6" width="21.453125" style="1" customWidth="1"/>
    <col min="7" max="7" width="19.54296875" style="1" customWidth="1"/>
    <col min="8" max="8" width="14.1796875" style="1" bestFit="1" customWidth="1"/>
    <col min="9" max="9" width="5.453125" style="1" customWidth="1"/>
    <col min="10" max="10" width="10.453125" style="1" hidden="1" customWidth="1"/>
    <col min="11" max="11" width="7" style="1" hidden="1" customWidth="1"/>
    <col min="12" max="12" width="14.453125" style="1" hidden="1" customWidth="1"/>
    <col min="13" max="13" width="13.453125" style="1" hidden="1" customWidth="1"/>
    <col min="14" max="14" width="8.453125" style="1" hidden="1" customWidth="1"/>
    <col min="15" max="15" width="14.26953125" style="7" bestFit="1" customWidth="1"/>
    <col min="16" max="16" width="14.26953125" style="7" customWidth="1"/>
    <col min="17" max="17" width="2.08984375" style="1" customWidth="1"/>
    <col min="18" max="18" width="15.81640625" style="1" customWidth="1"/>
    <col min="19" max="19" width="16" style="1" customWidth="1"/>
    <col min="20" max="20" width="14.81640625" style="1" customWidth="1"/>
    <col min="21" max="21" width="13.54296875" style="7" customWidth="1"/>
    <col min="22" max="22" width="10" style="7" customWidth="1"/>
    <col min="23" max="257" width="11.453125" style="1"/>
    <col min="258" max="258" width="20.26953125" style="1" customWidth="1"/>
    <col min="259" max="259" width="21.7265625" style="1" customWidth="1"/>
    <col min="260" max="260" width="22" style="1" customWidth="1"/>
    <col min="261" max="261" width="17.1796875" style="1" customWidth="1"/>
    <col min="262" max="262" width="21.453125" style="1" customWidth="1"/>
    <col min="263" max="263" width="19.54296875" style="1" customWidth="1"/>
    <col min="264" max="264" width="14.1796875" style="1" bestFit="1" customWidth="1"/>
    <col min="265" max="265" width="8.453125" style="1" customWidth="1"/>
    <col min="266" max="266" width="14.453125" style="1" bestFit="1" customWidth="1"/>
    <col min="267" max="267" width="4.453125" style="1" customWidth="1"/>
    <col min="268" max="268" width="14.453125" style="1" bestFit="1" customWidth="1"/>
    <col min="269" max="269" width="13.453125" style="1" customWidth="1"/>
    <col min="270" max="270" width="14.7265625" style="1" bestFit="1" customWidth="1"/>
    <col min="271" max="271" width="14.26953125" style="1" bestFit="1" customWidth="1"/>
    <col min="272" max="272" width="14.26953125" style="1" customWidth="1"/>
    <col min="273" max="273" width="14" style="1" bestFit="1" customWidth="1"/>
    <col min="274" max="274" width="11.54296875" style="1" bestFit="1" customWidth="1"/>
    <col min="275" max="275" width="13.81640625" style="1" bestFit="1" customWidth="1"/>
    <col min="276" max="513" width="11.453125" style="1"/>
    <col min="514" max="514" width="20.26953125" style="1" customWidth="1"/>
    <col min="515" max="515" width="21.7265625" style="1" customWidth="1"/>
    <col min="516" max="516" width="22" style="1" customWidth="1"/>
    <col min="517" max="517" width="17.1796875" style="1" customWidth="1"/>
    <col min="518" max="518" width="21.453125" style="1" customWidth="1"/>
    <col min="519" max="519" width="19.54296875" style="1" customWidth="1"/>
    <col min="520" max="520" width="14.1796875" style="1" bestFit="1" customWidth="1"/>
    <col min="521" max="521" width="8.453125" style="1" customWidth="1"/>
    <col min="522" max="522" width="14.453125" style="1" bestFit="1" customWidth="1"/>
    <col min="523" max="523" width="4.453125" style="1" customWidth="1"/>
    <col min="524" max="524" width="14.453125" style="1" bestFit="1" customWidth="1"/>
    <col min="525" max="525" width="13.453125" style="1" customWidth="1"/>
    <col min="526" max="526" width="14.7265625" style="1" bestFit="1" customWidth="1"/>
    <col min="527" max="527" width="14.26953125" style="1" bestFit="1" customWidth="1"/>
    <col min="528" max="528" width="14.26953125" style="1" customWidth="1"/>
    <col min="529" max="529" width="14" style="1" bestFit="1" customWidth="1"/>
    <col min="530" max="530" width="11.54296875" style="1" bestFit="1" customWidth="1"/>
    <col min="531" max="531" width="13.81640625" style="1" bestFit="1" customWidth="1"/>
    <col min="532" max="769" width="11.453125" style="1"/>
    <col min="770" max="770" width="20.26953125" style="1" customWidth="1"/>
    <col min="771" max="771" width="21.7265625" style="1" customWidth="1"/>
    <col min="772" max="772" width="22" style="1" customWidth="1"/>
    <col min="773" max="773" width="17.1796875" style="1" customWidth="1"/>
    <col min="774" max="774" width="21.453125" style="1" customWidth="1"/>
    <col min="775" max="775" width="19.54296875" style="1" customWidth="1"/>
    <col min="776" max="776" width="14.1796875" style="1" bestFit="1" customWidth="1"/>
    <col min="777" max="777" width="8.453125" style="1" customWidth="1"/>
    <col min="778" max="778" width="14.453125" style="1" bestFit="1" customWidth="1"/>
    <col min="779" max="779" width="4.453125" style="1" customWidth="1"/>
    <col min="780" max="780" width="14.453125" style="1" bestFit="1" customWidth="1"/>
    <col min="781" max="781" width="13.453125" style="1" customWidth="1"/>
    <col min="782" max="782" width="14.7265625" style="1" bestFit="1" customWidth="1"/>
    <col min="783" max="783" width="14.26953125" style="1" bestFit="1" customWidth="1"/>
    <col min="784" max="784" width="14.26953125" style="1" customWidth="1"/>
    <col min="785" max="785" width="14" style="1" bestFit="1" customWidth="1"/>
    <col min="786" max="786" width="11.54296875" style="1" bestFit="1" customWidth="1"/>
    <col min="787" max="787" width="13.81640625" style="1" bestFit="1" customWidth="1"/>
    <col min="788" max="1025" width="11.453125" style="1"/>
    <col min="1026" max="1026" width="20.26953125" style="1" customWidth="1"/>
    <col min="1027" max="1027" width="21.7265625" style="1" customWidth="1"/>
    <col min="1028" max="1028" width="22" style="1" customWidth="1"/>
    <col min="1029" max="1029" width="17.1796875" style="1" customWidth="1"/>
    <col min="1030" max="1030" width="21.453125" style="1" customWidth="1"/>
    <col min="1031" max="1031" width="19.54296875" style="1" customWidth="1"/>
    <col min="1032" max="1032" width="14.1796875" style="1" bestFit="1" customWidth="1"/>
    <col min="1033" max="1033" width="8.453125" style="1" customWidth="1"/>
    <col min="1034" max="1034" width="14.453125" style="1" bestFit="1" customWidth="1"/>
    <col min="1035" max="1035" width="4.453125" style="1" customWidth="1"/>
    <col min="1036" max="1036" width="14.453125" style="1" bestFit="1" customWidth="1"/>
    <col min="1037" max="1037" width="13.453125" style="1" customWidth="1"/>
    <col min="1038" max="1038" width="14.7265625" style="1" bestFit="1" customWidth="1"/>
    <col min="1039" max="1039" width="14.26953125" style="1" bestFit="1" customWidth="1"/>
    <col min="1040" max="1040" width="14.26953125" style="1" customWidth="1"/>
    <col min="1041" max="1041" width="14" style="1" bestFit="1" customWidth="1"/>
    <col min="1042" max="1042" width="11.54296875" style="1" bestFit="1" customWidth="1"/>
    <col min="1043" max="1043" width="13.81640625" style="1" bestFit="1" customWidth="1"/>
    <col min="1044" max="1281" width="11.453125" style="1"/>
    <col min="1282" max="1282" width="20.26953125" style="1" customWidth="1"/>
    <col min="1283" max="1283" width="21.7265625" style="1" customWidth="1"/>
    <col min="1284" max="1284" width="22" style="1" customWidth="1"/>
    <col min="1285" max="1285" width="17.1796875" style="1" customWidth="1"/>
    <col min="1286" max="1286" width="21.453125" style="1" customWidth="1"/>
    <col min="1287" max="1287" width="19.54296875" style="1" customWidth="1"/>
    <col min="1288" max="1288" width="14.1796875" style="1" bestFit="1" customWidth="1"/>
    <col min="1289" max="1289" width="8.453125" style="1" customWidth="1"/>
    <col min="1290" max="1290" width="14.453125" style="1" bestFit="1" customWidth="1"/>
    <col min="1291" max="1291" width="4.453125" style="1" customWidth="1"/>
    <col min="1292" max="1292" width="14.453125" style="1" bestFit="1" customWidth="1"/>
    <col min="1293" max="1293" width="13.453125" style="1" customWidth="1"/>
    <col min="1294" max="1294" width="14.7265625" style="1" bestFit="1" customWidth="1"/>
    <col min="1295" max="1295" width="14.26953125" style="1" bestFit="1" customWidth="1"/>
    <col min="1296" max="1296" width="14.26953125" style="1" customWidth="1"/>
    <col min="1297" max="1297" width="14" style="1" bestFit="1" customWidth="1"/>
    <col min="1298" max="1298" width="11.54296875" style="1" bestFit="1" customWidth="1"/>
    <col min="1299" max="1299" width="13.81640625" style="1" bestFit="1" customWidth="1"/>
    <col min="1300" max="1537" width="11.453125" style="1"/>
    <col min="1538" max="1538" width="20.26953125" style="1" customWidth="1"/>
    <col min="1539" max="1539" width="21.7265625" style="1" customWidth="1"/>
    <col min="1540" max="1540" width="22" style="1" customWidth="1"/>
    <col min="1541" max="1541" width="17.1796875" style="1" customWidth="1"/>
    <col min="1542" max="1542" width="21.453125" style="1" customWidth="1"/>
    <col min="1543" max="1543" width="19.54296875" style="1" customWidth="1"/>
    <col min="1544" max="1544" width="14.1796875" style="1" bestFit="1" customWidth="1"/>
    <col min="1545" max="1545" width="8.453125" style="1" customWidth="1"/>
    <col min="1546" max="1546" width="14.453125" style="1" bestFit="1" customWidth="1"/>
    <col min="1547" max="1547" width="4.453125" style="1" customWidth="1"/>
    <col min="1548" max="1548" width="14.453125" style="1" bestFit="1" customWidth="1"/>
    <col min="1549" max="1549" width="13.453125" style="1" customWidth="1"/>
    <col min="1550" max="1550" width="14.7265625" style="1" bestFit="1" customWidth="1"/>
    <col min="1551" max="1551" width="14.26953125" style="1" bestFit="1" customWidth="1"/>
    <col min="1552" max="1552" width="14.26953125" style="1" customWidth="1"/>
    <col min="1553" max="1553" width="14" style="1" bestFit="1" customWidth="1"/>
    <col min="1554" max="1554" width="11.54296875" style="1" bestFit="1" customWidth="1"/>
    <col min="1555" max="1555" width="13.81640625" style="1" bestFit="1" customWidth="1"/>
    <col min="1556" max="1793" width="11.453125" style="1"/>
    <col min="1794" max="1794" width="20.26953125" style="1" customWidth="1"/>
    <col min="1795" max="1795" width="21.7265625" style="1" customWidth="1"/>
    <col min="1796" max="1796" width="22" style="1" customWidth="1"/>
    <col min="1797" max="1797" width="17.1796875" style="1" customWidth="1"/>
    <col min="1798" max="1798" width="21.453125" style="1" customWidth="1"/>
    <col min="1799" max="1799" width="19.54296875" style="1" customWidth="1"/>
    <col min="1800" max="1800" width="14.1796875" style="1" bestFit="1" customWidth="1"/>
    <col min="1801" max="1801" width="8.453125" style="1" customWidth="1"/>
    <col min="1802" max="1802" width="14.453125" style="1" bestFit="1" customWidth="1"/>
    <col min="1803" max="1803" width="4.453125" style="1" customWidth="1"/>
    <col min="1804" max="1804" width="14.453125" style="1" bestFit="1" customWidth="1"/>
    <col min="1805" max="1805" width="13.453125" style="1" customWidth="1"/>
    <col min="1806" max="1806" width="14.7265625" style="1" bestFit="1" customWidth="1"/>
    <col min="1807" max="1807" width="14.26953125" style="1" bestFit="1" customWidth="1"/>
    <col min="1808" max="1808" width="14.26953125" style="1" customWidth="1"/>
    <col min="1809" max="1809" width="14" style="1" bestFit="1" customWidth="1"/>
    <col min="1810" max="1810" width="11.54296875" style="1" bestFit="1" customWidth="1"/>
    <col min="1811" max="1811" width="13.81640625" style="1" bestFit="1" customWidth="1"/>
    <col min="1812" max="2049" width="11.453125" style="1"/>
    <col min="2050" max="2050" width="20.26953125" style="1" customWidth="1"/>
    <col min="2051" max="2051" width="21.7265625" style="1" customWidth="1"/>
    <col min="2052" max="2052" width="22" style="1" customWidth="1"/>
    <col min="2053" max="2053" width="17.1796875" style="1" customWidth="1"/>
    <col min="2054" max="2054" width="21.453125" style="1" customWidth="1"/>
    <col min="2055" max="2055" width="19.54296875" style="1" customWidth="1"/>
    <col min="2056" max="2056" width="14.1796875" style="1" bestFit="1" customWidth="1"/>
    <col min="2057" max="2057" width="8.453125" style="1" customWidth="1"/>
    <col min="2058" max="2058" width="14.453125" style="1" bestFit="1" customWidth="1"/>
    <col min="2059" max="2059" width="4.453125" style="1" customWidth="1"/>
    <col min="2060" max="2060" width="14.453125" style="1" bestFit="1" customWidth="1"/>
    <col min="2061" max="2061" width="13.453125" style="1" customWidth="1"/>
    <col min="2062" max="2062" width="14.7265625" style="1" bestFit="1" customWidth="1"/>
    <col min="2063" max="2063" width="14.26953125" style="1" bestFit="1" customWidth="1"/>
    <col min="2064" max="2064" width="14.26953125" style="1" customWidth="1"/>
    <col min="2065" max="2065" width="14" style="1" bestFit="1" customWidth="1"/>
    <col min="2066" max="2066" width="11.54296875" style="1" bestFit="1" customWidth="1"/>
    <col min="2067" max="2067" width="13.81640625" style="1" bestFit="1" customWidth="1"/>
    <col min="2068" max="2305" width="11.453125" style="1"/>
    <col min="2306" max="2306" width="20.26953125" style="1" customWidth="1"/>
    <col min="2307" max="2307" width="21.7265625" style="1" customWidth="1"/>
    <col min="2308" max="2308" width="22" style="1" customWidth="1"/>
    <col min="2309" max="2309" width="17.1796875" style="1" customWidth="1"/>
    <col min="2310" max="2310" width="21.453125" style="1" customWidth="1"/>
    <col min="2311" max="2311" width="19.54296875" style="1" customWidth="1"/>
    <col min="2312" max="2312" width="14.1796875" style="1" bestFit="1" customWidth="1"/>
    <col min="2313" max="2313" width="8.453125" style="1" customWidth="1"/>
    <col min="2314" max="2314" width="14.453125" style="1" bestFit="1" customWidth="1"/>
    <col min="2315" max="2315" width="4.453125" style="1" customWidth="1"/>
    <col min="2316" max="2316" width="14.453125" style="1" bestFit="1" customWidth="1"/>
    <col min="2317" max="2317" width="13.453125" style="1" customWidth="1"/>
    <col min="2318" max="2318" width="14.7265625" style="1" bestFit="1" customWidth="1"/>
    <col min="2319" max="2319" width="14.26953125" style="1" bestFit="1" customWidth="1"/>
    <col min="2320" max="2320" width="14.26953125" style="1" customWidth="1"/>
    <col min="2321" max="2321" width="14" style="1" bestFit="1" customWidth="1"/>
    <col min="2322" max="2322" width="11.54296875" style="1" bestFit="1" customWidth="1"/>
    <col min="2323" max="2323" width="13.81640625" style="1" bestFit="1" customWidth="1"/>
    <col min="2324" max="2561" width="11.453125" style="1"/>
    <col min="2562" max="2562" width="20.26953125" style="1" customWidth="1"/>
    <col min="2563" max="2563" width="21.7265625" style="1" customWidth="1"/>
    <col min="2564" max="2564" width="22" style="1" customWidth="1"/>
    <col min="2565" max="2565" width="17.1796875" style="1" customWidth="1"/>
    <col min="2566" max="2566" width="21.453125" style="1" customWidth="1"/>
    <col min="2567" max="2567" width="19.54296875" style="1" customWidth="1"/>
    <col min="2568" max="2568" width="14.1796875" style="1" bestFit="1" customWidth="1"/>
    <col min="2569" max="2569" width="8.453125" style="1" customWidth="1"/>
    <col min="2570" max="2570" width="14.453125" style="1" bestFit="1" customWidth="1"/>
    <col min="2571" max="2571" width="4.453125" style="1" customWidth="1"/>
    <col min="2572" max="2572" width="14.453125" style="1" bestFit="1" customWidth="1"/>
    <col min="2573" max="2573" width="13.453125" style="1" customWidth="1"/>
    <col min="2574" max="2574" width="14.7265625" style="1" bestFit="1" customWidth="1"/>
    <col min="2575" max="2575" width="14.26953125" style="1" bestFit="1" customWidth="1"/>
    <col min="2576" max="2576" width="14.26953125" style="1" customWidth="1"/>
    <col min="2577" max="2577" width="14" style="1" bestFit="1" customWidth="1"/>
    <col min="2578" max="2578" width="11.54296875" style="1" bestFit="1" customWidth="1"/>
    <col min="2579" max="2579" width="13.81640625" style="1" bestFit="1" customWidth="1"/>
    <col min="2580" max="2817" width="11.453125" style="1"/>
    <col min="2818" max="2818" width="20.26953125" style="1" customWidth="1"/>
    <col min="2819" max="2819" width="21.7265625" style="1" customWidth="1"/>
    <col min="2820" max="2820" width="22" style="1" customWidth="1"/>
    <col min="2821" max="2821" width="17.1796875" style="1" customWidth="1"/>
    <col min="2822" max="2822" width="21.453125" style="1" customWidth="1"/>
    <col min="2823" max="2823" width="19.54296875" style="1" customWidth="1"/>
    <col min="2824" max="2824" width="14.1796875" style="1" bestFit="1" customWidth="1"/>
    <col min="2825" max="2825" width="8.453125" style="1" customWidth="1"/>
    <col min="2826" max="2826" width="14.453125" style="1" bestFit="1" customWidth="1"/>
    <col min="2827" max="2827" width="4.453125" style="1" customWidth="1"/>
    <col min="2828" max="2828" width="14.453125" style="1" bestFit="1" customWidth="1"/>
    <col min="2829" max="2829" width="13.453125" style="1" customWidth="1"/>
    <col min="2830" max="2830" width="14.7265625" style="1" bestFit="1" customWidth="1"/>
    <col min="2831" max="2831" width="14.26953125" style="1" bestFit="1" customWidth="1"/>
    <col min="2832" max="2832" width="14.26953125" style="1" customWidth="1"/>
    <col min="2833" max="2833" width="14" style="1" bestFit="1" customWidth="1"/>
    <col min="2834" max="2834" width="11.54296875" style="1" bestFit="1" customWidth="1"/>
    <col min="2835" max="2835" width="13.81640625" style="1" bestFit="1" customWidth="1"/>
    <col min="2836" max="3073" width="11.453125" style="1"/>
    <col min="3074" max="3074" width="20.26953125" style="1" customWidth="1"/>
    <col min="3075" max="3075" width="21.7265625" style="1" customWidth="1"/>
    <col min="3076" max="3076" width="22" style="1" customWidth="1"/>
    <col min="3077" max="3077" width="17.1796875" style="1" customWidth="1"/>
    <col min="3078" max="3078" width="21.453125" style="1" customWidth="1"/>
    <col min="3079" max="3079" width="19.54296875" style="1" customWidth="1"/>
    <col min="3080" max="3080" width="14.1796875" style="1" bestFit="1" customWidth="1"/>
    <col min="3081" max="3081" width="8.453125" style="1" customWidth="1"/>
    <col min="3082" max="3082" width="14.453125" style="1" bestFit="1" customWidth="1"/>
    <col min="3083" max="3083" width="4.453125" style="1" customWidth="1"/>
    <col min="3084" max="3084" width="14.453125" style="1" bestFit="1" customWidth="1"/>
    <col min="3085" max="3085" width="13.453125" style="1" customWidth="1"/>
    <col min="3086" max="3086" width="14.7265625" style="1" bestFit="1" customWidth="1"/>
    <col min="3087" max="3087" width="14.26953125" style="1" bestFit="1" customWidth="1"/>
    <col min="3088" max="3088" width="14.26953125" style="1" customWidth="1"/>
    <col min="3089" max="3089" width="14" style="1" bestFit="1" customWidth="1"/>
    <col min="3090" max="3090" width="11.54296875" style="1" bestFit="1" customWidth="1"/>
    <col min="3091" max="3091" width="13.81640625" style="1" bestFit="1" customWidth="1"/>
    <col min="3092" max="3329" width="11.453125" style="1"/>
    <col min="3330" max="3330" width="20.26953125" style="1" customWidth="1"/>
    <col min="3331" max="3331" width="21.7265625" style="1" customWidth="1"/>
    <col min="3332" max="3332" width="22" style="1" customWidth="1"/>
    <col min="3333" max="3333" width="17.1796875" style="1" customWidth="1"/>
    <col min="3334" max="3334" width="21.453125" style="1" customWidth="1"/>
    <col min="3335" max="3335" width="19.54296875" style="1" customWidth="1"/>
    <col min="3336" max="3336" width="14.1796875" style="1" bestFit="1" customWidth="1"/>
    <col min="3337" max="3337" width="8.453125" style="1" customWidth="1"/>
    <col min="3338" max="3338" width="14.453125" style="1" bestFit="1" customWidth="1"/>
    <col min="3339" max="3339" width="4.453125" style="1" customWidth="1"/>
    <col min="3340" max="3340" width="14.453125" style="1" bestFit="1" customWidth="1"/>
    <col min="3341" max="3341" width="13.453125" style="1" customWidth="1"/>
    <col min="3342" max="3342" width="14.7265625" style="1" bestFit="1" customWidth="1"/>
    <col min="3343" max="3343" width="14.26953125" style="1" bestFit="1" customWidth="1"/>
    <col min="3344" max="3344" width="14.26953125" style="1" customWidth="1"/>
    <col min="3345" max="3345" width="14" style="1" bestFit="1" customWidth="1"/>
    <col min="3346" max="3346" width="11.54296875" style="1" bestFit="1" customWidth="1"/>
    <col min="3347" max="3347" width="13.81640625" style="1" bestFit="1" customWidth="1"/>
    <col min="3348" max="3585" width="11.453125" style="1"/>
    <col min="3586" max="3586" width="20.26953125" style="1" customWidth="1"/>
    <col min="3587" max="3587" width="21.7265625" style="1" customWidth="1"/>
    <col min="3588" max="3588" width="22" style="1" customWidth="1"/>
    <col min="3589" max="3589" width="17.1796875" style="1" customWidth="1"/>
    <col min="3590" max="3590" width="21.453125" style="1" customWidth="1"/>
    <col min="3591" max="3591" width="19.54296875" style="1" customWidth="1"/>
    <col min="3592" max="3592" width="14.1796875" style="1" bestFit="1" customWidth="1"/>
    <col min="3593" max="3593" width="8.453125" style="1" customWidth="1"/>
    <col min="3594" max="3594" width="14.453125" style="1" bestFit="1" customWidth="1"/>
    <col min="3595" max="3595" width="4.453125" style="1" customWidth="1"/>
    <col min="3596" max="3596" width="14.453125" style="1" bestFit="1" customWidth="1"/>
    <col min="3597" max="3597" width="13.453125" style="1" customWidth="1"/>
    <col min="3598" max="3598" width="14.7265625" style="1" bestFit="1" customWidth="1"/>
    <col min="3599" max="3599" width="14.26953125" style="1" bestFit="1" customWidth="1"/>
    <col min="3600" max="3600" width="14.26953125" style="1" customWidth="1"/>
    <col min="3601" max="3601" width="14" style="1" bestFit="1" customWidth="1"/>
    <col min="3602" max="3602" width="11.54296875" style="1" bestFit="1" customWidth="1"/>
    <col min="3603" max="3603" width="13.81640625" style="1" bestFit="1" customWidth="1"/>
    <col min="3604" max="3841" width="11.453125" style="1"/>
    <col min="3842" max="3842" width="20.26953125" style="1" customWidth="1"/>
    <col min="3843" max="3843" width="21.7265625" style="1" customWidth="1"/>
    <col min="3844" max="3844" width="22" style="1" customWidth="1"/>
    <col min="3845" max="3845" width="17.1796875" style="1" customWidth="1"/>
    <col min="3846" max="3846" width="21.453125" style="1" customWidth="1"/>
    <col min="3847" max="3847" width="19.54296875" style="1" customWidth="1"/>
    <col min="3848" max="3848" width="14.1796875" style="1" bestFit="1" customWidth="1"/>
    <col min="3849" max="3849" width="8.453125" style="1" customWidth="1"/>
    <col min="3850" max="3850" width="14.453125" style="1" bestFit="1" customWidth="1"/>
    <col min="3851" max="3851" width="4.453125" style="1" customWidth="1"/>
    <col min="3852" max="3852" width="14.453125" style="1" bestFit="1" customWidth="1"/>
    <col min="3853" max="3853" width="13.453125" style="1" customWidth="1"/>
    <col min="3854" max="3854" width="14.7265625" style="1" bestFit="1" customWidth="1"/>
    <col min="3855" max="3855" width="14.26953125" style="1" bestFit="1" customWidth="1"/>
    <col min="3856" max="3856" width="14.26953125" style="1" customWidth="1"/>
    <col min="3857" max="3857" width="14" style="1" bestFit="1" customWidth="1"/>
    <col min="3858" max="3858" width="11.54296875" style="1" bestFit="1" customWidth="1"/>
    <col min="3859" max="3859" width="13.81640625" style="1" bestFit="1" customWidth="1"/>
    <col min="3860" max="4097" width="11.453125" style="1"/>
    <col min="4098" max="4098" width="20.26953125" style="1" customWidth="1"/>
    <col min="4099" max="4099" width="21.7265625" style="1" customWidth="1"/>
    <col min="4100" max="4100" width="22" style="1" customWidth="1"/>
    <col min="4101" max="4101" width="17.1796875" style="1" customWidth="1"/>
    <col min="4102" max="4102" width="21.453125" style="1" customWidth="1"/>
    <col min="4103" max="4103" width="19.54296875" style="1" customWidth="1"/>
    <col min="4104" max="4104" width="14.1796875" style="1" bestFit="1" customWidth="1"/>
    <col min="4105" max="4105" width="8.453125" style="1" customWidth="1"/>
    <col min="4106" max="4106" width="14.453125" style="1" bestFit="1" customWidth="1"/>
    <col min="4107" max="4107" width="4.453125" style="1" customWidth="1"/>
    <col min="4108" max="4108" width="14.453125" style="1" bestFit="1" customWidth="1"/>
    <col min="4109" max="4109" width="13.453125" style="1" customWidth="1"/>
    <col min="4110" max="4110" width="14.7265625" style="1" bestFit="1" customWidth="1"/>
    <col min="4111" max="4111" width="14.26953125" style="1" bestFit="1" customWidth="1"/>
    <col min="4112" max="4112" width="14.26953125" style="1" customWidth="1"/>
    <col min="4113" max="4113" width="14" style="1" bestFit="1" customWidth="1"/>
    <col min="4114" max="4114" width="11.54296875" style="1" bestFit="1" customWidth="1"/>
    <col min="4115" max="4115" width="13.81640625" style="1" bestFit="1" customWidth="1"/>
    <col min="4116" max="4353" width="11.453125" style="1"/>
    <col min="4354" max="4354" width="20.26953125" style="1" customWidth="1"/>
    <col min="4355" max="4355" width="21.7265625" style="1" customWidth="1"/>
    <col min="4356" max="4356" width="22" style="1" customWidth="1"/>
    <col min="4357" max="4357" width="17.1796875" style="1" customWidth="1"/>
    <col min="4358" max="4358" width="21.453125" style="1" customWidth="1"/>
    <col min="4359" max="4359" width="19.54296875" style="1" customWidth="1"/>
    <col min="4360" max="4360" width="14.1796875" style="1" bestFit="1" customWidth="1"/>
    <col min="4361" max="4361" width="8.453125" style="1" customWidth="1"/>
    <col min="4362" max="4362" width="14.453125" style="1" bestFit="1" customWidth="1"/>
    <col min="4363" max="4363" width="4.453125" style="1" customWidth="1"/>
    <col min="4364" max="4364" width="14.453125" style="1" bestFit="1" customWidth="1"/>
    <col min="4365" max="4365" width="13.453125" style="1" customWidth="1"/>
    <col min="4366" max="4366" width="14.7265625" style="1" bestFit="1" customWidth="1"/>
    <col min="4367" max="4367" width="14.26953125" style="1" bestFit="1" customWidth="1"/>
    <col min="4368" max="4368" width="14.26953125" style="1" customWidth="1"/>
    <col min="4369" max="4369" width="14" style="1" bestFit="1" customWidth="1"/>
    <col min="4370" max="4370" width="11.54296875" style="1" bestFit="1" customWidth="1"/>
    <col min="4371" max="4371" width="13.81640625" style="1" bestFit="1" customWidth="1"/>
    <col min="4372" max="4609" width="11.453125" style="1"/>
    <col min="4610" max="4610" width="20.26953125" style="1" customWidth="1"/>
    <col min="4611" max="4611" width="21.7265625" style="1" customWidth="1"/>
    <col min="4612" max="4612" width="22" style="1" customWidth="1"/>
    <col min="4613" max="4613" width="17.1796875" style="1" customWidth="1"/>
    <col min="4614" max="4614" width="21.453125" style="1" customWidth="1"/>
    <col min="4615" max="4615" width="19.54296875" style="1" customWidth="1"/>
    <col min="4616" max="4616" width="14.1796875" style="1" bestFit="1" customWidth="1"/>
    <col min="4617" max="4617" width="8.453125" style="1" customWidth="1"/>
    <col min="4618" max="4618" width="14.453125" style="1" bestFit="1" customWidth="1"/>
    <col min="4619" max="4619" width="4.453125" style="1" customWidth="1"/>
    <col min="4620" max="4620" width="14.453125" style="1" bestFit="1" customWidth="1"/>
    <col min="4621" max="4621" width="13.453125" style="1" customWidth="1"/>
    <col min="4622" max="4622" width="14.7265625" style="1" bestFit="1" customWidth="1"/>
    <col min="4623" max="4623" width="14.26953125" style="1" bestFit="1" customWidth="1"/>
    <col min="4624" max="4624" width="14.26953125" style="1" customWidth="1"/>
    <col min="4625" max="4625" width="14" style="1" bestFit="1" customWidth="1"/>
    <col min="4626" max="4626" width="11.54296875" style="1" bestFit="1" customWidth="1"/>
    <col min="4627" max="4627" width="13.81640625" style="1" bestFit="1" customWidth="1"/>
    <col min="4628" max="4865" width="11.453125" style="1"/>
    <col min="4866" max="4866" width="20.26953125" style="1" customWidth="1"/>
    <col min="4867" max="4867" width="21.7265625" style="1" customWidth="1"/>
    <col min="4868" max="4868" width="22" style="1" customWidth="1"/>
    <col min="4869" max="4869" width="17.1796875" style="1" customWidth="1"/>
    <col min="4870" max="4870" width="21.453125" style="1" customWidth="1"/>
    <col min="4871" max="4871" width="19.54296875" style="1" customWidth="1"/>
    <col min="4872" max="4872" width="14.1796875" style="1" bestFit="1" customWidth="1"/>
    <col min="4873" max="4873" width="8.453125" style="1" customWidth="1"/>
    <col min="4874" max="4874" width="14.453125" style="1" bestFit="1" customWidth="1"/>
    <col min="4875" max="4875" width="4.453125" style="1" customWidth="1"/>
    <col min="4876" max="4876" width="14.453125" style="1" bestFit="1" customWidth="1"/>
    <col min="4877" max="4877" width="13.453125" style="1" customWidth="1"/>
    <col min="4878" max="4878" width="14.7265625" style="1" bestFit="1" customWidth="1"/>
    <col min="4879" max="4879" width="14.26953125" style="1" bestFit="1" customWidth="1"/>
    <col min="4880" max="4880" width="14.26953125" style="1" customWidth="1"/>
    <col min="4881" max="4881" width="14" style="1" bestFit="1" customWidth="1"/>
    <col min="4882" max="4882" width="11.54296875" style="1" bestFit="1" customWidth="1"/>
    <col min="4883" max="4883" width="13.81640625" style="1" bestFit="1" customWidth="1"/>
    <col min="4884" max="5121" width="11.453125" style="1"/>
    <col min="5122" max="5122" width="20.26953125" style="1" customWidth="1"/>
    <col min="5123" max="5123" width="21.7265625" style="1" customWidth="1"/>
    <col min="5124" max="5124" width="22" style="1" customWidth="1"/>
    <col min="5125" max="5125" width="17.1796875" style="1" customWidth="1"/>
    <col min="5126" max="5126" width="21.453125" style="1" customWidth="1"/>
    <col min="5127" max="5127" width="19.54296875" style="1" customWidth="1"/>
    <col min="5128" max="5128" width="14.1796875" style="1" bestFit="1" customWidth="1"/>
    <col min="5129" max="5129" width="8.453125" style="1" customWidth="1"/>
    <col min="5130" max="5130" width="14.453125" style="1" bestFit="1" customWidth="1"/>
    <col min="5131" max="5131" width="4.453125" style="1" customWidth="1"/>
    <col min="5132" max="5132" width="14.453125" style="1" bestFit="1" customWidth="1"/>
    <col min="5133" max="5133" width="13.453125" style="1" customWidth="1"/>
    <col min="5134" max="5134" width="14.7265625" style="1" bestFit="1" customWidth="1"/>
    <col min="5135" max="5135" width="14.26953125" style="1" bestFit="1" customWidth="1"/>
    <col min="5136" max="5136" width="14.26953125" style="1" customWidth="1"/>
    <col min="5137" max="5137" width="14" style="1" bestFit="1" customWidth="1"/>
    <col min="5138" max="5138" width="11.54296875" style="1" bestFit="1" customWidth="1"/>
    <col min="5139" max="5139" width="13.81640625" style="1" bestFit="1" customWidth="1"/>
    <col min="5140" max="5377" width="11.453125" style="1"/>
    <col min="5378" max="5378" width="20.26953125" style="1" customWidth="1"/>
    <col min="5379" max="5379" width="21.7265625" style="1" customWidth="1"/>
    <col min="5380" max="5380" width="22" style="1" customWidth="1"/>
    <col min="5381" max="5381" width="17.1796875" style="1" customWidth="1"/>
    <col min="5382" max="5382" width="21.453125" style="1" customWidth="1"/>
    <col min="5383" max="5383" width="19.54296875" style="1" customWidth="1"/>
    <col min="5384" max="5384" width="14.1796875" style="1" bestFit="1" customWidth="1"/>
    <col min="5385" max="5385" width="8.453125" style="1" customWidth="1"/>
    <col min="5386" max="5386" width="14.453125" style="1" bestFit="1" customWidth="1"/>
    <col min="5387" max="5387" width="4.453125" style="1" customWidth="1"/>
    <col min="5388" max="5388" width="14.453125" style="1" bestFit="1" customWidth="1"/>
    <col min="5389" max="5389" width="13.453125" style="1" customWidth="1"/>
    <col min="5390" max="5390" width="14.7265625" style="1" bestFit="1" customWidth="1"/>
    <col min="5391" max="5391" width="14.26953125" style="1" bestFit="1" customWidth="1"/>
    <col min="5392" max="5392" width="14.26953125" style="1" customWidth="1"/>
    <col min="5393" max="5393" width="14" style="1" bestFit="1" customWidth="1"/>
    <col min="5394" max="5394" width="11.54296875" style="1" bestFit="1" customWidth="1"/>
    <col min="5395" max="5395" width="13.81640625" style="1" bestFit="1" customWidth="1"/>
    <col min="5396" max="5633" width="11.453125" style="1"/>
    <col min="5634" max="5634" width="20.26953125" style="1" customWidth="1"/>
    <col min="5635" max="5635" width="21.7265625" style="1" customWidth="1"/>
    <col min="5636" max="5636" width="22" style="1" customWidth="1"/>
    <col min="5637" max="5637" width="17.1796875" style="1" customWidth="1"/>
    <col min="5638" max="5638" width="21.453125" style="1" customWidth="1"/>
    <col min="5639" max="5639" width="19.54296875" style="1" customWidth="1"/>
    <col min="5640" max="5640" width="14.1796875" style="1" bestFit="1" customWidth="1"/>
    <col min="5641" max="5641" width="8.453125" style="1" customWidth="1"/>
    <col min="5642" max="5642" width="14.453125" style="1" bestFit="1" customWidth="1"/>
    <col min="5643" max="5643" width="4.453125" style="1" customWidth="1"/>
    <col min="5644" max="5644" width="14.453125" style="1" bestFit="1" customWidth="1"/>
    <col min="5645" max="5645" width="13.453125" style="1" customWidth="1"/>
    <col min="5646" max="5646" width="14.7265625" style="1" bestFit="1" customWidth="1"/>
    <col min="5647" max="5647" width="14.26953125" style="1" bestFit="1" customWidth="1"/>
    <col min="5648" max="5648" width="14.26953125" style="1" customWidth="1"/>
    <col min="5649" max="5649" width="14" style="1" bestFit="1" customWidth="1"/>
    <col min="5650" max="5650" width="11.54296875" style="1" bestFit="1" customWidth="1"/>
    <col min="5651" max="5651" width="13.81640625" style="1" bestFit="1" customWidth="1"/>
    <col min="5652" max="5889" width="11.453125" style="1"/>
    <col min="5890" max="5890" width="20.26953125" style="1" customWidth="1"/>
    <col min="5891" max="5891" width="21.7265625" style="1" customWidth="1"/>
    <col min="5892" max="5892" width="22" style="1" customWidth="1"/>
    <col min="5893" max="5893" width="17.1796875" style="1" customWidth="1"/>
    <col min="5894" max="5894" width="21.453125" style="1" customWidth="1"/>
    <col min="5895" max="5895" width="19.54296875" style="1" customWidth="1"/>
    <col min="5896" max="5896" width="14.1796875" style="1" bestFit="1" customWidth="1"/>
    <col min="5897" max="5897" width="8.453125" style="1" customWidth="1"/>
    <col min="5898" max="5898" width="14.453125" style="1" bestFit="1" customWidth="1"/>
    <col min="5899" max="5899" width="4.453125" style="1" customWidth="1"/>
    <col min="5900" max="5900" width="14.453125" style="1" bestFit="1" customWidth="1"/>
    <col min="5901" max="5901" width="13.453125" style="1" customWidth="1"/>
    <col min="5902" max="5902" width="14.7265625" style="1" bestFit="1" customWidth="1"/>
    <col min="5903" max="5903" width="14.26953125" style="1" bestFit="1" customWidth="1"/>
    <col min="5904" max="5904" width="14.26953125" style="1" customWidth="1"/>
    <col min="5905" max="5905" width="14" style="1" bestFit="1" customWidth="1"/>
    <col min="5906" max="5906" width="11.54296875" style="1" bestFit="1" customWidth="1"/>
    <col min="5907" max="5907" width="13.81640625" style="1" bestFit="1" customWidth="1"/>
    <col min="5908" max="6145" width="11.453125" style="1"/>
    <col min="6146" max="6146" width="20.26953125" style="1" customWidth="1"/>
    <col min="6147" max="6147" width="21.7265625" style="1" customWidth="1"/>
    <col min="6148" max="6148" width="22" style="1" customWidth="1"/>
    <col min="6149" max="6149" width="17.1796875" style="1" customWidth="1"/>
    <col min="6150" max="6150" width="21.453125" style="1" customWidth="1"/>
    <col min="6151" max="6151" width="19.54296875" style="1" customWidth="1"/>
    <col min="6152" max="6152" width="14.1796875" style="1" bestFit="1" customWidth="1"/>
    <col min="6153" max="6153" width="8.453125" style="1" customWidth="1"/>
    <col min="6154" max="6154" width="14.453125" style="1" bestFit="1" customWidth="1"/>
    <col min="6155" max="6155" width="4.453125" style="1" customWidth="1"/>
    <col min="6156" max="6156" width="14.453125" style="1" bestFit="1" customWidth="1"/>
    <col min="6157" max="6157" width="13.453125" style="1" customWidth="1"/>
    <col min="6158" max="6158" width="14.7265625" style="1" bestFit="1" customWidth="1"/>
    <col min="6159" max="6159" width="14.26953125" style="1" bestFit="1" customWidth="1"/>
    <col min="6160" max="6160" width="14.26953125" style="1" customWidth="1"/>
    <col min="6161" max="6161" width="14" style="1" bestFit="1" customWidth="1"/>
    <col min="6162" max="6162" width="11.54296875" style="1" bestFit="1" customWidth="1"/>
    <col min="6163" max="6163" width="13.81640625" style="1" bestFit="1" customWidth="1"/>
    <col min="6164" max="6401" width="11.453125" style="1"/>
    <col min="6402" max="6402" width="20.26953125" style="1" customWidth="1"/>
    <col min="6403" max="6403" width="21.7265625" style="1" customWidth="1"/>
    <col min="6404" max="6404" width="22" style="1" customWidth="1"/>
    <col min="6405" max="6405" width="17.1796875" style="1" customWidth="1"/>
    <col min="6406" max="6406" width="21.453125" style="1" customWidth="1"/>
    <col min="6407" max="6407" width="19.54296875" style="1" customWidth="1"/>
    <col min="6408" max="6408" width="14.1796875" style="1" bestFit="1" customWidth="1"/>
    <col min="6409" max="6409" width="8.453125" style="1" customWidth="1"/>
    <col min="6410" max="6410" width="14.453125" style="1" bestFit="1" customWidth="1"/>
    <col min="6411" max="6411" width="4.453125" style="1" customWidth="1"/>
    <col min="6412" max="6412" width="14.453125" style="1" bestFit="1" customWidth="1"/>
    <col min="6413" max="6413" width="13.453125" style="1" customWidth="1"/>
    <col min="6414" max="6414" width="14.7265625" style="1" bestFit="1" customWidth="1"/>
    <col min="6415" max="6415" width="14.26953125" style="1" bestFit="1" customWidth="1"/>
    <col min="6416" max="6416" width="14.26953125" style="1" customWidth="1"/>
    <col min="6417" max="6417" width="14" style="1" bestFit="1" customWidth="1"/>
    <col min="6418" max="6418" width="11.54296875" style="1" bestFit="1" customWidth="1"/>
    <col min="6419" max="6419" width="13.81640625" style="1" bestFit="1" customWidth="1"/>
    <col min="6420" max="6657" width="11.453125" style="1"/>
    <col min="6658" max="6658" width="20.26953125" style="1" customWidth="1"/>
    <col min="6659" max="6659" width="21.7265625" style="1" customWidth="1"/>
    <col min="6660" max="6660" width="22" style="1" customWidth="1"/>
    <col min="6661" max="6661" width="17.1796875" style="1" customWidth="1"/>
    <col min="6662" max="6662" width="21.453125" style="1" customWidth="1"/>
    <col min="6663" max="6663" width="19.54296875" style="1" customWidth="1"/>
    <col min="6664" max="6664" width="14.1796875" style="1" bestFit="1" customWidth="1"/>
    <col min="6665" max="6665" width="8.453125" style="1" customWidth="1"/>
    <col min="6666" max="6666" width="14.453125" style="1" bestFit="1" customWidth="1"/>
    <col min="6667" max="6667" width="4.453125" style="1" customWidth="1"/>
    <col min="6668" max="6668" width="14.453125" style="1" bestFit="1" customWidth="1"/>
    <col min="6669" max="6669" width="13.453125" style="1" customWidth="1"/>
    <col min="6670" max="6670" width="14.7265625" style="1" bestFit="1" customWidth="1"/>
    <col min="6671" max="6671" width="14.26953125" style="1" bestFit="1" customWidth="1"/>
    <col min="6672" max="6672" width="14.26953125" style="1" customWidth="1"/>
    <col min="6673" max="6673" width="14" style="1" bestFit="1" customWidth="1"/>
    <col min="6674" max="6674" width="11.54296875" style="1" bestFit="1" customWidth="1"/>
    <col min="6675" max="6675" width="13.81640625" style="1" bestFit="1" customWidth="1"/>
    <col min="6676" max="6913" width="11.453125" style="1"/>
    <col min="6914" max="6914" width="20.26953125" style="1" customWidth="1"/>
    <col min="6915" max="6915" width="21.7265625" style="1" customWidth="1"/>
    <col min="6916" max="6916" width="22" style="1" customWidth="1"/>
    <col min="6917" max="6917" width="17.1796875" style="1" customWidth="1"/>
    <col min="6918" max="6918" width="21.453125" style="1" customWidth="1"/>
    <col min="6919" max="6919" width="19.54296875" style="1" customWidth="1"/>
    <col min="6920" max="6920" width="14.1796875" style="1" bestFit="1" customWidth="1"/>
    <col min="6921" max="6921" width="8.453125" style="1" customWidth="1"/>
    <col min="6922" max="6922" width="14.453125" style="1" bestFit="1" customWidth="1"/>
    <col min="6923" max="6923" width="4.453125" style="1" customWidth="1"/>
    <col min="6924" max="6924" width="14.453125" style="1" bestFit="1" customWidth="1"/>
    <col min="6925" max="6925" width="13.453125" style="1" customWidth="1"/>
    <col min="6926" max="6926" width="14.7265625" style="1" bestFit="1" customWidth="1"/>
    <col min="6927" max="6927" width="14.26953125" style="1" bestFit="1" customWidth="1"/>
    <col min="6928" max="6928" width="14.26953125" style="1" customWidth="1"/>
    <col min="6929" max="6929" width="14" style="1" bestFit="1" customWidth="1"/>
    <col min="6930" max="6930" width="11.54296875" style="1" bestFit="1" customWidth="1"/>
    <col min="6931" max="6931" width="13.81640625" style="1" bestFit="1" customWidth="1"/>
    <col min="6932" max="7169" width="11.453125" style="1"/>
    <col min="7170" max="7170" width="20.26953125" style="1" customWidth="1"/>
    <col min="7171" max="7171" width="21.7265625" style="1" customWidth="1"/>
    <col min="7172" max="7172" width="22" style="1" customWidth="1"/>
    <col min="7173" max="7173" width="17.1796875" style="1" customWidth="1"/>
    <col min="7174" max="7174" width="21.453125" style="1" customWidth="1"/>
    <col min="7175" max="7175" width="19.54296875" style="1" customWidth="1"/>
    <col min="7176" max="7176" width="14.1796875" style="1" bestFit="1" customWidth="1"/>
    <col min="7177" max="7177" width="8.453125" style="1" customWidth="1"/>
    <col min="7178" max="7178" width="14.453125" style="1" bestFit="1" customWidth="1"/>
    <col min="7179" max="7179" width="4.453125" style="1" customWidth="1"/>
    <col min="7180" max="7180" width="14.453125" style="1" bestFit="1" customWidth="1"/>
    <col min="7181" max="7181" width="13.453125" style="1" customWidth="1"/>
    <col min="7182" max="7182" width="14.7265625" style="1" bestFit="1" customWidth="1"/>
    <col min="7183" max="7183" width="14.26953125" style="1" bestFit="1" customWidth="1"/>
    <col min="7184" max="7184" width="14.26953125" style="1" customWidth="1"/>
    <col min="7185" max="7185" width="14" style="1" bestFit="1" customWidth="1"/>
    <col min="7186" max="7186" width="11.54296875" style="1" bestFit="1" customWidth="1"/>
    <col min="7187" max="7187" width="13.81640625" style="1" bestFit="1" customWidth="1"/>
    <col min="7188" max="7425" width="11.453125" style="1"/>
    <col min="7426" max="7426" width="20.26953125" style="1" customWidth="1"/>
    <col min="7427" max="7427" width="21.7265625" style="1" customWidth="1"/>
    <col min="7428" max="7428" width="22" style="1" customWidth="1"/>
    <col min="7429" max="7429" width="17.1796875" style="1" customWidth="1"/>
    <col min="7430" max="7430" width="21.453125" style="1" customWidth="1"/>
    <col min="7431" max="7431" width="19.54296875" style="1" customWidth="1"/>
    <col min="7432" max="7432" width="14.1796875" style="1" bestFit="1" customWidth="1"/>
    <col min="7433" max="7433" width="8.453125" style="1" customWidth="1"/>
    <col min="7434" max="7434" width="14.453125" style="1" bestFit="1" customWidth="1"/>
    <col min="7435" max="7435" width="4.453125" style="1" customWidth="1"/>
    <col min="7436" max="7436" width="14.453125" style="1" bestFit="1" customWidth="1"/>
    <col min="7437" max="7437" width="13.453125" style="1" customWidth="1"/>
    <col min="7438" max="7438" width="14.7265625" style="1" bestFit="1" customWidth="1"/>
    <col min="7439" max="7439" width="14.26953125" style="1" bestFit="1" customWidth="1"/>
    <col min="7440" max="7440" width="14.26953125" style="1" customWidth="1"/>
    <col min="7441" max="7441" width="14" style="1" bestFit="1" customWidth="1"/>
    <col min="7442" max="7442" width="11.54296875" style="1" bestFit="1" customWidth="1"/>
    <col min="7443" max="7443" width="13.81640625" style="1" bestFit="1" customWidth="1"/>
    <col min="7444" max="7681" width="11.453125" style="1"/>
    <col min="7682" max="7682" width="20.26953125" style="1" customWidth="1"/>
    <col min="7683" max="7683" width="21.7265625" style="1" customWidth="1"/>
    <col min="7684" max="7684" width="22" style="1" customWidth="1"/>
    <col min="7685" max="7685" width="17.1796875" style="1" customWidth="1"/>
    <col min="7686" max="7686" width="21.453125" style="1" customWidth="1"/>
    <col min="7687" max="7687" width="19.54296875" style="1" customWidth="1"/>
    <col min="7688" max="7688" width="14.1796875" style="1" bestFit="1" customWidth="1"/>
    <col min="7689" max="7689" width="8.453125" style="1" customWidth="1"/>
    <col min="7690" max="7690" width="14.453125" style="1" bestFit="1" customWidth="1"/>
    <col min="7691" max="7691" width="4.453125" style="1" customWidth="1"/>
    <col min="7692" max="7692" width="14.453125" style="1" bestFit="1" customWidth="1"/>
    <col min="7693" max="7693" width="13.453125" style="1" customWidth="1"/>
    <col min="7694" max="7694" width="14.7265625" style="1" bestFit="1" customWidth="1"/>
    <col min="7695" max="7695" width="14.26953125" style="1" bestFit="1" customWidth="1"/>
    <col min="7696" max="7696" width="14.26953125" style="1" customWidth="1"/>
    <col min="7697" max="7697" width="14" style="1" bestFit="1" customWidth="1"/>
    <col min="7698" max="7698" width="11.54296875" style="1" bestFit="1" customWidth="1"/>
    <col min="7699" max="7699" width="13.81640625" style="1" bestFit="1" customWidth="1"/>
    <col min="7700" max="7937" width="11.453125" style="1"/>
    <col min="7938" max="7938" width="20.26953125" style="1" customWidth="1"/>
    <col min="7939" max="7939" width="21.7265625" style="1" customWidth="1"/>
    <col min="7940" max="7940" width="22" style="1" customWidth="1"/>
    <col min="7941" max="7941" width="17.1796875" style="1" customWidth="1"/>
    <col min="7942" max="7942" width="21.453125" style="1" customWidth="1"/>
    <col min="7943" max="7943" width="19.54296875" style="1" customWidth="1"/>
    <col min="7944" max="7944" width="14.1796875" style="1" bestFit="1" customWidth="1"/>
    <col min="7945" max="7945" width="8.453125" style="1" customWidth="1"/>
    <col min="7946" max="7946" width="14.453125" style="1" bestFit="1" customWidth="1"/>
    <col min="7947" max="7947" width="4.453125" style="1" customWidth="1"/>
    <col min="7948" max="7948" width="14.453125" style="1" bestFit="1" customWidth="1"/>
    <col min="7949" max="7949" width="13.453125" style="1" customWidth="1"/>
    <col min="7950" max="7950" width="14.7265625" style="1" bestFit="1" customWidth="1"/>
    <col min="7951" max="7951" width="14.26953125" style="1" bestFit="1" customWidth="1"/>
    <col min="7952" max="7952" width="14.26953125" style="1" customWidth="1"/>
    <col min="7953" max="7953" width="14" style="1" bestFit="1" customWidth="1"/>
    <col min="7954" max="7954" width="11.54296875" style="1" bestFit="1" customWidth="1"/>
    <col min="7955" max="7955" width="13.81640625" style="1" bestFit="1" customWidth="1"/>
    <col min="7956" max="8193" width="11.453125" style="1"/>
    <col min="8194" max="8194" width="20.26953125" style="1" customWidth="1"/>
    <col min="8195" max="8195" width="21.7265625" style="1" customWidth="1"/>
    <col min="8196" max="8196" width="22" style="1" customWidth="1"/>
    <col min="8197" max="8197" width="17.1796875" style="1" customWidth="1"/>
    <col min="8198" max="8198" width="21.453125" style="1" customWidth="1"/>
    <col min="8199" max="8199" width="19.54296875" style="1" customWidth="1"/>
    <col min="8200" max="8200" width="14.1796875" style="1" bestFit="1" customWidth="1"/>
    <col min="8201" max="8201" width="8.453125" style="1" customWidth="1"/>
    <col min="8202" max="8202" width="14.453125" style="1" bestFit="1" customWidth="1"/>
    <col min="8203" max="8203" width="4.453125" style="1" customWidth="1"/>
    <col min="8204" max="8204" width="14.453125" style="1" bestFit="1" customWidth="1"/>
    <col min="8205" max="8205" width="13.453125" style="1" customWidth="1"/>
    <col min="8206" max="8206" width="14.7265625" style="1" bestFit="1" customWidth="1"/>
    <col min="8207" max="8207" width="14.26953125" style="1" bestFit="1" customWidth="1"/>
    <col min="8208" max="8208" width="14.26953125" style="1" customWidth="1"/>
    <col min="8209" max="8209" width="14" style="1" bestFit="1" customWidth="1"/>
    <col min="8210" max="8210" width="11.54296875" style="1" bestFit="1" customWidth="1"/>
    <col min="8211" max="8211" width="13.81640625" style="1" bestFit="1" customWidth="1"/>
    <col min="8212" max="8449" width="11.453125" style="1"/>
    <col min="8450" max="8450" width="20.26953125" style="1" customWidth="1"/>
    <col min="8451" max="8451" width="21.7265625" style="1" customWidth="1"/>
    <col min="8452" max="8452" width="22" style="1" customWidth="1"/>
    <col min="8453" max="8453" width="17.1796875" style="1" customWidth="1"/>
    <col min="8454" max="8454" width="21.453125" style="1" customWidth="1"/>
    <col min="8455" max="8455" width="19.54296875" style="1" customWidth="1"/>
    <col min="8456" max="8456" width="14.1796875" style="1" bestFit="1" customWidth="1"/>
    <col min="8457" max="8457" width="8.453125" style="1" customWidth="1"/>
    <col min="8458" max="8458" width="14.453125" style="1" bestFit="1" customWidth="1"/>
    <col min="8459" max="8459" width="4.453125" style="1" customWidth="1"/>
    <col min="8460" max="8460" width="14.453125" style="1" bestFit="1" customWidth="1"/>
    <col min="8461" max="8461" width="13.453125" style="1" customWidth="1"/>
    <col min="8462" max="8462" width="14.7265625" style="1" bestFit="1" customWidth="1"/>
    <col min="8463" max="8463" width="14.26953125" style="1" bestFit="1" customWidth="1"/>
    <col min="8464" max="8464" width="14.26953125" style="1" customWidth="1"/>
    <col min="8465" max="8465" width="14" style="1" bestFit="1" customWidth="1"/>
    <col min="8466" max="8466" width="11.54296875" style="1" bestFit="1" customWidth="1"/>
    <col min="8467" max="8467" width="13.81640625" style="1" bestFit="1" customWidth="1"/>
    <col min="8468" max="8705" width="11.453125" style="1"/>
    <col min="8706" max="8706" width="20.26953125" style="1" customWidth="1"/>
    <col min="8707" max="8707" width="21.7265625" style="1" customWidth="1"/>
    <col min="8708" max="8708" width="22" style="1" customWidth="1"/>
    <col min="8709" max="8709" width="17.1796875" style="1" customWidth="1"/>
    <col min="8710" max="8710" width="21.453125" style="1" customWidth="1"/>
    <col min="8711" max="8711" width="19.54296875" style="1" customWidth="1"/>
    <col min="8712" max="8712" width="14.1796875" style="1" bestFit="1" customWidth="1"/>
    <col min="8713" max="8713" width="8.453125" style="1" customWidth="1"/>
    <col min="8714" max="8714" width="14.453125" style="1" bestFit="1" customWidth="1"/>
    <col min="8715" max="8715" width="4.453125" style="1" customWidth="1"/>
    <col min="8716" max="8716" width="14.453125" style="1" bestFit="1" customWidth="1"/>
    <col min="8717" max="8717" width="13.453125" style="1" customWidth="1"/>
    <col min="8718" max="8718" width="14.7265625" style="1" bestFit="1" customWidth="1"/>
    <col min="8719" max="8719" width="14.26953125" style="1" bestFit="1" customWidth="1"/>
    <col min="8720" max="8720" width="14.26953125" style="1" customWidth="1"/>
    <col min="8721" max="8721" width="14" style="1" bestFit="1" customWidth="1"/>
    <col min="8722" max="8722" width="11.54296875" style="1" bestFit="1" customWidth="1"/>
    <col min="8723" max="8723" width="13.81640625" style="1" bestFit="1" customWidth="1"/>
    <col min="8724" max="8961" width="11.453125" style="1"/>
    <col min="8962" max="8962" width="20.26953125" style="1" customWidth="1"/>
    <col min="8963" max="8963" width="21.7265625" style="1" customWidth="1"/>
    <col min="8964" max="8964" width="22" style="1" customWidth="1"/>
    <col min="8965" max="8965" width="17.1796875" style="1" customWidth="1"/>
    <col min="8966" max="8966" width="21.453125" style="1" customWidth="1"/>
    <col min="8967" max="8967" width="19.54296875" style="1" customWidth="1"/>
    <col min="8968" max="8968" width="14.1796875" style="1" bestFit="1" customWidth="1"/>
    <col min="8969" max="8969" width="8.453125" style="1" customWidth="1"/>
    <col min="8970" max="8970" width="14.453125" style="1" bestFit="1" customWidth="1"/>
    <col min="8971" max="8971" width="4.453125" style="1" customWidth="1"/>
    <col min="8972" max="8972" width="14.453125" style="1" bestFit="1" customWidth="1"/>
    <col min="8973" max="8973" width="13.453125" style="1" customWidth="1"/>
    <col min="8974" max="8974" width="14.7265625" style="1" bestFit="1" customWidth="1"/>
    <col min="8975" max="8975" width="14.26953125" style="1" bestFit="1" customWidth="1"/>
    <col min="8976" max="8976" width="14.26953125" style="1" customWidth="1"/>
    <col min="8977" max="8977" width="14" style="1" bestFit="1" customWidth="1"/>
    <col min="8978" max="8978" width="11.54296875" style="1" bestFit="1" customWidth="1"/>
    <col min="8979" max="8979" width="13.81640625" style="1" bestFit="1" customWidth="1"/>
    <col min="8980" max="9217" width="11.453125" style="1"/>
    <col min="9218" max="9218" width="20.26953125" style="1" customWidth="1"/>
    <col min="9219" max="9219" width="21.7265625" style="1" customWidth="1"/>
    <col min="9220" max="9220" width="22" style="1" customWidth="1"/>
    <col min="9221" max="9221" width="17.1796875" style="1" customWidth="1"/>
    <col min="9222" max="9222" width="21.453125" style="1" customWidth="1"/>
    <col min="9223" max="9223" width="19.54296875" style="1" customWidth="1"/>
    <col min="9224" max="9224" width="14.1796875" style="1" bestFit="1" customWidth="1"/>
    <col min="9225" max="9225" width="8.453125" style="1" customWidth="1"/>
    <col min="9226" max="9226" width="14.453125" style="1" bestFit="1" customWidth="1"/>
    <col min="9227" max="9227" width="4.453125" style="1" customWidth="1"/>
    <col min="9228" max="9228" width="14.453125" style="1" bestFit="1" customWidth="1"/>
    <col min="9229" max="9229" width="13.453125" style="1" customWidth="1"/>
    <col min="9230" max="9230" width="14.7265625" style="1" bestFit="1" customWidth="1"/>
    <col min="9231" max="9231" width="14.26953125" style="1" bestFit="1" customWidth="1"/>
    <col min="9232" max="9232" width="14.26953125" style="1" customWidth="1"/>
    <col min="9233" max="9233" width="14" style="1" bestFit="1" customWidth="1"/>
    <col min="9234" max="9234" width="11.54296875" style="1" bestFit="1" customWidth="1"/>
    <col min="9235" max="9235" width="13.81640625" style="1" bestFit="1" customWidth="1"/>
    <col min="9236" max="9473" width="11.453125" style="1"/>
    <col min="9474" max="9474" width="20.26953125" style="1" customWidth="1"/>
    <col min="9475" max="9475" width="21.7265625" style="1" customWidth="1"/>
    <col min="9476" max="9476" width="22" style="1" customWidth="1"/>
    <col min="9477" max="9477" width="17.1796875" style="1" customWidth="1"/>
    <col min="9478" max="9478" width="21.453125" style="1" customWidth="1"/>
    <col min="9479" max="9479" width="19.54296875" style="1" customWidth="1"/>
    <col min="9480" max="9480" width="14.1796875" style="1" bestFit="1" customWidth="1"/>
    <col min="9481" max="9481" width="8.453125" style="1" customWidth="1"/>
    <col min="9482" max="9482" width="14.453125" style="1" bestFit="1" customWidth="1"/>
    <col min="9483" max="9483" width="4.453125" style="1" customWidth="1"/>
    <col min="9484" max="9484" width="14.453125" style="1" bestFit="1" customWidth="1"/>
    <col min="9485" max="9485" width="13.453125" style="1" customWidth="1"/>
    <col min="9486" max="9486" width="14.7265625" style="1" bestFit="1" customWidth="1"/>
    <col min="9487" max="9487" width="14.26953125" style="1" bestFit="1" customWidth="1"/>
    <col min="9488" max="9488" width="14.26953125" style="1" customWidth="1"/>
    <col min="9489" max="9489" width="14" style="1" bestFit="1" customWidth="1"/>
    <col min="9490" max="9490" width="11.54296875" style="1" bestFit="1" customWidth="1"/>
    <col min="9491" max="9491" width="13.81640625" style="1" bestFit="1" customWidth="1"/>
    <col min="9492" max="9729" width="11.453125" style="1"/>
    <col min="9730" max="9730" width="20.26953125" style="1" customWidth="1"/>
    <col min="9731" max="9731" width="21.7265625" style="1" customWidth="1"/>
    <col min="9732" max="9732" width="22" style="1" customWidth="1"/>
    <col min="9733" max="9733" width="17.1796875" style="1" customWidth="1"/>
    <col min="9734" max="9734" width="21.453125" style="1" customWidth="1"/>
    <col min="9735" max="9735" width="19.54296875" style="1" customWidth="1"/>
    <col min="9736" max="9736" width="14.1796875" style="1" bestFit="1" customWidth="1"/>
    <col min="9737" max="9737" width="8.453125" style="1" customWidth="1"/>
    <col min="9738" max="9738" width="14.453125" style="1" bestFit="1" customWidth="1"/>
    <col min="9739" max="9739" width="4.453125" style="1" customWidth="1"/>
    <col min="9740" max="9740" width="14.453125" style="1" bestFit="1" customWidth="1"/>
    <col min="9741" max="9741" width="13.453125" style="1" customWidth="1"/>
    <col min="9742" max="9742" width="14.7265625" style="1" bestFit="1" customWidth="1"/>
    <col min="9743" max="9743" width="14.26953125" style="1" bestFit="1" customWidth="1"/>
    <col min="9744" max="9744" width="14.26953125" style="1" customWidth="1"/>
    <col min="9745" max="9745" width="14" style="1" bestFit="1" customWidth="1"/>
    <col min="9746" max="9746" width="11.54296875" style="1" bestFit="1" customWidth="1"/>
    <col min="9747" max="9747" width="13.81640625" style="1" bestFit="1" customWidth="1"/>
    <col min="9748" max="9985" width="11.453125" style="1"/>
    <col min="9986" max="9986" width="20.26953125" style="1" customWidth="1"/>
    <col min="9987" max="9987" width="21.7265625" style="1" customWidth="1"/>
    <col min="9988" max="9988" width="22" style="1" customWidth="1"/>
    <col min="9989" max="9989" width="17.1796875" style="1" customWidth="1"/>
    <col min="9990" max="9990" width="21.453125" style="1" customWidth="1"/>
    <col min="9991" max="9991" width="19.54296875" style="1" customWidth="1"/>
    <col min="9992" max="9992" width="14.1796875" style="1" bestFit="1" customWidth="1"/>
    <col min="9993" max="9993" width="8.453125" style="1" customWidth="1"/>
    <col min="9994" max="9994" width="14.453125" style="1" bestFit="1" customWidth="1"/>
    <col min="9995" max="9995" width="4.453125" style="1" customWidth="1"/>
    <col min="9996" max="9996" width="14.453125" style="1" bestFit="1" customWidth="1"/>
    <col min="9997" max="9997" width="13.453125" style="1" customWidth="1"/>
    <col min="9998" max="9998" width="14.7265625" style="1" bestFit="1" customWidth="1"/>
    <col min="9999" max="9999" width="14.26953125" style="1" bestFit="1" customWidth="1"/>
    <col min="10000" max="10000" width="14.26953125" style="1" customWidth="1"/>
    <col min="10001" max="10001" width="14" style="1" bestFit="1" customWidth="1"/>
    <col min="10002" max="10002" width="11.54296875" style="1" bestFit="1" customWidth="1"/>
    <col min="10003" max="10003" width="13.81640625" style="1" bestFit="1" customWidth="1"/>
    <col min="10004" max="10241" width="11.453125" style="1"/>
    <col min="10242" max="10242" width="20.26953125" style="1" customWidth="1"/>
    <col min="10243" max="10243" width="21.7265625" style="1" customWidth="1"/>
    <col min="10244" max="10244" width="22" style="1" customWidth="1"/>
    <col min="10245" max="10245" width="17.1796875" style="1" customWidth="1"/>
    <col min="10246" max="10246" width="21.453125" style="1" customWidth="1"/>
    <col min="10247" max="10247" width="19.54296875" style="1" customWidth="1"/>
    <col min="10248" max="10248" width="14.1796875" style="1" bestFit="1" customWidth="1"/>
    <col min="10249" max="10249" width="8.453125" style="1" customWidth="1"/>
    <col min="10250" max="10250" width="14.453125" style="1" bestFit="1" customWidth="1"/>
    <col min="10251" max="10251" width="4.453125" style="1" customWidth="1"/>
    <col min="10252" max="10252" width="14.453125" style="1" bestFit="1" customWidth="1"/>
    <col min="10253" max="10253" width="13.453125" style="1" customWidth="1"/>
    <col min="10254" max="10254" width="14.7265625" style="1" bestFit="1" customWidth="1"/>
    <col min="10255" max="10255" width="14.26953125" style="1" bestFit="1" customWidth="1"/>
    <col min="10256" max="10256" width="14.26953125" style="1" customWidth="1"/>
    <col min="10257" max="10257" width="14" style="1" bestFit="1" customWidth="1"/>
    <col min="10258" max="10258" width="11.54296875" style="1" bestFit="1" customWidth="1"/>
    <col min="10259" max="10259" width="13.81640625" style="1" bestFit="1" customWidth="1"/>
    <col min="10260" max="10497" width="11.453125" style="1"/>
    <col min="10498" max="10498" width="20.26953125" style="1" customWidth="1"/>
    <col min="10499" max="10499" width="21.7265625" style="1" customWidth="1"/>
    <col min="10500" max="10500" width="22" style="1" customWidth="1"/>
    <col min="10501" max="10501" width="17.1796875" style="1" customWidth="1"/>
    <col min="10502" max="10502" width="21.453125" style="1" customWidth="1"/>
    <col min="10503" max="10503" width="19.54296875" style="1" customWidth="1"/>
    <col min="10504" max="10504" width="14.1796875" style="1" bestFit="1" customWidth="1"/>
    <col min="10505" max="10505" width="8.453125" style="1" customWidth="1"/>
    <col min="10506" max="10506" width="14.453125" style="1" bestFit="1" customWidth="1"/>
    <col min="10507" max="10507" width="4.453125" style="1" customWidth="1"/>
    <col min="10508" max="10508" width="14.453125" style="1" bestFit="1" customWidth="1"/>
    <col min="10509" max="10509" width="13.453125" style="1" customWidth="1"/>
    <col min="10510" max="10510" width="14.7265625" style="1" bestFit="1" customWidth="1"/>
    <col min="10511" max="10511" width="14.26953125" style="1" bestFit="1" customWidth="1"/>
    <col min="10512" max="10512" width="14.26953125" style="1" customWidth="1"/>
    <col min="10513" max="10513" width="14" style="1" bestFit="1" customWidth="1"/>
    <col min="10514" max="10514" width="11.54296875" style="1" bestFit="1" customWidth="1"/>
    <col min="10515" max="10515" width="13.81640625" style="1" bestFit="1" customWidth="1"/>
    <col min="10516" max="10753" width="11.453125" style="1"/>
    <col min="10754" max="10754" width="20.26953125" style="1" customWidth="1"/>
    <col min="10755" max="10755" width="21.7265625" style="1" customWidth="1"/>
    <col min="10756" max="10756" width="22" style="1" customWidth="1"/>
    <col min="10757" max="10757" width="17.1796875" style="1" customWidth="1"/>
    <col min="10758" max="10758" width="21.453125" style="1" customWidth="1"/>
    <col min="10759" max="10759" width="19.54296875" style="1" customWidth="1"/>
    <col min="10760" max="10760" width="14.1796875" style="1" bestFit="1" customWidth="1"/>
    <col min="10761" max="10761" width="8.453125" style="1" customWidth="1"/>
    <col min="10762" max="10762" width="14.453125" style="1" bestFit="1" customWidth="1"/>
    <col min="10763" max="10763" width="4.453125" style="1" customWidth="1"/>
    <col min="10764" max="10764" width="14.453125" style="1" bestFit="1" customWidth="1"/>
    <col min="10765" max="10765" width="13.453125" style="1" customWidth="1"/>
    <col min="10766" max="10766" width="14.7265625" style="1" bestFit="1" customWidth="1"/>
    <col min="10767" max="10767" width="14.26953125" style="1" bestFit="1" customWidth="1"/>
    <col min="10768" max="10768" width="14.26953125" style="1" customWidth="1"/>
    <col min="10769" max="10769" width="14" style="1" bestFit="1" customWidth="1"/>
    <col min="10770" max="10770" width="11.54296875" style="1" bestFit="1" customWidth="1"/>
    <col min="10771" max="10771" width="13.81640625" style="1" bestFit="1" customWidth="1"/>
    <col min="10772" max="11009" width="11.453125" style="1"/>
    <col min="11010" max="11010" width="20.26953125" style="1" customWidth="1"/>
    <col min="11011" max="11011" width="21.7265625" style="1" customWidth="1"/>
    <col min="11012" max="11012" width="22" style="1" customWidth="1"/>
    <col min="11013" max="11013" width="17.1796875" style="1" customWidth="1"/>
    <col min="11014" max="11014" width="21.453125" style="1" customWidth="1"/>
    <col min="11015" max="11015" width="19.54296875" style="1" customWidth="1"/>
    <col min="11016" max="11016" width="14.1796875" style="1" bestFit="1" customWidth="1"/>
    <col min="11017" max="11017" width="8.453125" style="1" customWidth="1"/>
    <col min="11018" max="11018" width="14.453125" style="1" bestFit="1" customWidth="1"/>
    <col min="11019" max="11019" width="4.453125" style="1" customWidth="1"/>
    <col min="11020" max="11020" width="14.453125" style="1" bestFit="1" customWidth="1"/>
    <col min="11021" max="11021" width="13.453125" style="1" customWidth="1"/>
    <col min="11022" max="11022" width="14.7265625" style="1" bestFit="1" customWidth="1"/>
    <col min="11023" max="11023" width="14.26953125" style="1" bestFit="1" customWidth="1"/>
    <col min="11024" max="11024" width="14.26953125" style="1" customWidth="1"/>
    <col min="11025" max="11025" width="14" style="1" bestFit="1" customWidth="1"/>
    <col min="11026" max="11026" width="11.54296875" style="1" bestFit="1" customWidth="1"/>
    <col min="11027" max="11027" width="13.81640625" style="1" bestFit="1" customWidth="1"/>
    <col min="11028" max="11265" width="11.453125" style="1"/>
    <col min="11266" max="11266" width="20.26953125" style="1" customWidth="1"/>
    <col min="11267" max="11267" width="21.7265625" style="1" customWidth="1"/>
    <col min="11268" max="11268" width="22" style="1" customWidth="1"/>
    <col min="11269" max="11269" width="17.1796875" style="1" customWidth="1"/>
    <col min="11270" max="11270" width="21.453125" style="1" customWidth="1"/>
    <col min="11271" max="11271" width="19.54296875" style="1" customWidth="1"/>
    <col min="11272" max="11272" width="14.1796875" style="1" bestFit="1" customWidth="1"/>
    <col min="11273" max="11273" width="8.453125" style="1" customWidth="1"/>
    <col min="11274" max="11274" width="14.453125" style="1" bestFit="1" customWidth="1"/>
    <col min="11275" max="11275" width="4.453125" style="1" customWidth="1"/>
    <col min="11276" max="11276" width="14.453125" style="1" bestFit="1" customWidth="1"/>
    <col min="11277" max="11277" width="13.453125" style="1" customWidth="1"/>
    <col min="11278" max="11278" width="14.7265625" style="1" bestFit="1" customWidth="1"/>
    <col min="11279" max="11279" width="14.26953125" style="1" bestFit="1" customWidth="1"/>
    <col min="11280" max="11280" width="14.26953125" style="1" customWidth="1"/>
    <col min="11281" max="11281" width="14" style="1" bestFit="1" customWidth="1"/>
    <col min="11282" max="11282" width="11.54296875" style="1" bestFit="1" customWidth="1"/>
    <col min="11283" max="11283" width="13.81640625" style="1" bestFit="1" customWidth="1"/>
    <col min="11284" max="11521" width="11.453125" style="1"/>
    <col min="11522" max="11522" width="20.26953125" style="1" customWidth="1"/>
    <col min="11523" max="11523" width="21.7265625" style="1" customWidth="1"/>
    <col min="11524" max="11524" width="22" style="1" customWidth="1"/>
    <col min="11525" max="11525" width="17.1796875" style="1" customWidth="1"/>
    <col min="11526" max="11526" width="21.453125" style="1" customWidth="1"/>
    <col min="11527" max="11527" width="19.54296875" style="1" customWidth="1"/>
    <col min="11528" max="11528" width="14.1796875" style="1" bestFit="1" customWidth="1"/>
    <col min="11529" max="11529" width="8.453125" style="1" customWidth="1"/>
    <col min="11530" max="11530" width="14.453125" style="1" bestFit="1" customWidth="1"/>
    <col min="11531" max="11531" width="4.453125" style="1" customWidth="1"/>
    <col min="11532" max="11532" width="14.453125" style="1" bestFit="1" customWidth="1"/>
    <col min="11533" max="11533" width="13.453125" style="1" customWidth="1"/>
    <col min="11534" max="11534" width="14.7265625" style="1" bestFit="1" customWidth="1"/>
    <col min="11535" max="11535" width="14.26953125" style="1" bestFit="1" customWidth="1"/>
    <col min="11536" max="11536" width="14.26953125" style="1" customWidth="1"/>
    <col min="11537" max="11537" width="14" style="1" bestFit="1" customWidth="1"/>
    <col min="11538" max="11538" width="11.54296875" style="1" bestFit="1" customWidth="1"/>
    <col min="11539" max="11539" width="13.81640625" style="1" bestFit="1" customWidth="1"/>
    <col min="11540" max="11777" width="11.453125" style="1"/>
    <col min="11778" max="11778" width="20.26953125" style="1" customWidth="1"/>
    <col min="11779" max="11779" width="21.7265625" style="1" customWidth="1"/>
    <col min="11780" max="11780" width="22" style="1" customWidth="1"/>
    <col min="11781" max="11781" width="17.1796875" style="1" customWidth="1"/>
    <col min="11782" max="11782" width="21.453125" style="1" customWidth="1"/>
    <col min="11783" max="11783" width="19.54296875" style="1" customWidth="1"/>
    <col min="11784" max="11784" width="14.1796875" style="1" bestFit="1" customWidth="1"/>
    <col min="11785" max="11785" width="8.453125" style="1" customWidth="1"/>
    <col min="11786" max="11786" width="14.453125" style="1" bestFit="1" customWidth="1"/>
    <col min="11787" max="11787" width="4.453125" style="1" customWidth="1"/>
    <col min="11788" max="11788" width="14.453125" style="1" bestFit="1" customWidth="1"/>
    <col min="11789" max="11789" width="13.453125" style="1" customWidth="1"/>
    <col min="11790" max="11790" width="14.7265625" style="1" bestFit="1" customWidth="1"/>
    <col min="11791" max="11791" width="14.26953125" style="1" bestFit="1" customWidth="1"/>
    <col min="11792" max="11792" width="14.26953125" style="1" customWidth="1"/>
    <col min="11793" max="11793" width="14" style="1" bestFit="1" customWidth="1"/>
    <col min="11794" max="11794" width="11.54296875" style="1" bestFit="1" customWidth="1"/>
    <col min="11795" max="11795" width="13.81640625" style="1" bestFit="1" customWidth="1"/>
    <col min="11796" max="12033" width="11.453125" style="1"/>
    <col min="12034" max="12034" width="20.26953125" style="1" customWidth="1"/>
    <col min="12035" max="12035" width="21.7265625" style="1" customWidth="1"/>
    <col min="12036" max="12036" width="22" style="1" customWidth="1"/>
    <col min="12037" max="12037" width="17.1796875" style="1" customWidth="1"/>
    <col min="12038" max="12038" width="21.453125" style="1" customWidth="1"/>
    <col min="12039" max="12039" width="19.54296875" style="1" customWidth="1"/>
    <col min="12040" max="12040" width="14.1796875" style="1" bestFit="1" customWidth="1"/>
    <col min="12041" max="12041" width="8.453125" style="1" customWidth="1"/>
    <col min="12042" max="12042" width="14.453125" style="1" bestFit="1" customWidth="1"/>
    <col min="12043" max="12043" width="4.453125" style="1" customWidth="1"/>
    <col min="12044" max="12044" width="14.453125" style="1" bestFit="1" customWidth="1"/>
    <col min="12045" max="12045" width="13.453125" style="1" customWidth="1"/>
    <col min="12046" max="12046" width="14.7265625" style="1" bestFit="1" customWidth="1"/>
    <col min="12047" max="12047" width="14.26953125" style="1" bestFit="1" customWidth="1"/>
    <col min="12048" max="12048" width="14.26953125" style="1" customWidth="1"/>
    <col min="12049" max="12049" width="14" style="1" bestFit="1" customWidth="1"/>
    <col min="12050" max="12050" width="11.54296875" style="1" bestFit="1" customWidth="1"/>
    <col min="12051" max="12051" width="13.81640625" style="1" bestFit="1" customWidth="1"/>
    <col min="12052" max="12289" width="11.453125" style="1"/>
    <col min="12290" max="12290" width="20.26953125" style="1" customWidth="1"/>
    <col min="12291" max="12291" width="21.7265625" style="1" customWidth="1"/>
    <col min="12292" max="12292" width="22" style="1" customWidth="1"/>
    <col min="12293" max="12293" width="17.1796875" style="1" customWidth="1"/>
    <col min="12294" max="12294" width="21.453125" style="1" customWidth="1"/>
    <col min="12295" max="12295" width="19.54296875" style="1" customWidth="1"/>
    <col min="12296" max="12296" width="14.1796875" style="1" bestFit="1" customWidth="1"/>
    <col min="12297" max="12297" width="8.453125" style="1" customWidth="1"/>
    <col min="12298" max="12298" width="14.453125" style="1" bestFit="1" customWidth="1"/>
    <col min="12299" max="12299" width="4.453125" style="1" customWidth="1"/>
    <col min="12300" max="12300" width="14.453125" style="1" bestFit="1" customWidth="1"/>
    <col min="12301" max="12301" width="13.453125" style="1" customWidth="1"/>
    <col min="12302" max="12302" width="14.7265625" style="1" bestFit="1" customWidth="1"/>
    <col min="12303" max="12303" width="14.26953125" style="1" bestFit="1" customWidth="1"/>
    <col min="12304" max="12304" width="14.26953125" style="1" customWidth="1"/>
    <col min="12305" max="12305" width="14" style="1" bestFit="1" customWidth="1"/>
    <col min="12306" max="12306" width="11.54296875" style="1" bestFit="1" customWidth="1"/>
    <col min="12307" max="12307" width="13.81640625" style="1" bestFit="1" customWidth="1"/>
    <col min="12308" max="12545" width="11.453125" style="1"/>
    <col min="12546" max="12546" width="20.26953125" style="1" customWidth="1"/>
    <col min="12547" max="12547" width="21.7265625" style="1" customWidth="1"/>
    <col min="12548" max="12548" width="22" style="1" customWidth="1"/>
    <col min="12549" max="12549" width="17.1796875" style="1" customWidth="1"/>
    <col min="12550" max="12550" width="21.453125" style="1" customWidth="1"/>
    <col min="12551" max="12551" width="19.54296875" style="1" customWidth="1"/>
    <col min="12552" max="12552" width="14.1796875" style="1" bestFit="1" customWidth="1"/>
    <col min="12553" max="12553" width="8.453125" style="1" customWidth="1"/>
    <col min="12554" max="12554" width="14.453125" style="1" bestFit="1" customWidth="1"/>
    <col min="12555" max="12555" width="4.453125" style="1" customWidth="1"/>
    <col min="12556" max="12556" width="14.453125" style="1" bestFit="1" customWidth="1"/>
    <col min="12557" max="12557" width="13.453125" style="1" customWidth="1"/>
    <col min="12558" max="12558" width="14.7265625" style="1" bestFit="1" customWidth="1"/>
    <col min="12559" max="12559" width="14.26953125" style="1" bestFit="1" customWidth="1"/>
    <col min="12560" max="12560" width="14.26953125" style="1" customWidth="1"/>
    <col min="12561" max="12561" width="14" style="1" bestFit="1" customWidth="1"/>
    <col min="12562" max="12562" width="11.54296875" style="1" bestFit="1" customWidth="1"/>
    <col min="12563" max="12563" width="13.81640625" style="1" bestFit="1" customWidth="1"/>
    <col min="12564" max="12801" width="11.453125" style="1"/>
    <col min="12802" max="12802" width="20.26953125" style="1" customWidth="1"/>
    <col min="12803" max="12803" width="21.7265625" style="1" customWidth="1"/>
    <col min="12804" max="12804" width="22" style="1" customWidth="1"/>
    <col min="12805" max="12805" width="17.1796875" style="1" customWidth="1"/>
    <col min="12806" max="12806" width="21.453125" style="1" customWidth="1"/>
    <col min="12807" max="12807" width="19.54296875" style="1" customWidth="1"/>
    <col min="12808" max="12808" width="14.1796875" style="1" bestFit="1" customWidth="1"/>
    <col min="12809" max="12809" width="8.453125" style="1" customWidth="1"/>
    <col min="12810" max="12810" width="14.453125" style="1" bestFit="1" customWidth="1"/>
    <col min="12811" max="12811" width="4.453125" style="1" customWidth="1"/>
    <col min="12812" max="12812" width="14.453125" style="1" bestFit="1" customWidth="1"/>
    <col min="12813" max="12813" width="13.453125" style="1" customWidth="1"/>
    <col min="12814" max="12814" width="14.7265625" style="1" bestFit="1" customWidth="1"/>
    <col min="12815" max="12815" width="14.26953125" style="1" bestFit="1" customWidth="1"/>
    <col min="12816" max="12816" width="14.26953125" style="1" customWidth="1"/>
    <col min="12817" max="12817" width="14" style="1" bestFit="1" customWidth="1"/>
    <col min="12818" max="12818" width="11.54296875" style="1" bestFit="1" customWidth="1"/>
    <col min="12819" max="12819" width="13.81640625" style="1" bestFit="1" customWidth="1"/>
    <col min="12820" max="13057" width="11.453125" style="1"/>
    <col min="13058" max="13058" width="20.26953125" style="1" customWidth="1"/>
    <col min="13059" max="13059" width="21.7265625" style="1" customWidth="1"/>
    <col min="13060" max="13060" width="22" style="1" customWidth="1"/>
    <col min="13061" max="13061" width="17.1796875" style="1" customWidth="1"/>
    <col min="13062" max="13062" width="21.453125" style="1" customWidth="1"/>
    <col min="13063" max="13063" width="19.54296875" style="1" customWidth="1"/>
    <col min="13064" max="13064" width="14.1796875" style="1" bestFit="1" customWidth="1"/>
    <col min="13065" max="13065" width="8.453125" style="1" customWidth="1"/>
    <col min="13066" max="13066" width="14.453125" style="1" bestFit="1" customWidth="1"/>
    <col min="13067" max="13067" width="4.453125" style="1" customWidth="1"/>
    <col min="13068" max="13068" width="14.453125" style="1" bestFit="1" customWidth="1"/>
    <col min="13069" max="13069" width="13.453125" style="1" customWidth="1"/>
    <col min="13070" max="13070" width="14.7265625" style="1" bestFit="1" customWidth="1"/>
    <col min="13071" max="13071" width="14.26953125" style="1" bestFit="1" customWidth="1"/>
    <col min="13072" max="13072" width="14.26953125" style="1" customWidth="1"/>
    <col min="13073" max="13073" width="14" style="1" bestFit="1" customWidth="1"/>
    <col min="13074" max="13074" width="11.54296875" style="1" bestFit="1" customWidth="1"/>
    <col min="13075" max="13075" width="13.81640625" style="1" bestFit="1" customWidth="1"/>
    <col min="13076" max="13313" width="11.453125" style="1"/>
    <col min="13314" max="13314" width="20.26953125" style="1" customWidth="1"/>
    <col min="13315" max="13315" width="21.7265625" style="1" customWidth="1"/>
    <col min="13316" max="13316" width="22" style="1" customWidth="1"/>
    <col min="13317" max="13317" width="17.1796875" style="1" customWidth="1"/>
    <col min="13318" max="13318" width="21.453125" style="1" customWidth="1"/>
    <col min="13319" max="13319" width="19.54296875" style="1" customWidth="1"/>
    <col min="13320" max="13320" width="14.1796875" style="1" bestFit="1" customWidth="1"/>
    <col min="13321" max="13321" width="8.453125" style="1" customWidth="1"/>
    <col min="13322" max="13322" width="14.453125" style="1" bestFit="1" customWidth="1"/>
    <col min="13323" max="13323" width="4.453125" style="1" customWidth="1"/>
    <col min="13324" max="13324" width="14.453125" style="1" bestFit="1" customWidth="1"/>
    <col min="13325" max="13325" width="13.453125" style="1" customWidth="1"/>
    <col min="13326" max="13326" width="14.7265625" style="1" bestFit="1" customWidth="1"/>
    <col min="13327" max="13327" width="14.26953125" style="1" bestFit="1" customWidth="1"/>
    <col min="13328" max="13328" width="14.26953125" style="1" customWidth="1"/>
    <col min="13329" max="13329" width="14" style="1" bestFit="1" customWidth="1"/>
    <col min="13330" max="13330" width="11.54296875" style="1" bestFit="1" customWidth="1"/>
    <col min="13331" max="13331" width="13.81640625" style="1" bestFit="1" customWidth="1"/>
    <col min="13332" max="13569" width="11.453125" style="1"/>
    <col min="13570" max="13570" width="20.26953125" style="1" customWidth="1"/>
    <col min="13571" max="13571" width="21.7265625" style="1" customWidth="1"/>
    <col min="13572" max="13572" width="22" style="1" customWidth="1"/>
    <col min="13573" max="13573" width="17.1796875" style="1" customWidth="1"/>
    <col min="13574" max="13574" width="21.453125" style="1" customWidth="1"/>
    <col min="13575" max="13575" width="19.54296875" style="1" customWidth="1"/>
    <col min="13576" max="13576" width="14.1796875" style="1" bestFit="1" customWidth="1"/>
    <col min="13577" max="13577" width="8.453125" style="1" customWidth="1"/>
    <col min="13578" max="13578" width="14.453125" style="1" bestFit="1" customWidth="1"/>
    <col min="13579" max="13579" width="4.453125" style="1" customWidth="1"/>
    <col min="13580" max="13580" width="14.453125" style="1" bestFit="1" customWidth="1"/>
    <col min="13581" max="13581" width="13.453125" style="1" customWidth="1"/>
    <col min="13582" max="13582" width="14.7265625" style="1" bestFit="1" customWidth="1"/>
    <col min="13583" max="13583" width="14.26953125" style="1" bestFit="1" customWidth="1"/>
    <col min="13584" max="13584" width="14.26953125" style="1" customWidth="1"/>
    <col min="13585" max="13585" width="14" style="1" bestFit="1" customWidth="1"/>
    <col min="13586" max="13586" width="11.54296875" style="1" bestFit="1" customWidth="1"/>
    <col min="13587" max="13587" width="13.81640625" style="1" bestFit="1" customWidth="1"/>
    <col min="13588" max="13825" width="11.453125" style="1"/>
    <col min="13826" max="13826" width="20.26953125" style="1" customWidth="1"/>
    <col min="13827" max="13827" width="21.7265625" style="1" customWidth="1"/>
    <col min="13828" max="13828" width="22" style="1" customWidth="1"/>
    <col min="13829" max="13829" width="17.1796875" style="1" customWidth="1"/>
    <col min="13830" max="13830" width="21.453125" style="1" customWidth="1"/>
    <col min="13831" max="13831" width="19.54296875" style="1" customWidth="1"/>
    <col min="13832" max="13832" width="14.1796875" style="1" bestFit="1" customWidth="1"/>
    <col min="13833" max="13833" width="8.453125" style="1" customWidth="1"/>
    <col min="13834" max="13834" width="14.453125" style="1" bestFit="1" customWidth="1"/>
    <col min="13835" max="13835" width="4.453125" style="1" customWidth="1"/>
    <col min="13836" max="13836" width="14.453125" style="1" bestFit="1" customWidth="1"/>
    <col min="13837" max="13837" width="13.453125" style="1" customWidth="1"/>
    <col min="13838" max="13838" width="14.7265625" style="1" bestFit="1" customWidth="1"/>
    <col min="13839" max="13839" width="14.26953125" style="1" bestFit="1" customWidth="1"/>
    <col min="13840" max="13840" width="14.26953125" style="1" customWidth="1"/>
    <col min="13841" max="13841" width="14" style="1" bestFit="1" customWidth="1"/>
    <col min="13842" max="13842" width="11.54296875" style="1" bestFit="1" customWidth="1"/>
    <col min="13843" max="13843" width="13.81640625" style="1" bestFit="1" customWidth="1"/>
    <col min="13844" max="14081" width="11.453125" style="1"/>
    <col min="14082" max="14082" width="20.26953125" style="1" customWidth="1"/>
    <col min="14083" max="14083" width="21.7265625" style="1" customWidth="1"/>
    <col min="14084" max="14084" width="22" style="1" customWidth="1"/>
    <col min="14085" max="14085" width="17.1796875" style="1" customWidth="1"/>
    <col min="14086" max="14086" width="21.453125" style="1" customWidth="1"/>
    <col min="14087" max="14087" width="19.54296875" style="1" customWidth="1"/>
    <col min="14088" max="14088" width="14.1796875" style="1" bestFit="1" customWidth="1"/>
    <col min="14089" max="14089" width="8.453125" style="1" customWidth="1"/>
    <col min="14090" max="14090" width="14.453125" style="1" bestFit="1" customWidth="1"/>
    <col min="14091" max="14091" width="4.453125" style="1" customWidth="1"/>
    <col min="14092" max="14092" width="14.453125" style="1" bestFit="1" customWidth="1"/>
    <col min="14093" max="14093" width="13.453125" style="1" customWidth="1"/>
    <col min="14094" max="14094" width="14.7265625" style="1" bestFit="1" customWidth="1"/>
    <col min="14095" max="14095" width="14.26953125" style="1" bestFit="1" customWidth="1"/>
    <col min="14096" max="14096" width="14.26953125" style="1" customWidth="1"/>
    <col min="14097" max="14097" width="14" style="1" bestFit="1" customWidth="1"/>
    <col min="14098" max="14098" width="11.54296875" style="1" bestFit="1" customWidth="1"/>
    <col min="14099" max="14099" width="13.81640625" style="1" bestFit="1" customWidth="1"/>
    <col min="14100" max="14337" width="11.453125" style="1"/>
    <col min="14338" max="14338" width="20.26953125" style="1" customWidth="1"/>
    <col min="14339" max="14339" width="21.7265625" style="1" customWidth="1"/>
    <col min="14340" max="14340" width="22" style="1" customWidth="1"/>
    <col min="14341" max="14341" width="17.1796875" style="1" customWidth="1"/>
    <col min="14342" max="14342" width="21.453125" style="1" customWidth="1"/>
    <col min="14343" max="14343" width="19.54296875" style="1" customWidth="1"/>
    <col min="14344" max="14344" width="14.1796875" style="1" bestFit="1" customWidth="1"/>
    <col min="14345" max="14345" width="8.453125" style="1" customWidth="1"/>
    <col min="14346" max="14346" width="14.453125" style="1" bestFit="1" customWidth="1"/>
    <col min="14347" max="14347" width="4.453125" style="1" customWidth="1"/>
    <col min="14348" max="14348" width="14.453125" style="1" bestFit="1" customWidth="1"/>
    <col min="14349" max="14349" width="13.453125" style="1" customWidth="1"/>
    <col min="14350" max="14350" width="14.7265625" style="1" bestFit="1" customWidth="1"/>
    <col min="14351" max="14351" width="14.26953125" style="1" bestFit="1" customWidth="1"/>
    <col min="14352" max="14352" width="14.26953125" style="1" customWidth="1"/>
    <col min="14353" max="14353" width="14" style="1" bestFit="1" customWidth="1"/>
    <col min="14354" max="14354" width="11.54296875" style="1" bestFit="1" customWidth="1"/>
    <col min="14355" max="14355" width="13.81640625" style="1" bestFit="1" customWidth="1"/>
    <col min="14356" max="14593" width="11.453125" style="1"/>
    <col min="14594" max="14594" width="20.26953125" style="1" customWidth="1"/>
    <col min="14595" max="14595" width="21.7265625" style="1" customWidth="1"/>
    <col min="14596" max="14596" width="22" style="1" customWidth="1"/>
    <col min="14597" max="14597" width="17.1796875" style="1" customWidth="1"/>
    <col min="14598" max="14598" width="21.453125" style="1" customWidth="1"/>
    <col min="14599" max="14599" width="19.54296875" style="1" customWidth="1"/>
    <col min="14600" max="14600" width="14.1796875" style="1" bestFit="1" customWidth="1"/>
    <col min="14601" max="14601" width="8.453125" style="1" customWidth="1"/>
    <col min="14602" max="14602" width="14.453125" style="1" bestFit="1" customWidth="1"/>
    <col min="14603" max="14603" width="4.453125" style="1" customWidth="1"/>
    <col min="14604" max="14604" width="14.453125" style="1" bestFit="1" customWidth="1"/>
    <col min="14605" max="14605" width="13.453125" style="1" customWidth="1"/>
    <col min="14606" max="14606" width="14.7265625" style="1" bestFit="1" customWidth="1"/>
    <col min="14607" max="14607" width="14.26953125" style="1" bestFit="1" customWidth="1"/>
    <col min="14608" max="14608" width="14.26953125" style="1" customWidth="1"/>
    <col min="14609" max="14609" width="14" style="1" bestFit="1" customWidth="1"/>
    <col min="14610" max="14610" width="11.54296875" style="1" bestFit="1" customWidth="1"/>
    <col min="14611" max="14611" width="13.81640625" style="1" bestFit="1" customWidth="1"/>
    <col min="14612" max="14849" width="11.453125" style="1"/>
    <col min="14850" max="14850" width="20.26953125" style="1" customWidth="1"/>
    <col min="14851" max="14851" width="21.7265625" style="1" customWidth="1"/>
    <col min="14852" max="14852" width="22" style="1" customWidth="1"/>
    <col min="14853" max="14853" width="17.1796875" style="1" customWidth="1"/>
    <col min="14854" max="14854" width="21.453125" style="1" customWidth="1"/>
    <col min="14855" max="14855" width="19.54296875" style="1" customWidth="1"/>
    <col min="14856" max="14856" width="14.1796875" style="1" bestFit="1" customWidth="1"/>
    <col min="14857" max="14857" width="8.453125" style="1" customWidth="1"/>
    <col min="14858" max="14858" width="14.453125" style="1" bestFit="1" customWidth="1"/>
    <col min="14859" max="14859" width="4.453125" style="1" customWidth="1"/>
    <col min="14860" max="14860" width="14.453125" style="1" bestFit="1" customWidth="1"/>
    <col min="14861" max="14861" width="13.453125" style="1" customWidth="1"/>
    <col min="14862" max="14862" width="14.7265625" style="1" bestFit="1" customWidth="1"/>
    <col min="14863" max="14863" width="14.26953125" style="1" bestFit="1" customWidth="1"/>
    <col min="14864" max="14864" width="14.26953125" style="1" customWidth="1"/>
    <col min="14865" max="14865" width="14" style="1" bestFit="1" customWidth="1"/>
    <col min="14866" max="14866" width="11.54296875" style="1" bestFit="1" customWidth="1"/>
    <col min="14867" max="14867" width="13.81640625" style="1" bestFit="1" customWidth="1"/>
    <col min="14868" max="15105" width="11.453125" style="1"/>
    <col min="15106" max="15106" width="20.26953125" style="1" customWidth="1"/>
    <col min="15107" max="15107" width="21.7265625" style="1" customWidth="1"/>
    <col min="15108" max="15108" width="22" style="1" customWidth="1"/>
    <col min="15109" max="15109" width="17.1796875" style="1" customWidth="1"/>
    <col min="15110" max="15110" width="21.453125" style="1" customWidth="1"/>
    <col min="15111" max="15111" width="19.54296875" style="1" customWidth="1"/>
    <col min="15112" max="15112" width="14.1796875" style="1" bestFit="1" customWidth="1"/>
    <col min="15113" max="15113" width="8.453125" style="1" customWidth="1"/>
    <col min="15114" max="15114" width="14.453125" style="1" bestFit="1" customWidth="1"/>
    <col min="15115" max="15115" width="4.453125" style="1" customWidth="1"/>
    <col min="15116" max="15116" width="14.453125" style="1" bestFit="1" customWidth="1"/>
    <col min="15117" max="15117" width="13.453125" style="1" customWidth="1"/>
    <col min="15118" max="15118" width="14.7265625" style="1" bestFit="1" customWidth="1"/>
    <col min="15119" max="15119" width="14.26953125" style="1" bestFit="1" customWidth="1"/>
    <col min="15120" max="15120" width="14.26953125" style="1" customWidth="1"/>
    <col min="15121" max="15121" width="14" style="1" bestFit="1" customWidth="1"/>
    <col min="15122" max="15122" width="11.54296875" style="1" bestFit="1" customWidth="1"/>
    <col min="15123" max="15123" width="13.81640625" style="1" bestFit="1" customWidth="1"/>
    <col min="15124" max="15361" width="11.453125" style="1"/>
    <col min="15362" max="15362" width="20.26953125" style="1" customWidth="1"/>
    <col min="15363" max="15363" width="21.7265625" style="1" customWidth="1"/>
    <col min="15364" max="15364" width="22" style="1" customWidth="1"/>
    <col min="15365" max="15365" width="17.1796875" style="1" customWidth="1"/>
    <col min="15366" max="15366" width="21.453125" style="1" customWidth="1"/>
    <col min="15367" max="15367" width="19.54296875" style="1" customWidth="1"/>
    <col min="15368" max="15368" width="14.1796875" style="1" bestFit="1" customWidth="1"/>
    <col min="15369" max="15369" width="8.453125" style="1" customWidth="1"/>
    <col min="15370" max="15370" width="14.453125" style="1" bestFit="1" customWidth="1"/>
    <col min="15371" max="15371" width="4.453125" style="1" customWidth="1"/>
    <col min="15372" max="15372" width="14.453125" style="1" bestFit="1" customWidth="1"/>
    <col min="15373" max="15373" width="13.453125" style="1" customWidth="1"/>
    <col min="15374" max="15374" width="14.7265625" style="1" bestFit="1" customWidth="1"/>
    <col min="15375" max="15375" width="14.26953125" style="1" bestFit="1" customWidth="1"/>
    <col min="15376" max="15376" width="14.26953125" style="1" customWidth="1"/>
    <col min="15377" max="15377" width="14" style="1" bestFit="1" customWidth="1"/>
    <col min="15378" max="15378" width="11.54296875" style="1" bestFit="1" customWidth="1"/>
    <col min="15379" max="15379" width="13.81640625" style="1" bestFit="1" customWidth="1"/>
    <col min="15380" max="15617" width="11.453125" style="1"/>
    <col min="15618" max="15618" width="20.26953125" style="1" customWidth="1"/>
    <col min="15619" max="15619" width="21.7265625" style="1" customWidth="1"/>
    <col min="15620" max="15620" width="22" style="1" customWidth="1"/>
    <col min="15621" max="15621" width="17.1796875" style="1" customWidth="1"/>
    <col min="15622" max="15622" width="21.453125" style="1" customWidth="1"/>
    <col min="15623" max="15623" width="19.54296875" style="1" customWidth="1"/>
    <col min="15624" max="15624" width="14.1796875" style="1" bestFit="1" customWidth="1"/>
    <col min="15625" max="15625" width="8.453125" style="1" customWidth="1"/>
    <col min="15626" max="15626" width="14.453125" style="1" bestFit="1" customWidth="1"/>
    <col min="15627" max="15627" width="4.453125" style="1" customWidth="1"/>
    <col min="15628" max="15628" width="14.453125" style="1" bestFit="1" customWidth="1"/>
    <col min="15629" max="15629" width="13.453125" style="1" customWidth="1"/>
    <col min="15630" max="15630" width="14.7265625" style="1" bestFit="1" customWidth="1"/>
    <col min="15631" max="15631" width="14.26953125" style="1" bestFit="1" customWidth="1"/>
    <col min="15632" max="15632" width="14.26953125" style="1" customWidth="1"/>
    <col min="15633" max="15633" width="14" style="1" bestFit="1" customWidth="1"/>
    <col min="15634" max="15634" width="11.54296875" style="1" bestFit="1" customWidth="1"/>
    <col min="15635" max="15635" width="13.81640625" style="1" bestFit="1" customWidth="1"/>
    <col min="15636" max="15873" width="11.453125" style="1"/>
    <col min="15874" max="15874" width="20.26953125" style="1" customWidth="1"/>
    <col min="15875" max="15875" width="21.7265625" style="1" customWidth="1"/>
    <col min="15876" max="15876" width="22" style="1" customWidth="1"/>
    <col min="15877" max="15877" width="17.1796875" style="1" customWidth="1"/>
    <col min="15878" max="15878" width="21.453125" style="1" customWidth="1"/>
    <col min="15879" max="15879" width="19.54296875" style="1" customWidth="1"/>
    <col min="15880" max="15880" width="14.1796875" style="1" bestFit="1" customWidth="1"/>
    <col min="15881" max="15881" width="8.453125" style="1" customWidth="1"/>
    <col min="15882" max="15882" width="14.453125" style="1" bestFit="1" customWidth="1"/>
    <col min="15883" max="15883" width="4.453125" style="1" customWidth="1"/>
    <col min="15884" max="15884" width="14.453125" style="1" bestFit="1" customWidth="1"/>
    <col min="15885" max="15885" width="13.453125" style="1" customWidth="1"/>
    <col min="15886" max="15886" width="14.7265625" style="1" bestFit="1" customWidth="1"/>
    <col min="15887" max="15887" width="14.26953125" style="1" bestFit="1" customWidth="1"/>
    <col min="15888" max="15888" width="14.26953125" style="1" customWidth="1"/>
    <col min="15889" max="15889" width="14" style="1" bestFit="1" customWidth="1"/>
    <col min="15890" max="15890" width="11.54296875" style="1" bestFit="1" customWidth="1"/>
    <col min="15891" max="15891" width="13.81640625" style="1" bestFit="1" customWidth="1"/>
    <col min="15892" max="16129" width="11.453125" style="1"/>
    <col min="16130" max="16130" width="20.26953125" style="1" customWidth="1"/>
    <col min="16131" max="16131" width="21.7265625" style="1" customWidth="1"/>
    <col min="16132" max="16132" width="22" style="1" customWidth="1"/>
    <col min="16133" max="16133" width="17.1796875" style="1" customWidth="1"/>
    <col min="16134" max="16134" width="21.453125" style="1" customWidth="1"/>
    <col min="16135" max="16135" width="19.54296875" style="1" customWidth="1"/>
    <col min="16136" max="16136" width="14.1796875" style="1" bestFit="1" customWidth="1"/>
    <col min="16137" max="16137" width="8.453125" style="1" customWidth="1"/>
    <col min="16138" max="16138" width="14.453125" style="1" bestFit="1" customWidth="1"/>
    <col min="16139" max="16139" width="4.453125" style="1" customWidth="1"/>
    <col min="16140" max="16140" width="14.453125" style="1" bestFit="1" customWidth="1"/>
    <col min="16141" max="16141" width="13.453125" style="1" customWidth="1"/>
    <col min="16142" max="16142" width="14.7265625" style="1" bestFit="1" customWidth="1"/>
    <col min="16143" max="16143" width="14.26953125" style="1" bestFit="1" customWidth="1"/>
    <col min="16144" max="16144" width="14.26953125" style="1" customWidth="1"/>
    <col min="16145" max="16145" width="14" style="1" bestFit="1" customWidth="1"/>
    <col min="16146" max="16146" width="11.54296875" style="1" bestFit="1" customWidth="1"/>
    <col min="16147" max="16147" width="13.81640625" style="1" bestFit="1" customWidth="1"/>
    <col min="16148" max="16384" width="11.453125" style="1"/>
  </cols>
  <sheetData>
    <row r="1" spans="2:30" s="8" customFormat="1" ht="8.25" customHeight="1" thickBot="1" x14ac:dyDescent="0.35">
      <c r="B1" s="61"/>
      <c r="C1" s="62"/>
      <c r="D1" s="61"/>
      <c r="E1" s="63"/>
      <c r="F1" s="1"/>
      <c r="G1" s="1"/>
      <c r="H1" s="64"/>
      <c r="I1" s="64"/>
      <c r="J1" s="64"/>
      <c r="K1" s="64"/>
      <c r="L1" s="65"/>
      <c r="M1" s="66"/>
      <c r="N1" s="66"/>
      <c r="O1" s="5"/>
      <c r="P1" s="5"/>
      <c r="Q1" s="67"/>
      <c r="X1" s="68"/>
      <c r="Y1" s="68"/>
      <c r="Z1" s="68"/>
      <c r="AA1" s="68"/>
      <c r="AB1" s="68"/>
      <c r="AC1" s="68"/>
    </row>
    <row r="2" spans="2:30" ht="31.5" customHeight="1" thickBot="1" x14ac:dyDescent="0.35">
      <c r="B2" s="383" t="s">
        <v>134</v>
      </c>
      <c r="C2" s="384"/>
      <c r="D2" s="384"/>
      <c r="E2" s="384"/>
      <c r="F2" s="385"/>
      <c r="G2" s="69"/>
      <c r="H2" s="338" t="s">
        <v>16</v>
      </c>
      <c r="I2" s="71">
        <v>0.95</v>
      </c>
      <c r="J2" s="69"/>
      <c r="K2" s="72"/>
      <c r="L2" s="65"/>
      <c r="M2" s="73"/>
      <c r="N2" s="73"/>
      <c r="O2" s="74"/>
      <c r="P2" s="74"/>
      <c r="Q2" s="75"/>
      <c r="R2" s="408" t="s">
        <v>174</v>
      </c>
      <c r="S2" s="5"/>
      <c r="T2" s="368" t="s">
        <v>138</v>
      </c>
      <c r="U2" s="367" t="s">
        <v>136</v>
      </c>
      <c r="V2" s="366" t="s">
        <v>137</v>
      </c>
      <c r="W2" s="68"/>
      <c r="X2" s="7"/>
      <c r="Y2" s="7"/>
      <c r="Z2" s="7"/>
      <c r="AA2" s="7"/>
      <c r="AB2" s="7"/>
      <c r="AC2" s="7"/>
      <c r="AD2" s="7"/>
    </row>
    <row r="3" spans="2:30" ht="27.75" customHeight="1" thickBot="1" x14ac:dyDescent="0.35">
      <c r="B3" s="554" t="s">
        <v>147</v>
      </c>
      <c r="C3" s="555"/>
      <c r="D3" s="555"/>
      <c r="E3" s="555"/>
      <c r="F3" s="556"/>
      <c r="G3" s="76"/>
      <c r="K3" s="72"/>
      <c r="L3" s="65"/>
      <c r="M3" s="73"/>
      <c r="N3" s="73"/>
      <c r="O3" s="74"/>
      <c r="P3" s="74"/>
      <c r="Q3" s="75"/>
      <c r="R3" s="369" t="s">
        <v>11</v>
      </c>
      <c r="S3" s="370">
        <f>V3+U3+T3</f>
        <v>40.707692307692312</v>
      </c>
      <c r="T3" s="405">
        <f>J32</f>
        <v>3.0769230769230771</v>
      </c>
      <c r="U3" s="406">
        <f>J31</f>
        <v>1</v>
      </c>
      <c r="V3" s="407">
        <f>J30</f>
        <v>36.630769230769232</v>
      </c>
      <c r="W3" s="74"/>
      <c r="X3" s="7"/>
      <c r="Y3" s="7"/>
      <c r="Z3" s="7"/>
      <c r="AA3" s="7"/>
      <c r="AB3" s="7"/>
      <c r="AC3" s="7"/>
      <c r="AD3" s="7"/>
    </row>
    <row r="4" spans="2:30" ht="14.25" customHeight="1" x14ac:dyDescent="0.7">
      <c r="B4" s="77"/>
      <c r="C4" s="78"/>
      <c r="D4" s="66"/>
      <c r="E4" s="66"/>
      <c r="F4" s="6"/>
      <c r="G4" s="381" t="s">
        <v>129</v>
      </c>
      <c r="H4" s="340">
        <v>16</v>
      </c>
      <c r="I4" s="380" t="s">
        <v>128</v>
      </c>
      <c r="K4" s="79"/>
      <c r="L4" s="80"/>
      <c r="O4" s="74"/>
      <c r="P4" s="74"/>
      <c r="Q4" s="81"/>
      <c r="R4" s="74"/>
      <c r="S4" s="74"/>
      <c r="T4" s="74"/>
      <c r="U4" s="74"/>
      <c r="V4" s="74"/>
      <c r="W4" s="74"/>
      <c r="X4" s="7"/>
      <c r="Y4" s="82"/>
      <c r="Z4" s="83"/>
      <c r="AA4" s="7"/>
      <c r="AB4" s="7"/>
      <c r="AC4" s="7"/>
      <c r="AD4" s="7"/>
    </row>
    <row r="5" spans="2:30" x14ac:dyDescent="0.3">
      <c r="B5" s="84" t="s">
        <v>17</v>
      </c>
      <c r="C5" s="85"/>
      <c r="D5" s="86" t="s">
        <v>18</v>
      </c>
      <c r="E5" s="86" t="s">
        <v>19</v>
      </c>
      <c r="F5" s="87"/>
      <c r="K5" s="88"/>
      <c r="L5" s="89"/>
      <c r="M5" s="89"/>
      <c r="N5" s="89"/>
      <c r="O5" s="74"/>
      <c r="P5" s="74"/>
      <c r="Q5" s="74"/>
      <c r="R5" s="409" t="s">
        <v>175</v>
      </c>
      <c r="S5" s="365" t="str">
        <f>I4</f>
        <v>meses</v>
      </c>
      <c r="V5" s="3" t="s">
        <v>0</v>
      </c>
      <c r="W5" s="82"/>
      <c r="X5" s="7"/>
      <c r="Y5" s="82"/>
      <c r="Z5" s="83"/>
      <c r="AA5" s="7"/>
      <c r="AB5" s="7"/>
      <c r="AC5" s="7"/>
      <c r="AD5" s="7"/>
    </row>
    <row r="6" spans="2:30" x14ac:dyDescent="0.3">
      <c r="B6" s="90"/>
      <c r="C6" s="91"/>
      <c r="D6" s="92" t="s">
        <v>20</v>
      </c>
      <c r="E6" s="92" t="s">
        <v>21</v>
      </c>
      <c r="F6" s="93" t="s">
        <v>22</v>
      </c>
      <c r="H6" s="474" t="s">
        <v>151</v>
      </c>
      <c r="I6" s="475" t="s">
        <v>146</v>
      </c>
      <c r="J6" s="476"/>
      <c r="K6" s="475"/>
      <c r="L6" s="477"/>
      <c r="M6" s="477"/>
      <c r="N6" s="477"/>
      <c r="O6" s="478" t="s">
        <v>128</v>
      </c>
      <c r="P6" s="74"/>
      <c r="Q6" s="74"/>
      <c r="R6" s="12" t="s">
        <v>1</v>
      </c>
      <c r="S6" s="13">
        <f>S14</f>
        <v>0.80120937263794412</v>
      </c>
      <c r="T6" s="14">
        <f>S6/S9</f>
        <v>5.0075585789871507E-2</v>
      </c>
      <c r="V6" s="471">
        <f>S6*365.25/12</f>
        <v>24.386810279667426</v>
      </c>
      <c r="W6" s="82"/>
      <c r="X6" s="7"/>
      <c r="Y6" s="82"/>
      <c r="Z6" s="7"/>
      <c r="AA6" s="7"/>
      <c r="AB6" s="7"/>
      <c r="AC6" s="7"/>
      <c r="AD6" s="7"/>
    </row>
    <row r="7" spans="2:30" ht="12.75" customHeight="1" x14ac:dyDescent="0.3">
      <c r="B7" s="90"/>
      <c r="C7" s="94" t="s">
        <v>23</v>
      </c>
      <c r="D7" s="95">
        <v>400</v>
      </c>
      <c r="E7" s="96">
        <f>F7-D7</f>
        <v>4892</v>
      </c>
      <c r="F7" s="97">
        <v>5292</v>
      </c>
      <c r="G7" s="412">
        <f>D7/F7</f>
        <v>7.5585789871504161E-2</v>
      </c>
      <c r="H7" s="479">
        <v>5.6000000000000001E-2</v>
      </c>
      <c r="I7" s="480">
        <f>G7/H7</f>
        <v>1.3497462477054314</v>
      </c>
      <c r="J7" s="481"/>
      <c r="K7" s="482"/>
      <c r="L7" s="483"/>
      <c r="M7" s="483"/>
      <c r="N7" s="483"/>
      <c r="O7" s="484">
        <f>I7*12</f>
        <v>16.196954972465178</v>
      </c>
      <c r="P7" s="74"/>
      <c r="Q7" s="74"/>
      <c r="R7" s="15" t="s">
        <v>3</v>
      </c>
      <c r="S7" s="16">
        <f>R14</f>
        <v>0.19652305366591083</v>
      </c>
      <c r="T7" s="17">
        <f>S7/S9</f>
        <v>1.2282690854119427E-2</v>
      </c>
      <c r="V7" s="472">
        <f>S7*365.25/12</f>
        <v>5.9816704459561612</v>
      </c>
      <c r="W7" s="82"/>
      <c r="X7" s="7"/>
      <c r="Y7" s="82"/>
      <c r="Z7" s="7"/>
      <c r="AA7" s="7"/>
      <c r="AB7" s="7"/>
      <c r="AC7" s="7"/>
      <c r="AD7" s="7"/>
    </row>
    <row r="8" spans="2:30" ht="12.75" customHeight="1" x14ac:dyDescent="0.3">
      <c r="B8" s="90"/>
      <c r="C8" s="94" t="s">
        <v>24</v>
      </c>
      <c r="D8" s="95">
        <v>530</v>
      </c>
      <c r="E8" s="96">
        <f>F8-D8</f>
        <v>4762</v>
      </c>
      <c r="F8" s="97">
        <v>5292</v>
      </c>
      <c r="G8" s="412">
        <f t="shared" ref="G8:G9" si="0">D8/F8</f>
        <v>0.10015117157974301</v>
      </c>
      <c r="H8" s="479">
        <v>7.4999999999999997E-2</v>
      </c>
      <c r="I8" s="480">
        <f>G8/H8</f>
        <v>1.3353489543965735</v>
      </c>
      <c r="J8" s="481"/>
      <c r="K8" s="482"/>
      <c r="L8" s="483"/>
      <c r="M8" s="485"/>
      <c r="N8" s="483"/>
      <c r="O8" s="484">
        <f t="shared" ref="O8:O9" si="1">I8*12</f>
        <v>16.024187452758881</v>
      </c>
      <c r="P8" s="74"/>
      <c r="Q8" s="74"/>
      <c r="R8" s="18" t="s">
        <v>2</v>
      </c>
      <c r="S8" s="19">
        <f>Q14</f>
        <v>15.002267573696146</v>
      </c>
      <c r="T8" s="20">
        <f>S8/S9</f>
        <v>0.93764172335600915</v>
      </c>
      <c r="V8" s="473">
        <f>S8*365.25/12</f>
        <v>456.63151927437644</v>
      </c>
      <c r="W8" s="82"/>
      <c r="X8" s="7"/>
      <c r="Y8" s="82"/>
      <c r="Z8" s="7"/>
      <c r="AA8" s="7"/>
      <c r="AB8" s="7"/>
      <c r="AC8" s="7"/>
      <c r="AD8" s="7"/>
    </row>
    <row r="9" spans="2:30" x14ac:dyDescent="0.3">
      <c r="B9" s="90"/>
      <c r="C9" s="99" t="s">
        <v>22</v>
      </c>
      <c r="D9" s="100">
        <f>SUM(D7:D8)</f>
        <v>930</v>
      </c>
      <c r="E9" s="101">
        <f>SUM(E7:E8)</f>
        <v>9654</v>
      </c>
      <c r="F9" s="102">
        <f>SUM(F7:F8)</f>
        <v>10584</v>
      </c>
      <c r="G9" s="412">
        <f t="shared" si="0"/>
        <v>8.7868480725623588E-2</v>
      </c>
      <c r="H9" s="482"/>
      <c r="I9" s="480">
        <f>AVERAGE(I7:I8)</f>
        <v>1.3425476010510025</v>
      </c>
      <c r="J9" s="481"/>
      <c r="K9" s="482"/>
      <c r="L9" s="483"/>
      <c r="M9" s="485"/>
      <c r="N9" s="483"/>
      <c r="O9" s="484">
        <f t="shared" si="1"/>
        <v>16.11057121261203</v>
      </c>
      <c r="P9" s="103"/>
      <c r="Q9" s="104"/>
      <c r="S9" s="10">
        <f>SUM(S6:S8)</f>
        <v>16</v>
      </c>
      <c r="V9" s="21">
        <f>SUM(V6:V8)</f>
        <v>487.00000000000006</v>
      </c>
      <c r="W9" s="82"/>
      <c r="X9" s="7"/>
      <c r="Y9" s="82"/>
      <c r="Z9" s="7"/>
      <c r="AA9" s="7"/>
      <c r="AB9" s="7"/>
      <c r="AC9" s="7"/>
      <c r="AD9" s="7"/>
    </row>
    <row r="10" spans="2:30" ht="12.75" customHeight="1" x14ac:dyDescent="0.3">
      <c r="B10" s="449"/>
      <c r="C10" s="105"/>
      <c r="D10" s="106"/>
      <c r="E10" s="107"/>
      <c r="F10" s="107"/>
      <c r="G10" s="470"/>
      <c r="H10" s="89"/>
      <c r="I10" s="88"/>
      <c r="J10" s="88"/>
      <c r="K10" s="88"/>
      <c r="L10" s="89"/>
      <c r="M10" s="98"/>
      <c r="N10" s="89"/>
      <c r="P10" s="103"/>
      <c r="Q10" s="104"/>
      <c r="R10" s="104"/>
      <c r="S10" s="104"/>
      <c r="T10" s="82"/>
      <c r="V10" s="82"/>
      <c r="W10" s="82"/>
      <c r="X10" s="7"/>
      <c r="Y10" s="82"/>
      <c r="Z10" s="7"/>
      <c r="AA10" s="7"/>
      <c r="AB10" s="7"/>
      <c r="AC10" s="7"/>
      <c r="AD10" s="7"/>
    </row>
    <row r="11" spans="2:30" s="8" customFormat="1" ht="14.25" hidden="1" customHeight="1" x14ac:dyDescent="0.3">
      <c r="B11" s="108" t="s">
        <v>25</v>
      </c>
      <c r="C11" s="109"/>
      <c r="D11" s="110"/>
      <c r="E11" s="5"/>
      <c r="F11" s="111"/>
      <c r="G11" s="112"/>
      <c r="H11" s="98"/>
      <c r="I11" s="112"/>
      <c r="J11" s="98"/>
      <c r="K11" s="113"/>
      <c r="L11" s="113"/>
      <c r="M11" s="112"/>
      <c r="N11" s="113"/>
      <c r="P11" s="5"/>
      <c r="Q11" s="114"/>
      <c r="R11" s="114"/>
      <c r="S11" s="114"/>
      <c r="T11" s="5"/>
      <c r="U11" s="5"/>
      <c r="V11" s="5"/>
      <c r="W11" s="5"/>
    </row>
    <row r="12" spans="2:30" s="8" customFormat="1" ht="12.75" hidden="1" customHeight="1" x14ac:dyDescent="0.3">
      <c r="B12" s="90" t="s">
        <v>26</v>
      </c>
      <c r="C12" s="109"/>
      <c r="D12" s="110"/>
      <c r="E12" s="5"/>
      <c r="F12" s="111"/>
      <c r="G12" s="112"/>
      <c r="H12" s="98"/>
      <c r="I12" s="112"/>
      <c r="J12" s="98"/>
      <c r="K12" s="115"/>
      <c r="L12" s="113"/>
      <c r="M12" s="113"/>
      <c r="N12" s="113"/>
      <c r="O12" s="8" t="s">
        <v>125</v>
      </c>
      <c r="P12" s="5"/>
      <c r="Q12" s="114"/>
      <c r="R12" s="67"/>
      <c r="S12" s="67"/>
      <c r="T12" s="5"/>
      <c r="U12" s="5"/>
      <c r="V12" s="5"/>
      <c r="W12" s="5"/>
    </row>
    <row r="13" spans="2:30" s="8" customFormat="1" ht="45" hidden="1" customHeight="1" x14ac:dyDescent="0.3">
      <c r="B13" s="116" t="s">
        <v>27</v>
      </c>
      <c r="C13" s="116" t="s">
        <v>28</v>
      </c>
      <c r="D13" s="116" t="s">
        <v>29</v>
      </c>
      <c r="E13" s="116" t="s">
        <v>30</v>
      </c>
      <c r="F13" s="116" t="s">
        <v>31</v>
      </c>
      <c r="G13" s="116" t="s">
        <v>32</v>
      </c>
      <c r="H13" s="116" t="s">
        <v>33</v>
      </c>
      <c r="I13" s="116" t="s">
        <v>34</v>
      </c>
      <c r="J13" s="98"/>
      <c r="K13" s="117" t="s">
        <v>35</v>
      </c>
      <c r="L13" s="118" t="s">
        <v>36</v>
      </c>
      <c r="M13" s="118" t="s">
        <v>37</v>
      </c>
      <c r="N13" s="113"/>
      <c r="O13" s="339" t="s">
        <v>126</v>
      </c>
      <c r="P13" s="339" t="s">
        <v>127</v>
      </c>
      <c r="Q13" s="343" t="s">
        <v>2</v>
      </c>
      <c r="R13" s="344" t="s">
        <v>3</v>
      </c>
      <c r="S13" s="345" t="s">
        <v>1</v>
      </c>
      <c r="T13" s="5"/>
      <c r="W13" s="5"/>
    </row>
    <row r="14" spans="2:30" s="8" customFormat="1" ht="12.75" hidden="1" customHeight="1" x14ac:dyDescent="0.3">
      <c r="B14" s="119">
        <f>LN((D7/F7)/(D8/F8))</f>
        <v>-0.2814124594381856</v>
      </c>
      <c r="C14" s="119">
        <f>SQRT((E7/(D7*F7)+(E8/(D8*F8))))</f>
        <v>6.3315586576076735E-2</v>
      </c>
      <c r="D14" s="120">
        <f>-NORMSINV((1-I2)/2)</f>
        <v>1.9599639845400536</v>
      </c>
      <c r="E14" s="121">
        <f>B14-(D14*C14)</f>
        <v>-0.40550872878732369</v>
      </c>
      <c r="F14" s="122">
        <f>B14+(D14*C14)</f>
        <v>-0.15731619008904751</v>
      </c>
      <c r="G14" s="123">
        <f>(D7/F7)/(D8/F8)</f>
        <v>0.75471698113207542</v>
      </c>
      <c r="H14" s="123">
        <f>EXP(E14)</f>
        <v>0.66663758684813912</v>
      </c>
      <c r="I14" s="123">
        <f>EXP(F14)</f>
        <v>0.85443385258573568</v>
      </c>
      <c r="J14" s="98"/>
      <c r="K14" s="124">
        <f>1-G14</f>
        <v>0.24528301886792458</v>
      </c>
      <c r="L14" s="123">
        <f>1-H14</f>
        <v>0.33336241315186088</v>
      </c>
      <c r="M14" s="123">
        <f>1-I14</f>
        <v>0.14556614741426432</v>
      </c>
      <c r="N14" s="125"/>
      <c r="O14" s="341">
        <f>(D7/F7)*H4/2</f>
        <v>0.60468631897203329</v>
      </c>
      <c r="P14" s="342">
        <f>(D8/F8)*H4/2</f>
        <v>0.80120937263794412</v>
      </c>
      <c r="Q14" s="346">
        <f>H4-R14-S14</f>
        <v>15.002267573696146</v>
      </c>
      <c r="R14" s="346">
        <f>P14-O14</f>
        <v>0.19652305366591083</v>
      </c>
      <c r="S14" s="346">
        <f>P14</f>
        <v>0.80120937263794412</v>
      </c>
      <c r="T14" s="5" t="str">
        <f>I4</f>
        <v>meses</v>
      </c>
      <c r="W14" s="5"/>
    </row>
    <row r="15" spans="2:30" s="8" customFormat="1" ht="12.75" hidden="1" customHeight="1" x14ac:dyDescent="0.3">
      <c r="B15" s="126"/>
      <c r="C15" s="109"/>
      <c r="D15" s="109"/>
      <c r="E15" s="109"/>
      <c r="F15" s="127"/>
      <c r="G15" s="128"/>
      <c r="H15" s="98"/>
      <c r="I15" s="112"/>
      <c r="J15" s="98"/>
      <c r="K15" s="112"/>
      <c r="L15" s="112"/>
      <c r="M15" s="112"/>
      <c r="N15" s="113"/>
      <c r="P15" s="5"/>
      <c r="Q15" s="5"/>
      <c r="R15" s="5"/>
      <c r="S15" s="5"/>
      <c r="T15" s="5"/>
      <c r="U15" s="5"/>
      <c r="V15" s="5"/>
      <c r="W15" s="5"/>
    </row>
    <row r="16" spans="2:30" s="7" customFormat="1" ht="12.75" hidden="1" customHeight="1" x14ac:dyDescent="0.3">
      <c r="B16" s="129"/>
      <c r="C16" s="130"/>
      <c r="D16" s="131"/>
      <c r="E16" s="132"/>
      <c r="F16" s="133"/>
      <c r="G16" s="134"/>
      <c r="H16" s="135"/>
      <c r="I16" s="136"/>
      <c r="J16" s="136"/>
      <c r="K16" s="137"/>
      <c r="L16" s="137"/>
      <c r="M16" s="138"/>
      <c r="N16" s="138"/>
    </row>
    <row r="17" spans="2:30" ht="15.75" hidden="1" customHeight="1" x14ac:dyDescent="0.3">
      <c r="B17" s="139" t="s">
        <v>38</v>
      </c>
      <c r="C17" s="5"/>
      <c r="D17" s="140"/>
      <c r="E17" s="140"/>
      <c r="F17" s="66"/>
      <c r="G17" s="66"/>
      <c r="H17" s="141"/>
      <c r="I17" s="142"/>
      <c r="J17" s="143"/>
      <c r="K17" s="143"/>
      <c r="L17" s="8"/>
      <c r="M17" s="113"/>
      <c r="N17" s="98"/>
      <c r="O17" s="142"/>
      <c r="P17" s="5"/>
      <c r="Q17" s="5"/>
      <c r="R17" s="144"/>
      <c r="S17" s="142"/>
      <c r="T17" s="145"/>
      <c r="U17" s="145"/>
      <c r="V17" s="145"/>
      <c r="W17" s="7"/>
      <c r="X17" s="7"/>
      <c r="Y17" s="7"/>
      <c r="Z17" s="7"/>
      <c r="AA17" s="7"/>
      <c r="AB17" s="7"/>
      <c r="AC17" s="7"/>
    </row>
    <row r="18" spans="2:30" ht="12.75" hidden="1" customHeight="1" x14ac:dyDescent="0.3">
      <c r="B18" s="146" t="s">
        <v>39</v>
      </c>
      <c r="C18" s="5"/>
      <c r="D18" s="142"/>
      <c r="E18" s="142"/>
      <c r="F18" s="5"/>
      <c r="G18" s="5"/>
      <c r="H18" s="144"/>
      <c r="I18" s="142"/>
      <c r="J18" s="145"/>
      <c r="K18" s="145"/>
      <c r="L18" s="145"/>
      <c r="M18" s="113"/>
      <c r="N18" s="98"/>
      <c r="O18" s="5"/>
      <c r="P18" s="5"/>
      <c r="Q18" s="144"/>
      <c r="R18" s="142"/>
      <c r="S18" s="145"/>
      <c r="T18" s="145"/>
      <c r="U18" s="145"/>
      <c r="W18" s="7" t="s">
        <v>40</v>
      </c>
      <c r="X18" s="7"/>
      <c r="Y18" s="7"/>
      <c r="Z18" s="7"/>
      <c r="AA18" s="7"/>
      <c r="AB18" s="7"/>
    </row>
    <row r="19" spans="2:30" ht="25.5" hidden="1" customHeight="1" x14ac:dyDescent="0.3">
      <c r="B19" s="147" t="s">
        <v>41</v>
      </c>
      <c r="C19" s="1" t="s">
        <v>42</v>
      </c>
      <c r="D19" s="8"/>
      <c r="E19" s="1" t="s">
        <v>43</v>
      </c>
      <c r="G19" s="1" t="s">
        <v>44</v>
      </c>
      <c r="I19" s="1" t="s">
        <v>45</v>
      </c>
      <c r="J19" s="145"/>
      <c r="K19" s="145"/>
      <c r="L19" s="145"/>
      <c r="M19" s="113"/>
      <c r="N19" s="137"/>
      <c r="P19" s="1"/>
      <c r="T19" s="7"/>
      <c r="V19" s="1"/>
      <c r="W19" s="1" t="s">
        <v>46</v>
      </c>
      <c r="Y19" s="7"/>
      <c r="Z19" s="7"/>
      <c r="AA19" s="7"/>
      <c r="AB19" s="7"/>
      <c r="AC19" s="7"/>
      <c r="AD19" s="7"/>
    </row>
    <row r="20" spans="2:30" ht="38.25" hidden="1" customHeight="1" x14ac:dyDescent="0.4">
      <c r="B20" s="116" t="s">
        <v>47</v>
      </c>
      <c r="C20" s="116" t="s">
        <v>48</v>
      </c>
      <c r="D20" s="148" t="s">
        <v>49</v>
      </c>
      <c r="E20" s="148" t="s">
        <v>42</v>
      </c>
      <c r="F20" s="148" t="s">
        <v>50</v>
      </c>
      <c r="G20" s="148" t="s">
        <v>44</v>
      </c>
      <c r="H20" s="148" t="s">
        <v>45</v>
      </c>
      <c r="I20" s="149" t="s">
        <v>51</v>
      </c>
      <c r="J20" s="148" t="s">
        <v>52</v>
      </c>
      <c r="K20" s="148" t="s">
        <v>36</v>
      </c>
      <c r="L20" s="148" t="s">
        <v>37</v>
      </c>
      <c r="M20" s="150"/>
      <c r="N20" s="151"/>
      <c r="O20" s="152" t="s">
        <v>53</v>
      </c>
      <c r="P20" s="153" t="s">
        <v>54</v>
      </c>
      <c r="Q20" s="154"/>
      <c r="R20" s="155"/>
      <c r="S20" s="156"/>
      <c r="T20" s="156"/>
      <c r="U20" s="157"/>
      <c r="W20" s="158"/>
      <c r="X20" s="152" t="s">
        <v>55</v>
      </c>
      <c r="Y20" s="153" t="s">
        <v>56</v>
      </c>
      <c r="Z20" s="159"/>
      <c r="AA20" s="159"/>
      <c r="AB20" s="159" t="s">
        <v>57</v>
      </c>
      <c r="AC20" s="159"/>
      <c r="AD20" s="160"/>
    </row>
    <row r="21" spans="2:30" ht="12.75" hidden="1" customHeight="1" x14ac:dyDescent="0.3">
      <c r="B21" s="161">
        <f>D7</f>
        <v>400</v>
      </c>
      <c r="C21" s="162">
        <f>F7</f>
        <v>5292</v>
      </c>
      <c r="D21" s="163">
        <f>B21/C21</f>
        <v>7.5585789871504161E-2</v>
      </c>
      <c r="E21" s="164">
        <f>2*B21+I21^2</f>
        <v>803.84145882069413</v>
      </c>
      <c r="F21" s="164">
        <f>I21*SQRT((I21^2)+(4*B21*(1-D21)))</f>
        <v>75.47526349889776</v>
      </c>
      <c r="G21" s="165">
        <f>2*(C21+I21^2)</f>
        <v>10591.682917641388</v>
      </c>
      <c r="H21" s="166" t="s">
        <v>58</v>
      </c>
      <c r="I21" s="120">
        <f>-NORMSINV((1-I2)/2)</f>
        <v>1.9599639845400536</v>
      </c>
      <c r="J21" s="167">
        <f>D21</f>
        <v>7.5585789871504161E-2</v>
      </c>
      <c r="K21" s="167">
        <f>(E21-F21)/G21</f>
        <v>6.8767749278883503E-2</v>
      </c>
      <c r="L21" s="167">
        <f>(E21+F21)/G21</f>
        <v>8.3019547427634177E-2</v>
      </c>
      <c r="M21" s="150"/>
      <c r="N21" s="168">
        <f>F9/2</f>
        <v>5292</v>
      </c>
      <c r="O21" s="9" t="s">
        <v>59</v>
      </c>
      <c r="P21" s="5"/>
      <c r="Q21" s="144"/>
      <c r="R21" s="142"/>
      <c r="S21" s="145"/>
      <c r="T21" s="145"/>
      <c r="U21" s="169"/>
      <c r="W21" s="170">
        <f>ABS(D21-D22)</f>
        <v>2.4565381708238854E-2</v>
      </c>
      <c r="X21" s="9" t="s">
        <v>60</v>
      </c>
      <c r="Y21" s="5"/>
      <c r="Z21" s="9"/>
      <c r="AA21" s="9"/>
      <c r="AB21" s="9" t="s">
        <v>61</v>
      </c>
      <c r="AC21" s="9"/>
      <c r="AD21" s="171"/>
    </row>
    <row r="22" spans="2:30" ht="14.25" hidden="1" customHeight="1" x14ac:dyDescent="0.4">
      <c r="B22" s="161">
        <f>D8</f>
        <v>530</v>
      </c>
      <c r="C22" s="162">
        <f>F8</f>
        <v>5292</v>
      </c>
      <c r="D22" s="163">
        <f>B22/C22</f>
        <v>0.10015117157974301</v>
      </c>
      <c r="E22" s="164">
        <f>2*B22+I22^2</f>
        <v>1063.841458820694</v>
      </c>
      <c r="F22" s="164">
        <f>I22*SQRT((I22^2)+(4*B22*(1-D22)))</f>
        <v>85.691476300917941</v>
      </c>
      <c r="G22" s="165">
        <f>2*(C22+I22^2)</f>
        <v>10591.682917641388</v>
      </c>
      <c r="H22" s="166" t="s">
        <v>58</v>
      </c>
      <c r="I22" s="120">
        <f>-NORMSINV((1-I2)/2)</f>
        <v>1.9599639845400536</v>
      </c>
      <c r="J22" s="167">
        <f>D22</f>
        <v>0.10015117157974301</v>
      </c>
      <c r="K22" s="167">
        <f>(E22-F22)/G22</f>
        <v>9.2350761453647789E-2</v>
      </c>
      <c r="L22" s="167">
        <f>(E22+F22)/G22</f>
        <v>0.10853166055480784</v>
      </c>
      <c r="M22" s="150"/>
      <c r="N22" s="172">
        <f>J26</f>
        <v>2.4565381708238854E-2</v>
      </c>
      <c r="O22" s="9" t="s">
        <v>62</v>
      </c>
      <c r="P22" s="9"/>
      <c r="Q22" s="9"/>
      <c r="R22" s="9"/>
      <c r="S22" s="9"/>
      <c r="T22" s="9"/>
      <c r="U22" s="173"/>
      <c r="W22" s="174">
        <f>SQRT((D23*(1-D23)/C21)+(D23*(1-D23)/C22))</f>
        <v>5.5036444608043741E-3</v>
      </c>
      <c r="X22" s="146" t="s">
        <v>63</v>
      </c>
      <c r="Y22" s="9"/>
      <c r="Z22" s="9"/>
      <c r="AA22" s="9"/>
      <c r="AB22" s="9"/>
      <c r="AC22" s="9"/>
      <c r="AD22" s="171"/>
    </row>
    <row r="23" spans="2:30" ht="12.75" hidden="1" customHeight="1" x14ac:dyDescent="0.3">
      <c r="B23" s="161">
        <f>D9</f>
        <v>930</v>
      </c>
      <c r="C23" s="162">
        <f>F9</f>
        <v>10584</v>
      </c>
      <c r="D23" s="163">
        <f>B23/C23</f>
        <v>8.7868480725623588E-2</v>
      </c>
      <c r="E23" s="164">
        <f>2*B23+I23^2</f>
        <v>1863.841458820694</v>
      </c>
      <c r="F23" s="164">
        <f>I23*SQRT((I23^2)+(4*B23*(1-D23)))</f>
        <v>114.23363383685175</v>
      </c>
      <c r="G23" s="165">
        <f>2*(C23+I23^2)</f>
        <v>21175.682917641388</v>
      </c>
      <c r="H23" s="166" t="s">
        <v>58</v>
      </c>
      <c r="I23" s="120">
        <f>-NORMSINV((1-I2)/2)</f>
        <v>1.9599639845400536</v>
      </c>
      <c r="J23" s="167">
        <f>D23</f>
        <v>8.7868480725623588E-2</v>
      </c>
      <c r="K23" s="167">
        <f>(E23-F23)/G23</f>
        <v>8.2623442738002553E-2</v>
      </c>
      <c r="L23" s="167">
        <f>(E23+F23)/G23</f>
        <v>9.3412576130407501E-2</v>
      </c>
      <c r="M23" s="150"/>
      <c r="N23" s="175">
        <f>(B21+B22)/(C21+C22)</f>
        <v>8.7868480725623588E-2</v>
      </c>
      <c r="O23" s="9" t="s">
        <v>64</v>
      </c>
      <c r="P23" s="5"/>
      <c r="Q23" s="144"/>
      <c r="R23" s="142"/>
      <c r="S23" s="145"/>
      <c r="T23" s="145"/>
      <c r="U23" s="171"/>
      <c r="W23" s="176">
        <f>W21/W22</f>
        <v>4.46347540855656</v>
      </c>
      <c r="X23" s="9" t="s">
        <v>65</v>
      </c>
      <c r="Y23" s="5"/>
      <c r="Z23" s="9"/>
      <c r="AA23" s="9"/>
      <c r="AB23" s="9"/>
      <c r="AC23" s="9"/>
      <c r="AD23" s="171"/>
    </row>
    <row r="24" spans="2:30" ht="15" hidden="1" customHeight="1" x14ac:dyDescent="0.3">
      <c r="B24" s="90"/>
      <c r="C24" s="177" t="s">
        <v>66</v>
      </c>
      <c r="F24" s="178"/>
      <c r="G24" s="136"/>
      <c r="H24" s="136"/>
      <c r="I24" s="136"/>
      <c r="J24" s="136"/>
      <c r="K24" s="137"/>
      <c r="L24" s="89"/>
      <c r="M24" s="150"/>
      <c r="N24" s="179">
        <f>SQRT(N21*N22^2/(2*N23*(1-N23)))-I21</f>
        <v>2.5035114240165064</v>
      </c>
      <c r="O24" s="9" t="s">
        <v>67</v>
      </c>
      <c r="P24" s="9"/>
      <c r="Q24" s="9"/>
      <c r="R24" s="9"/>
      <c r="S24" s="9"/>
      <c r="T24" s="8"/>
      <c r="U24" s="169"/>
      <c r="W24" s="180">
        <f>NORMSDIST(-W23)</f>
        <v>4.0320428659585191E-6</v>
      </c>
      <c r="X24" s="139" t="s">
        <v>68</v>
      </c>
      <c r="Y24" s="9"/>
      <c r="Z24" s="8"/>
      <c r="AA24" s="8"/>
      <c r="AB24" s="8"/>
      <c r="AC24" s="8"/>
      <c r="AD24" s="173"/>
    </row>
    <row r="25" spans="2:30" ht="13.5" hidden="1" customHeight="1" x14ac:dyDescent="0.3">
      <c r="B25" s="90"/>
      <c r="C25" s="177" t="s">
        <v>69</v>
      </c>
      <c r="D25" s="3"/>
      <c r="E25" s="181"/>
      <c r="F25" s="178"/>
      <c r="G25" s="136"/>
      <c r="H25" s="89"/>
      <c r="I25" s="89"/>
      <c r="J25" s="182"/>
      <c r="K25" s="182"/>
      <c r="L25" s="182"/>
      <c r="M25" s="150"/>
      <c r="N25" s="183">
        <f>NORMSDIST(N24)</f>
        <v>0.99385161447559678</v>
      </c>
      <c r="O25" s="139" t="s">
        <v>70</v>
      </c>
      <c r="P25" s="184"/>
      <c r="Q25" s="9"/>
      <c r="R25" s="9"/>
      <c r="S25" s="9"/>
      <c r="T25" s="9"/>
      <c r="U25" s="171"/>
      <c r="W25" s="185">
        <f>1-W24</f>
        <v>0.99999596795713408</v>
      </c>
      <c r="X25" s="186" t="s">
        <v>71</v>
      </c>
      <c r="Y25" s="184"/>
      <c r="Z25" s="8"/>
      <c r="AA25" s="8"/>
      <c r="AB25" s="8"/>
      <c r="AC25" s="8"/>
      <c r="AD25" s="173"/>
    </row>
    <row r="26" spans="2:30" ht="15" hidden="1" customHeight="1" x14ac:dyDescent="0.35">
      <c r="F26" s="187"/>
      <c r="G26" s="89"/>
      <c r="H26" s="89"/>
      <c r="I26" s="70" t="s">
        <v>72</v>
      </c>
      <c r="J26" s="188">
        <f>D22-D21</f>
        <v>2.4565381708238854E-2</v>
      </c>
      <c r="K26" s="189">
        <f>J26+SQRT((D22-K22)^2+(L21-D21)^2)</f>
        <v>3.5340684466797848E-2</v>
      </c>
      <c r="L26" s="190">
        <f>J26-SQRT((D21-K21)^2+(L22-D22)^2)</f>
        <v>1.3761758566727199E-2</v>
      </c>
      <c r="M26" s="88"/>
      <c r="N26" s="191">
        <f>1-N25</f>
        <v>6.1483855244032215E-3</v>
      </c>
      <c r="O26" s="192" t="s">
        <v>73</v>
      </c>
      <c r="P26" s="193"/>
      <c r="Q26" s="194"/>
      <c r="R26" s="193"/>
      <c r="S26" s="193"/>
      <c r="T26" s="193"/>
      <c r="U26" s="195"/>
      <c r="W26" s="196"/>
      <c r="X26" s="197"/>
      <c r="Y26" s="193"/>
      <c r="Z26" s="197"/>
      <c r="AA26" s="197"/>
      <c r="AB26" s="197"/>
      <c r="AC26" s="197"/>
      <c r="AD26" s="198"/>
    </row>
    <row r="27" spans="2:30" ht="13.5" hidden="1" customHeight="1" x14ac:dyDescent="0.3">
      <c r="F27" s="199"/>
      <c r="G27" s="89"/>
      <c r="H27" s="89"/>
      <c r="I27" s="70" t="s">
        <v>74</v>
      </c>
      <c r="J27" s="200">
        <f>1/J26</f>
        <v>40.707692307692305</v>
      </c>
      <c r="K27" s="201">
        <f>1/K26</f>
        <v>28.295999782898605</v>
      </c>
      <c r="L27" s="202">
        <f>1/L26</f>
        <v>72.665131796293281</v>
      </c>
      <c r="M27" s="88"/>
      <c r="N27" s="89"/>
      <c r="O27" s="1"/>
      <c r="P27" s="1"/>
      <c r="U27" s="1"/>
      <c r="V27" s="1"/>
      <c r="W27" s="7"/>
      <c r="X27" s="7"/>
      <c r="Y27" s="7"/>
      <c r="Z27" s="7"/>
      <c r="AA27" s="7"/>
      <c r="AB27" s="7"/>
      <c r="AC27" s="7"/>
    </row>
    <row r="28" spans="2:30" ht="14.25" hidden="1" customHeight="1" x14ac:dyDescent="0.4">
      <c r="G28" s="89"/>
      <c r="H28" s="89"/>
      <c r="K28" s="203"/>
      <c r="L28" s="203"/>
      <c r="M28" s="204"/>
      <c r="N28" s="151"/>
      <c r="O28" s="205"/>
      <c r="P28" s="205" t="s">
        <v>63</v>
      </c>
      <c r="Q28" s="206">
        <f>SQRT((D23*(1-D23)/C21)+(D23*(1-D23)/C22))</f>
        <v>5.5036444608043741E-3</v>
      </c>
      <c r="R28" s="207"/>
      <c r="S28" s="207"/>
      <c r="T28" s="207"/>
      <c r="U28" s="160"/>
      <c r="V28" s="1"/>
    </row>
    <row r="29" spans="2:30" ht="31.5" hidden="1" customHeight="1" x14ac:dyDescent="0.35">
      <c r="F29" s="208"/>
      <c r="G29" s="209"/>
      <c r="H29" s="210" t="s">
        <v>75</v>
      </c>
      <c r="I29" s="211" t="s">
        <v>11</v>
      </c>
      <c r="J29" s="212">
        <f>J27</f>
        <v>40.707692307692305</v>
      </c>
      <c r="K29" s="212">
        <f>K27</f>
        <v>28.295999782898605</v>
      </c>
      <c r="L29" s="212">
        <f>L27</f>
        <v>72.665131796293281</v>
      </c>
      <c r="M29" s="89"/>
      <c r="N29" s="213" t="s">
        <v>76</v>
      </c>
      <c r="O29" s="214"/>
      <c r="P29" s="9" t="s">
        <v>77</v>
      </c>
      <c r="Q29" s="9"/>
      <c r="R29" s="144"/>
      <c r="S29" s="215" t="s">
        <v>78</v>
      </c>
      <c r="T29" s="9"/>
      <c r="U29" s="171"/>
      <c r="V29" s="1"/>
    </row>
    <row r="30" spans="2:30" s="8" customFormat="1" ht="14.25" hidden="1" customHeight="1" x14ac:dyDescent="0.4">
      <c r="F30" s="216"/>
      <c r="G30" s="217"/>
      <c r="H30" s="218"/>
      <c r="I30" s="219" t="s">
        <v>79</v>
      </c>
      <c r="J30" s="362">
        <f>(1-D22)*J27</f>
        <v>36.630769230769232</v>
      </c>
      <c r="K30" s="220">
        <f>(1-D22)*K27</f>
        <v>25.462122253621157</v>
      </c>
      <c r="L30" s="220">
        <f>(1-D22)*L27</f>
        <v>65.387633713898083</v>
      </c>
      <c r="M30" s="89"/>
      <c r="N30" s="221"/>
      <c r="O30" s="222" t="s">
        <v>80</v>
      </c>
      <c r="Q30" s="223" t="s">
        <v>81</v>
      </c>
      <c r="R30" s="222" t="s">
        <v>82</v>
      </c>
      <c r="S30" s="9"/>
      <c r="T30" s="9"/>
      <c r="U30" s="173"/>
    </row>
    <row r="31" spans="2:30" s="8" customFormat="1" ht="14.25" hidden="1" customHeight="1" x14ac:dyDescent="0.4">
      <c r="F31" s="224"/>
      <c r="G31" s="225"/>
      <c r="H31" s="226"/>
      <c r="I31" s="227" t="s">
        <v>83</v>
      </c>
      <c r="J31" s="228">
        <f>J27*J26</f>
        <v>1</v>
      </c>
      <c r="K31" s="228">
        <f>K27*K26</f>
        <v>1</v>
      </c>
      <c r="L31" s="228">
        <f>L27*L26</f>
        <v>1</v>
      </c>
      <c r="M31" s="113"/>
      <c r="N31" s="179">
        <f>ABS((J26/Q28))-I21</f>
        <v>2.5035114240165064</v>
      </c>
      <c r="O31" s="222" t="s">
        <v>84</v>
      </c>
      <c r="P31" s="9"/>
      <c r="Q31" s="9"/>
      <c r="R31" s="142"/>
      <c r="S31" s="145"/>
      <c r="T31" s="145"/>
      <c r="U31" s="169"/>
    </row>
    <row r="32" spans="2:30" s="8" customFormat="1" ht="12.75" hidden="1" customHeight="1" x14ac:dyDescent="0.3">
      <c r="B32" s="229"/>
      <c r="C32" s="230"/>
      <c r="E32" s="231"/>
      <c r="G32" s="232"/>
      <c r="H32" s="233"/>
      <c r="I32" s="234" t="s">
        <v>85</v>
      </c>
      <c r="J32" s="361">
        <f>(D22-J26)*J27</f>
        <v>3.0769230769230771</v>
      </c>
      <c r="K32" s="235">
        <f>(D22-K26)*K27</f>
        <v>1.8338775292774492</v>
      </c>
      <c r="L32" s="235">
        <f>(D22-L26)*L27</f>
        <v>6.2774980823952076</v>
      </c>
      <c r="M32" s="113"/>
      <c r="N32" s="183">
        <f>NORMSDIST(N31)</f>
        <v>0.99385161447559678</v>
      </c>
      <c r="O32" s="146" t="s">
        <v>86</v>
      </c>
      <c r="P32" s="184"/>
      <c r="Q32" s="9"/>
      <c r="R32" s="9"/>
      <c r="S32" s="9"/>
      <c r="T32" s="9"/>
      <c r="U32" s="173"/>
    </row>
    <row r="33" spans="2:22" s="8" customFormat="1" ht="12.75" hidden="1" customHeight="1" x14ac:dyDescent="0.3">
      <c r="B33" s="229"/>
      <c r="G33" s="236"/>
      <c r="H33" s="237"/>
      <c r="I33" s="237"/>
      <c r="J33" s="238"/>
      <c r="K33" s="238"/>
      <c r="L33" s="238"/>
      <c r="M33" s="113"/>
      <c r="N33" s="191">
        <f>1-N32</f>
        <v>6.1483855244032215E-3</v>
      </c>
      <c r="O33" s="193" t="s">
        <v>87</v>
      </c>
      <c r="P33" s="193"/>
      <c r="Q33" s="194"/>
      <c r="R33" s="239"/>
      <c r="S33" s="240"/>
      <c r="T33" s="240"/>
      <c r="U33" s="195"/>
    </row>
    <row r="34" spans="2:22" s="8" customFormat="1" ht="31.5" hidden="1" customHeight="1" x14ac:dyDescent="0.3">
      <c r="B34" s="126"/>
      <c r="F34" s="110"/>
      <c r="G34" s="241"/>
      <c r="H34" s="210" t="s">
        <v>88</v>
      </c>
      <c r="I34" s="242" t="s">
        <v>89</v>
      </c>
      <c r="J34" s="243">
        <f>ABS(J27)</f>
        <v>40.707692307692305</v>
      </c>
      <c r="K34" s="243">
        <f>ABS(L27)</f>
        <v>72.665131796293281</v>
      </c>
      <c r="L34" s="243">
        <f>ABS(K27)</f>
        <v>28.295999782898605</v>
      </c>
      <c r="M34" s="113"/>
      <c r="N34" s="88"/>
      <c r="O34" s="9"/>
      <c r="P34" s="9"/>
      <c r="Q34" s="9"/>
      <c r="R34" s="9"/>
      <c r="S34" s="9"/>
      <c r="T34" s="9"/>
      <c r="U34" s="9"/>
      <c r="V34" s="9"/>
    </row>
    <row r="35" spans="2:22" s="8" customFormat="1" ht="13.5" hidden="1" customHeight="1" x14ac:dyDescent="0.3">
      <c r="B35" s="126"/>
      <c r="G35" s="217"/>
      <c r="H35" s="218"/>
      <c r="I35" s="219" t="s">
        <v>79</v>
      </c>
      <c r="J35" s="220">
        <f>ABS((1-(D22-J26))*J27)</f>
        <v>37.630769230769225</v>
      </c>
      <c r="K35" s="220">
        <f>ABS((1-(D22-L26))*L27)</f>
        <v>66.387633713898069</v>
      </c>
      <c r="L35" s="220">
        <f>ABS((1-(D22-K26))*K27)</f>
        <v>26.462122253621157</v>
      </c>
      <c r="M35" s="113"/>
      <c r="N35" s="88"/>
      <c r="O35" s="9"/>
      <c r="P35" s="9"/>
      <c r="Q35" s="9"/>
      <c r="R35" s="9"/>
      <c r="S35" s="9"/>
      <c r="T35" s="9"/>
      <c r="U35" s="9"/>
      <c r="V35" s="9"/>
    </row>
    <row r="36" spans="2:22" s="8" customFormat="1" ht="12.75" hidden="1" customHeight="1" x14ac:dyDescent="0.3">
      <c r="B36" s="126"/>
      <c r="F36" s="244"/>
      <c r="G36" s="245"/>
      <c r="H36" s="246"/>
      <c r="I36" s="247" t="s">
        <v>90</v>
      </c>
      <c r="J36" s="248">
        <f>J27*J26</f>
        <v>1</v>
      </c>
      <c r="K36" s="248">
        <f>L27*L26</f>
        <v>1</v>
      </c>
      <c r="L36" s="248">
        <f>K27*K26</f>
        <v>1</v>
      </c>
      <c r="M36" s="113"/>
      <c r="N36" s="88"/>
      <c r="O36" s="9"/>
      <c r="P36" s="9"/>
      <c r="Q36" s="9"/>
      <c r="R36" s="9"/>
      <c r="S36" s="9"/>
      <c r="T36" s="9"/>
      <c r="U36" s="9"/>
      <c r="V36" s="9"/>
    </row>
    <row r="37" spans="2:22" ht="15.75" hidden="1" customHeight="1" x14ac:dyDescent="0.35">
      <c r="B37" s="249" t="s">
        <v>91</v>
      </c>
      <c r="C37" s="250"/>
      <c r="D37" s="250"/>
      <c r="E37" s="250"/>
      <c r="F37" s="251"/>
      <c r="G37" s="232"/>
      <c r="H37" s="233"/>
      <c r="I37" s="234" t="s">
        <v>92</v>
      </c>
      <c r="J37" s="235">
        <f>ABS(D22*J27)</f>
        <v>4.0769230769230766</v>
      </c>
      <c r="K37" s="235">
        <f>ABS(D22*L27)</f>
        <v>7.2774980823952085</v>
      </c>
      <c r="L37" s="235">
        <f>ABS(D22*K27)</f>
        <v>2.8338775292774492</v>
      </c>
      <c r="M37" s="89"/>
      <c r="N37" s="88"/>
      <c r="O37" s="9"/>
      <c r="P37" s="9"/>
      <c r="Q37" s="9"/>
      <c r="R37" s="9"/>
      <c r="S37" s="9"/>
      <c r="T37" s="9"/>
      <c r="U37" s="9"/>
      <c r="V37" s="9"/>
    </row>
    <row r="38" spans="2:22" s="7" customFormat="1" ht="12.75" hidden="1" customHeight="1" x14ac:dyDescent="0.3">
      <c r="B38" s="90"/>
      <c r="C38" s="252" t="s">
        <v>18</v>
      </c>
      <c r="D38" s="253" t="s">
        <v>19</v>
      </c>
      <c r="E38" s="9"/>
      <c r="F38" s="251"/>
      <c r="G38" s="254"/>
      <c r="H38" s="255"/>
      <c r="I38" s="256"/>
      <c r="J38" s="257"/>
      <c r="K38" s="257"/>
      <c r="L38" s="257"/>
      <c r="M38" s="137"/>
      <c r="N38" s="113"/>
      <c r="O38" s="8"/>
      <c r="P38" s="8"/>
      <c r="Q38" s="8"/>
      <c r="R38" s="8"/>
    </row>
    <row r="39" spans="2:22" ht="12.75" hidden="1" customHeight="1" x14ac:dyDescent="0.3">
      <c r="B39" s="258" t="s">
        <v>93</v>
      </c>
      <c r="C39" s="259" t="s">
        <v>20</v>
      </c>
      <c r="D39" s="260" t="s">
        <v>21</v>
      </c>
      <c r="E39" s="4" t="s">
        <v>22</v>
      </c>
      <c r="G39" s="89"/>
      <c r="H39" s="89"/>
      <c r="I39" s="89"/>
      <c r="J39" s="89"/>
      <c r="K39" s="89"/>
      <c r="L39" s="89"/>
      <c r="M39" s="89"/>
      <c r="N39" s="113"/>
      <c r="O39" s="8"/>
      <c r="P39" s="8"/>
      <c r="Q39" s="8"/>
      <c r="R39" s="8"/>
      <c r="U39" s="1"/>
      <c r="V39" s="1"/>
    </row>
    <row r="40" spans="2:22" ht="12.75" hidden="1" customHeight="1" x14ac:dyDescent="0.3">
      <c r="B40" s="261" t="s">
        <v>94</v>
      </c>
      <c r="C40" s="262">
        <f>F7*D9/F9</f>
        <v>465</v>
      </c>
      <c r="D40" s="262">
        <f>F7*E9/F9</f>
        <v>4827</v>
      </c>
      <c r="E40" s="262">
        <f>F7</f>
        <v>5292</v>
      </c>
      <c r="G40" s="11"/>
      <c r="H40" s="263" t="s">
        <v>95</v>
      </c>
      <c r="I40" s="264">
        <f>CHIINV(0.05,K41)</f>
        <v>3.8414588206941236</v>
      </c>
      <c r="J40" s="89"/>
      <c r="K40" s="89"/>
      <c r="L40" s="89"/>
      <c r="M40" s="89"/>
      <c r="N40" s="113"/>
      <c r="O40" s="265"/>
      <c r="P40" s="265"/>
      <c r="Q40" s="265"/>
      <c r="R40" s="8"/>
      <c r="U40" s="1"/>
      <c r="V40" s="1"/>
    </row>
    <row r="41" spans="2:22" ht="12.75" hidden="1" customHeight="1" x14ac:dyDescent="0.3">
      <c r="B41" s="266" t="s">
        <v>96</v>
      </c>
      <c r="C41" s="262">
        <f>F8*D9/F9</f>
        <v>465</v>
      </c>
      <c r="D41" s="262">
        <f>F8*E9/F9</f>
        <v>4827</v>
      </c>
      <c r="E41" s="262">
        <f>F8</f>
        <v>5292</v>
      </c>
      <c r="F41" s="7"/>
      <c r="G41" s="267"/>
      <c r="H41" s="267"/>
      <c r="I41" s="268"/>
      <c r="J41" s="269" t="s">
        <v>97</v>
      </c>
      <c r="K41" s="270">
        <f>(COUNT(C40:D40)-1)*(COUNT(C40:C41)-1)</f>
        <v>1</v>
      </c>
      <c r="L41" s="89"/>
      <c r="M41" s="89"/>
      <c r="N41" s="89"/>
      <c r="O41" s="265"/>
      <c r="P41" s="265"/>
      <c r="Q41" s="265"/>
      <c r="R41" s="8"/>
      <c r="U41" s="1"/>
      <c r="V41" s="1"/>
    </row>
    <row r="42" spans="2:22" ht="12.75" hidden="1" customHeight="1" x14ac:dyDescent="0.3">
      <c r="B42" s="271" t="s">
        <v>98</v>
      </c>
      <c r="C42" s="262">
        <f>SUM(C40:C41)</f>
        <v>930</v>
      </c>
      <c r="D42" s="262">
        <f>SUM(D40:D41)</f>
        <v>9654</v>
      </c>
      <c r="E42" s="272">
        <f>SUM(E40:E41)</f>
        <v>10584</v>
      </c>
      <c r="F42" s="7"/>
      <c r="G42" s="137"/>
      <c r="H42" s="273" t="s">
        <v>99</v>
      </c>
      <c r="I42" s="274" t="s">
        <v>100</v>
      </c>
      <c r="J42" s="89"/>
      <c r="K42" s="89"/>
      <c r="L42" s="89"/>
      <c r="M42" s="89"/>
      <c r="N42" s="89"/>
      <c r="O42" s="265"/>
      <c r="P42" s="275"/>
      <c r="Q42" s="265"/>
      <c r="R42" s="8"/>
      <c r="U42" s="1"/>
      <c r="V42" s="1"/>
    </row>
    <row r="43" spans="2:22" ht="12.75" hidden="1" customHeight="1" x14ac:dyDescent="0.3">
      <c r="B43" s="271"/>
      <c r="C43" s="276"/>
      <c r="D43" s="276"/>
      <c r="E43" s="277"/>
      <c r="F43" s="7"/>
      <c r="G43" s="137"/>
      <c r="H43" s="273" t="s">
        <v>101</v>
      </c>
      <c r="I43" s="274" t="s">
        <v>102</v>
      </c>
      <c r="J43" s="89"/>
      <c r="K43" s="89"/>
      <c r="L43" s="89"/>
      <c r="M43" s="89"/>
      <c r="N43" s="89"/>
      <c r="O43" s="278"/>
      <c r="P43" s="278"/>
      <c r="Q43" s="278"/>
      <c r="R43" s="8"/>
      <c r="U43" s="1"/>
      <c r="V43" s="1"/>
    </row>
    <row r="44" spans="2:22" ht="26.25" hidden="1" customHeight="1" x14ac:dyDescent="0.3">
      <c r="B44" s="279"/>
      <c r="C44" s="557" t="s">
        <v>103</v>
      </c>
      <c r="D44" s="558"/>
      <c r="G44" s="89"/>
      <c r="H44" s="280"/>
      <c r="I44" s="89"/>
      <c r="J44" s="89"/>
      <c r="K44" s="89"/>
      <c r="L44" s="89"/>
      <c r="M44" s="89"/>
      <c r="N44" s="89"/>
      <c r="O44" s="1"/>
      <c r="P44" s="1"/>
      <c r="U44" s="1"/>
      <c r="V44" s="1"/>
    </row>
    <row r="45" spans="2:22" ht="12.75" hidden="1" customHeight="1" x14ac:dyDescent="0.3">
      <c r="B45" s="279"/>
      <c r="C45" s="281">
        <f>(D7-C40)^2/C40</f>
        <v>9.086021505376344</v>
      </c>
      <c r="D45" s="281">
        <f>(E7-D40)^2/D40</f>
        <v>0.87528485601823081</v>
      </c>
      <c r="F45" s="282"/>
      <c r="G45" s="283"/>
      <c r="H45" s="89"/>
      <c r="I45" s="89"/>
      <c r="J45" s="113"/>
      <c r="K45" s="113"/>
      <c r="L45" s="284"/>
      <c r="M45" s="89"/>
      <c r="N45" s="89"/>
      <c r="O45" s="1"/>
      <c r="P45" s="1"/>
      <c r="U45" s="1"/>
      <c r="V45" s="1"/>
    </row>
    <row r="46" spans="2:22" ht="12.75" hidden="1" customHeight="1" x14ac:dyDescent="0.3">
      <c r="B46" s="279"/>
      <c r="C46" s="281">
        <f>(D8-C41)^2/C41</f>
        <v>9.086021505376344</v>
      </c>
      <c r="D46" s="281">
        <f>(E8-D41)^2/D41</f>
        <v>0.87528485601823081</v>
      </c>
      <c r="E46" s="80"/>
      <c r="F46" s="285" t="s">
        <v>104</v>
      </c>
      <c r="G46" s="286">
        <f>C48-I40</f>
        <v>16.081153902095025</v>
      </c>
      <c r="H46" s="89"/>
      <c r="I46" s="89"/>
      <c r="J46" s="113"/>
      <c r="K46" s="113"/>
      <c r="L46" s="89"/>
      <c r="M46" s="89"/>
      <c r="N46" s="89"/>
      <c r="O46" s="1"/>
      <c r="P46" s="1"/>
      <c r="U46" s="1"/>
      <c r="V46" s="1"/>
    </row>
    <row r="47" spans="2:22" ht="12.75" hidden="1" customHeight="1" x14ac:dyDescent="0.3">
      <c r="B47" s="274" t="s">
        <v>105</v>
      </c>
      <c r="D47" s="287"/>
      <c r="G47" s="288" t="s">
        <v>106</v>
      </c>
      <c r="H47" s="89"/>
      <c r="I47" s="89"/>
      <c r="J47" s="113"/>
      <c r="K47" s="113"/>
      <c r="L47" s="89"/>
      <c r="M47" s="89"/>
      <c r="N47" s="89"/>
      <c r="O47" s="1"/>
      <c r="P47" s="1"/>
      <c r="U47" s="1"/>
      <c r="V47" s="1"/>
    </row>
    <row r="48" spans="2:22" ht="13.5" hidden="1" customHeight="1" x14ac:dyDescent="0.3">
      <c r="B48" s="289" t="s">
        <v>107</v>
      </c>
      <c r="C48" s="290">
        <f>SUM(C45:D46)</f>
        <v>19.92261272278915</v>
      </c>
      <c r="D48" s="9"/>
      <c r="G48" s="288" t="s">
        <v>108</v>
      </c>
      <c r="H48" s="89"/>
      <c r="I48" s="291"/>
      <c r="J48" s="113"/>
      <c r="K48" s="113"/>
      <c r="L48" s="292"/>
      <c r="M48" s="89"/>
      <c r="N48" s="89"/>
      <c r="O48" s="1"/>
      <c r="P48" s="1"/>
      <c r="U48" s="1"/>
      <c r="V48" s="1"/>
    </row>
    <row r="49" spans="1:22" ht="12.75" hidden="1" customHeight="1" x14ac:dyDescent="0.3">
      <c r="B49" s="293" t="s">
        <v>109</v>
      </c>
      <c r="C49" s="294">
        <f>CHIDIST(C48,1)</f>
        <v>8.0640857319170381E-6</v>
      </c>
      <c r="E49" s="9"/>
      <c r="F49" s="9"/>
      <c r="G49" s="88"/>
      <c r="H49" s="295"/>
      <c r="I49" s="88"/>
      <c r="J49" s="113"/>
      <c r="K49" s="113"/>
      <c r="L49" s="88"/>
      <c r="M49" s="89"/>
      <c r="N49" s="89"/>
      <c r="O49" s="1"/>
      <c r="P49" s="1"/>
      <c r="U49" s="1"/>
      <c r="V49" s="1"/>
    </row>
    <row r="50" spans="1:22" s="8" customFormat="1" ht="12.75" hidden="1" customHeight="1" x14ac:dyDescent="0.3">
      <c r="B50" s="126"/>
      <c r="E50" s="296"/>
      <c r="F50" s="296"/>
      <c r="G50" s="113"/>
      <c r="H50" s="113"/>
      <c r="I50" s="297"/>
      <c r="J50" s="113"/>
      <c r="K50" s="113"/>
      <c r="L50" s="113"/>
      <c r="M50" s="113"/>
      <c r="N50" s="113"/>
    </row>
    <row r="51" spans="1:22" ht="13.5" hidden="1" customHeight="1" x14ac:dyDescent="0.3">
      <c r="B51" s="90"/>
      <c r="G51" s="89"/>
      <c r="H51" s="89"/>
      <c r="I51" s="89"/>
      <c r="J51" s="113"/>
      <c r="K51" s="113"/>
      <c r="L51" s="89"/>
      <c r="M51" s="89"/>
      <c r="N51" s="89"/>
      <c r="O51" s="1"/>
      <c r="P51" s="1"/>
      <c r="U51" s="1"/>
      <c r="V51" s="1"/>
    </row>
    <row r="52" spans="1:22" ht="12.75" hidden="1" customHeight="1" x14ac:dyDescent="0.3">
      <c r="B52" s="298" t="s">
        <v>110</v>
      </c>
      <c r="C52" s="299"/>
      <c r="D52" s="299"/>
      <c r="E52" s="299"/>
      <c r="F52" s="299"/>
      <c r="G52" s="299"/>
      <c r="H52" s="300"/>
      <c r="I52" s="89"/>
      <c r="J52" s="301" t="s">
        <v>111</v>
      </c>
      <c r="K52" s="302"/>
      <c r="L52" s="303"/>
      <c r="M52" s="303"/>
      <c r="N52" s="303"/>
      <c r="O52" s="160"/>
      <c r="P52" s="1"/>
      <c r="U52" s="1"/>
      <c r="V52" s="1"/>
    </row>
    <row r="53" spans="1:22" ht="12.75" hidden="1" customHeight="1" x14ac:dyDescent="0.3">
      <c r="B53" s="304">
        <f>I2*100</f>
        <v>95</v>
      </c>
      <c r="C53" s="251"/>
      <c r="D53" s="251"/>
      <c r="E53" s="8"/>
      <c r="F53" s="8"/>
      <c r="G53" s="8"/>
      <c r="H53" s="173"/>
      <c r="I53" s="89"/>
      <c r="J53" s="305"/>
      <c r="K53" s="113"/>
      <c r="L53" s="88"/>
      <c r="M53" s="88"/>
      <c r="N53" s="88"/>
      <c r="O53" s="171"/>
      <c r="P53" s="1"/>
      <c r="U53" s="1"/>
      <c r="V53" s="1"/>
    </row>
    <row r="54" spans="1:22" ht="12.75" hidden="1" customHeight="1" x14ac:dyDescent="0.3">
      <c r="B54" s="306" t="s">
        <v>112</v>
      </c>
      <c r="C54" s="307"/>
      <c r="D54" s="307"/>
      <c r="E54" s="308">
        <f>ROUND(G14,2)</f>
        <v>0.75</v>
      </c>
      <c r="F54" s="309">
        <f>ROUND(J26,4)</f>
        <v>2.46E-2</v>
      </c>
      <c r="G54" s="310">
        <f>ROUND(J27,0)</f>
        <v>41</v>
      </c>
      <c r="H54" s="311"/>
      <c r="I54" s="89"/>
      <c r="J54" s="312" t="s">
        <v>112</v>
      </c>
      <c r="K54" s="8"/>
      <c r="L54" s="8"/>
      <c r="M54" s="8"/>
      <c r="N54" s="88"/>
      <c r="O54" s="171"/>
      <c r="P54" s="1"/>
      <c r="U54" s="1"/>
      <c r="V54" s="1"/>
    </row>
    <row r="55" spans="1:22" ht="12.75" hidden="1" customHeight="1" x14ac:dyDescent="0.3">
      <c r="B55" s="306" t="s">
        <v>113</v>
      </c>
      <c r="C55" s="9"/>
      <c r="D55" s="9"/>
      <c r="E55" s="308">
        <f>ROUND(H14,2)</f>
        <v>0.67</v>
      </c>
      <c r="F55" s="309">
        <f>ROUND(L26,4)</f>
        <v>1.38E-2</v>
      </c>
      <c r="G55" s="310">
        <f>ROUND(L27,0)</f>
        <v>73</v>
      </c>
      <c r="H55" s="311"/>
      <c r="I55" s="89"/>
      <c r="J55" s="312" t="s">
        <v>113</v>
      </c>
      <c r="K55" s="313" t="str">
        <f>ROUND(J21,4)*100&amp;J57</f>
        <v>7,56%</v>
      </c>
      <c r="L55" s="313" t="str">
        <f>ROUND(K21,4)*100&amp;J57</f>
        <v>6,88%</v>
      </c>
      <c r="M55" s="313" t="str">
        <f>ROUND(L21,4)*100&amp;J57</f>
        <v>8,3%</v>
      </c>
      <c r="N55" s="314" t="str">
        <f>CONCATENATE(K55," ",J54,L55," ",J58," ",M55,J56)</f>
        <v>7,56% (6,88% a 8,3%)</v>
      </c>
      <c r="O55" s="171"/>
      <c r="P55" s="1"/>
      <c r="U55" s="1"/>
      <c r="V55" s="1"/>
    </row>
    <row r="56" spans="1:22" s="7" customFormat="1" ht="12.75" hidden="1" customHeight="1" x14ac:dyDescent="0.3">
      <c r="B56" s="306" t="s">
        <v>114</v>
      </c>
      <c r="C56" s="307">
        <f>ROUND(D7,0)</f>
        <v>400</v>
      </c>
      <c r="D56" s="307">
        <f>ROUND(D8,0)</f>
        <v>530</v>
      </c>
      <c r="E56" s="308">
        <f>ROUND(I14,2)</f>
        <v>0.85</v>
      </c>
      <c r="F56" s="309">
        <f>ROUND(K26,4)</f>
        <v>3.5299999999999998E-2</v>
      </c>
      <c r="G56" s="310">
        <f>ROUND(K27,0)</f>
        <v>28</v>
      </c>
      <c r="H56" s="315">
        <f>ROUND(N32,4)</f>
        <v>0.99390000000000001</v>
      </c>
      <c r="I56" s="137"/>
      <c r="J56" s="312" t="s">
        <v>114</v>
      </c>
      <c r="K56" s="316" t="str">
        <f>ROUND(J22,4)*100&amp;J57</f>
        <v>10,02%</v>
      </c>
      <c r="L56" s="316" t="str">
        <f>ROUND(K22,4)*100&amp;J57</f>
        <v>9,24%</v>
      </c>
      <c r="M56" s="316" t="str">
        <f>ROUND(L22,4)*100&amp;J57</f>
        <v>10,85%</v>
      </c>
      <c r="N56" s="314" t="str">
        <f>CONCATENATE(K56," ",J54,L56," ",J58," ",M56,J56)</f>
        <v>10,02% (9,24% a 10,85%)</v>
      </c>
      <c r="O56" s="173"/>
    </row>
    <row r="57" spans="1:22" ht="12.75" hidden="1" customHeight="1" x14ac:dyDescent="0.3">
      <c r="B57" s="306" t="s">
        <v>115</v>
      </c>
      <c r="C57" s="317" t="s">
        <v>116</v>
      </c>
      <c r="D57" s="317" t="s">
        <v>117</v>
      </c>
      <c r="E57" s="317" t="s">
        <v>32</v>
      </c>
      <c r="F57" s="317" t="s">
        <v>118</v>
      </c>
      <c r="G57" s="318" t="s">
        <v>11</v>
      </c>
      <c r="H57" s="11" t="s">
        <v>119</v>
      </c>
      <c r="I57" s="89"/>
      <c r="J57" s="312" t="s">
        <v>115</v>
      </c>
      <c r="K57" s="316" t="str">
        <f>ROUND(J23,4)*100&amp;J57</f>
        <v>8,79%</v>
      </c>
      <c r="L57" s="316" t="str">
        <f>ROUND(K23,4)*100&amp;J57</f>
        <v>8,26%</v>
      </c>
      <c r="M57" s="316" t="str">
        <f>ROUND(L23,4)*100&amp;J57</f>
        <v>9,34%</v>
      </c>
      <c r="N57" s="314" t="str">
        <f>CONCATENATE(K57," ",J54,L57," ",J58," ",M57,J56)</f>
        <v>8,79% (8,26% a 9,34%)</v>
      </c>
      <c r="O57" s="173"/>
    </row>
    <row r="58" spans="1:22" ht="12.75" hidden="1" customHeight="1" x14ac:dyDescent="0.3">
      <c r="B58" s="319" t="s">
        <v>120</v>
      </c>
      <c r="C58" s="320" t="str">
        <f>CONCATENATE(C56,B59,C21," ",B54,K55,B56)</f>
        <v>400/5292 (7,56%)</v>
      </c>
      <c r="D58" s="70" t="str">
        <f>CONCATENATE(D56,B59,C22," ",B54,K56,B56)</f>
        <v>530/5292 (10,02%)</v>
      </c>
      <c r="E58" s="320" t="str">
        <f>CONCATENATE(E54," ",B54,E55,B55,E56,B56)</f>
        <v>0,75 (0,67-0,85)</v>
      </c>
      <c r="F58" s="320" t="str">
        <f>CONCATENATE(F54*100,B57," ",B54,F55*100,B57," ",B58," ",F56*100,B57,B56)</f>
        <v>2,46% (1,38% a 3,53%)</v>
      </c>
      <c r="G58" s="11" t="str">
        <f>CONCATENATE(G54," ",B54,G56," ",B58," ",G55,B56)</f>
        <v>41 (28 a 73)</v>
      </c>
      <c r="H58" s="11" t="str">
        <f>CONCATENATE(H56*100,B57)</f>
        <v>99,39%</v>
      </c>
      <c r="I58" s="89"/>
      <c r="J58" s="321" t="s">
        <v>120</v>
      </c>
      <c r="K58" s="9"/>
      <c r="L58" s="9"/>
      <c r="M58" s="9"/>
      <c r="N58" s="88"/>
      <c r="O58" s="171"/>
      <c r="P58" s="1"/>
      <c r="U58" s="1"/>
      <c r="V58" s="1"/>
    </row>
    <row r="59" spans="1:22" ht="13.5" hidden="1" customHeight="1" x14ac:dyDescent="0.3">
      <c r="B59" s="322" t="s">
        <v>121</v>
      </c>
      <c r="C59" s="197"/>
      <c r="D59" s="197"/>
      <c r="E59" s="197"/>
      <c r="F59" s="197"/>
      <c r="G59" s="323"/>
      <c r="H59" s="324"/>
      <c r="I59" s="89"/>
      <c r="J59" s="325" t="s">
        <v>121</v>
      </c>
      <c r="K59" s="197"/>
      <c r="L59" s="197"/>
      <c r="M59" s="197"/>
      <c r="N59" s="326"/>
      <c r="O59" s="195"/>
      <c r="P59" s="1"/>
      <c r="U59" s="1"/>
      <c r="V59" s="1"/>
    </row>
    <row r="60" spans="1:22" x14ac:dyDescent="0.3">
      <c r="B60" s="90"/>
      <c r="D60" s="487"/>
      <c r="E60" s="487"/>
      <c r="G60" s="89"/>
      <c r="H60" s="89"/>
      <c r="I60" s="89"/>
      <c r="J60" s="89"/>
      <c r="K60" s="89"/>
      <c r="L60" s="113"/>
      <c r="M60" s="89"/>
      <c r="N60" s="89"/>
      <c r="O60" s="1"/>
      <c r="P60" s="1"/>
      <c r="U60" s="1"/>
      <c r="V60" s="1"/>
    </row>
    <row r="61" spans="1:22" ht="27" customHeight="1" x14ac:dyDescent="0.3">
      <c r="B61" s="90"/>
      <c r="C61" s="327" t="s">
        <v>116</v>
      </c>
      <c r="D61" s="327" t="s">
        <v>117</v>
      </c>
      <c r="E61" s="328" t="str">
        <f>CONCATENATE(E57," ",B54,H2," ",B53,B57,B56)</f>
        <v>RR (IC 95%)</v>
      </c>
      <c r="F61" s="328" t="str">
        <f>CONCATENATE(F57," ",B54,H2," ",B53,B57,B56)</f>
        <v>RAR (IC 95%)</v>
      </c>
      <c r="G61" s="328" t="str">
        <f>CONCATENATE(G57," ",B54,H2," ",B53,B57,B56)</f>
        <v>NNT (IC 95%)</v>
      </c>
      <c r="H61" s="328" t="s">
        <v>76</v>
      </c>
      <c r="I61" s="329"/>
      <c r="J61" s="364" t="s">
        <v>133</v>
      </c>
      <c r="L61" s="337" t="s">
        <v>123</v>
      </c>
      <c r="M61" s="337" t="s">
        <v>124</v>
      </c>
      <c r="O61" s="390" t="s">
        <v>145</v>
      </c>
      <c r="P61" s="390" t="s">
        <v>124</v>
      </c>
      <c r="R61" s="525" t="s">
        <v>2</v>
      </c>
      <c r="S61" s="526" t="s">
        <v>3</v>
      </c>
      <c r="T61" s="527" t="s">
        <v>1</v>
      </c>
      <c r="U61" s="528" t="s">
        <v>143</v>
      </c>
      <c r="V61" s="1"/>
    </row>
    <row r="62" spans="1:22" ht="21" customHeight="1" x14ac:dyDescent="0.3">
      <c r="B62" s="90"/>
      <c r="C62" s="70" t="str">
        <f t="shared" ref="C62:H62" si="2">C58</f>
        <v>400/5292 (7,56%)</v>
      </c>
      <c r="D62" s="70" t="str">
        <f t="shared" si="2"/>
        <v>530/5292 (10,02%)</v>
      </c>
      <c r="E62" s="70" t="str">
        <f t="shared" si="2"/>
        <v>0,75 (0,67-0,85)</v>
      </c>
      <c r="F62" s="70" t="str">
        <f t="shared" si="2"/>
        <v>2,46% (1,38% a 3,53%)</v>
      </c>
      <c r="G62" s="70" t="str">
        <f t="shared" si="2"/>
        <v>41 (28 a 73)</v>
      </c>
      <c r="H62" s="486" t="str">
        <f t="shared" si="2"/>
        <v>99,39%</v>
      </c>
      <c r="I62" s="330"/>
      <c r="J62" s="331">
        <f>C49</f>
        <v>8.0640857319170381E-6</v>
      </c>
      <c r="L62" s="332">
        <f>IF((K26*L26&lt;0),J23,J21)</f>
        <v>7.5585789871504161E-2</v>
      </c>
      <c r="M62" s="332">
        <f>IF((K26*L26&lt;0),J23,J22)</f>
        <v>0.10015117157974301</v>
      </c>
      <c r="O62" s="388">
        <f>L62*100</f>
        <v>7.5585789871504163</v>
      </c>
      <c r="P62" s="389">
        <f>M62*100</f>
        <v>10.015117157974302</v>
      </c>
      <c r="R62" s="347">
        <f>Q14</f>
        <v>15.002267573696146</v>
      </c>
      <c r="S62" s="348">
        <f>R14</f>
        <v>0.19652305366591083</v>
      </c>
      <c r="T62" s="386">
        <f>S14</f>
        <v>0.80120937263794412</v>
      </c>
      <c r="U62" s="387">
        <f>R62+S62+T62</f>
        <v>16.000000000000004</v>
      </c>
      <c r="V62" s="288" t="str">
        <f>I4</f>
        <v>meses</v>
      </c>
    </row>
    <row r="63" spans="1:22" x14ac:dyDescent="0.3">
      <c r="B63" s="90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333"/>
    </row>
    <row r="64" spans="1:22" x14ac:dyDescent="0.3">
      <c r="A64" s="393"/>
      <c r="B64" s="403" t="s">
        <v>173</v>
      </c>
      <c r="C64" s="334"/>
      <c r="D64" s="334"/>
      <c r="E64" s="334"/>
      <c r="F64" s="334"/>
      <c r="G64" s="334"/>
      <c r="H64" s="334"/>
      <c r="I64" s="335"/>
      <c r="J64" s="336"/>
      <c r="K64" s="288"/>
      <c r="L64" s="288"/>
      <c r="M64" s="288"/>
      <c r="N64" s="288"/>
      <c r="O64" s="333"/>
    </row>
    <row r="65" spans="1:22" ht="13.5" thickBot="1" x14ac:dyDescent="0.35">
      <c r="A65" s="393"/>
      <c r="B65" s="447" t="s">
        <v>171</v>
      </c>
      <c r="C65" s="376"/>
      <c r="D65" s="376"/>
      <c r="E65" s="376"/>
      <c r="F65" s="376"/>
      <c r="G65" s="376"/>
      <c r="H65" s="376"/>
      <c r="I65" s="371"/>
      <c r="J65" s="426"/>
      <c r="K65" s="372"/>
      <c r="L65" s="372"/>
      <c r="M65" s="372"/>
      <c r="N65" s="372"/>
      <c r="O65" s="372"/>
      <c r="P65" s="393"/>
      <c r="Q65" s="393"/>
      <c r="R65" s="393"/>
      <c r="S65" s="393"/>
      <c r="T65" s="393"/>
      <c r="U65" s="393"/>
    </row>
    <row r="66" spans="1:22" ht="39.75" customHeight="1" thickBot="1" x14ac:dyDescent="0.35">
      <c r="A66" s="393"/>
      <c r="B66" s="536" t="s">
        <v>315</v>
      </c>
      <c r="C66" s="537"/>
      <c r="D66" s="537"/>
      <c r="E66" s="537"/>
      <c r="F66" s="537"/>
      <c r="G66" s="537"/>
      <c r="H66" s="538"/>
      <c r="I66" s="393"/>
      <c r="J66" s="393"/>
      <c r="K66" s="393"/>
      <c r="L66" s="393"/>
      <c r="M66" s="393"/>
      <c r="N66" s="393"/>
      <c r="O66" s="565" t="s">
        <v>148</v>
      </c>
      <c r="P66" s="566"/>
      <c r="Q66" s="393"/>
      <c r="R66" s="559" t="s">
        <v>140</v>
      </c>
      <c r="S66" s="562" t="s">
        <v>141</v>
      </c>
      <c r="T66" s="548" t="s">
        <v>142</v>
      </c>
      <c r="U66" s="551" t="s">
        <v>144</v>
      </c>
      <c r="V66" s="393"/>
    </row>
    <row r="67" spans="1:22" ht="38.25" customHeight="1" thickBot="1" x14ac:dyDescent="0.35">
      <c r="A67" s="393"/>
      <c r="B67" s="541" t="s">
        <v>206</v>
      </c>
      <c r="C67" s="413" t="s">
        <v>208</v>
      </c>
      <c r="D67" s="394" t="s">
        <v>209</v>
      </c>
      <c r="E67" s="567" t="s">
        <v>159</v>
      </c>
      <c r="F67" s="568"/>
      <c r="G67" s="568"/>
      <c r="H67" s="569"/>
      <c r="I67" s="393"/>
      <c r="J67" s="393"/>
      <c r="K67" s="393"/>
      <c r="L67" s="393"/>
      <c r="M67" s="393"/>
      <c r="N67" s="393"/>
      <c r="O67" s="546" t="s">
        <v>243</v>
      </c>
      <c r="P67" s="547"/>
      <c r="Q67" s="393"/>
      <c r="R67" s="560"/>
      <c r="S67" s="563"/>
      <c r="T67" s="549"/>
      <c r="U67" s="552"/>
      <c r="V67" s="393"/>
    </row>
    <row r="68" spans="1:22" ht="26.25" customHeight="1" thickBot="1" x14ac:dyDescent="0.35">
      <c r="A68" s="393"/>
      <c r="B68" s="542"/>
      <c r="C68" s="395" t="s">
        <v>149</v>
      </c>
      <c r="D68" s="396" t="s">
        <v>149</v>
      </c>
      <c r="E68" s="397" t="s">
        <v>139</v>
      </c>
      <c r="F68" s="398" t="s">
        <v>157</v>
      </c>
      <c r="G68" s="398" t="s">
        <v>158</v>
      </c>
      <c r="H68" s="399" t="s">
        <v>122</v>
      </c>
      <c r="I68" s="393"/>
      <c r="J68" s="400" t="s">
        <v>150</v>
      </c>
      <c r="L68" s="390" t="s">
        <v>123</v>
      </c>
      <c r="M68" s="390" t="s">
        <v>124</v>
      </c>
      <c r="N68" s="393"/>
      <c r="O68" s="401" t="s">
        <v>160</v>
      </c>
      <c r="P68" s="402" t="s">
        <v>14</v>
      </c>
      <c r="Q68" s="393"/>
      <c r="R68" s="561"/>
      <c r="S68" s="564"/>
      <c r="T68" s="550"/>
      <c r="U68" s="553"/>
      <c r="V68" s="393"/>
    </row>
    <row r="69" spans="1:22" ht="16.5" customHeight="1" x14ac:dyDescent="0.35">
      <c r="A69" s="393"/>
      <c r="B69" s="434" t="s">
        <v>172</v>
      </c>
      <c r="C69" s="373"/>
      <c r="D69" s="373"/>
      <c r="E69" s="374"/>
      <c r="F69" s="374"/>
      <c r="G69" s="374"/>
      <c r="H69" s="374"/>
      <c r="I69" s="371"/>
      <c r="J69" s="375"/>
      <c r="K69" s="376"/>
      <c r="L69" s="376"/>
      <c r="M69" s="376"/>
      <c r="N69" s="376"/>
      <c r="O69" s="376"/>
      <c r="P69" s="376"/>
      <c r="Q69" s="393"/>
      <c r="R69" s="393"/>
      <c r="S69" s="393"/>
      <c r="T69" s="393"/>
      <c r="U69" s="393"/>
      <c r="V69" s="393"/>
    </row>
    <row r="70" spans="1:22" ht="42" customHeight="1" x14ac:dyDescent="0.3">
      <c r="A70" s="393"/>
      <c r="B70" s="514" t="s">
        <v>245</v>
      </c>
      <c r="C70" s="519" t="s">
        <v>161</v>
      </c>
      <c r="D70" s="519" t="s">
        <v>162</v>
      </c>
      <c r="E70" s="519" t="s">
        <v>163</v>
      </c>
      <c r="F70" s="519" t="s">
        <v>164</v>
      </c>
      <c r="G70" s="520" t="s">
        <v>165</v>
      </c>
      <c r="H70" s="521">
        <v>0.998</v>
      </c>
      <c r="I70" s="371"/>
      <c r="J70" s="382">
        <v>1.4715686019639662E-6</v>
      </c>
      <c r="K70" s="372"/>
      <c r="L70" s="377">
        <v>4.6296296296296294E-2</v>
      </c>
      <c r="M70" s="377">
        <v>6.8027210884353748E-2</v>
      </c>
      <c r="N70" s="372"/>
      <c r="O70" s="416">
        <v>4.6296296296296298</v>
      </c>
      <c r="P70" s="417">
        <v>6.8027210884353746</v>
      </c>
      <c r="Q70" s="393"/>
      <c r="R70" s="437">
        <v>15.281934996220709</v>
      </c>
      <c r="S70" s="438">
        <v>0.17384731670445963</v>
      </c>
      <c r="T70" s="439">
        <v>0.54421768707482998</v>
      </c>
      <c r="U70" s="440">
        <v>16</v>
      </c>
      <c r="V70" s="441" t="s">
        <v>128</v>
      </c>
    </row>
    <row r="71" spans="1:22" ht="42" customHeight="1" x14ac:dyDescent="0.3">
      <c r="A71" s="393"/>
      <c r="B71" s="515" t="s">
        <v>184</v>
      </c>
      <c r="C71" s="519" t="s">
        <v>166</v>
      </c>
      <c r="D71" s="519" t="s">
        <v>167</v>
      </c>
      <c r="E71" s="519" t="s">
        <v>168</v>
      </c>
      <c r="F71" s="519" t="s">
        <v>169</v>
      </c>
      <c r="G71" s="522" t="s">
        <v>170</v>
      </c>
      <c r="H71" s="521">
        <v>0.13200000000000001</v>
      </c>
      <c r="I71" s="371"/>
      <c r="J71" s="382">
        <v>0.39803993208946664</v>
      </c>
      <c r="K71" s="372"/>
      <c r="L71" s="377">
        <v>3.0706727135298564E-2</v>
      </c>
      <c r="M71" s="377">
        <v>3.0706727135298564E-2</v>
      </c>
      <c r="N71" s="372"/>
      <c r="O71" s="418">
        <v>3.0706727135298562</v>
      </c>
      <c r="P71" s="418">
        <v>3.0706727135298562</v>
      </c>
      <c r="Q71" s="393"/>
      <c r="R71" s="437">
        <v>15.720332577475434</v>
      </c>
      <c r="S71" s="438">
        <v>2.2675736961451254E-2</v>
      </c>
      <c r="T71" s="439">
        <v>0.25699168556311414</v>
      </c>
      <c r="U71" s="440">
        <v>16</v>
      </c>
      <c r="V71" s="441" t="s">
        <v>128</v>
      </c>
    </row>
    <row r="72" spans="1:22" ht="42" customHeight="1" x14ac:dyDescent="0.3">
      <c r="A72" s="393"/>
      <c r="B72" s="515" t="s">
        <v>178</v>
      </c>
      <c r="C72" s="519" t="s">
        <v>179</v>
      </c>
      <c r="D72" s="519" t="s">
        <v>179</v>
      </c>
      <c r="E72" s="519" t="s">
        <v>180</v>
      </c>
      <c r="F72" s="519" t="s">
        <v>181</v>
      </c>
      <c r="G72" s="523" t="s">
        <v>183</v>
      </c>
      <c r="H72" s="524" t="s">
        <v>182</v>
      </c>
      <c r="I72" s="371"/>
      <c r="J72" s="382">
        <v>1</v>
      </c>
      <c r="K72" s="372"/>
      <c r="L72" s="377">
        <v>4.6485260770975055E-2</v>
      </c>
      <c r="M72" s="377">
        <v>4.6485260770975055E-2</v>
      </c>
      <c r="N72" s="372"/>
      <c r="O72" s="418">
        <v>4.6485260770975056</v>
      </c>
      <c r="P72" s="418">
        <v>4.6485260770975056</v>
      </c>
      <c r="Q72" s="393"/>
      <c r="R72" s="437">
        <v>15.628117913832199</v>
      </c>
      <c r="S72" s="438">
        <v>0</v>
      </c>
      <c r="T72" s="439">
        <v>0.37188208616780044</v>
      </c>
      <c r="U72" s="440">
        <v>16</v>
      </c>
      <c r="V72" s="441" t="s">
        <v>128</v>
      </c>
    </row>
    <row r="73" spans="1:22" ht="19.5" customHeight="1" x14ac:dyDescent="0.35">
      <c r="A73" s="393"/>
      <c r="B73" s="448" t="s">
        <v>176</v>
      </c>
      <c r="C73" s="376"/>
      <c r="D73" s="376"/>
      <c r="E73" s="376"/>
      <c r="F73" s="376"/>
      <c r="G73" s="376"/>
      <c r="H73" s="376"/>
      <c r="I73" s="376"/>
      <c r="J73" s="426"/>
      <c r="K73" s="372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442"/>
    </row>
    <row r="74" spans="1:22" ht="46.5" customHeight="1" x14ac:dyDescent="0.3">
      <c r="A74" s="393"/>
      <c r="B74" s="516" t="s">
        <v>312</v>
      </c>
      <c r="C74" s="427" t="s">
        <v>152</v>
      </c>
      <c r="D74" s="427" t="s">
        <v>153</v>
      </c>
      <c r="E74" s="427" t="s">
        <v>154</v>
      </c>
      <c r="F74" s="427" t="s">
        <v>155</v>
      </c>
      <c r="G74" s="428" t="s">
        <v>156</v>
      </c>
      <c r="H74" s="517">
        <v>0.99390000000000001</v>
      </c>
      <c r="I74" s="371"/>
      <c r="J74" s="382">
        <v>8.0640857319170381E-6</v>
      </c>
      <c r="K74" s="372"/>
      <c r="L74" s="377">
        <v>7.5585789871504161E-2</v>
      </c>
      <c r="M74" s="377">
        <v>0.10015117157974301</v>
      </c>
      <c r="N74" s="372"/>
      <c r="O74" s="430">
        <v>7.5585789871504163</v>
      </c>
      <c r="P74" s="431">
        <v>10.015117157974302</v>
      </c>
      <c r="Q74" s="393"/>
      <c r="R74" s="443">
        <v>15.002267573696146</v>
      </c>
      <c r="S74" s="444">
        <v>0.19652305366591083</v>
      </c>
      <c r="T74" s="445">
        <v>0.80120937263794412</v>
      </c>
      <c r="U74" s="446">
        <v>16.000000000000004</v>
      </c>
      <c r="V74" s="441" t="s">
        <v>128</v>
      </c>
    </row>
    <row r="75" spans="1:22" ht="46.5" customHeight="1" x14ac:dyDescent="0.3">
      <c r="A75" s="393"/>
      <c r="B75" s="516" t="s">
        <v>313</v>
      </c>
      <c r="C75" s="427" t="s">
        <v>197</v>
      </c>
      <c r="D75" s="427" t="s">
        <v>198</v>
      </c>
      <c r="E75" s="427" t="s">
        <v>199</v>
      </c>
      <c r="F75" s="427" t="s">
        <v>200</v>
      </c>
      <c r="G75" s="428" t="s">
        <v>201</v>
      </c>
      <c r="H75" s="517">
        <v>0.95660000000000001</v>
      </c>
      <c r="I75" s="371"/>
      <c r="J75" s="382">
        <v>2.4040709394486165E-4</v>
      </c>
      <c r="K75" s="372"/>
      <c r="L75" s="377">
        <v>6.4814814814814811E-2</v>
      </c>
      <c r="M75" s="377">
        <v>8.3522297808012097E-2</v>
      </c>
      <c r="N75" s="372"/>
      <c r="O75" s="430">
        <v>6.481481481481481</v>
      </c>
      <c r="P75" s="431">
        <v>8.3522297808012098</v>
      </c>
      <c r="Q75" s="393"/>
      <c r="R75" s="443">
        <v>15.182161753590325</v>
      </c>
      <c r="S75" s="444">
        <v>0.14965986394557829</v>
      </c>
      <c r="T75" s="445">
        <v>0.66817838246409678</v>
      </c>
      <c r="U75" s="446">
        <v>16</v>
      </c>
      <c r="V75" s="441" t="s">
        <v>128</v>
      </c>
    </row>
    <row r="76" spans="1:22" ht="46.5" customHeight="1" x14ac:dyDescent="0.3">
      <c r="A76" s="393"/>
      <c r="B76" s="435" t="s">
        <v>314</v>
      </c>
      <c r="C76" s="427" t="s">
        <v>185</v>
      </c>
      <c r="D76" s="427" t="s">
        <v>186</v>
      </c>
      <c r="E76" s="427" t="s">
        <v>187</v>
      </c>
      <c r="F76" s="427" t="s">
        <v>188</v>
      </c>
      <c r="G76" s="429" t="s">
        <v>189</v>
      </c>
      <c r="H76" s="518">
        <v>0.35820000000000002</v>
      </c>
      <c r="I76" s="371"/>
      <c r="J76" s="382">
        <v>0.11032716409196659</v>
      </c>
      <c r="K76" s="372"/>
      <c r="L76" s="377">
        <v>8.4089191232048378E-3</v>
      </c>
      <c r="M76" s="377">
        <v>8.4089191232048378E-3</v>
      </c>
      <c r="N76" s="372"/>
      <c r="O76" s="436">
        <v>0.84089191232048377</v>
      </c>
      <c r="P76" s="436">
        <v>0.84089191232048377</v>
      </c>
      <c r="Q76" s="393"/>
      <c r="R76" s="443">
        <v>15.898715041572185</v>
      </c>
      <c r="S76" s="444">
        <v>2.2675736961451254E-2</v>
      </c>
      <c r="T76" s="445">
        <v>7.8609221466364329E-2</v>
      </c>
      <c r="U76" s="446">
        <v>16</v>
      </c>
      <c r="V76" s="441" t="s">
        <v>128</v>
      </c>
    </row>
    <row r="77" spans="1:22" ht="9" customHeight="1" x14ac:dyDescent="0.3">
      <c r="A77" s="393"/>
      <c r="B77" s="433"/>
      <c r="C77" s="432"/>
      <c r="D77" s="432"/>
      <c r="E77" s="432"/>
      <c r="F77" s="432"/>
      <c r="G77" s="432"/>
      <c r="H77" s="432"/>
      <c r="I77" s="432"/>
      <c r="J77" s="432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</row>
    <row r="78" spans="1:22" ht="53.5" customHeight="1" x14ac:dyDescent="0.3">
      <c r="A78" s="393"/>
      <c r="B78" s="533" t="s">
        <v>244</v>
      </c>
      <c r="C78" s="534"/>
      <c r="D78" s="534"/>
      <c r="E78" s="534"/>
      <c r="F78" s="534"/>
      <c r="G78" s="534"/>
      <c r="H78" s="535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</row>
    <row r="79" spans="1:22" x14ac:dyDescent="0.3">
      <c r="A79" s="393"/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</row>
    <row r="80" spans="1:22" x14ac:dyDescent="0.3">
      <c r="A80" s="393"/>
    </row>
    <row r="81" spans="1:16" ht="13.5" thickBot="1" x14ac:dyDescent="0.35">
      <c r="A81" s="393"/>
    </row>
    <row r="82" spans="1:16" ht="38.5" customHeight="1" thickBot="1" x14ac:dyDescent="0.35">
      <c r="A82" s="393"/>
      <c r="B82" s="450" t="s">
        <v>190</v>
      </c>
      <c r="C82" s="451"/>
      <c r="D82" s="451"/>
      <c r="E82" s="451"/>
      <c r="F82" s="451"/>
      <c r="G82" s="451"/>
      <c r="H82" s="452"/>
      <c r="I82" s="393"/>
      <c r="J82" s="393"/>
      <c r="K82" s="393"/>
      <c r="L82" s="393"/>
      <c r="M82" s="393"/>
      <c r="N82" s="393"/>
      <c r="O82" s="539" t="s">
        <v>148</v>
      </c>
      <c r="P82" s="540"/>
    </row>
    <row r="83" spans="1:16" ht="30" customHeight="1" thickBot="1" x14ac:dyDescent="0.35">
      <c r="A83" s="393"/>
      <c r="B83" s="541" t="s">
        <v>206</v>
      </c>
      <c r="C83" s="413" t="s">
        <v>210</v>
      </c>
      <c r="D83" s="394" t="s">
        <v>207</v>
      </c>
      <c r="E83" s="543" t="s">
        <v>191</v>
      </c>
      <c r="F83" s="544"/>
      <c r="G83" s="544"/>
      <c r="H83" s="545"/>
      <c r="I83" s="393"/>
      <c r="J83" s="393"/>
      <c r="K83" s="393"/>
      <c r="L83" s="393"/>
      <c r="M83" s="393"/>
      <c r="N83" s="393"/>
      <c r="O83" s="546" t="s">
        <v>243</v>
      </c>
      <c r="P83" s="547"/>
    </row>
    <row r="84" spans="1:16" ht="26.5" thickBot="1" x14ac:dyDescent="0.35">
      <c r="A84" s="393"/>
      <c r="B84" s="542"/>
      <c r="C84" s="453" t="s">
        <v>149</v>
      </c>
      <c r="D84" s="454" t="s">
        <v>149</v>
      </c>
      <c r="E84" s="455" t="s">
        <v>139</v>
      </c>
      <c r="F84" s="456" t="s">
        <v>192</v>
      </c>
      <c r="G84" s="456" t="s">
        <v>205</v>
      </c>
      <c r="H84" s="457" t="s">
        <v>122</v>
      </c>
      <c r="I84" s="393"/>
      <c r="J84" s="400" t="s">
        <v>150</v>
      </c>
      <c r="L84" s="148" t="s">
        <v>123</v>
      </c>
      <c r="M84" s="148" t="s">
        <v>124</v>
      </c>
      <c r="N84" s="393"/>
      <c r="O84" s="401" t="s">
        <v>160</v>
      </c>
      <c r="P84" s="402" t="s">
        <v>14</v>
      </c>
    </row>
    <row r="85" spans="1:16" ht="21.5" customHeight="1" x14ac:dyDescent="0.3">
      <c r="A85" s="393"/>
      <c r="B85" s="458" t="s">
        <v>193</v>
      </c>
      <c r="C85" s="372"/>
      <c r="D85" s="372"/>
      <c r="E85" s="372"/>
      <c r="F85" s="372"/>
      <c r="G85" s="459"/>
      <c r="H85" s="460"/>
      <c r="I85" s="461"/>
      <c r="J85" s="462"/>
      <c r="K85" s="372"/>
      <c r="L85" s="463"/>
      <c r="M85" s="463"/>
      <c r="N85" s="372"/>
      <c r="O85" s="464"/>
      <c r="P85" s="465"/>
    </row>
    <row r="86" spans="1:16" ht="31" customHeight="1" x14ac:dyDescent="0.3">
      <c r="A86" s="393"/>
      <c r="B86" s="466" t="s">
        <v>241</v>
      </c>
      <c r="C86" s="427" t="s">
        <v>211</v>
      </c>
      <c r="D86" s="427" t="s">
        <v>212</v>
      </c>
      <c r="E86" s="427" t="s">
        <v>213</v>
      </c>
      <c r="F86" s="427" t="s">
        <v>214</v>
      </c>
      <c r="G86" s="468" t="s">
        <v>215</v>
      </c>
      <c r="H86" s="467" t="s">
        <v>216</v>
      </c>
      <c r="I86" s="461"/>
      <c r="J86" s="382">
        <v>0.57143600486647728</v>
      </c>
      <c r="K86" s="372"/>
      <c r="L86" s="463">
        <v>0.70558759572657659</v>
      </c>
      <c r="M86" s="463">
        <v>0.70558759572657659</v>
      </c>
      <c r="N86" s="372"/>
      <c r="O86" s="494">
        <v>70.558759572657664</v>
      </c>
      <c r="P86" s="494">
        <v>70.558759572657664</v>
      </c>
    </row>
    <row r="87" spans="1:16" ht="31" customHeight="1" x14ac:dyDescent="0.3">
      <c r="A87" s="393"/>
      <c r="B87" s="501" t="s">
        <v>242</v>
      </c>
      <c r="C87" s="502" t="s">
        <v>223</v>
      </c>
      <c r="D87" s="502" t="s">
        <v>224</v>
      </c>
      <c r="E87" s="502" t="s">
        <v>225</v>
      </c>
      <c r="F87" s="502" t="s">
        <v>226</v>
      </c>
      <c r="G87" s="503" t="s">
        <v>227</v>
      </c>
      <c r="H87" s="504">
        <v>0.2782</v>
      </c>
      <c r="I87" s="505"/>
      <c r="J87" s="506">
        <v>0.17015968940314879</v>
      </c>
      <c r="K87" s="507"/>
      <c r="L87" s="508">
        <v>4.0465160253379977E-2</v>
      </c>
      <c r="M87" s="508">
        <v>4.0465160253379977E-2</v>
      </c>
      <c r="N87" s="507"/>
      <c r="O87" s="509">
        <v>4.0465160253379979</v>
      </c>
      <c r="P87" s="509">
        <v>4.0465160253379979</v>
      </c>
    </row>
    <row r="88" spans="1:16" ht="31" customHeight="1" x14ac:dyDescent="0.3">
      <c r="A88" s="393"/>
      <c r="B88" s="466" t="s">
        <v>194</v>
      </c>
      <c r="C88" s="427" t="s">
        <v>217</v>
      </c>
      <c r="D88" s="427" t="s">
        <v>218</v>
      </c>
      <c r="E88" s="427" t="s">
        <v>219</v>
      </c>
      <c r="F88" s="427" t="s">
        <v>220</v>
      </c>
      <c r="G88" s="428" t="s">
        <v>221</v>
      </c>
      <c r="H88" s="467" t="s">
        <v>222</v>
      </c>
      <c r="I88" s="461"/>
      <c r="J88" s="382">
        <v>2.9097188685405635E-2</v>
      </c>
      <c r="K88" s="372"/>
      <c r="L88" s="463">
        <v>0.2336042336042336</v>
      </c>
      <c r="M88" s="463">
        <v>0.25179720015134316</v>
      </c>
      <c r="N88" s="372"/>
      <c r="O88" s="496">
        <v>23.360423360423361</v>
      </c>
      <c r="P88" s="495">
        <v>25.179720015134315</v>
      </c>
    </row>
    <row r="89" spans="1:16" ht="24" customHeight="1" x14ac:dyDescent="0.3">
      <c r="A89" s="393"/>
      <c r="B89" s="501" t="s">
        <v>308</v>
      </c>
      <c r="C89" s="502" t="s">
        <v>228</v>
      </c>
      <c r="D89" s="502" t="s">
        <v>229</v>
      </c>
      <c r="E89" s="502" t="s">
        <v>230</v>
      </c>
      <c r="F89" s="502" t="s">
        <v>231</v>
      </c>
      <c r="G89" s="503" t="s">
        <v>232</v>
      </c>
      <c r="H89" s="504" t="s">
        <v>233</v>
      </c>
      <c r="I89" s="505"/>
      <c r="J89" s="506">
        <v>0.20779141160360098</v>
      </c>
      <c r="K89" s="507"/>
      <c r="L89" s="508">
        <v>1.9476221991112791E-2</v>
      </c>
      <c r="M89" s="508">
        <v>1.9476221991112791E-2</v>
      </c>
      <c r="N89" s="507"/>
      <c r="O89" s="509">
        <v>1.947622199111279</v>
      </c>
      <c r="P89" s="509">
        <v>1.947622199111279</v>
      </c>
    </row>
    <row r="90" spans="1:16" ht="22" customHeight="1" x14ac:dyDescent="0.3">
      <c r="A90" s="393"/>
      <c r="B90" s="466" t="s">
        <v>234</v>
      </c>
      <c r="C90" s="427" t="s">
        <v>235</v>
      </c>
      <c r="D90" s="427" t="s">
        <v>236</v>
      </c>
      <c r="E90" s="469" t="s">
        <v>237</v>
      </c>
      <c r="F90" s="427" t="s">
        <v>238</v>
      </c>
      <c r="G90" s="468" t="s">
        <v>239</v>
      </c>
      <c r="H90" s="467" t="s">
        <v>240</v>
      </c>
      <c r="I90" s="461"/>
      <c r="J90" s="382">
        <v>0.3071057759238574</v>
      </c>
      <c r="K90" s="372"/>
      <c r="L90" s="463">
        <v>3.4508839935709558E-2</v>
      </c>
      <c r="M90" s="463">
        <v>3.4508839935709558E-2</v>
      </c>
      <c r="N90" s="372"/>
      <c r="O90" s="494">
        <v>3.4508839935709559</v>
      </c>
      <c r="P90" s="494">
        <v>3.4508839935709559</v>
      </c>
    </row>
    <row r="91" spans="1:16" ht="27" customHeight="1" x14ac:dyDescent="0.3">
      <c r="A91" s="393"/>
      <c r="B91" s="458" t="s">
        <v>247</v>
      </c>
      <c r="C91" s="489"/>
      <c r="D91" s="489"/>
      <c r="E91" s="490"/>
      <c r="F91" s="489"/>
      <c r="G91" s="491"/>
      <c r="H91" s="492"/>
      <c r="I91" s="461"/>
      <c r="J91" s="426"/>
      <c r="K91" s="372"/>
      <c r="L91" s="463"/>
      <c r="M91" s="463"/>
      <c r="N91" s="372"/>
      <c r="O91" s="493"/>
      <c r="P91" s="493"/>
    </row>
    <row r="92" spans="1:16" ht="22" customHeight="1" x14ac:dyDescent="0.3">
      <c r="A92" s="393"/>
      <c r="B92" s="466" t="s">
        <v>248</v>
      </c>
      <c r="C92" s="427" t="s">
        <v>257</v>
      </c>
      <c r="D92" s="427" t="s">
        <v>258</v>
      </c>
      <c r="E92" s="469" t="s">
        <v>259</v>
      </c>
      <c r="F92" s="427" t="s">
        <v>260</v>
      </c>
      <c r="G92" s="468" t="s">
        <v>261</v>
      </c>
      <c r="H92" s="467">
        <v>0.1132</v>
      </c>
      <c r="I92" s="461"/>
      <c r="J92" s="382">
        <v>0.45294013048235338</v>
      </c>
      <c r="K92" s="372"/>
      <c r="L92" s="463">
        <v>0.11298099650184362</v>
      </c>
      <c r="M92" s="463">
        <v>0.11298099650184362</v>
      </c>
      <c r="N92" s="372"/>
      <c r="O92" s="494">
        <f>L92*100</f>
        <v>11.298099650184362</v>
      </c>
      <c r="P92" s="494">
        <f>M92*100</f>
        <v>11.298099650184362</v>
      </c>
    </row>
    <row r="93" spans="1:16" ht="22" customHeight="1" x14ac:dyDescent="0.3">
      <c r="A93" s="393"/>
      <c r="B93" s="466" t="s">
        <v>249</v>
      </c>
      <c r="C93" s="427" t="s">
        <v>262</v>
      </c>
      <c r="D93" s="427" t="s">
        <v>263</v>
      </c>
      <c r="E93" s="469" t="s">
        <v>264</v>
      </c>
      <c r="F93" s="427" t="s">
        <v>265</v>
      </c>
      <c r="G93" s="498" t="s">
        <v>266</v>
      </c>
      <c r="H93" s="467">
        <v>0.99880000000000002</v>
      </c>
      <c r="I93" s="461"/>
      <c r="J93" s="382">
        <v>6.1950403944470595E-7</v>
      </c>
      <c r="K93" s="372"/>
      <c r="L93" s="463">
        <v>8.4672084672084674E-2</v>
      </c>
      <c r="M93" s="463">
        <v>5.9591373439273551E-2</v>
      </c>
      <c r="N93" s="372"/>
      <c r="O93" s="495">
        <f t="shared" ref="O93:O101" si="3">L93*100</f>
        <v>8.4672084672084669</v>
      </c>
      <c r="P93" s="496">
        <f t="shared" ref="P93:P101" si="4">M93*100</f>
        <v>5.9591373439273552</v>
      </c>
    </row>
    <row r="94" spans="1:16" ht="31" customHeight="1" x14ac:dyDescent="0.3">
      <c r="A94" s="393"/>
      <c r="B94" s="466" t="s">
        <v>250</v>
      </c>
      <c r="C94" s="427" t="s">
        <v>267</v>
      </c>
      <c r="D94" s="427" t="s">
        <v>268</v>
      </c>
      <c r="E94" s="427" t="s">
        <v>269</v>
      </c>
      <c r="F94" s="427" t="s">
        <v>270</v>
      </c>
      <c r="G94" s="498" t="s">
        <v>271</v>
      </c>
      <c r="H94" s="467">
        <v>0.84930000000000005</v>
      </c>
      <c r="I94" s="461"/>
      <c r="J94" s="382">
        <v>2.7603696078134059E-3</v>
      </c>
      <c r="K94" s="372"/>
      <c r="L94" s="463">
        <v>5.2542052542052541E-2</v>
      </c>
      <c r="M94" s="463">
        <v>4.0295119182746877E-2</v>
      </c>
      <c r="N94" s="372"/>
      <c r="O94" s="495">
        <f t="shared" si="3"/>
        <v>5.254205254205254</v>
      </c>
      <c r="P94" s="496">
        <f t="shared" si="4"/>
        <v>4.0295119182746877</v>
      </c>
    </row>
    <row r="95" spans="1:16" ht="22" customHeight="1" x14ac:dyDescent="0.3">
      <c r="A95" s="393"/>
      <c r="B95" s="466" t="s">
        <v>251</v>
      </c>
      <c r="C95" s="427" t="s">
        <v>272</v>
      </c>
      <c r="D95" s="427" t="s">
        <v>273</v>
      </c>
      <c r="E95" s="469" t="s">
        <v>274</v>
      </c>
      <c r="F95" s="427" t="s">
        <v>275</v>
      </c>
      <c r="G95" s="468" t="s">
        <v>276</v>
      </c>
      <c r="H95" s="467">
        <v>6.0400000000000002E-2</v>
      </c>
      <c r="I95" s="461"/>
      <c r="J95" s="382">
        <v>0.68259160569307209</v>
      </c>
      <c r="K95" s="372"/>
      <c r="L95" s="463">
        <v>2.155620686395008E-2</v>
      </c>
      <c r="M95" s="463">
        <v>2.155620686395008E-2</v>
      </c>
      <c r="N95" s="372"/>
      <c r="O95" s="494">
        <f t="shared" si="3"/>
        <v>2.1556206863950078</v>
      </c>
      <c r="P95" s="494">
        <f t="shared" si="4"/>
        <v>2.1556206863950078</v>
      </c>
    </row>
    <row r="96" spans="1:16" ht="22" customHeight="1" x14ac:dyDescent="0.3">
      <c r="A96" s="393"/>
      <c r="B96" s="466" t="s">
        <v>252</v>
      </c>
      <c r="C96" s="427" t="s">
        <v>277</v>
      </c>
      <c r="D96" s="427" t="s">
        <v>278</v>
      </c>
      <c r="E96" s="469" t="s">
        <v>279</v>
      </c>
      <c r="F96" s="427" t="s">
        <v>280</v>
      </c>
      <c r="G96" s="498" t="s">
        <v>281</v>
      </c>
      <c r="H96" s="467">
        <v>1</v>
      </c>
      <c r="I96" s="461"/>
      <c r="J96" s="382">
        <v>6.4338390047854726E-10</v>
      </c>
      <c r="K96" s="372"/>
      <c r="L96" s="463">
        <v>2.3625023625023625E-2</v>
      </c>
      <c r="M96" s="463">
        <v>8.5130533484676502E-3</v>
      </c>
      <c r="N96" s="372"/>
      <c r="O96" s="495">
        <f t="shared" si="3"/>
        <v>2.3625023625023625</v>
      </c>
      <c r="P96" s="496">
        <f t="shared" si="4"/>
        <v>0.85130533484676496</v>
      </c>
    </row>
    <row r="97" spans="1:16" ht="31" customHeight="1" x14ac:dyDescent="0.3">
      <c r="A97" s="393"/>
      <c r="B97" s="466" t="s">
        <v>253</v>
      </c>
      <c r="C97" s="427" t="s">
        <v>282</v>
      </c>
      <c r="D97" s="427" t="s">
        <v>283</v>
      </c>
      <c r="E97" s="427" t="s">
        <v>284</v>
      </c>
      <c r="F97" s="427" t="s">
        <v>285</v>
      </c>
      <c r="G97" s="468" t="s">
        <v>286</v>
      </c>
      <c r="H97" s="467">
        <v>3.9100000000000003E-2</v>
      </c>
      <c r="I97" s="461"/>
      <c r="J97" s="382">
        <v>0.84274916909460373</v>
      </c>
      <c r="K97" s="372"/>
      <c r="L97" s="463">
        <v>1.0210834830292143E-2</v>
      </c>
      <c r="M97" s="463">
        <v>1.0210834830292143E-2</v>
      </c>
      <c r="N97" s="372"/>
      <c r="O97" s="494">
        <f t="shared" si="3"/>
        <v>1.0210834830292144</v>
      </c>
      <c r="P97" s="494">
        <f t="shared" si="4"/>
        <v>1.0210834830292144</v>
      </c>
    </row>
    <row r="98" spans="1:16" ht="22" customHeight="1" x14ac:dyDescent="0.3">
      <c r="A98" s="393"/>
      <c r="B98" s="466" t="s">
        <v>254</v>
      </c>
      <c r="C98" s="427" t="s">
        <v>287</v>
      </c>
      <c r="D98" s="427" t="s">
        <v>288</v>
      </c>
      <c r="E98" s="469" t="s">
        <v>289</v>
      </c>
      <c r="F98" s="427" t="s">
        <v>290</v>
      </c>
      <c r="G98" s="468" t="s">
        <v>291</v>
      </c>
      <c r="H98" s="467">
        <v>0.1101</v>
      </c>
      <c r="I98" s="461"/>
      <c r="J98" s="382">
        <v>0.46302920629487787</v>
      </c>
      <c r="K98" s="372"/>
      <c r="L98" s="463">
        <v>6.4290441524061642E-3</v>
      </c>
      <c r="M98" s="463">
        <v>6.4290441524061642E-3</v>
      </c>
      <c r="N98" s="372"/>
      <c r="O98" s="494">
        <f t="shared" si="3"/>
        <v>0.64290441524061637</v>
      </c>
      <c r="P98" s="494">
        <f t="shared" si="4"/>
        <v>0.64290441524061637</v>
      </c>
    </row>
    <row r="99" spans="1:16" ht="22" customHeight="1" x14ac:dyDescent="0.3">
      <c r="A99" s="393"/>
      <c r="B99" s="466" t="s">
        <v>307</v>
      </c>
      <c r="C99" s="427" t="s">
        <v>292</v>
      </c>
      <c r="D99" s="427" t="s">
        <v>293</v>
      </c>
      <c r="E99" s="469" t="s">
        <v>294</v>
      </c>
      <c r="F99" s="427" t="s">
        <v>295</v>
      </c>
      <c r="G99" s="468" t="s">
        <v>296</v>
      </c>
      <c r="H99" s="467">
        <v>3.3500000000000002E-2</v>
      </c>
      <c r="I99" s="461"/>
      <c r="J99" s="382">
        <v>0.89795855285013992</v>
      </c>
      <c r="K99" s="372"/>
      <c r="L99" s="463">
        <v>6.1454098515647156E-3</v>
      </c>
      <c r="M99" s="463">
        <v>6.1454098515647156E-3</v>
      </c>
      <c r="N99" s="372"/>
      <c r="O99" s="494">
        <f t="shared" si="3"/>
        <v>0.6145409851564716</v>
      </c>
      <c r="P99" s="494">
        <f t="shared" si="4"/>
        <v>0.6145409851564716</v>
      </c>
    </row>
    <row r="100" spans="1:16" ht="22" customHeight="1" x14ac:dyDescent="0.3">
      <c r="A100" s="393"/>
      <c r="B100" s="466" t="s">
        <v>255</v>
      </c>
      <c r="C100" s="427" t="s">
        <v>297</v>
      </c>
      <c r="D100" s="427" t="s">
        <v>298</v>
      </c>
      <c r="E100" s="469" t="s">
        <v>299</v>
      </c>
      <c r="F100" s="427" t="s">
        <v>300</v>
      </c>
      <c r="G100" s="498" t="s">
        <v>301</v>
      </c>
      <c r="H100" s="467">
        <v>0.67510000000000003</v>
      </c>
      <c r="I100" s="461"/>
      <c r="J100" s="382">
        <v>1.5779258817611108E-2</v>
      </c>
      <c r="K100" s="372"/>
      <c r="L100" s="463">
        <v>5.6700056700056704E-3</v>
      </c>
      <c r="M100" s="463">
        <v>2.6485054861899358E-3</v>
      </c>
      <c r="N100" s="372"/>
      <c r="O100" s="499">
        <f t="shared" si="3"/>
        <v>0.567000567000567</v>
      </c>
      <c r="P100" s="500">
        <f t="shared" si="4"/>
        <v>0.2648505486189936</v>
      </c>
    </row>
    <row r="101" spans="1:16" ht="22" customHeight="1" x14ac:dyDescent="0.3">
      <c r="A101" s="393"/>
      <c r="B101" s="466" t="s">
        <v>256</v>
      </c>
      <c r="C101" s="427" t="s">
        <v>302</v>
      </c>
      <c r="D101" s="427" t="s">
        <v>303</v>
      </c>
      <c r="E101" s="469" t="s">
        <v>304</v>
      </c>
      <c r="F101" s="427" t="s">
        <v>305</v>
      </c>
      <c r="G101" s="468" t="s">
        <v>306</v>
      </c>
      <c r="H101" s="467">
        <v>0.29430000000000001</v>
      </c>
      <c r="I101" s="461"/>
      <c r="J101" s="382">
        <v>0.15588849880450206</v>
      </c>
      <c r="K101" s="372"/>
      <c r="L101" s="463">
        <v>3.0254325423087832E-3</v>
      </c>
      <c r="M101" s="463">
        <v>3.0254325423087832E-3</v>
      </c>
      <c r="N101" s="372"/>
      <c r="O101" s="497">
        <f t="shared" si="3"/>
        <v>0.3025432542308783</v>
      </c>
      <c r="P101" s="497">
        <f t="shared" si="4"/>
        <v>0.3025432542308783</v>
      </c>
    </row>
    <row r="102" spans="1:16" ht="8" customHeight="1" x14ac:dyDescent="0.3">
      <c r="A102" s="393"/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</row>
    <row r="103" spans="1:16" ht="46.5" customHeight="1" x14ac:dyDescent="0.3">
      <c r="A103" s="393"/>
      <c r="B103" s="529" t="s">
        <v>195</v>
      </c>
      <c r="C103" s="530"/>
      <c r="D103" s="530"/>
      <c r="E103" s="530"/>
      <c r="F103" s="530"/>
      <c r="G103" s="530"/>
      <c r="H103" s="531"/>
      <c r="I103" s="393"/>
      <c r="J103" s="393"/>
      <c r="K103" s="393"/>
      <c r="L103" s="393"/>
      <c r="M103" s="393"/>
      <c r="N103" s="393"/>
      <c r="O103" s="393"/>
      <c r="P103" s="393"/>
    </row>
    <row r="104" spans="1:16" ht="31.5" customHeight="1" x14ac:dyDescent="0.3">
      <c r="A104" s="393"/>
      <c r="B104" s="532" t="s">
        <v>196</v>
      </c>
      <c r="C104" s="532"/>
      <c r="D104" s="532"/>
      <c r="E104" s="532"/>
      <c r="F104" s="532"/>
      <c r="G104" s="532"/>
      <c r="H104" s="532"/>
      <c r="I104" s="393"/>
      <c r="J104" s="393"/>
      <c r="K104" s="393"/>
      <c r="L104" s="393"/>
      <c r="M104" s="393"/>
      <c r="N104" s="393"/>
      <c r="O104" s="393"/>
      <c r="P104" s="393"/>
    </row>
    <row r="105" spans="1:16" x14ac:dyDescent="0.3">
      <c r="A105" s="393"/>
    </row>
  </sheetData>
  <mergeCells count="18">
    <mergeCell ref="T66:T68"/>
    <mergeCell ref="U66:U68"/>
    <mergeCell ref="B3:F3"/>
    <mergeCell ref="C44:D44"/>
    <mergeCell ref="R66:R68"/>
    <mergeCell ref="S66:S68"/>
    <mergeCell ref="O66:P66"/>
    <mergeCell ref="E67:H67"/>
    <mergeCell ref="O67:P67"/>
    <mergeCell ref="B67:B68"/>
    <mergeCell ref="B103:H103"/>
    <mergeCell ref="B104:H104"/>
    <mergeCell ref="B78:H78"/>
    <mergeCell ref="B66:H66"/>
    <mergeCell ref="O82:P82"/>
    <mergeCell ref="B83:B84"/>
    <mergeCell ref="E83:H83"/>
    <mergeCell ref="O83:P83"/>
  </mergeCells>
  <phoneticPr fontId="29" type="noConversion"/>
  <pageMargins left="0.7" right="0.7" top="0.75" bottom="0.75" header="0.3" footer="0.3"/>
  <pageSetup paperSize="9" orientation="portrait" horizontalDpi="300" verticalDpi="300" r:id="rId1"/>
  <ignoredErrors>
    <ignoredError sqref="H72 H86 H88 H89:H90" numberStoredAsText="1"/>
    <ignoredError sqref="U3:V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68"/>
  <sheetViews>
    <sheetView topLeftCell="A6" zoomScale="85" zoomScaleNormal="85" workbookViewId="0">
      <selection activeCell="Q14" sqref="Q14"/>
    </sheetView>
  </sheetViews>
  <sheetFormatPr baseColWidth="10" defaultRowHeight="14.5" x14ac:dyDescent="0.35"/>
  <cols>
    <col min="1" max="1" width="14.90625" customWidth="1"/>
    <col min="3" max="4" width="10.54296875" customWidth="1"/>
    <col min="5" max="5" width="5.81640625" customWidth="1"/>
    <col min="6" max="6" width="5.1796875" customWidth="1"/>
    <col min="7" max="22" width="3" customWidth="1"/>
    <col min="23" max="23" width="3.7265625" customWidth="1"/>
    <col min="24" max="39" width="3" customWidth="1"/>
    <col min="40" max="40" width="5.453125" style="24" customWidth="1"/>
    <col min="41" max="48" width="3.7265625" style="24" customWidth="1"/>
  </cols>
  <sheetData>
    <row r="1" spans="1:44" hidden="1" x14ac:dyDescent="0.35">
      <c r="A1" s="23" t="str">
        <f>B7</f>
        <v>meses</v>
      </c>
      <c r="B1" s="23" t="s">
        <v>4</v>
      </c>
      <c r="C1" s="23" t="s">
        <v>5</v>
      </c>
      <c r="D1" s="23" t="s">
        <v>6</v>
      </c>
      <c r="E1" s="23"/>
      <c r="F1" s="23"/>
      <c r="AN1"/>
      <c r="AO1"/>
      <c r="AP1"/>
      <c r="AQ1"/>
      <c r="AR1"/>
    </row>
    <row r="2" spans="1:44" hidden="1" x14ac:dyDescent="0.35">
      <c r="A2" s="23" t="s">
        <v>7</v>
      </c>
      <c r="B2" s="23" t="s">
        <v>8</v>
      </c>
      <c r="C2" s="23" t="s">
        <v>9</v>
      </c>
      <c r="D2" s="23" t="s">
        <v>10</v>
      </c>
      <c r="E2" s="23" t="str">
        <f>CONCATENATE(B2," ",B5," ",C2," ",B11," ",B7)</f>
        <v>puede representarse llegando los 46 pacientes, a los 16 meses</v>
      </c>
      <c r="F2" s="23"/>
      <c r="G2" s="25" t="str">
        <f>CONCATENATE(A2," ",E2,D2)</f>
        <v>NO puede representarse llegando los 46 pacientes, a los 16 meses, pues habría que recortar o ampliar los tiempos respectivos de uno o más pacientes "libres de evento" o "con evento"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N2"/>
      <c r="AO2"/>
      <c r="AP2"/>
      <c r="AQ2"/>
      <c r="AR2"/>
    </row>
    <row r="3" spans="1:44" ht="8.25" customHeight="1" thickBot="1" x14ac:dyDescent="0.4">
      <c r="A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  <c r="AN3"/>
      <c r="AO3"/>
      <c r="AP3"/>
      <c r="AQ3"/>
      <c r="AR3"/>
    </row>
    <row r="4" spans="1:44" ht="53.5" customHeight="1" thickBot="1" x14ac:dyDescent="0.4">
      <c r="A4" s="576" t="s">
        <v>309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7"/>
      <c r="AP4" s="578"/>
      <c r="AQ4"/>
      <c r="AR4"/>
    </row>
    <row r="5" spans="1:44" ht="26" x14ac:dyDescent="0.35">
      <c r="A5" s="410" t="s">
        <v>174</v>
      </c>
      <c r="B5" s="28">
        <f>C5+D5+E5</f>
        <v>46</v>
      </c>
      <c r="C5" s="510">
        <v>2</v>
      </c>
      <c r="D5" s="511">
        <v>1</v>
      </c>
      <c r="E5" s="512">
        <v>43</v>
      </c>
      <c r="G5" s="26"/>
      <c r="H5" s="403" t="s">
        <v>173</v>
      </c>
      <c r="V5" s="2"/>
      <c r="W5" s="26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N5"/>
      <c r="AO5"/>
      <c r="AP5"/>
      <c r="AQ5"/>
      <c r="AR5"/>
    </row>
    <row r="6" spans="1:44" ht="15.75" customHeight="1" x14ac:dyDescent="0.35">
      <c r="A6" s="26"/>
      <c r="C6" s="29"/>
      <c r="D6" s="30"/>
      <c r="E6" s="31"/>
      <c r="F6" s="26"/>
      <c r="G6" s="26"/>
      <c r="H6" s="404" t="s">
        <v>171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AN6"/>
      <c r="AO6"/>
      <c r="AP6"/>
      <c r="AQ6"/>
      <c r="AR6"/>
    </row>
    <row r="7" spans="1:44" ht="39.75" customHeight="1" x14ac:dyDescent="0.35">
      <c r="A7" s="411" t="s">
        <v>175</v>
      </c>
      <c r="B7" s="32" t="s">
        <v>128</v>
      </c>
      <c r="C7" s="33" t="str">
        <f>CONCATENATE(A1," ",B1," ",B5," ",C1)</f>
        <v>meses de los 46 del grupo Interv</v>
      </c>
      <c r="D7" s="33" t="str">
        <f>CONCATENATE(A1," ",B1," ",B5," ",D1)</f>
        <v>meses de los 46 del grupo Contr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AN7"/>
      <c r="AO7"/>
      <c r="AP7"/>
      <c r="AQ7"/>
      <c r="AR7"/>
    </row>
    <row r="8" spans="1:44" ht="26.5" x14ac:dyDescent="0.35">
      <c r="A8" s="34" t="s">
        <v>1</v>
      </c>
      <c r="B8" s="35">
        <v>0.54421768707482998</v>
      </c>
      <c r="C8" s="36">
        <f>B8*B5</f>
        <v>25.03401360544218</v>
      </c>
      <c r="D8" s="570">
        <f>(B8+B9)*B5</f>
        <v>33.030990173847322</v>
      </c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26"/>
      <c r="W8" s="26"/>
      <c r="AN8"/>
      <c r="AO8"/>
      <c r="AP8"/>
      <c r="AQ8"/>
      <c r="AR8"/>
    </row>
    <row r="9" spans="1:44" ht="26.5" x14ac:dyDescent="0.35">
      <c r="A9" s="39" t="s">
        <v>3</v>
      </c>
      <c r="B9" s="40">
        <v>0.17384731670445963</v>
      </c>
      <c r="C9" s="571">
        <f>(B10+B9)*B5</f>
        <v>710.96598639455783</v>
      </c>
      <c r="D9" s="570"/>
      <c r="E9" s="30"/>
      <c r="F9" s="4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26"/>
      <c r="W9" s="26"/>
      <c r="AN9"/>
      <c r="AO9"/>
      <c r="AP9"/>
      <c r="AQ9"/>
      <c r="AR9"/>
    </row>
    <row r="10" spans="1:44" ht="26.5" x14ac:dyDescent="0.35">
      <c r="A10" s="42" t="s">
        <v>2</v>
      </c>
      <c r="B10" s="43">
        <v>15.281934996220709</v>
      </c>
      <c r="C10" s="571"/>
      <c r="D10" s="44">
        <f>B10*B5</f>
        <v>702.96900982615261</v>
      </c>
      <c r="E10" s="29"/>
      <c r="F10" s="41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26"/>
      <c r="W10" s="26"/>
      <c r="AN10"/>
      <c r="AO10"/>
      <c r="AP10"/>
      <c r="AQ10"/>
      <c r="AR10"/>
    </row>
    <row r="11" spans="1:44" x14ac:dyDescent="0.35">
      <c r="A11" s="3"/>
      <c r="B11" s="46">
        <v>15.999999999999998</v>
      </c>
      <c r="C11" s="47">
        <f>C8+C9</f>
        <v>736</v>
      </c>
      <c r="D11" s="47">
        <f>D8+D10</f>
        <v>735.99999999999989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ht="9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x14ac:dyDescent="0.35">
      <c r="A13" s="26"/>
      <c r="B13" s="26"/>
      <c r="C13" s="22">
        <f>(E5+D5)*B11</f>
        <v>703.99999999999989</v>
      </c>
      <c r="D13" s="22">
        <f>E5*B11</f>
        <v>687.99999999999989</v>
      </c>
      <c r="E13" s="26"/>
      <c r="F13" s="49" t="s">
        <v>12</v>
      </c>
      <c r="G13" s="26"/>
      <c r="H13" s="26"/>
      <c r="I13" s="26"/>
      <c r="J13" s="26"/>
      <c r="K13" s="26"/>
      <c r="L13" s="26"/>
      <c r="M13" s="26"/>
      <c r="N13" s="26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1:44" ht="36" customHeight="1" x14ac:dyDescent="0.35">
      <c r="A14" s="572" t="s">
        <v>13</v>
      </c>
      <c r="B14" s="572"/>
      <c r="C14" s="50">
        <f>C9-C13</f>
        <v>6.9659863945579445</v>
      </c>
      <c r="D14" s="50">
        <f>D10-D13</f>
        <v>14.969009826152728</v>
      </c>
      <c r="F14" s="573" t="str">
        <f>IF((AND(((B9+B10)/B11)&gt;((D5+E5)/B5),(B10/B11)&gt;(E5/B5))),E2,G2)</f>
        <v>puede representarse llegando los 46 pacientes, a los 16 meses</v>
      </c>
      <c r="G14" s="574"/>
      <c r="H14" s="574"/>
      <c r="I14" s="574"/>
      <c r="J14" s="574"/>
      <c r="K14" s="574"/>
      <c r="L14" s="574"/>
      <c r="M14" s="574"/>
      <c r="N14" s="575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</row>
    <row r="15" spans="1:44" ht="18.75" customHeight="1" thickBot="1" x14ac:dyDescent="0.4">
      <c r="A15" s="51"/>
      <c r="B15" s="51"/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48"/>
      <c r="AQ15" s="48"/>
      <c r="AR15" s="48"/>
    </row>
    <row r="16" spans="1:44" ht="17.25" customHeight="1" thickBot="1" x14ac:dyDescent="0.4">
      <c r="A16" s="419" t="s">
        <v>245</v>
      </c>
      <c r="B16" s="420"/>
      <c r="C16" s="421"/>
      <c r="D16" s="51"/>
      <c r="E16" s="51"/>
      <c r="G16" s="53" t="s">
        <v>160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2"/>
      <c r="W16" s="52"/>
      <c r="X16" s="53" t="s">
        <v>14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2"/>
      <c r="AN16" s="52"/>
      <c r="AO16" s="52"/>
      <c r="AP16" s="52"/>
      <c r="AQ16" s="52"/>
      <c r="AR16" s="52"/>
    </row>
    <row r="17" spans="1:48" x14ac:dyDescent="0.35">
      <c r="A17" s="378" t="s">
        <v>208</v>
      </c>
      <c r="G17" s="53" t="s">
        <v>130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X17" s="53" t="s">
        <v>130</v>
      </c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48" x14ac:dyDescent="0.35">
      <c r="A18" s="378" t="s">
        <v>209</v>
      </c>
      <c r="F18" s="24"/>
      <c r="G18" s="414">
        <v>1</v>
      </c>
      <c r="H18" s="414">
        <v>2</v>
      </c>
      <c r="I18" s="414">
        <v>3</v>
      </c>
      <c r="J18" s="414">
        <v>4</v>
      </c>
      <c r="K18" s="414">
        <v>5</v>
      </c>
      <c r="L18" s="414">
        <v>6</v>
      </c>
      <c r="M18" s="414">
        <v>7</v>
      </c>
      <c r="N18" s="414">
        <v>8</v>
      </c>
      <c r="O18" s="414">
        <v>9</v>
      </c>
      <c r="P18" s="414">
        <v>10</v>
      </c>
      <c r="Q18" s="414">
        <v>11</v>
      </c>
      <c r="R18" s="414">
        <v>12</v>
      </c>
      <c r="S18" s="414">
        <v>13</v>
      </c>
      <c r="T18" s="414">
        <v>14</v>
      </c>
      <c r="U18" s="414">
        <v>15</v>
      </c>
      <c r="V18" s="414">
        <v>16</v>
      </c>
      <c r="W18" s="415"/>
      <c r="X18" s="414">
        <v>1</v>
      </c>
      <c r="Y18" s="414">
        <v>2</v>
      </c>
      <c r="Z18" s="414">
        <v>3</v>
      </c>
      <c r="AA18" s="414">
        <v>4</v>
      </c>
      <c r="AB18" s="414">
        <v>5</v>
      </c>
      <c r="AC18" s="414">
        <v>6</v>
      </c>
      <c r="AD18" s="414">
        <v>7</v>
      </c>
      <c r="AE18" s="414">
        <v>8</v>
      </c>
      <c r="AF18" s="414">
        <v>9</v>
      </c>
      <c r="AG18" s="414">
        <v>10</v>
      </c>
      <c r="AH18" s="414">
        <v>11</v>
      </c>
      <c r="AI18" s="414">
        <v>12</v>
      </c>
      <c r="AJ18" s="414">
        <v>13</v>
      </c>
      <c r="AK18" s="414">
        <v>14</v>
      </c>
      <c r="AL18" s="414">
        <v>15</v>
      </c>
      <c r="AM18" s="414">
        <v>16</v>
      </c>
    </row>
    <row r="19" spans="1:48" ht="14.25" customHeight="1" x14ac:dyDescent="0.35">
      <c r="E19" s="54" t="s">
        <v>15</v>
      </c>
      <c r="F19" s="60">
        <v>46</v>
      </c>
      <c r="G19" s="57"/>
      <c r="H19" s="57"/>
      <c r="I19" s="57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24"/>
      <c r="X19" s="57"/>
      <c r="Y19" s="57"/>
      <c r="Z19" s="57"/>
      <c r="AA19" s="57"/>
      <c r="AB19" s="57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60">
        <v>46</v>
      </c>
      <c r="AO19" s="55" t="s">
        <v>15</v>
      </c>
      <c r="AP19" s="56"/>
      <c r="AQ19" s="56"/>
      <c r="AR19" s="56"/>
      <c r="AS19" s="56"/>
      <c r="AT19" s="56"/>
      <c r="AU19" s="56"/>
      <c r="AV19" s="56"/>
    </row>
    <row r="20" spans="1:48" ht="15" thickBot="1" x14ac:dyDescent="0.4">
      <c r="F20" s="60">
        <v>45</v>
      </c>
      <c r="G20" s="57"/>
      <c r="H20" s="57"/>
      <c r="I20" s="57"/>
      <c r="J20" s="57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24"/>
      <c r="X20" s="57"/>
      <c r="Y20" s="57"/>
      <c r="Z20" s="57"/>
      <c r="AA20" s="57"/>
      <c r="AB20" s="57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60">
        <v>45</v>
      </c>
      <c r="AO20" s="56"/>
      <c r="AP20" s="56"/>
      <c r="AQ20" s="56"/>
      <c r="AR20" s="56"/>
      <c r="AS20" s="56"/>
      <c r="AT20" s="56"/>
      <c r="AU20" s="56"/>
      <c r="AV20" s="56"/>
    </row>
    <row r="21" spans="1:48" ht="13.5" customHeight="1" x14ac:dyDescent="0.35">
      <c r="A21" s="349" t="s">
        <v>135</v>
      </c>
      <c r="B21" s="350"/>
      <c r="C21" s="350"/>
      <c r="D21" s="351"/>
      <c r="F21" s="391">
        <v>44</v>
      </c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24"/>
      <c r="X21" s="379"/>
      <c r="Y21" s="379"/>
      <c r="Z21" s="379"/>
      <c r="AA21" s="379"/>
      <c r="AB21" s="379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392">
        <v>44</v>
      </c>
      <c r="AO21" s="56"/>
      <c r="AP21" s="56"/>
      <c r="AQ21" s="56"/>
      <c r="AR21" s="56"/>
      <c r="AS21" s="56"/>
      <c r="AT21" s="56"/>
      <c r="AU21" s="56"/>
      <c r="AV21" s="56"/>
    </row>
    <row r="22" spans="1:48" x14ac:dyDescent="0.35">
      <c r="A22" s="352" t="s">
        <v>131</v>
      </c>
      <c r="B22" s="353" t="s">
        <v>132</v>
      </c>
      <c r="C22" s="353" t="s">
        <v>118</v>
      </c>
      <c r="D22" s="354" t="s">
        <v>11</v>
      </c>
      <c r="F22" s="58">
        <v>43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24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8">
        <v>43</v>
      </c>
      <c r="AO22" s="56"/>
      <c r="AP22" s="56"/>
      <c r="AQ22" s="56"/>
      <c r="AR22" s="56"/>
      <c r="AS22" s="56"/>
      <c r="AT22" s="56"/>
      <c r="AU22" s="56"/>
      <c r="AV22" s="56"/>
    </row>
    <row r="23" spans="1:48" x14ac:dyDescent="0.35">
      <c r="A23" s="355">
        <v>4.6296296296296294E-2</v>
      </c>
      <c r="B23" s="356">
        <v>6.8027210884353748E-2</v>
      </c>
      <c r="C23" s="357">
        <f>B23-A23</f>
        <v>2.1730914588057454E-2</v>
      </c>
      <c r="D23" s="358">
        <f>1/C23</f>
        <v>46.017391304347811</v>
      </c>
      <c r="F23" s="58">
        <v>42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24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8">
        <v>42</v>
      </c>
      <c r="AO23" s="56"/>
      <c r="AP23" s="56"/>
      <c r="AQ23" s="56"/>
      <c r="AR23" s="56"/>
      <c r="AS23" s="56"/>
      <c r="AT23" s="56"/>
      <c r="AU23" s="56"/>
      <c r="AV23" s="56"/>
    </row>
    <row r="24" spans="1:48" ht="15" thickBot="1" x14ac:dyDescent="0.4">
      <c r="A24" s="422" t="s">
        <v>177</v>
      </c>
      <c r="B24" s="363">
        <f>A23*D23</f>
        <v>2.1304347826086949</v>
      </c>
      <c r="C24" s="359">
        <f>C23*D23</f>
        <v>1</v>
      </c>
      <c r="D24" s="360">
        <f>(1-B23)*D23</f>
        <v>42.886956521739116</v>
      </c>
      <c r="F24" s="58">
        <v>41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4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>
        <v>41</v>
      </c>
      <c r="AO24" s="56"/>
      <c r="AP24" s="56"/>
      <c r="AQ24" s="56"/>
      <c r="AR24" s="56"/>
      <c r="AS24" s="56"/>
      <c r="AT24" s="56"/>
      <c r="AU24" s="56"/>
      <c r="AV24" s="56"/>
    </row>
    <row r="25" spans="1:48" x14ac:dyDescent="0.35">
      <c r="F25" s="58">
        <v>40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8">
        <v>40</v>
      </c>
      <c r="AO25" s="56"/>
      <c r="AP25" s="56"/>
      <c r="AQ25" s="56"/>
      <c r="AR25" s="56"/>
      <c r="AS25" s="56"/>
      <c r="AT25" s="56"/>
      <c r="AU25" s="56"/>
      <c r="AV25" s="56"/>
    </row>
    <row r="26" spans="1:48" x14ac:dyDescent="0.35">
      <c r="F26" s="58">
        <v>39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9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8">
        <v>39</v>
      </c>
      <c r="AO26" s="56"/>
      <c r="AP26" s="56"/>
      <c r="AQ26" s="56"/>
      <c r="AR26" s="56"/>
      <c r="AS26" s="56"/>
      <c r="AT26" s="56"/>
      <c r="AU26" s="56"/>
      <c r="AV26" s="56"/>
    </row>
    <row r="27" spans="1:48" x14ac:dyDescent="0.35">
      <c r="F27" s="58">
        <v>38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9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8">
        <v>38</v>
      </c>
      <c r="AO27" s="56"/>
      <c r="AP27" s="56"/>
      <c r="AQ27" s="56"/>
      <c r="AR27" s="56"/>
      <c r="AS27" s="56"/>
      <c r="AT27" s="56"/>
      <c r="AU27" s="56"/>
      <c r="AV27" s="56"/>
    </row>
    <row r="28" spans="1:48" x14ac:dyDescent="0.35">
      <c r="F28" s="58">
        <v>37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8">
        <v>37</v>
      </c>
    </row>
    <row r="29" spans="1:48" x14ac:dyDescent="0.35">
      <c r="F29" s="58">
        <v>36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8">
        <v>36</v>
      </c>
    </row>
    <row r="30" spans="1:48" x14ac:dyDescent="0.35">
      <c r="F30" s="58">
        <v>35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8">
        <v>35</v>
      </c>
    </row>
    <row r="31" spans="1:48" x14ac:dyDescent="0.35">
      <c r="F31" s="58">
        <v>34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>
        <v>34</v>
      </c>
    </row>
    <row r="32" spans="1:48" x14ac:dyDescent="0.35">
      <c r="F32" s="58">
        <v>33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8">
        <v>33</v>
      </c>
    </row>
    <row r="33" spans="6:40" x14ac:dyDescent="0.35">
      <c r="F33" s="58">
        <v>32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8">
        <v>32</v>
      </c>
    </row>
    <row r="34" spans="6:40" x14ac:dyDescent="0.35">
      <c r="F34" s="58">
        <v>31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8">
        <v>31</v>
      </c>
    </row>
    <row r="35" spans="6:40" x14ac:dyDescent="0.35">
      <c r="F35" s="58">
        <v>30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8">
        <v>30</v>
      </c>
    </row>
    <row r="36" spans="6:40" x14ac:dyDescent="0.35">
      <c r="F36" s="58">
        <v>29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8">
        <v>29</v>
      </c>
    </row>
    <row r="37" spans="6:40" x14ac:dyDescent="0.35">
      <c r="F37" s="58">
        <v>28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8">
        <v>28</v>
      </c>
    </row>
    <row r="38" spans="6:40" x14ac:dyDescent="0.35">
      <c r="F38" s="58">
        <v>27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8">
        <v>27</v>
      </c>
    </row>
    <row r="39" spans="6:40" x14ac:dyDescent="0.35">
      <c r="F39" s="58">
        <v>26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8">
        <v>26</v>
      </c>
    </row>
    <row r="40" spans="6:40" x14ac:dyDescent="0.35">
      <c r="F40" s="58">
        <v>25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8">
        <v>25</v>
      </c>
    </row>
    <row r="41" spans="6:40" x14ac:dyDescent="0.35">
      <c r="F41" s="58">
        <v>24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8">
        <v>24</v>
      </c>
    </row>
    <row r="42" spans="6:40" x14ac:dyDescent="0.35">
      <c r="F42" s="58">
        <v>23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8">
        <v>23</v>
      </c>
    </row>
    <row r="43" spans="6:40" x14ac:dyDescent="0.35">
      <c r="F43" s="58">
        <v>22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8">
        <v>22</v>
      </c>
    </row>
    <row r="44" spans="6:40" x14ac:dyDescent="0.35">
      <c r="F44" s="58">
        <v>21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8">
        <v>21</v>
      </c>
    </row>
    <row r="45" spans="6:40" x14ac:dyDescent="0.35">
      <c r="F45" s="58">
        <v>20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8">
        <v>20</v>
      </c>
    </row>
    <row r="46" spans="6:40" x14ac:dyDescent="0.35">
      <c r="F46" s="58">
        <v>19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8">
        <v>19</v>
      </c>
    </row>
    <row r="47" spans="6:40" x14ac:dyDescent="0.35">
      <c r="F47" s="58">
        <v>18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8">
        <v>18</v>
      </c>
    </row>
    <row r="48" spans="6:40" x14ac:dyDescent="0.35">
      <c r="F48" s="58">
        <v>17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8">
        <v>17</v>
      </c>
    </row>
    <row r="49" spans="6:40" x14ac:dyDescent="0.35">
      <c r="F49" s="58">
        <v>16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8">
        <v>16</v>
      </c>
    </row>
    <row r="50" spans="6:40" x14ac:dyDescent="0.35">
      <c r="F50" s="58">
        <v>15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8">
        <v>15</v>
      </c>
    </row>
    <row r="51" spans="6:40" x14ac:dyDescent="0.35">
      <c r="F51" s="58">
        <v>14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8">
        <v>14</v>
      </c>
    </row>
    <row r="52" spans="6:40" x14ac:dyDescent="0.35">
      <c r="F52" s="58">
        <v>13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8">
        <v>13</v>
      </c>
    </row>
    <row r="53" spans="6:40" x14ac:dyDescent="0.35">
      <c r="F53" s="58">
        <v>12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8">
        <v>12</v>
      </c>
    </row>
    <row r="54" spans="6:40" x14ac:dyDescent="0.35">
      <c r="F54" s="58">
        <v>11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8">
        <v>11</v>
      </c>
    </row>
    <row r="55" spans="6:40" x14ac:dyDescent="0.35">
      <c r="F55" s="58">
        <v>10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8">
        <v>10</v>
      </c>
    </row>
    <row r="56" spans="6:40" x14ac:dyDescent="0.35">
      <c r="F56" s="58">
        <v>9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8">
        <v>9</v>
      </c>
    </row>
    <row r="57" spans="6:40" x14ac:dyDescent="0.35">
      <c r="F57" s="58">
        <v>8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8">
        <v>8</v>
      </c>
    </row>
    <row r="58" spans="6:40" x14ac:dyDescent="0.35">
      <c r="F58" s="58">
        <v>7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8">
        <v>7</v>
      </c>
    </row>
    <row r="59" spans="6:40" x14ac:dyDescent="0.35">
      <c r="F59" s="58">
        <v>6</v>
      </c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8">
        <v>6</v>
      </c>
    </row>
    <row r="60" spans="6:40" x14ac:dyDescent="0.35">
      <c r="F60" s="58">
        <v>5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8">
        <v>5</v>
      </c>
    </row>
    <row r="61" spans="6:40" x14ac:dyDescent="0.35">
      <c r="F61" s="58">
        <v>4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8">
        <v>4</v>
      </c>
    </row>
    <row r="62" spans="6:40" x14ac:dyDescent="0.35">
      <c r="F62" s="58">
        <v>3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8">
        <v>3</v>
      </c>
    </row>
    <row r="63" spans="6:40" x14ac:dyDescent="0.35">
      <c r="F63" s="58">
        <v>2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8">
        <v>2</v>
      </c>
    </row>
    <row r="64" spans="6:40" x14ac:dyDescent="0.35">
      <c r="F64" s="58">
        <v>1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8">
        <v>1</v>
      </c>
    </row>
    <row r="65" spans="7:39" x14ac:dyDescent="0.35">
      <c r="G65" s="414">
        <v>1</v>
      </c>
      <c r="H65" s="414">
        <v>2</v>
      </c>
      <c r="I65" s="414">
        <v>3</v>
      </c>
      <c r="J65" s="414">
        <v>4</v>
      </c>
      <c r="K65" s="414">
        <v>5</v>
      </c>
      <c r="L65" s="414">
        <v>6</v>
      </c>
      <c r="M65" s="414">
        <v>7</v>
      </c>
      <c r="N65" s="414">
        <v>8</v>
      </c>
      <c r="O65" s="414">
        <v>9</v>
      </c>
      <c r="P65" s="414">
        <v>10</v>
      </c>
      <c r="Q65" s="414">
        <v>11</v>
      </c>
      <c r="R65" s="414">
        <v>12</v>
      </c>
      <c r="S65" s="414">
        <v>13</v>
      </c>
      <c r="T65" s="414">
        <v>14</v>
      </c>
      <c r="U65" s="414">
        <v>15</v>
      </c>
      <c r="V65" s="414">
        <v>16</v>
      </c>
      <c r="W65" s="415"/>
      <c r="X65" s="414">
        <v>1</v>
      </c>
      <c r="Y65" s="414">
        <v>2</v>
      </c>
      <c r="Z65" s="414">
        <v>3</v>
      </c>
      <c r="AA65" s="414">
        <v>4</v>
      </c>
      <c r="AB65" s="414">
        <v>5</v>
      </c>
      <c r="AC65" s="414">
        <v>6</v>
      </c>
      <c r="AD65" s="414">
        <v>7</v>
      </c>
      <c r="AE65" s="414">
        <v>8</v>
      </c>
      <c r="AF65" s="414">
        <v>9</v>
      </c>
      <c r="AG65" s="414">
        <v>10</v>
      </c>
      <c r="AH65" s="414">
        <v>11</v>
      </c>
      <c r="AI65" s="414">
        <v>12</v>
      </c>
      <c r="AJ65" s="414">
        <v>13</v>
      </c>
      <c r="AK65" s="414">
        <v>14</v>
      </c>
      <c r="AL65" s="414">
        <v>15</v>
      </c>
      <c r="AM65" s="414">
        <v>16</v>
      </c>
    </row>
    <row r="66" spans="7:39" x14ac:dyDescent="0.35">
      <c r="G66" s="53" t="s">
        <v>130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X66" s="53" t="s">
        <v>130</v>
      </c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</row>
    <row r="67" spans="7:39" x14ac:dyDescent="0.35">
      <c r="G67" s="53" t="s">
        <v>160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2"/>
      <c r="W67" s="52"/>
      <c r="X67" s="53" t="s">
        <v>14</v>
      </c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</row>
    <row r="68" spans="7:39" x14ac:dyDescent="0.35"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</row>
  </sheetData>
  <mergeCells count="5">
    <mergeCell ref="D8:D9"/>
    <mergeCell ref="C9:C10"/>
    <mergeCell ref="A14:B14"/>
    <mergeCell ref="F14:N14"/>
    <mergeCell ref="A4:AP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63"/>
  <sheetViews>
    <sheetView topLeftCell="A3" zoomScale="85" zoomScaleNormal="85" workbookViewId="0">
      <selection activeCell="A4" sqref="A4:AP62"/>
    </sheetView>
  </sheetViews>
  <sheetFormatPr baseColWidth="10" defaultRowHeight="14.5" x14ac:dyDescent="0.35"/>
  <cols>
    <col min="1" max="1" width="15" customWidth="1"/>
    <col min="3" max="4" width="10.54296875" customWidth="1"/>
    <col min="5" max="5" width="5.81640625" customWidth="1"/>
    <col min="6" max="6" width="5.1796875" customWidth="1"/>
    <col min="7" max="22" width="3" customWidth="1"/>
    <col min="23" max="23" width="3.7265625" customWidth="1"/>
    <col min="24" max="39" width="3" customWidth="1"/>
    <col min="40" max="40" width="5.453125" style="24" customWidth="1"/>
    <col min="41" max="48" width="3.7265625" style="24" customWidth="1"/>
  </cols>
  <sheetData>
    <row r="1" spans="1:44" hidden="1" x14ac:dyDescent="0.35">
      <c r="A1" s="23" t="str">
        <f>B7</f>
        <v>meses</v>
      </c>
      <c r="B1" s="23" t="s">
        <v>4</v>
      </c>
      <c r="C1" s="23" t="s">
        <v>5</v>
      </c>
      <c r="D1" s="23" t="s">
        <v>6</v>
      </c>
      <c r="E1" s="23"/>
      <c r="F1" s="23"/>
      <c r="AN1"/>
      <c r="AO1"/>
      <c r="AP1"/>
      <c r="AQ1"/>
      <c r="AR1"/>
    </row>
    <row r="2" spans="1:44" hidden="1" x14ac:dyDescent="0.35">
      <c r="A2" s="23" t="s">
        <v>7</v>
      </c>
      <c r="B2" s="23" t="s">
        <v>8</v>
      </c>
      <c r="C2" s="23" t="s">
        <v>9</v>
      </c>
      <c r="D2" s="23" t="s">
        <v>10</v>
      </c>
      <c r="E2" s="23" t="str">
        <f>CONCATENATE(B2," ",B5," ",C2," ",B11," ",B7)</f>
        <v>puede representarse llegando los 41 pacientes, a los 16 meses</v>
      </c>
      <c r="F2" s="23"/>
      <c r="G2" s="25" t="str">
        <f>CONCATENATE(A2," ",E2,D2)</f>
        <v>NO puede representarse llegando los 41 pacientes, a los 16 meses, pues habría que recortar o ampliar los tiempos respectivos de uno o más pacientes "libres de evento" o "con evento"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N2"/>
      <c r="AO2"/>
      <c r="AP2"/>
      <c r="AQ2"/>
      <c r="AR2"/>
    </row>
    <row r="3" spans="1:44" ht="8.25" customHeight="1" thickBot="1" x14ac:dyDescent="0.4">
      <c r="A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  <c r="AN3"/>
      <c r="AO3"/>
      <c r="AP3"/>
      <c r="AQ3"/>
      <c r="AR3"/>
    </row>
    <row r="4" spans="1:44" ht="56.5" customHeight="1" thickBot="1" x14ac:dyDescent="0.4">
      <c r="A4" s="576" t="s">
        <v>310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7"/>
      <c r="AP4" s="578"/>
      <c r="AQ4"/>
      <c r="AR4"/>
    </row>
    <row r="5" spans="1:44" ht="26" x14ac:dyDescent="0.35">
      <c r="A5" s="410" t="s">
        <v>174</v>
      </c>
      <c r="B5" s="28">
        <f>C5+D5+E5</f>
        <v>41</v>
      </c>
      <c r="C5" s="510">
        <v>3</v>
      </c>
      <c r="D5" s="511">
        <v>1</v>
      </c>
      <c r="E5" s="512">
        <v>37</v>
      </c>
      <c r="G5" s="26"/>
      <c r="H5" s="403" t="s">
        <v>173</v>
      </c>
      <c r="V5" s="2"/>
      <c r="W5" s="26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N5"/>
      <c r="AO5"/>
      <c r="AP5"/>
      <c r="AQ5"/>
      <c r="AR5"/>
    </row>
    <row r="6" spans="1:44" ht="15" customHeight="1" x14ac:dyDescent="0.35">
      <c r="A6" s="26"/>
      <c r="C6" s="29"/>
      <c r="D6" s="30"/>
      <c r="E6" s="31"/>
      <c r="F6" s="26"/>
      <c r="G6" s="26"/>
      <c r="H6" s="404" t="s">
        <v>171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AN6"/>
      <c r="AO6"/>
      <c r="AP6"/>
      <c r="AQ6"/>
      <c r="AR6"/>
    </row>
    <row r="7" spans="1:44" ht="39.75" customHeight="1" x14ac:dyDescent="0.35">
      <c r="A7" s="411" t="s">
        <v>175</v>
      </c>
      <c r="B7" s="32" t="s">
        <v>128</v>
      </c>
      <c r="C7" s="33" t="str">
        <f>CONCATENATE(A1," ",B1," ",B5," ",C1)</f>
        <v>meses de los 41 del grupo Interv</v>
      </c>
      <c r="D7" s="33" t="str">
        <f>CONCATENATE(A1," ",B1," ",B5," ",D1)</f>
        <v>meses de los 41 del grupo Contr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AN7"/>
      <c r="AO7"/>
      <c r="AP7"/>
      <c r="AQ7"/>
      <c r="AR7"/>
    </row>
    <row r="8" spans="1:44" ht="26.5" x14ac:dyDescent="0.35">
      <c r="A8" s="34" t="s">
        <v>1</v>
      </c>
      <c r="B8" s="35">
        <v>0.80120937263794412</v>
      </c>
      <c r="C8" s="36">
        <f>B8*B5</f>
        <v>32.84958427815571</v>
      </c>
      <c r="D8" s="570">
        <f>(B8+B9)*B5</f>
        <v>40.90702947845805</v>
      </c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26"/>
      <c r="W8" s="26"/>
      <c r="AN8"/>
      <c r="AO8"/>
      <c r="AP8"/>
      <c r="AQ8"/>
      <c r="AR8"/>
    </row>
    <row r="9" spans="1:44" ht="26.5" x14ac:dyDescent="0.35">
      <c r="A9" s="39" t="s">
        <v>3</v>
      </c>
      <c r="B9" s="40">
        <v>0.19652305366591083</v>
      </c>
      <c r="C9" s="571">
        <f>(B10+B9)*B5</f>
        <v>623.15041572184441</v>
      </c>
      <c r="D9" s="570"/>
      <c r="E9" s="30"/>
      <c r="F9" s="4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26"/>
      <c r="W9" s="26"/>
      <c r="AN9"/>
      <c r="AO9"/>
      <c r="AP9"/>
      <c r="AQ9"/>
      <c r="AR9"/>
    </row>
    <row r="10" spans="1:44" ht="26.5" x14ac:dyDescent="0.35">
      <c r="A10" s="42" t="s">
        <v>2</v>
      </c>
      <c r="B10" s="43">
        <v>15.002267573696146</v>
      </c>
      <c r="C10" s="571"/>
      <c r="D10" s="44">
        <f>B10*B5</f>
        <v>615.09297052154204</v>
      </c>
      <c r="E10" s="29"/>
      <c r="F10" s="41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26"/>
      <c r="W10" s="26"/>
      <c r="AN10"/>
      <c r="AO10"/>
      <c r="AP10"/>
      <c r="AQ10"/>
      <c r="AR10"/>
    </row>
    <row r="11" spans="1:44" x14ac:dyDescent="0.35">
      <c r="A11" s="3"/>
      <c r="B11" s="46">
        <v>16</v>
      </c>
      <c r="C11" s="47">
        <f>C8+C9</f>
        <v>656.00000000000011</v>
      </c>
      <c r="D11" s="47">
        <f>D8+D10</f>
        <v>656.00000000000011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ht="9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x14ac:dyDescent="0.35">
      <c r="A13" s="26"/>
      <c r="B13" s="26"/>
      <c r="C13" s="22">
        <f>(E5+D5)*B11</f>
        <v>608</v>
      </c>
      <c r="D13" s="22">
        <f>E5*B11</f>
        <v>592</v>
      </c>
      <c r="E13" s="26"/>
      <c r="F13" s="49" t="s">
        <v>12</v>
      </c>
      <c r="G13" s="26"/>
      <c r="H13" s="26"/>
      <c r="I13" s="26"/>
      <c r="J13" s="26"/>
      <c r="K13" s="26"/>
      <c r="L13" s="26"/>
      <c r="M13" s="26"/>
      <c r="N13" s="26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1:44" ht="36" customHeight="1" x14ac:dyDescent="0.35">
      <c r="A14" s="572" t="s">
        <v>13</v>
      </c>
      <c r="B14" s="572"/>
      <c r="C14" s="50">
        <f>C9-C13</f>
        <v>15.150415721844411</v>
      </c>
      <c r="D14" s="50">
        <f>D10-D13</f>
        <v>23.092970521542043</v>
      </c>
      <c r="F14" s="573" t="str">
        <f>IF((AND(((B9+B10)/B11)&gt;((D5+E5)/B5),(B10/B11)&gt;(E5/B5))),E2,G2)</f>
        <v>puede representarse llegando los 41 pacientes, a los 16 meses</v>
      </c>
      <c r="G14" s="574"/>
      <c r="H14" s="574"/>
      <c r="I14" s="574"/>
      <c r="J14" s="574"/>
      <c r="K14" s="574"/>
      <c r="L14" s="574"/>
      <c r="M14" s="574"/>
      <c r="N14" s="575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</row>
    <row r="15" spans="1:44" ht="18.75" customHeight="1" thickBot="1" x14ac:dyDescent="0.4">
      <c r="A15" s="423" t="s">
        <v>203</v>
      </c>
      <c r="B15" s="51"/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48"/>
      <c r="AQ15" s="48"/>
      <c r="AR15" s="48"/>
    </row>
    <row r="16" spans="1:44" ht="17.25" customHeight="1" thickBot="1" x14ac:dyDescent="0.4">
      <c r="A16" s="424" t="s">
        <v>246</v>
      </c>
      <c r="B16" s="420"/>
      <c r="C16" s="420"/>
      <c r="D16" s="425"/>
      <c r="E16" s="51"/>
      <c r="G16" s="53" t="s">
        <v>160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2"/>
      <c r="W16" s="52"/>
      <c r="X16" s="53" t="s">
        <v>14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2"/>
      <c r="AN16" s="52"/>
      <c r="AO16" s="52"/>
      <c r="AP16" s="52"/>
      <c r="AQ16" s="52"/>
      <c r="AR16" s="52"/>
    </row>
    <row r="17" spans="1:48" x14ac:dyDescent="0.35">
      <c r="A17" s="378" t="s">
        <v>208</v>
      </c>
      <c r="G17" s="53" t="s">
        <v>130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X17" s="53" t="s">
        <v>130</v>
      </c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48" x14ac:dyDescent="0.35">
      <c r="A18" s="378" t="s">
        <v>209</v>
      </c>
      <c r="F18" s="24"/>
      <c r="G18" s="414">
        <v>1</v>
      </c>
      <c r="H18" s="414">
        <v>2</v>
      </c>
      <c r="I18" s="414">
        <v>3</v>
      </c>
      <c r="J18" s="414">
        <v>4</v>
      </c>
      <c r="K18" s="414">
        <v>5</v>
      </c>
      <c r="L18" s="414">
        <v>6</v>
      </c>
      <c r="M18" s="414">
        <v>7</v>
      </c>
      <c r="N18" s="414">
        <v>8</v>
      </c>
      <c r="O18" s="414">
        <v>9</v>
      </c>
      <c r="P18" s="414">
        <v>10</v>
      </c>
      <c r="Q18" s="414">
        <v>11</v>
      </c>
      <c r="R18" s="414">
        <v>12</v>
      </c>
      <c r="S18" s="414">
        <v>13</v>
      </c>
      <c r="T18" s="414">
        <v>14</v>
      </c>
      <c r="U18" s="414">
        <v>15</v>
      </c>
      <c r="V18" s="414">
        <v>16</v>
      </c>
      <c r="W18" s="415"/>
      <c r="X18" s="414">
        <v>1</v>
      </c>
      <c r="Y18" s="414">
        <v>2</v>
      </c>
      <c r="Z18" s="414">
        <v>3</v>
      </c>
      <c r="AA18" s="414">
        <v>4</v>
      </c>
      <c r="AB18" s="414">
        <v>5</v>
      </c>
      <c r="AC18" s="414">
        <v>6</v>
      </c>
      <c r="AD18" s="414">
        <v>7</v>
      </c>
      <c r="AE18" s="414">
        <v>8</v>
      </c>
      <c r="AF18" s="414">
        <v>9</v>
      </c>
      <c r="AG18" s="414">
        <v>10</v>
      </c>
      <c r="AH18" s="414">
        <v>11</v>
      </c>
      <c r="AI18" s="414">
        <v>12</v>
      </c>
      <c r="AJ18" s="414">
        <v>13</v>
      </c>
      <c r="AK18" s="414">
        <v>14</v>
      </c>
      <c r="AL18" s="414">
        <v>15</v>
      </c>
      <c r="AM18" s="414">
        <v>16</v>
      </c>
    </row>
    <row r="19" spans="1:48" ht="14.25" customHeight="1" x14ac:dyDescent="0.35">
      <c r="E19" s="54" t="s">
        <v>15</v>
      </c>
      <c r="F19" s="60">
        <v>41</v>
      </c>
      <c r="G19" s="57"/>
      <c r="H19" s="57"/>
      <c r="I19" s="57"/>
      <c r="J19" s="57"/>
      <c r="K19" s="57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24"/>
      <c r="X19" s="57"/>
      <c r="Y19" s="57"/>
      <c r="Z19" s="57"/>
      <c r="AA19" s="57"/>
      <c r="AB19" s="57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60">
        <v>41</v>
      </c>
      <c r="AO19" s="55" t="s">
        <v>15</v>
      </c>
      <c r="AP19" s="56"/>
      <c r="AQ19" s="56"/>
      <c r="AR19" s="56"/>
      <c r="AS19" s="56"/>
      <c r="AT19" s="56"/>
      <c r="AU19" s="56"/>
      <c r="AV19" s="56"/>
    </row>
    <row r="20" spans="1:48" ht="15" thickBot="1" x14ac:dyDescent="0.4">
      <c r="F20" s="60">
        <v>40</v>
      </c>
      <c r="G20" s="57"/>
      <c r="H20" s="57"/>
      <c r="I20" s="57"/>
      <c r="J20" s="57"/>
      <c r="K20" s="57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24"/>
      <c r="X20" s="57"/>
      <c r="Y20" s="57"/>
      <c r="Z20" s="57"/>
      <c r="AA20" s="57"/>
      <c r="AB20" s="57"/>
      <c r="AC20" s="57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60">
        <v>40</v>
      </c>
      <c r="AO20" s="56"/>
      <c r="AP20" s="56"/>
      <c r="AQ20" s="56"/>
      <c r="AR20" s="56"/>
      <c r="AS20" s="56"/>
      <c r="AT20" s="56"/>
      <c r="AU20" s="56"/>
      <c r="AV20" s="56"/>
    </row>
    <row r="21" spans="1:48" ht="13.5" customHeight="1" x14ac:dyDescent="0.35">
      <c r="A21" s="349" t="s">
        <v>135</v>
      </c>
      <c r="B21" s="350"/>
      <c r="C21" s="350"/>
      <c r="D21" s="351"/>
      <c r="F21" s="60">
        <v>39</v>
      </c>
      <c r="G21" s="57"/>
      <c r="H21" s="57"/>
      <c r="I21" s="57"/>
      <c r="J21" s="57"/>
      <c r="K21" s="57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24"/>
      <c r="X21" s="57"/>
      <c r="Y21" s="57"/>
      <c r="Z21" s="57"/>
      <c r="AA21" s="57"/>
      <c r="AB21" s="57"/>
      <c r="AC21" s="57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60">
        <v>39</v>
      </c>
      <c r="AO21" s="56"/>
      <c r="AP21" s="56"/>
      <c r="AQ21" s="56"/>
      <c r="AR21" s="56"/>
      <c r="AS21" s="56"/>
      <c r="AT21" s="56"/>
      <c r="AU21" s="56"/>
      <c r="AV21" s="56"/>
    </row>
    <row r="22" spans="1:48" ht="15.5" x14ac:dyDescent="0.35">
      <c r="A22" s="352" t="s">
        <v>131</v>
      </c>
      <c r="B22" s="353" t="s">
        <v>132</v>
      </c>
      <c r="C22" s="353" t="s">
        <v>118</v>
      </c>
      <c r="D22" s="354" t="s">
        <v>11</v>
      </c>
      <c r="F22" s="391">
        <v>38</v>
      </c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24"/>
      <c r="X22" s="379"/>
      <c r="Y22" s="379"/>
      <c r="Z22" s="379"/>
      <c r="AA22" s="379"/>
      <c r="AB22" s="379"/>
      <c r="AC22" s="379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392">
        <v>38</v>
      </c>
      <c r="AO22" s="56"/>
      <c r="AP22" s="56"/>
      <c r="AQ22" s="56"/>
      <c r="AR22" s="56"/>
      <c r="AS22" s="56"/>
      <c r="AT22" s="56"/>
      <c r="AU22" s="56"/>
      <c r="AV22" s="56"/>
    </row>
    <row r="23" spans="1:48" x14ac:dyDescent="0.35">
      <c r="A23" s="355">
        <v>7.5585789871504161E-2</v>
      </c>
      <c r="B23" s="356">
        <v>0.10015117157974301</v>
      </c>
      <c r="C23" s="357">
        <f>B23-A23</f>
        <v>2.4565381708238854E-2</v>
      </c>
      <c r="D23" s="358">
        <f>1/C23</f>
        <v>40.707692307692305</v>
      </c>
      <c r="F23" s="58">
        <v>37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24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8">
        <v>37</v>
      </c>
      <c r="AO23" s="56"/>
      <c r="AP23" s="56"/>
      <c r="AQ23" s="56"/>
      <c r="AR23" s="56"/>
      <c r="AS23" s="56"/>
      <c r="AT23" s="56"/>
      <c r="AU23" s="56"/>
      <c r="AV23" s="56"/>
    </row>
    <row r="24" spans="1:48" ht="15" thickBot="1" x14ac:dyDescent="0.4">
      <c r="A24" s="422" t="s">
        <v>177</v>
      </c>
      <c r="B24" s="363">
        <f>A23*D23</f>
        <v>3.0769230769230771</v>
      </c>
      <c r="C24" s="359">
        <f>C23*D23</f>
        <v>1</v>
      </c>
      <c r="D24" s="360">
        <f>(1-B23)*D23</f>
        <v>36.630769230769232</v>
      </c>
      <c r="F24" s="58">
        <v>36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4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>
        <v>36</v>
      </c>
      <c r="AO24" s="56"/>
      <c r="AP24" s="56"/>
      <c r="AQ24" s="56"/>
      <c r="AR24" s="56"/>
      <c r="AS24" s="56"/>
      <c r="AT24" s="56"/>
      <c r="AU24" s="56"/>
      <c r="AV24" s="56"/>
    </row>
    <row r="25" spans="1:48" x14ac:dyDescent="0.35">
      <c r="F25" s="58">
        <v>35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8">
        <v>35</v>
      </c>
      <c r="AO25" s="56"/>
      <c r="AP25" s="56"/>
      <c r="AQ25" s="56"/>
      <c r="AR25" s="56"/>
      <c r="AS25" s="56"/>
      <c r="AT25" s="56"/>
      <c r="AU25" s="56"/>
      <c r="AV25" s="56"/>
    </row>
    <row r="26" spans="1:48" x14ac:dyDescent="0.35">
      <c r="F26" s="58">
        <v>34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9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8">
        <v>34</v>
      </c>
      <c r="AO26" s="56"/>
      <c r="AP26" s="56"/>
      <c r="AQ26" s="56"/>
      <c r="AR26" s="56"/>
      <c r="AS26" s="56"/>
      <c r="AT26" s="56"/>
      <c r="AU26" s="56"/>
      <c r="AV26" s="56"/>
    </row>
    <row r="27" spans="1:48" x14ac:dyDescent="0.35">
      <c r="F27" s="58">
        <v>33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9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8">
        <v>33</v>
      </c>
      <c r="AO27" s="56"/>
      <c r="AP27" s="56"/>
      <c r="AQ27" s="56"/>
      <c r="AR27" s="56"/>
      <c r="AS27" s="56"/>
      <c r="AT27" s="56"/>
      <c r="AU27" s="56"/>
      <c r="AV27" s="56"/>
    </row>
    <row r="28" spans="1:48" x14ac:dyDescent="0.35">
      <c r="F28" s="58">
        <v>32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8">
        <v>32</v>
      </c>
    </row>
    <row r="29" spans="1:48" x14ac:dyDescent="0.35">
      <c r="F29" s="58">
        <v>31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8">
        <v>31</v>
      </c>
    </row>
    <row r="30" spans="1:48" x14ac:dyDescent="0.35">
      <c r="F30" s="58">
        <v>30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8">
        <v>30</v>
      </c>
    </row>
    <row r="31" spans="1:48" x14ac:dyDescent="0.35">
      <c r="F31" s="58">
        <v>29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>
        <v>29</v>
      </c>
    </row>
    <row r="32" spans="1:48" x14ac:dyDescent="0.35">
      <c r="F32" s="58">
        <v>28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8">
        <v>28</v>
      </c>
    </row>
    <row r="33" spans="6:40" x14ac:dyDescent="0.35">
      <c r="F33" s="58">
        <v>27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8">
        <v>27</v>
      </c>
    </row>
    <row r="34" spans="6:40" x14ac:dyDescent="0.35">
      <c r="F34" s="58">
        <v>26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8">
        <v>26</v>
      </c>
    </row>
    <row r="35" spans="6:40" x14ac:dyDescent="0.35">
      <c r="F35" s="58">
        <v>25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8">
        <v>25</v>
      </c>
    </row>
    <row r="36" spans="6:40" x14ac:dyDescent="0.35">
      <c r="F36" s="58">
        <v>24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8">
        <v>24</v>
      </c>
    </row>
    <row r="37" spans="6:40" x14ac:dyDescent="0.35">
      <c r="F37" s="58">
        <v>23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8">
        <v>23</v>
      </c>
    </row>
    <row r="38" spans="6:40" x14ac:dyDescent="0.35">
      <c r="F38" s="58">
        <v>22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8">
        <v>22</v>
      </c>
    </row>
    <row r="39" spans="6:40" x14ac:dyDescent="0.35">
      <c r="F39" s="58">
        <v>21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8">
        <v>21</v>
      </c>
    </row>
    <row r="40" spans="6:40" x14ac:dyDescent="0.35">
      <c r="F40" s="58">
        <v>20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8">
        <v>20</v>
      </c>
    </row>
    <row r="41" spans="6:40" x14ac:dyDescent="0.35">
      <c r="F41" s="58">
        <v>19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8">
        <v>19</v>
      </c>
    </row>
    <row r="42" spans="6:40" x14ac:dyDescent="0.35">
      <c r="F42" s="58">
        <v>18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8">
        <v>18</v>
      </c>
    </row>
    <row r="43" spans="6:40" x14ac:dyDescent="0.35">
      <c r="F43" s="58">
        <v>17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8">
        <v>17</v>
      </c>
    </row>
    <row r="44" spans="6:40" x14ac:dyDescent="0.35">
      <c r="F44" s="58">
        <v>16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8">
        <v>16</v>
      </c>
    </row>
    <row r="45" spans="6:40" x14ac:dyDescent="0.35">
      <c r="F45" s="58">
        <v>15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8">
        <v>15</v>
      </c>
    </row>
    <row r="46" spans="6:40" x14ac:dyDescent="0.35">
      <c r="F46" s="58">
        <v>14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8">
        <v>14</v>
      </c>
    </row>
    <row r="47" spans="6:40" x14ac:dyDescent="0.35">
      <c r="F47" s="58">
        <v>13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8">
        <v>13</v>
      </c>
    </row>
    <row r="48" spans="6:40" x14ac:dyDescent="0.35">
      <c r="F48" s="58">
        <v>12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8">
        <v>12</v>
      </c>
    </row>
    <row r="49" spans="6:40" x14ac:dyDescent="0.35">
      <c r="F49" s="58">
        <v>11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8">
        <v>11</v>
      </c>
    </row>
    <row r="50" spans="6:40" x14ac:dyDescent="0.35">
      <c r="F50" s="58">
        <v>10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8">
        <v>10</v>
      </c>
    </row>
    <row r="51" spans="6:40" x14ac:dyDescent="0.35">
      <c r="F51" s="58">
        <v>9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8">
        <v>9</v>
      </c>
    </row>
    <row r="52" spans="6:40" x14ac:dyDescent="0.35">
      <c r="F52" s="58">
        <v>8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8">
        <v>8</v>
      </c>
    </row>
    <row r="53" spans="6:40" x14ac:dyDescent="0.35">
      <c r="F53" s="58">
        <v>7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8">
        <v>7</v>
      </c>
    </row>
    <row r="54" spans="6:40" x14ac:dyDescent="0.35">
      <c r="F54" s="58">
        <v>6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8">
        <v>6</v>
      </c>
    </row>
    <row r="55" spans="6:40" x14ac:dyDescent="0.35">
      <c r="F55" s="58">
        <v>5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8">
        <v>5</v>
      </c>
    </row>
    <row r="56" spans="6:40" x14ac:dyDescent="0.35">
      <c r="F56" s="58">
        <v>4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8">
        <v>4</v>
      </c>
    </row>
    <row r="57" spans="6:40" x14ac:dyDescent="0.35">
      <c r="F57" s="58">
        <v>3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8">
        <v>3</v>
      </c>
    </row>
    <row r="58" spans="6:40" x14ac:dyDescent="0.35">
      <c r="F58" s="58">
        <v>2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8">
        <v>2</v>
      </c>
    </row>
    <row r="59" spans="6:40" x14ac:dyDescent="0.35">
      <c r="F59" s="58">
        <v>1</v>
      </c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8">
        <v>1</v>
      </c>
    </row>
    <row r="60" spans="6:40" x14ac:dyDescent="0.35">
      <c r="G60" s="414">
        <v>1</v>
      </c>
      <c r="H60" s="414">
        <v>2</v>
      </c>
      <c r="I60" s="414">
        <v>3</v>
      </c>
      <c r="J60" s="414">
        <v>4</v>
      </c>
      <c r="K60" s="414">
        <v>5</v>
      </c>
      <c r="L60" s="414">
        <v>6</v>
      </c>
      <c r="M60" s="414">
        <v>7</v>
      </c>
      <c r="N60" s="414">
        <v>8</v>
      </c>
      <c r="O60" s="414">
        <v>9</v>
      </c>
      <c r="P60" s="414">
        <v>10</v>
      </c>
      <c r="Q60" s="414">
        <v>11</v>
      </c>
      <c r="R60" s="414">
        <v>12</v>
      </c>
      <c r="S60" s="414">
        <v>13</v>
      </c>
      <c r="T60" s="414">
        <v>14</v>
      </c>
      <c r="U60" s="414">
        <v>15</v>
      </c>
      <c r="V60" s="414">
        <v>16</v>
      </c>
      <c r="W60" s="415"/>
      <c r="X60" s="414">
        <v>1</v>
      </c>
      <c r="Y60" s="414">
        <v>2</v>
      </c>
      <c r="Z60" s="414">
        <v>3</v>
      </c>
      <c r="AA60" s="414">
        <v>4</v>
      </c>
      <c r="AB60" s="414">
        <v>5</v>
      </c>
      <c r="AC60" s="414">
        <v>6</v>
      </c>
      <c r="AD60" s="414">
        <v>7</v>
      </c>
      <c r="AE60" s="414">
        <v>8</v>
      </c>
      <c r="AF60" s="414">
        <v>9</v>
      </c>
      <c r="AG60" s="414">
        <v>10</v>
      </c>
      <c r="AH60" s="414">
        <v>11</v>
      </c>
      <c r="AI60" s="414">
        <v>12</v>
      </c>
      <c r="AJ60" s="414">
        <v>13</v>
      </c>
      <c r="AK60" s="414">
        <v>14</v>
      </c>
      <c r="AL60" s="414">
        <v>15</v>
      </c>
      <c r="AM60" s="414">
        <v>16</v>
      </c>
    </row>
    <row r="61" spans="6:40" x14ac:dyDescent="0.35">
      <c r="G61" s="53" t="s">
        <v>130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X61" s="53" t="s">
        <v>130</v>
      </c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6:40" x14ac:dyDescent="0.35">
      <c r="G62" s="53" t="s">
        <v>160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2"/>
      <c r="W62" s="52"/>
      <c r="X62" s="53" t="s">
        <v>14</v>
      </c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</row>
    <row r="63" spans="6:40" x14ac:dyDescent="0.35"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</row>
  </sheetData>
  <mergeCells count="5">
    <mergeCell ref="D8:D9"/>
    <mergeCell ref="C9:C10"/>
    <mergeCell ref="A14:B14"/>
    <mergeCell ref="F14:N14"/>
    <mergeCell ref="A4:AP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6650-076D-40D6-BE58-F6ED6DB135E8}">
  <dimension ref="A1:AV75"/>
  <sheetViews>
    <sheetView topLeftCell="A3" zoomScale="85" zoomScaleNormal="85" workbookViewId="0">
      <selection activeCell="A3" sqref="A3"/>
    </sheetView>
  </sheetViews>
  <sheetFormatPr baseColWidth="10" defaultRowHeight="14.5" x14ac:dyDescent="0.35"/>
  <cols>
    <col min="1" max="1" width="15" customWidth="1"/>
    <col min="3" max="4" width="10.54296875" customWidth="1"/>
    <col min="5" max="5" width="5.81640625" customWidth="1"/>
    <col min="6" max="6" width="5.1796875" customWidth="1"/>
    <col min="7" max="22" width="3" customWidth="1"/>
    <col min="23" max="23" width="3.7265625" customWidth="1"/>
    <col min="24" max="39" width="3" customWidth="1"/>
    <col min="40" max="40" width="5.453125" style="24" customWidth="1"/>
    <col min="41" max="48" width="3.7265625" style="24" customWidth="1"/>
  </cols>
  <sheetData>
    <row r="1" spans="1:44" hidden="1" x14ac:dyDescent="0.35">
      <c r="A1" s="23" t="str">
        <f>B7</f>
        <v>meses</v>
      </c>
      <c r="B1" s="23" t="s">
        <v>4</v>
      </c>
      <c r="C1" s="23" t="s">
        <v>5</v>
      </c>
      <c r="D1" s="23" t="s">
        <v>6</v>
      </c>
      <c r="E1" s="23"/>
      <c r="F1" s="23"/>
      <c r="AN1"/>
      <c r="AO1"/>
      <c r="AP1"/>
      <c r="AQ1"/>
      <c r="AR1"/>
    </row>
    <row r="2" spans="1:44" hidden="1" x14ac:dyDescent="0.35">
      <c r="A2" s="23" t="s">
        <v>7</v>
      </c>
      <c r="B2" s="23" t="s">
        <v>8</v>
      </c>
      <c r="C2" s="23" t="s">
        <v>9</v>
      </c>
      <c r="D2" s="23" t="s">
        <v>10</v>
      </c>
      <c r="E2" s="23" t="str">
        <f>CONCATENATE(B2," ",B5," ",C2," ",B11," ",B7)</f>
        <v>puede representarse llegando los 53 pacientes, a los 16 meses</v>
      </c>
      <c r="F2" s="23"/>
      <c r="G2" s="25" t="str">
        <f>CONCATENATE(A2," ",E2,D2)</f>
        <v>NO puede representarse llegando los 53 pacientes, a los 16 meses, pues habría que recortar o ampliar los tiempos respectivos de uno o más pacientes "libres de evento" o "con evento"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N2"/>
      <c r="AO2"/>
      <c r="AP2"/>
      <c r="AQ2"/>
      <c r="AR2"/>
    </row>
    <row r="3" spans="1:44" ht="8.25" customHeight="1" thickBot="1" x14ac:dyDescent="0.4">
      <c r="A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  <c r="AN3"/>
      <c r="AO3"/>
      <c r="AP3"/>
      <c r="AQ3"/>
      <c r="AR3"/>
    </row>
    <row r="4" spans="1:44" ht="53" customHeight="1" thickBot="1" x14ac:dyDescent="0.4">
      <c r="A4" s="576" t="s">
        <v>311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7"/>
      <c r="AP4" s="578"/>
      <c r="AQ4"/>
      <c r="AR4"/>
    </row>
    <row r="5" spans="1:44" ht="26" x14ac:dyDescent="0.35">
      <c r="A5" s="410" t="s">
        <v>174</v>
      </c>
      <c r="B5" s="28">
        <f>C5+D5+E5</f>
        <v>53</v>
      </c>
      <c r="C5" s="513">
        <v>3</v>
      </c>
      <c r="D5" s="511">
        <v>1</v>
      </c>
      <c r="E5" s="512">
        <v>49</v>
      </c>
      <c r="G5" s="26"/>
      <c r="H5" s="403" t="s">
        <v>173</v>
      </c>
      <c r="V5" s="2"/>
      <c r="W5" s="26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N5"/>
      <c r="AO5"/>
      <c r="AP5"/>
      <c r="AQ5"/>
      <c r="AR5"/>
    </row>
    <row r="6" spans="1:44" ht="15" customHeight="1" x14ac:dyDescent="0.35">
      <c r="A6" s="26"/>
      <c r="C6" s="29"/>
      <c r="D6" s="30"/>
      <c r="E6" s="31"/>
      <c r="F6" s="26"/>
      <c r="G6" s="26"/>
      <c r="H6" s="404" t="s">
        <v>171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AN6"/>
      <c r="AO6"/>
      <c r="AP6"/>
      <c r="AQ6"/>
      <c r="AR6"/>
    </row>
    <row r="7" spans="1:44" ht="39.75" customHeight="1" x14ac:dyDescent="0.35">
      <c r="A7" s="411" t="s">
        <v>175</v>
      </c>
      <c r="B7" s="32" t="s">
        <v>128</v>
      </c>
      <c r="C7" s="33" t="str">
        <f>CONCATENATE(A1," ",B1," ",B5," ",C1)</f>
        <v>meses de los 53 del grupo Interv</v>
      </c>
      <c r="D7" s="33" t="str">
        <f>CONCATENATE(A1," ",B1," ",B5," ",D1)</f>
        <v>meses de los 53 del grupo Contr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AN7"/>
      <c r="AO7"/>
      <c r="AP7"/>
      <c r="AQ7"/>
      <c r="AR7"/>
    </row>
    <row r="8" spans="1:44" ht="26.5" x14ac:dyDescent="0.35">
      <c r="A8" s="34" t="s">
        <v>1</v>
      </c>
      <c r="B8" s="35">
        <v>0.66817838246409678</v>
      </c>
      <c r="C8" s="36">
        <f>B8*B5</f>
        <v>35.413454270597128</v>
      </c>
      <c r="D8" s="570">
        <f>(B8+B9)*B5</f>
        <v>43.345427059712776</v>
      </c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26"/>
      <c r="W8" s="26"/>
      <c r="AN8"/>
      <c r="AO8"/>
      <c r="AP8"/>
      <c r="AQ8"/>
      <c r="AR8"/>
    </row>
    <row r="9" spans="1:44" ht="26.5" x14ac:dyDescent="0.35">
      <c r="A9" s="39" t="s">
        <v>3</v>
      </c>
      <c r="B9" s="40">
        <v>0.14965986394557829</v>
      </c>
      <c r="C9" s="571">
        <f>(B10+B9)*B5</f>
        <v>812.58654572940281</v>
      </c>
      <c r="D9" s="570"/>
      <c r="E9" s="30"/>
      <c r="F9" s="4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26"/>
      <c r="W9" s="26"/>
      <c r="AN9"/>
      <c r="AO9"/>
      <c r="AP9"/>
      <c r="AQ9"/>
      <c r="AR9"/>
    </row>
    <row r="10" spans="1:44" ht="26.5" x14ac:dyDescent="0.35">
      <c r="A10" s="42" t="s">
        <v>2</v>
      </c>
      <c r="B10" s="43">
        <v>15.182161753590325</v>
      </c>
      <c r="C10" s="571"/>
      <c r="D10" s="44">
        <f>B10*B5</f>
        <v>804.65457294028727</v>
      </c>
      <c r="E10" s="29"/>
      <c r="F10" s="41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26"/>
      <c r="W10" s="26"/>
      <c r="AN10"/>
      <c r="AO10"/>
      <c r="AP10"/>
      <c r="AQ10"/>
      <c r="AR10"/>
    </row>
    <row r="11" spans="1:44" x14ac:dyDescent="0.35">
      <c r="A11" s="3"/>
      <c r="B11" s="46">
        <v>16</v>
      </c>
      <c r="C11" s="47">
        <f>C8+C9</f>
        <v>848</v>
      </c>
      <c r="D11" s="47">
        <f>D8+D10</f>
        <v>848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ht="9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x14ac:dyDescent="0.35">
      <c r="A13" s="26"/>
      <c r="B13" s="26"/>
      <c r="C13" s="22">
        <f>(E5+D5)*B11</f>
        <v>800</v>
      </c>
      <c r="D13" s="22">
        <f>E5*B11</f>
        <v>784</v>
      </c>
      <c r="E13" s="26"/>
      <c r="F13" s="49" t="s">
        <v>12</v>
      </c>
      <c r="G13" s="26"/>
      <c r="H13" s="26"/>
      <c r="I13" s="26"/>
      <c r="J13" s="26"/>
      <c r="K13" s="26"/>
      <c r="L13" s="26"/>
      <c r="M13" s="26"/>
      <c r="N13" s="26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1:44" ht="36" customHeight="1" x14ac:dyDescent="0.35">
      <c r="A14" s="572" t="s">
        <v>13</v>
      </c>
      <c r="B14" s="572"/>
      <c r="C14" s="50">
        <f>C9-C13</f>
        <v>12.586545729402815</v>
      </c>
      <c r="D14" s="50">
        <f>D10-D13</f>
        <v>20.654572940287267</v>
      </c>
      <c r="F14" s="573" t="str">
        <f>IF((AND(((B9+B10)/B11)&gt;((D5+E5)/B5),(B10/B11)&gt;(E5/B5))),E2,G2)</f>
        <v>puede representarse llegando los 53 pacientes, a los 16 meses</v>
      </c>
      <c r="G14" s="574"/>
      <c r="H14" s="574"/>
      <c r="I14" s="574"/>
      <c r="J14" s="574"/>
      <c r="K14" s="574"/>
      <c r="L14" s="574"/>
      <c r="M14" s="574"/>
      <c r="N14" s="575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</row>
    <row r="15" spans="1:44" ht="18.75" customHeight="1" thickBot="1" x14ac:dyDescent="0.4">
      <c r="A15" s="423" t="s">
        <v>204</v>
      </c>
      <c r="B15" s="51"/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48"/>
      <c r="AO15" s="48"/>
      <c r="AP15" s="48"/>
      <c r="AQ15" s="48"/>
      <c r="AR15" s="48"/>
    </row>
    <row r="16" spans="1:44" ht="17.25" customHeight="1" thickBot="1" x14ac:dyDescent="0.4">
      <c r="A16" s="424" t="s">
        <v>202</v>
      </c>
      <c r="B16" s="420"/>
      <c r="C16" s="420"/>
      <c r="D16" s="425"/>
      <c r="E16" s="51"/>
      <c r="G16" s="53" t="s">
        <v>160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2"/>
      <c r="W16" s="52"/>
      <c r="X16" s="53" t="s">
        <v>14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2"/>
      <c r="AN16" s="52"/>
      <c r="AO16" s="52"/>
      <c r="AP16" s="52"/>
      <c r="AQ16" s="52"/>
      <c r="AR16" s="52"/>
    </row>
    <row r="17" spans="1:48" x14ac:dyDescent="0.35">
      <c r="A17" s="378" t="s">
        <v>208</v>
      </c>
      <c r="G17" s="53" t="s">
        <v>130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X17" s="53" t="s">
        <v>130</v>
      </c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48" x14ac:dyDescent="0.35">
      <c r="A18" s="378" t="s">
        <v>209</v>
      </c>
      <c r="F18" s="24"/>
      <c r="G18" s="414">
        <v>1</v>
      </c>
      <c r="H18" s="414">
        <v>2</v>
      </c>
      <c r="I18" s="414">
        <v>3</v>
      </c>
      <c r="J18" s="414">
        <v>4</v>
      </c>
      <c r="K18" s="414">
        <v>5</v>
      </c>
      <c r="L18" s="414">
        <v>6</v>
      </c>
      <c r="M18" s="414">
        <v>7</v>
      </c>
      <c r="N18" s="414">
        <v>8</v>
      </c>
      <c r="O18" s="414">
        <v>9</v>
      </c>
      <c r="P18" s="414">
        <v>10</v>
      </c>
      <c r="Q18" s="414">
        <v>11</v>
      </c>
      <c r="R18" s="414">
        <v>12</v>
      </c>
      <c r="S18" s="414">
        <v>13</v>
      </c>
      <c r="T18" s="414">
        <v>14</v>
      </c>
      <c r="U18" s="414">
        <v>15</v>
      </c>
      <c r="V18" s="414">
        <v>16</v>
      </c>
      <c r="W18" s="415"/>
      <c r="X18" s="414">
        <v>1</v>
      </c>
      <c r="Y18" s="414">
        <v>2</v>
      </c>
      <c r="Z18" s="414">
        <v>3</v>
      </c>
      <c r="AA18" s="414">
        <v>4</v>
      </c>
      <c r="AB18" s="414">
        <v>5</v>
      </c>
      <c r="AC18" s="414">
        <v>6</v>
      </c>
      <c r="AD18" s="414">
        <v>7</v>
      </c>
      <c r="AE18" s="414">
        <v>8</v>
      </c>
      <c r="AF18" s="414">
        <v>9</v>
      </c>
      <c r="AG18" s="414">
        <v>10</v>
      </c>
      <c r="AH18" s="414">
        <v>11</v>
      </c>
      <c r="AI18" s="414">
        <v>12</v>
      </c>
      <c r="AJ18" s="414">
        <v>13</v>
      </c>
      <c r="AK18" s="414">
        <v>14</v>
      </c>
      <c r="AL18" s="414">
        <v>15</v>
      </c>
      <c r="AM18" s="414">
        <v>16</v>
      </c>
    </row>
    <row r="19" spans="1:48" ht="14.25" customHeight="1" x14ac:dyDescent="0.35">
      <c r="E19" s="54" t="s">
        <v>15</v>
      </c>
      <c r="F19" s="60">
        <v>53</v>
      </c>
      <c r="G19" s="57"/>
      <c r="H19" s="57"/>
      <c r="I19" s="57"/>
      <c r="J19" s="57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24"/>
      <c r="X19" s="57"/>
      <c r="Y19" s="57"/>
      <c r="Z19" s="57"/>
      <c r="AA19" s="57"/>
      <c r="AB19" s="57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60">
        <v>53</v>
      </c>
      <c r="AO19" s="55" t="s">
        <v>15</v>
      </c>
      <c r="AP19" s="56"/>
      <c r="AQ19" s="56"/>
      <c r="AR19" s="56"/>
      <c r="AS19" s="56"/>
      <c r="AT19" s="56"/>
      <c r="AU19" s="56"/>
      <c r="AV19" s="56"/>
    </row>
    <row r="20" spans="1:48" ht="15" thickBot="1" x14ac:dyDescent="0.4">
      <c r="F20" s="60">
        <v>52</v>
      </c>
      <c r="G20" s="57"/>
      <c r="H20" s="57"/>
      <c r="I20" s="57"/>
      <c r="J20" s="57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24"/>
      <c r="X20" s="57"/>
      <c r="Y20" s="57"/>
      <c r="Z20" s="57"/>
      <c r="AA20" s="57"/>
      <c r="AB20" s="57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60">
        <v>52</v>
      </c>
      <c r="AO20" s="56"/>
      <c r="AP20" s="56"/>
      <c r="AQ20" s="56"/>
      <c r="AR20" s="56"/>
      <c r="AS20" s="56"/>
      <c r="AT20" s="56"/>
      <c r="AU20" s="56"/>
      <c r="AV20" s="56"/>
    </row>
    <row r="21" spans="1:48" ht="13.5" customHeight="1" x14ac:dyDescent="0.35">
      <c r="A21" s="349" t="s">
        <v>135</v>
      </c>
      <c r="B21" s="350"/>
      <c r="C21" s="350"/>
      <c r="D21" s="351"/>
      <c r="F21" s="60">
        <v>51</v>
      </c>
      <c r="G21" s="57"/>
      <c r="H21" s="57"/>
      <c r="I21" s="57"/>
      <c r="J21" s="57"/>
      <c r="K21" s="57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24"/>
      <c r="X21" s="57"/>
      <c r="Y21" s="57"/>
      <c r="Z21" s="57"/>
      <c r="AA21" s="57"/>
      <c r="AB21" s="57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60">
        <v>51</v>
      </c>
      <c r="AO21" s="56"/>
      <c r="AP21" s="56"/>
      <c r="AQ21" s="56"/>
      <c r="AR21" s="56"/>
      <c r="AS21" s="56"/>
      <c r="AT21" s="56"/>
      <c r="AU21" s="56"/>
      <c r="AV21" s="56"/>
    </row>
    <row r="22" spans="1:48" ht="15.5" x14ac:dyDescent="0.35">
      <c r="A22" s="352" t="s">
        <v>131</v>
      </c>
      <c r="B22" s="353" t="s">
        <v>132</v>
      </c>
      <c r="C22" s="353" t="s">
        <v>118</v>
      </c>
      <c r="D22" s="354" t="s">
        <v>11</v>
      </c>
      <c r="F22" s="391">
        <v>50</v>
      </c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24"/>
      <c r="X22" s="379"/>
      <c r="Y22" s="379"/>
      <c r="Z22" s="379"/>
      <c r="AA22" s="379"/>
      <c r="AB22" s="379"/>
      <c r="AC22" s="379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392">
        <v>50</v>
      </c>
      <c r="AO22" s="56"/>
      <c r="AP22" s="56"/>
      <c r="AQ22" s="56"/>
      <c r="AR22" s="56"/>
      <c r="AS22" s="56"/>
      <c r="AT22" s="56"/>
      <c r="AU22" s="56"/>
      <c r="AV22" s="56"/>
    </row>
    <row r="23" spans="1:48" x14ac:dyDescent="0.35">
      <c r="A23" s="355">
        <v>6.4814814814814811E-2</v>
      </c>
      <c r="B23" s="356">
        <v>8.3522297808012097E-2</v>
      </c>
      <c r="C23" s="357">
        <f>B23-A23</f>
        <v>1.8707482993197286E-2</v>
      </c>
      <c r="D23" s="358">
        <f>1/C23</f>
        <v>53.454545454545432</v>
      </c>
      <c r="F23" s="58">
        <v>49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24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8">
        <v>49</v>
      </c>
      <c r="AO23" s="56"/>
      <c r="AP23" s="56"/>
      <c r="AQ23" s="56"/>
      <c r="AR23" s="56"/>
      <c r="AS23" s="56"/>
      <c r="AT23" s="56"/>
      <c r="AU23" s="56"/>
      <c r="AV23" s="56"/>
    </row>
    <row r="24" spans="1:48" ht="15" thickBot="1" x14ac:dyDescent="0.4">
      <c r="A24" s="422" t="s">
        <v>177</v>
      </c>
      <c r="B24" s="363">
        <f>A23*D23</f>
        <v>3.4646464646464632</v>
      </c>
      <c r="C24" s="359">
        <f>C23*D23</f>
        <v>1</v>
      </c>
      <c r="D24" s="360">
        <f>(1-B23)*D23</f>
        <v>48.989898989898968</v>
      </c>
      <c r="F24" s="58">
        <v>48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4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>
        <v>48</v>
      </c>
      <c r="AO24" s="56"/>
      <c r="AP24" s="56"/>
      <c r="AQ24" s="56"/>
      <c r="AR24" s="56"/>
      <c r="AS24" s="56"/>
      <c r="AT24" s="56"/>
      <c r="AU24" s="56"/>
      <c r="AV24" s="56"/>
    </row>
    <row r="25" spans="1:48" x14ac:dyDescent="0.35">
      <c r="F25" s="58">
        <v>47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8">
        <v>47</v>
      </c>
      <c r="AO25" s="56"/>
      <c r="AP25" s="56"/>
      <c r="AQ25" s="56"/>
      <c r="AR25" s="56"/>
      <c r="AS25" s="56"/>
      <c r="AT25" s="56"/>
      <c r="AU25" s="56"/>
      <c r="AV25" s="56"/>
    </row>
    <row r="26" spans="1:48" x14ac:dyDescent="0.35">
      <c r="F26" s="58">
        <v>46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9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8">
        <v>46</v>
      </c>
      <c r="AO26" s="56"/>
      <c r="AP26" s="56"/>
      <c r="AQ26" s="56"/>
      <c r="AR26" s="56"/>
      <c r="AS26" s="56"/>
      <c r="AT26" s="56"/>
      <c r="AU26" s="56"/>
      <c r="AV26" s="56"/>
    </row>
    <row r="27" spans="1:48" x14ac:dyDescent="0.35">
      <c r="F27" s="58">
        <v>45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9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8">
        <v>45</v>
      </c>
      <c r="AO27" s="56"/>
      <c r="AP27" s="56"/>
      <c r="AQ27" s="56"/>
      <c r="AR27" s="56"/>
      <c r="AS27" s="56"/>
      <c r="AT27" s="56"/>
      <c r="AU27" s="56"/>
      <c r="AV27" s="56"/>
    </row>
    <row r="28" spans="1:48" x14ac:dyDescent="0.35">
      <c r="F28" s="58">
        <v>44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8">
        <v>44</v>
      </c>
    </row>
    <row r="29" spans="1:48" x14ac:dyDescent="0.35">
      <c r="F29" s="58">
        <v>43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8">
        <v>43</v>
      </c>
    </row>
    <row r="30" spans="1:48" x14ac:dyDescent="0.35">
      <c r="F30" s="58">
        <v>42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8">
        <v>42</v>
      </c>
    </row>
    <row r="31" spans="1:48" x14ac:dyDescent="0.35">
      <c r="F31" s="58">
        <v>41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>
        <v>41</v>
      </c>
    </row>
    <row r="32" spans="1:48" x14ac:dyDescent="0.35">
      <c r="F32" s="58">
        <v>40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8">
        <v>40</v>
      </c>
    </row>
    <row r="33" spans="6:40" x14ac:dyDescent="0.35">
      <c r="F33" s="58">
        <v>39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8">
        <v>39</v>
      </c>
    </row>
    <row r="34" spans="6:40" x14ac:dyDescent="0.35">
      <c r="F34" s="58">
        <v>38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8">
        <v>38</v>
      </c>
    </row>
    <row r="35" spans="6:40" x14ac:dyDescent="0.35">
      <c r="F35" s="58">
        <v>37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8">
        <v>37</v>
      </c>
    </row>
    <row r="36" spans="6:40" x14ac:dyDescent="0.35">
      <c r="F36" s="58">
        <v>36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8">
        <v>36</v>
      </c>
    </row>
    <row r="37" spans="6:40" x14ac:dyDescent="0.35">
      <c r="F37" s="58">
        <v>35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8">
        <v>35</v>
      </c>
    </row>
    <row r="38" spans="6:40" x14ac:dyDescent="0.35">
      <c r="F38" s="58">
        <v>34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8">
        <v>34</v>
      </c>
    </row>
    <row r="39" spans="6:40" x14ac:dyDescent="0.35">
      <c r="F39" s="58">
        <v>33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8">
        <v>33</v>
      </c>
    </row>
    <row r="40" spans="6:40" x14ac:dyDescent="0.35">
      <c r="F40" s="58">
        <v>32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8">
        <v>32</v>
      </c>
    </row>
    <row r="41" spans="6:40" x14ac:dyDescent="0.35">
      <c r="F41" s="58">
        <v>31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8">
        <v>31</v>
      </c>
    </row>
    <row r="42" spans="6:40" x14ac:dyDescent="0.35">
      <c r="F42" s="58">
        <v>30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8">
        <v>30</v>
      </c>
    </row>
    <row r="43" spans="6:40" x14ac:dyDescent="0.35">
      <c r="F43" s="58">
        <v>29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8">
        <v>29</v>
      </c>
    </row>
    <row r="44" spans="6:40" x14ac:dyDescent="0.35">
      <c r="F44" s="58">
        <v>28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8">
        <v>28</v>
      </c>
    </row>
    <row r="45" spans="6:40" x14ac:dyDescent="0.35">
      <c r="F45" s="58">
        <v>27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8">
        <v>27</v>
      </c>
    </row>
    <row r="46" spans="6:40" x14ac:dyDescent="0.35">
      <c r="F46" s="58">
        <v>26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8">
        <v>26</v>
      </c>
    </row>
    <row r="47" spans="6:40" x14ac:dyDescent="0.35">
      <c r="F47" s="58">
        <v>25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8">
        <v>25</v>
      </c>
    </row>
    <row r="48" spans="6:40" x14ac:dyDescent="0.35">
      <c r="F48" s="58">
        <v>24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8">
        <v>24</v>
      </c>
    </row>
    <row r="49" spans="6:40" x14ac:dyDescent="0.35">
      <c r="F49" s="58">
        <v>23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8">
        <v>23</v>
      </c>
    </row>
    <row r="50" spans="6:40" x14ac:dyDescent="0.35">
      <c r="F50" s="58">
        <v>22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8">
        <v>22</v>
      </c>
    </row>
    <row r="51" spans="6:40" x14ac:dyDescent="0.35">
      <c r="F51" s="58">
        <v>21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8">
        <v>21</v>
      </c>
    </row>
    <row r="52" spans="6:40" x14ac:dyDescent="0.35">
      <c r="F52" s="58">
        <v>20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8">
        <v>20</v>
      </c>
    </row>
    <row r="53" spans="6:40" x14ac:dyDescent="0.35">
      <c r="F53" s="58">
        <v>19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8">
        <v>19</v>
      </c>
    </row>
    <row r="54" spans="6:40" x14ac:dyDescent="0.35">
      <c r="F54" s="58">
        <v>18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8">
        <v>18</v>
      </c>
    </row>
    <row r="55" spans="6:40" x14ac:dyDescent="0.35">
      <c r="F55" s="58">
        <v>17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8">
        <v>17</v>
      </c>
    </row>
    <row r="56" spans="6:40" x14ac:dyDescent="0.35">
      <c r="F56" s="58">
        <v>16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8">
        <v>16</v>
      </c>
    </row>
    <row r="57" spans="6:40" x14ac:dyDescent="0.35">
      <c r="F57" s="58">
        <v>15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8">
        <v>15</v>
      </c>
    </row>
    <row r="58" spans="6:40" x14ac:dyDescent="0.35">
      <c r="F58" s="58">
        <v>14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8">
        <v>14</v>
      </c>
    </row>
    <row r="59" spans="6:40" x14ac:dyDescent="0.35">
      <c r="F59" s="58">
        <v>13</v>
      </c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8">
        <v>13</v>
      </c>
    </row>
    <row r="60" spans="6:40" x14ac:dyDescent="0.35">
      <c r="F60" s="58">
        <v>12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8">
        <v>12</v>
      </c>
    </row>
    <row r="61" spans="6:40" x14ac:dyDescent="0.35">
      <c r="F61" s="58">
        <v>11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8">
        <v>11</v>
      </c>
    </row>
    <row r="62" spans="6:40" x14ac:dyDescent="0.35">
      <c r="F62" s="58">
        <v>10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8">
        <v>10</v>
      </c>
    </row>
    <row r="63" spans="6:40" x14ac:dyDescent="0.35">
      <c r="F63" s="58">
        <v>9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8">
        <v>9</v>
      </c>
    </row>
    <row r="64" spans="6:40" x14ac:dyDescent="0.35">
      <c r="F64" s="58">
        <v>8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8">
        <v>8</v>
      </c>
    </row>
    <row r="65" spans="6:40" x14ac:dyDescent="0.35">
      <c r="F65" s="58">
        <v>7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8">
        <v>7</v>
      </c>
    </row>
    <row r="66" spans="6:40" x14ac:dyDescent="0.35">
      <c r="F66" s="58">
        <v>6</v>
      </c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8">
        <v>6</v>
      </c>
    </row>
    <row r="67" spans="6:40" x14ac:dyDescent="0.35">
      <c r="F67" s="58">
        <v>5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8">
        <v>5</v>
      </c>
    </row>
    <row r="68" spans="6:40" x14ac:dyDescent="0.35">
      <c r="F68" s="58">
        <v>4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8">
        <v>4</v>
      </c>
    </row>
    <row r="69" spans="6:40" x14ac:dyDescent="0.35">
      <c r="F69" s="58">
        <v>3</v>
      </c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8">
        <v>3</v>
      </c>
    </row>
    <row r="70" spans="6:40" x14ac:dyDescent="0.35">
      <c r="F70" s="58">
        <v>2</v>
      </c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8">
        <v>2</v>
      </c>
    </row>
    <row r="71" spans="6:40" x14ac:dyDescent="0.35">
      <c r="F71" s="58">
        <v>1</v>
      </c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8">
        <v>1</v>
      </c>
    </row>
    <row r="72" spans="6:40" x14ac:dyDescent="0.35">
      <c r="G72" s="414">
        <v>1</v>
      </c>
      <c r="H72" s="414">
        <v>2</v>
      </c>
      <c r="I72" s="414">
        <v>3</v>
      </c>
      <c r="J72" s="414">
        <v>4</v>
      </c>
      <c r="K72" s="414">
        <v>5</v>
      </c>
      <c r="L72" s="414">
        <v>6</v>
      </c>
      <c r="M72" s="414">
        <v>7</v>
      </c>
      <c r="N72" s="414">
        <v>8</v>
      </c>
      <c r="O72" s="414">
        <v>9</v>
      </c>
      <c r="P72" s="414">
        <v>10</v>
      </c>
      <c r="Q72" s="414">
        <v>11</v>
      </c>
      <c r="R72" s="414">
        <v>12</v>
      </c>
      <c r="S72" s="414">
        <v>13</v>
      </c>
      <c r="T72" s="414">
        <v>14</v>
      </c>
      <c r="U72" s="414">
        <v>15</v>
      </c>
      <c r="V72" s="414">
        <v>16</v>
      </c>
      <c r="W72" s="415"/>
      <c r="X72" s="414">
        <v>1</v>
      </c>
      <c r="Y72" s="414">
        <v>2</v>
      </c>
      <c r="Z72" s="414">
        <v>3</v>
      </c>
      <c r="AA72" s="414">
        <v>4</v>
      </c>
      <c r="AB72" s="414">
        <v>5</v>
      </c>
      <c r="AC72" s="414">
        <v>6</v>
      </c>
      <c r="AD72" s="414">
        <v>7</v>
      </c>
      <c r="AE72" s="414">
        <v>8</v>
      </c>
      <c r="AF72" s="414">
        <v>9</v>
      </c>
      <c r="AG72" s="414">
        <v>10</v>
      </c>
      <c r="AH72" s="414">
        <v>11</v>
      </c>
      <c r="AI72" s="414">
        <v>12</v>
      </c>
      <c r="AJ72" s="414">
        <v>13</v>
      </c>
      <c r="AK72" s="414">
        <v>14</v>
      </c>
      <c r="AL72" s="414">
        <v>15</v>
      </c>
      <c r="AM72" s="414">
        <v>16</v>
      </c>
    </row>
    <row r="73" spans="6:40" x14ac:dyDescent="0.35">
      <c r="G73" s="53" t="s">
        <v>130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X73" s="53" t="s">
        <v>130</v>
      </c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6:40" x14ac:dyDescent="0.35">
      <c r="G74" s="53" t="s">
        <v>160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2"/>
      <c r="W74" s="52"/>
      <c r="X74" s="53" t="s">
        <v>14</v>
      </c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</row>
    <row r="75" spans="6:40" x14ac:dyDescent="0.35"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</row>
  </sheetData>
  <mergeCells count="5">
    <mergeCell ref="D8:D9"/>
    <mergeCell ref="C9:C10"/>
    <mergeCell ref="A14:B14"/>
    <mergeCell ref="F14:N14"/>
    <mergeCell ref="A4:A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IncAcum</vt:lpstr>
      <vt:lpstr>Gráf1 InsCar, 3x3</vt:lpstr>
      <vt:lpstr>Gráf2 MortCV InsCar, 3x3</vt:lpstr>
      <vt:lpstr>Gráf3 MorCV IM Ict, 3x3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2021-10-28T16:33:43Z</dcterms:modified>
</cp:coreProperties>
</file>