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oa\Desktop\20211101-VÑ SCORED\"/>
    </mc:Choice>
  </mc:AlternateContent>
  <xr:revisionPtr revIDLastSave="0" documentId="13_ncr:1_{581E5704-76AA-4178-82B9-4BF2340C327F}" xr6:coauthVersionLast="47" xr6:coauthVersionMax="47" xr10:uidLastSave="{00000000-0000-0000-0000-000000000000}"/>
  <bookViews>
    <workbookView xWindow="-110" yWindow="-110" windowWidth="19420" windowHeight="10420" tabRatio="564" xr2:uid="{00000000-000D-0000-FFFF-FFFF00000000}"/>
  </bookViews>
  <sheets>
    <sheet name="Inc Acumul" sheetId="1" r:id="rId1"/>
  </sheets>
  <definedNames>
    <definedName name="ArticleComments" localSheetId="0">'Inc Acumul'!#REF!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D9" i="1"/>
  <c r="B23" i="1" s="1"/>
  <c r="D56" i="1"/>
  <c r="B53" i="1"/>
  <c r="E61" i="1" s="1"/>
  <c r="E41" i="1"/>
  <c r="E40" i="1"/>
  <c r="I23" i="1"/>
  <c r="I22" i="1"/>
  <c r="C22" i="1"/>
  <c r="B22" i="1"/>
  <c r="I21" i="1"/>
  <c r="C21" i="1"/>
  <c r="D14" i="1"/>
  <c r="F9" i="1"/>
  <c r="C23" i="1" s="1"/>
  <c r="B14" i="1"/>
  <c r="G14" i="1"/>
  <c r="E54" i="1" s="1"/>
  <c r="E7" i="1"/>
  <c r="B21" i="1"/>
  <c r="C56" i="1"/>
  <c r="E21" i="1" l="1"/>
  <c r="G21" i="1"/>
  <c r="G61" i="1"/>
  <c r="F61" i="1"/>
  <c r="E9" i="1"/>
  <c r="D41" i="1" s="1"/>
  <c r="D46" i="1" s="1"/>
  <c r="D21" i="1"/>
  <c r="J21" i="1" s="1"/>
  <c r="K55" i="1" s="1"/>
  <c r="C58" i="1" s="1"/>
  <c r="C62" i="1" s="1"/>
  <c r="E23" i="1"/>
  <c r="E22" i="1"/>
  <c r="C14" i="1"/>
  <c r="E14" i="1" s="1"/>
  <c r="H14" i="1" s="1"/>
  <c r="L14" i="1" s="1"/>
  <c r="K14" i="1"/>
  <c r="N21" i="1"/>
  <c r="E42" i="1"/>
  <c r="D22" i="1"/>
  <c r="F22" i="1" s="1"/>
  <c r="G22" i="1"/>
  <c r="N23" i="1"/>
  <c r="D23" i="1"/>
  <c r="G23" i="1"/>
  <c r="C41" i="1"/>
  <c r="C46" i="1" s="1"/>
  <c r="C40" i="1"/>
  <c r="D40" i="1" l="1"/>
  <c r="D42" i="1" s="1"/>
  <c r="F21" i="1"/>
  <c r="L21" i="1" s="1"/>
  <c r="M55" i="1" s="1"/>
  <c r="F14" i="1"/>
  <c r="I14" i="1" s="1"/>
  <c r="E56" i="1" s="1"/>
  <c r="E55" i="1"/>
  <c r="W21" i="1"/>
  <c r="J26" i="1"/>
  <c r="N22" i="1" s="1"/>
  <c r="N24" i="1" s="1"/>
  <c r="N25" i="1" s="1"/>
  <c r="N26" i="1" s="1"/>
  <c r="J22" i="1"/>
  <c r="K56" i="1" s="1"/>
  <c r="D58" i="1" s="1"/>
  <c r="D62" i="1" s="1"/>
  <c r="K22" i="1"/>
  <c r="L22" i="1"/>
  <c r="Q28" i="1"/>
  <c r="F23" i="1"/>
  <c r="W22" i="1"/>
  <c r="J23" i="1"/>
  <c r="K57" i="1" s="1"/>
  <c r="C42" i="1"/>
  <c r="C45" i="1"/>
  <c r="K21" i="1" l="1"/>
  <c r="L55" i="1" s="1"/>
  <c r="N55" i="1" s="1"/>
  <c r="D45" i="1"/>
  <c r="C48" i="1" s="1"/>
  <c r="K41" i="1"/>
  <c r="I40" i="1" s="1"/>
  <c r="M14" i="1"/>
  <c r="E58" i="1"/>
  <c r="E62" i="1" s="1"/>
  <c r="W23" i="1"/>
  <c r="W24" i="1" s="1"/>
  <c r="W25" i="1" s="1"/>
  <c r="N31" i="1"/>
  <c r="N32" i="1" s="1"/>
  <c r="N33" i="1" s="1"/>
  <c r="F54" i="1"/>
  <c r="J27" i="1"/>
  <c r="L56" i="1"/>
  <c r="K26" i="1"/>
  <c r="M56" i="1"/>
  <c r="L26" i="1"/>
  <c r="K23" i="1"/>
  <c r="L57" i="1" s="1"/>
  <c r="L23" i="1"/>
  <c r="M57" i="1" s="1"/>
  <c r="H56" i="1" l="1"/>
  <c r="H58" i="1" s="1"/>
  <c r="H62" i="1" s="1"/>
  <c r="J29" i="1"/>
  <c r="G54" i="1"/>
  <c r="J34" i="1"/>
  <c r="J36" i="1"/>
  <c r="J31" i="1"/>
  <c r="J37" i="1"/>
  <c r="J35" i="1"/>
  <c r="J32" i="1"/>
  <c r="J30" i="1"/>
  <c r="N57" i="1"/>
  <c r="F55" i="1"/>
  <c r="L27" i="1"/>
  <c r="L32" i="1" s="1"/>
  <c r="K27" i="1"/>
  <c r="F56" i="1"/>
  <c r="M62" i="1"/>
  <c r="L62" i="1"/>
  <c r="N56" i="1"/>
  <c r="G46" i="1"/>
  <c r="C49" i="1"/>
  <c r="J62" i="1" s="1"/>
  <c r="K29" i="1" l="1"/>
  <c r="L34" i="1"/>
  <c r="L35" i="1"/>
  <c r="G56" i="1"/>
  <c r="K30" i="1"/>
  <c r="K31" i="1"/>
  <c r="L36" i="1"/>
  <c r="L37" i="1"/>
  <c r="K32" i="1"/>
  <c r="K35" i="1"/>
  <c r="K37" i="1"/>
  <c r="K34" i="1"/>
  <c r="L29" i="1"/>
  <c r="K36" i="1"/>
  <c r="L31" i="1"/>
  <c r="G55" i="1"/>
  <c r="L30" i="1"/>
  <c r="F58" i="1"/>
  <c r="F62" i="1" s="1"/>
  <c r="G58" i="1" l="1"/>
  <c r="G62" i="1" s="1"/>
</calcChain>
</file>

<file path=xl/sharedStrings.xml><?xml version="1.0" encoding="utf-8"?>
<sst xmlns="http://schemas.openxmlformats.org/spreadsheetml/2006/main" count="306" uniqueCount="273">
  <si>
    <t>Límite inferior del IC</t>
  </si>
  <si>
    <t>Límite superior del IC</t>
  </si>
  <si>
    <t>Sin eventos</t>
  </si>
  <si>
    <t>Con eventos</t>
  </si>
  <si>
    <t>RR</t>
  </si>
  <si>
    <t>Z α/2 (0,05)</t>
  </si>
  <si>
    <t>pM = proporción "media" de los eventos = nº total eventos / nº suma de ambos grupos; qM= complementario</t>
  </si>
  <si>
    <t>C= 2(n+z^2)</t>
  </si>
  <si>
    <t>IC = (A+-B)/C</t>
  </si>
  <si>
    <t>A= 2*eventos + z^2</t>
  </si>
  <si>
    <t>p (proporción) = eventos / n</t>
  </si>
  <si>
    <t>Operar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</si>
  <si>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</si>
  <si>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</si>
  <si>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</si>
  <si>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</si>
  <si>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</si>
  <si>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</si>
  <si>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</si>
  <si>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</si>
  <si>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</si>
  <si>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</si>
  <si>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</si>
  <si>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</si>
  <si>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</si>
  <si>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</si>
  <si>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</si>
  <si>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</si>
  <si>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</si>
  <si>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</si>
  <si>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</si>
  <si>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</si>
  <si>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</si>
  <si>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</si>
  <si>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</si>
  <si>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</si>
  <si>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</si>
  <si>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</si>
  <si>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</si>
  <si>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</si>
  <si>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Es &lt; 0 =&gt;Acepto Ho =&gt; Homogeneidad o independencia (o tratamiento no eficaz)</t>
  </si>
  <si>
    <t>Es &gt; 0 =&gt;Rechazo Ho =&gt; Heterogenicidad o dependencia (o tratamiento eficaz)</t>
  </si>
  <si>
    <t>Z α/2 = Dif Proporc / EE Dif proporc</t>
  </si>
  <si>
    <t>RRR</t>
  </si>
  <si>
    <t>(</t>
  </si>
  <si>
    <t>)</t>
  </si>
  <si>
    <t>-</t>
  </si>
  <si>
    <t>%</t>
  </si>
  <si>
    <t>NNT</t>
  </si>
  <si>
    <t>/</t>
  </si>
  <si>
    <t>RAR</t>
  </si>
  <si>
    <t>potencia</t>
  </si>
  <si>
    <t>Potencia</t>
  </si>
  <si>
    <t>APLICAR SÓLO SI EL NNT Y SUS IC SON POSITIVOS</t>
  </si>
  <si>
    <t>APLICAR SÓLO SI EL NNT Y SUS IC SON NEGATIVOS</t>
  </si>
  <si>
    <t>Permanecerán sanos sin tomar el Mto de Intervención</t>
  </si>
  <si>
    <t>Enfermarán por tomar el Mto de Intervención</t>
  </si>
  <si>
    <t>Enfermarán incluso sin tomar el Mto de Intervención</t>
  </si>
  <si>
    <t>Permanecerán sanos por tomar el Mto de Intervención</t>
  </si>
  <si>
    <t>Enfermarán incluso tomando el Mto de Intervención</t>
  </si>
  <si>
    <t xml:space="preserve"> </t>
  </si>
  <si>
    <t>Nº event Interv (%)</t>
  </si>
  <si>
    <t>Nº event Control (%)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</si>
  <si>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</si>
  <si>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</si>
  <si>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</si>
  <si>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</si>
  <si>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Cálculo por incidencias acumuladas de RR, RAR, NNT con sus IC 95%, potencia estadística y valor de p</t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</si>
  <si>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</si>
  <si>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</si>
  <si>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</si>
  <si>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</si>
  <si>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IC</t>
  </si>
  <si>
    <t>Intervención</t>
  </si>
  <si>
    <t>Control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</si>
  <si>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</si>
  <si>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</si>
  <si>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LI del IC</t>
  </si>
  <si>
    <t>LS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</si>
  <si>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</si>
  <si>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</si>
  <si>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r>
      <t>p</t>
    </r>
    <r>
      <rPr>
        <sz val="10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</si>
  <si>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</si>
  <si>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eventos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</si>
  <si>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</si>
  <si>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Proporción</t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</si>
  <si>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</si>
  <si>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</si>
  <si>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</si>
  <si>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</si>
  <si>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</si>
  <si>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</si>
  <si>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</si>
  <si>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</si>
  <si>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1-α = nivel e confianza =  p (no rechazar Ho │ Ho verdadera)</t>
  </si>
  <si>
    <t xml:space="preserve"> β =&gt; probabilidad de no detectar una diferencia que sí exista.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</si>
  <si>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</si>
  <si>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</si>
  <si>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</si>
  <si>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</si>
  <si>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</si>
  <si>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</si>
  <si>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</si>
  <si>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</si>
  <si>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</si>
  <si>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NND</t>
  </si>
  <si>
    <t>Chi cuadrado de Pearson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</si>
  <si>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</si>
  <si>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Cálculo por incidencias acumuladas</t>
  </si>
  <si>
    <t>Estimación puntual e IC de cada proporción</t>
  </si>
  <si>
    <t>% Intervención (Fact Box)</t>
  </si>
  <si>
    <t>% Control (Fact Box)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</si>
  <si>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</t>
    </r>
    <r>
      <rPr>
        <b/>
        <sz val="10"/>
        <rFont val="Calibri"/>
        <family val="2"/>
      </rPr>
      <t xml:space="preserve"> RR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con la intervención, para evitar un evento más que con el control; </t>
    </r>
    <r>
      <rPr>
        <b/>
        <sz val="10"/>
        <rFont val="Calibri"/>
        <family val="2"/>
      </rPr>
      <t>IC</t>
    </r>
    <r>
      <rPr>
        <sz val="10"/>
        <rFont val="Calibri"/>
        <family val="2"/>
      </rPr>
      <t>: intervalo de confianza.</t>
    </r>
  </si>
  <si>
    <t>valor de p para la diferencia</t>
  </si>
  <si>
    <t>Mujeres</t>
  </si>
  <si>
    <t>Blancos</t>
  </si>
  <si>
    <t>Asiáticos</t>
  </si>
  <si>
    <t>Negros</t>
  </si>
  <si>
    <t>IECA</t>
  </si>
  <si>
    <t>Nº (%) con FGe 30 a 45</t>
  </si>
  <si>
    <t>Función renal</t>
  </si>
  <si>
    <t>Medicaciones previas</t>
  </si>
  <si>
    <t>Enfermedad cardiovascular</t>
  </si>
  <si>
    <t>20210114-ECA Scored 16m, DM2+ERC [Sotaglif vs Pl], -InsCar =Mort yCV. Bhatt</t>
  </si>
  <si>
    <t>Bhatt DL, Szarek M, Pitt B, Cannon CP, on behalf of the SCORED Investigators. Sotagliflozin in Patients with Diabetes and Chronic Kidney Disease. N Engl J Med. 2021 Jan 14;384(2):129-139.</t>
  </si>
  <si>
    <r>
      <rPr>
        <b/>
        <sz val="11"/>
        <color indexed="60"/>
        <rFont val="Calibri"/>
        <family val="2"/>
      </rPr>
      <t>Suplemento 1:</t>
    </r>
    <r>
      <rPr>
        <b/>
        <sz val="11"/>
        <rFont val="Calibri"/>
        <family val="2"/>
      </rPr>
      <t xml:space="preserve"> Características sociodemográficas y clínicas en el inicio (baseline), ECA SCORED</t>
    </r>
  </si>
  <si>
    <t>Tto estándar + Sotaglifozina, n= 5292</t>
  </si>
  <si>
    <t>Tto estándar + Placebo, n= 5292</t>
  </si>
  <si>
    <t>69 [rango, 63 a 74]</t>
  </si>
  <si>
    <t>Edad en años, mediana [rango]</t>
  </si>
  <si>
    <t>70 [rango, 63 a 74]</t>
  </si>
  <si>
    <t>Raza o grupo étnico</t>
  </si>
  <si>
    <t>Indios americanos o nativos de Alaska</t>
  </si>
  <si>
    <t>Múltiple</t>
  </si>
  <si>
    <t>Desconocidos</t>
  </si>
  <si>
    <t>Nativos de Hawai o de islas del Pacífico</t>
  </si>
  <si>
    <t>% de Hemoglobina glicosilada, mediana [IQR]</t>
  </si>
  <si>
    <t>8,3 [IQR, 7,6 a 9,3]</t>
  </si>
  <si>
    <t>8,3 [IQR, 7,6 a 9,4]</t>
  </si>
  <si>
    <r>
      <t>IMC en Kg/m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, mediana [IQR]</t>
    </r>
  </si>
  <si>
    <r>
      <t>FGe en ml/min/1,73 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, mediana [IQR]</t>
    </r>
  </si>
  <si>
    <t>31,9 [IQR, 28,1 a 36,2]</t>
  </si>
  <si>
    <t>31,7 [IQR, 28 a 36,1]</t>
  </si>
  <si>
    <t>44,4 [IQR, 37 a 51,3]</t>
  </si>
  <si>
    <t>44,7 [IQR, 37 a 51,5]</t>
  </si>
  <si>
    <t>FEVI &lt; 40% dentro de 1 año previo ó InsCar dentro de 2 años previos</t>
  </si>
  <si>
    <t>Historia de insuficiencia cardíaca en la aleatorización</t>
  </si>
  <si>
    <t>Nº con FEVI &lt; 40%</t>
  </si>
  <si>
    <t>Nº con FEVI 40 a &lt; 50%</t>
  </si>
  <si>
    <t>Infarto de miocardio previo</t>
  </si>
  <si>
    <t>Revascularización coronaria previa</t>
  </si>
  <si>
    <t>Ictus previo</t>
  </si>
  <si>
    <t>Características de la Insuficiencia cardíaca</t>
  </si>
  <si>
    <t>FEVI en %, mediana [IQR]</t>
  </si>
  <si>
    <t>60 [IQR, 54 a 64]</t>
  </si>
  <si>
    <t>60 [IQR, 54 a 65]</t>
  </si>
  <si>
    <t>Prohormona N-terminal del péptido natriurético tipo B (NT-proBNP) en pg/ml, mediana [IQR]</t>
  </si>
  <si>
    <t>196 [IQR, 75 a 564]</t>
  </si>
  <si>
    <t>198 [IQR, 74 a 560]</t>
  </si>
  <si>
    <t>Cociente albúmina (mg)/ creatinina (g), mediana [IQR]</t>
  </si>
  <si>
    <t>74 [IQR, 18 a 486]</t>
  </si>
  <si>
    <t>75 [IQR, 18 a 477]</t>
  </si>
  <si>
    <t>Nº (%) con &lt; 30</t>
  </si>
  <si>
    <t>Nº (%) con 30 a &lt; 300</t>
  </si>
  <si>
    <r>
      <t xml:space="preserve">Nº (%) con </t>
    </r>
    <r>
      <rPr>
        <sz val="10"/>
        <rFont val="Calibri"/>
        <family val="2"/>
      </rPr>
      <t xml:space="preserve">≥ </t>
    </r>
    <r>
      <rPr>
        <sz val="10"/>
        <rFont val="Calibri"/>
        <family val="2"/>
        <scheme val="minor"/>
      </rPr>
      <t>300</t>
    </r>
  </si>
  <si>
    <t>Presión arterial sistólica en mm Hg, mediana [IQR]</t>
  </si>
  <si>
    <t>Presión arterial diastólica en mm Hg, mediana [IQR]</t>
  </si>
  <si>
    <t>138 [IQR, 127 a 149]</t>
  </si>
  <si>
    <t>139 [IQR, 127 a 149]</t>
  </si>
  <si>
    <t>78 [IQR, 70 a 85]</t>
  </si>
  <si>
    <t>ARA II</t>
  </si>
  <si>
    <t>Antagonistas de la aldosterona</t>
  </si>
  <si>
    <t>Inhibidor de neprilisina y angiotensina II</t>
  </si>
  <si>
    <t>Betabloquantes</t>
  </si>
  <si>
    <t>Antagonistas del calcio</t>
  </si>
  <si>
    <t>Diuréticos del asa de Henle</t>
  </si>
  <si>
    <t>Otros diuréticos</t>
  </si>
  <si>
    <t>Metformina</t>
  </si>
  <si>
    <t>Sulfonilurea</t>
  </si>
  <si>
    <t>Inhibidores de la DPP-4 (gliptinas)</t>
  </si>
  <si>
    <t>Agonistas de GLP-1 (glutidas, natidas)</t>
  </si>
  <si>
    <t>Insulina</t>
  </si>
  <si>
    <t>Con mediación Hipoglucemiantes de cualquier tipo</t>
  </si>
  <si>
    <t>Nº (%) con FGe ≥ 45</t>
  </si>
  <si>
    <r>
      <t xml:space="preserve">Nº (%) con FGe </t>
    </r>
    <r>
      <rPr>
        <sz val="10"/>
        <rFont val="Calibri"/>
        <family val="2"/>
      </rPr>
      <t>≤</t>
    </r>
    <r>
      <rPr>
        <sz val="10"/>
        <rFont val="Calibri"/>
        <family val="2"/>
        <scheme val="minor"/>
      </rPr>
      <t xml:space="preserve"> 30</t>
    </r>
  </si>
  <si>
    <t>2347 (44,35%)</t>
  </si>
  <si>
    <t>2407 (45,48%)</t>
  </si>
  <si>
    <t>4402 (83,18%)</t>
  </si>
  <si>
    <t>4347 (82,14%)</t>
  </si>
  <si>
    <t>176 (3,33%)</t>
  </si>
  <si>
    <t>188 (3,55%)</t>
  </si>
  <si>
    <t>317 (5,99%)</t>
  </si>
  <si>
    <t>365 (6,9%)</t>
  </si>
  <si>
    <t>206 (3,89%)</t>
  </si>
  <si>
    <t>216 (4,08%)</t>
  </si>
  <si>
    <t>25 (0,47%)</t>
  </si>
  <si>
    <t>15 (0,28%)</t>
  </si>
  <si>
    <t>109 (2,06%)</t>
  </si>
  <si>
    <t>95 (1,8%)</t>
  </si>
  <si>
    <t>57 (1,08%)</t>
  </si>
  <si>
    <t>66 (1,25%)</t>
  </si>
  <si>
    <t>419 (7,92%)</t>
  </si>
  <si>
    <t>394 (7,45%)</t>
  </si>
  <si>
    <t>2308 (43,61%)</t>
  </si>
  <si>
    <t>2526 (47,73%)</t>
  </si>
  <si>
    <t>2590 (48,94%)</t>
  </si>
  <si>
    <t>1864 (35,22%)</t>
  </si>
  <si>
    <t>1845 (34,86%)</t>
  </si>
  <si>
    <t>1770 (33,45%)</t>
  </si>
  <si>
    <t>1819 (34,37%)</t>
  </si>
  <si>
    <t>1658 (31,33%)</t>
  </si>
  <si>
    <t>1628 (30,76%)</t>
  </si>
  <si>
    <t>1054 (19,92%)</t>
  </si>
  <si>
    <t>1640 (30,99%)</t>
  </si>
  <si>
    <t>1643 (31,05%)</t>
  </si>
  <si>
    <t>505 (9,54%)</t>
  </si>
  <si>
    <t>528 (9,98%)</t>
  </si>
  <si>
    <t>290 (5,48%)</t>
  </si>
  <si>
    <t>291 (5,5%)</t>
  </si>
  <si>
    <t>843 (15,93%)</t>
  </si>
  <si>
    <t>824 (15,57%)</t>
  </si>
  <si>
    <t>1051 (19,86%)</t>
  </si>
  <si>
    <t>1057 (19,97%)</t>
  </si>
  <si>
    <t>1208 (22,83%)</t>
  </si>
  <si>
    <t>1167 (22,05%)</t>
  </si>
  <si>
    <t>482 (9,11%)</t>
  </si>
  <si>
    <t>474 (8,96%)</t>
  </si>
  <si>
    <t>2009 (37,96%)</t>
  </si>
  <si>
    <t>2039 (38,53%)</t>
  </si>
  <si>
    <t>2619 (49,49%)</t>
  </si>
  <si>
    <t>2562 (48,41%)</t>
  </si>
  <si>
    <t>65 (1,23%)</t>
  </si>
  <si>
    <t>810 (15,31%)</t>
  </si>
  <si>
    <t>776 (14,66%)</t>
  </si>
  <si>
    <t>3310 (62,55%)</t>
  </si>
  <si>
    <t>3306 (62,47%)</t>
  </si>
  <si>
    <t>2228 (42,1%)</t>
  </si>
  <si>
    <t>2202 (41,61%)</t>
  </si>
  <si>
    <t>1869 (35,32%)</t>
  </si>
  <si>
    <t>1867 (35,28%)</t>
  </si>
  <si>
    <t>1568 (29,63%)</t>
  </si>
  <si>
    <t>1605 (30,33%)</t>
  </si>
  <si>
    <t>5111 (96,58%)</t>
  </si>
  <si>
    <t>5136 (97,05%)</t>
  </si>
  <si>
    <t>2907 (54,93%)</t>
  </si>
  <si>
    <t>2955 (55,84%)</t>
  </si>
  <si>
    <t>1400 (26,46%)</t>
  </si>
  <si>
    <t>1486 (28,08%)</t>
  </si>
  <si>
    <t>1041 (19,67%)</t>
  </si>
  <si>
    <t>1044 (19,73%)</t>
  </si>
  <si>
    <t>310 (5,86%)</t>
  </si>
  <si>
    <t>323 (6,1%)</t>
  </si>
  <si>
    <t>3389 (64,04%)</t>
  </si>
  <si>
    <t>3333 (62,98%)</t>
  </si>
  <si>
    <t>Las variables dicotómicas se informan en número (%) y las variables continuas según se indique en la línea.</t>
  </si>
  <si>
    <t>Norteamérica</t>
  </si>
  <si>
    <t>Sudamérica</t>
  </si>
  <si>
    <t>Europa Oeste</t>
  </si>
  <si>
    <t>Europa Este</t>
  </si>
  <si>
    <t>Resto del mundo</t>
  </si>
  <si>
    <t>Región geográfica</t>
  </si>
  <si>
    <t>1613/5292 (30,48%)</t>
  </si>
  <si>
    <t>711/5292 (13,44%)</t>
  </si>
  <si>
    <t>709/5292 (13,4%)</t>
  </si>
  <si>
    <t>1586/5292 (29,97%)</t>
  </si>
  <si>
    <t>746/5292 (14,1%)</t>
  </si>
  <si>
    <t>747/5292 (14,12%)</t>
  </si>
  <si>
    <t>636/5292 (12,02%)</t>
  </si>
  <si>
    <t>637/5292 (12,04%)</t>
  </si>
  <si>
    <t>Diabetes mellitus</t>
  </si>
  <si>
    <t>Con Diabetes mellitus tipo 2 (DM2)</t>
  </si>
  <si>
    <r>
      <rPr>
        <u/>
        <sz val="9"/>
        <rFont val="Calibri"/>
        <family val="2"/>
      </rPr>
      <t>Abreviaturas</t>
    </r>
    <r>
      <rPr>
        <sz val="9"/>
        <rFont val="Calibri"/>
        <family val="2"/>
      </rPr>
      <t xml:space="preserve">:  </t>
    </r>
    <r>
      <rPr>
        <b/>
        <sz val="9"/>
        <rFont val="Calibri"/>
        <family val="2"/>
      </rPr>
      <t xml:space="preserve">DE: </t>
    </r>
    <r>
      <rPr>
        <sz val="9"/>
        <rFont val="Calibri"/>
        <family val="2"/>
      </rPr>
      <t xml:space="preserve">desviación estándar; </t>
    </r>
    <r>
      <rPr>
        <b/>
        <sz val="9"/>
        <rFont val="Calibri"/>
        <family val="2"/>
      </rPr>
      <t xml:space="preserve">DM2: </t>
    </r>
    <r>
      <rPr>
        <sz val="9"/>
        <rFont val="Calibri"/>
        <family val="2"/>
      </rPr>
      <t xml:space="preserve">diabetes mellitus tipo 2; </t>
    </r>
    <r>
      <rPr>
        <b/>
        <sz val="9"/>
        <rFont val="Calibri"/>
        <family val="2"/>
      </rPr>
      <t>FGe:</t>
    </r>
    <r>
      <rPr>
        <sz val="9"/>
        <rFont val="Calibri"/>
        <family val="2"/>
      </rPr>
      <t xml:space="preserve"> tasa de filtración glomerular estimada; </t>
    </r>
    <r>
      <rPr>
        <b/>
        <sz val="9"/>
        <rFont val="Calibri"/>
        <family val="2"/>
      </rPr>
      <t xml:space="preserve">IMC: </t>
    </r>
    <r>
      <rPr>
        <sz val="9"/>
        <rFont val="Calibri"/>
        <family val="2"/>
      </rPr>
      <t xml:space="preserve">índice de masa corporal; </t>
    </r>
    <r>
      <rPr>
        <b/>
        <sz val="9"/>
        <rFont val="Calibri"/>
        <family val="2"/>
      </rPr>
      <t>InsCar:</t>
    </r>
    <r>
      <rPr>
        <sz val="9"/>
        <rFont val="Calibri"/>
        <family val="2"/>
      </rPr>
      <t xml:space="preserve"> insuficiencia cardíaca; </t>
    </r>
    <r>
      <rPr>
        <b/>
        <sz val="9"/>
        <rFont val="Calibri"/>
        <family val="2"/>
      </rPr>
      <t>IQR:</t>
    </r>
    <r>
      <rPr>
        <sz val="9"/>
        <rFont val="Calibri"/>
        <family val="2"/>
      </rPr>
      <t xml:space="preserve"> rango intercuartílico entre el percentil 25 y el percentil 75.</t>
    </r>
  </si>
  <si>
    <t>5292 (100%)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</si>
</sst>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0.0%"/>
    <numFmt numFmtId="169" formatCode="_-* #,##0.00000\ _€_-;\-* #,##0.00000\ _€_-;_-* &quot;-&quot;??\ _€_-;_-@_-"/>
    <numFmt numFmtId="170" formatCode="_-* #,##0.000000\ _€_-;\-* #,##0.000000\ _€_-;_-* &quot;-&quot;??\ _€_-;_-@_-"/>
    <numFmt numFmtId="171" formatCode="_-* #,##0.000\ _€_-;\-* #,##0.000\ _€_-;_-* &quot;-&quot;???\ _€_-;_-@_-"/>
    <numFmt numFmtId="172" formatCode="_-* #,##0.0\ _€_-;\-* #,##0.0\ _€_-;_-* &quot;-&quot;??\ _€_-;_-@_-"/>
    <numFmt numFmtId="173" formatCode="_-* #,##0.0\ _€_-;\-* #,##0.0\ _€_-;_-* &quot;-&quot;?\ _€_-;_-@_-"/>
    <numFmt numFmtId="174" formatCode="_-* #,##0.0000\ _€_-;\-* #,##0.0000\ _€_-;_-* &quot;-&quot;?\ _€_-;_-@_-"/>
    <numFmt numFmtId="175" formatCode="0.000"/>
    <numFmt numFmtId="176" formatCode="0.0000"/>
    <numFmt numFmtId="177" formatCode="#,##0.00_ ;\-#,##0.00\ "/>
  </numFmts>
  <fonts count="4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0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5"/>
      <name val="Calibri"/>
      <family val="2"/>
      <scheme val="minor"/>
    </font>
    <font>
      <u/>
      <sz val="9"/>
      <name val="Calibri"/>
      <family val="2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indexed="60"/>
      <name val="Calibri"/>
      <family val="2"/>
    </font>
    <font>
      <b/>
      <sz val="11"/>
      <name val="Calibri"/>
      <family val="2"/>
    </font>
    <font>
      <vertAlign val="superscript"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1">
    <xf numFmtId="0" fontId="0" fillId="0" borderId="0" xfId="0"/>
    <xf numFmtId="2" fontId="10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/>
    <xf numFmtId="2" fontId="10" fillId="0" borderId="0" xfId="0" applyNumberFormat="1" applyFont="1"/>
    <xf numFmtId="10" fontId="10" fillId="0" borderId="0" xfId="2" applyNumberFormat="1" applyFont="1" applyBorder="1" applyAlignment="1">
      <alignment horizontal="center"/>
    </xf>
    <xf numFmtId="10" fontId="11" fillId="0" borderId="0" xfId="2" applyNumberFormat="1" applyFont="1" applyBorder="1" applyAlignment="1">
      <alignment horizontal="center"/>
    </xf>
    <xf numFmtId="0" fontId="12" fillId="0" borderId="0" xfId="0" applyFont="1" applyFill="1" applyBorder="1" applyAlignment="1">
      <alignment vertical="distributed"/>
    </xf>
    <xf numFmtId="0" fontId="10" fillId="0" borderId="0" xfId="0" applyFont="1" applyFill="1" applyAlignment="1">
      <alignment horizontal="center"/>
    </xf>
    <xf numFmtId="10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Border="1" applyAlignment="1">
      <alignment horizontal="center"/>
    </xf>
    <xf numFmtId="18" fontId="10" fillId="0" borderId="0" xfId="1" applyNumberFormat="1" applyFont="1" applyBorder="1" applyAlignment="1">
      <alignment horizontal="center"/>
    </xf>
    <xf numFmtId="164" fontId="10" fillId="0" borderId="0" xfId="1" applyFont="1" applyFill="1" applyAlignment="1">
      <alignment horizontal="center"/>
    </xf>
    <xf numFmtId="164" fontId="10" fillId="0" borderId="0" xfId="0" applyNumberFormat="1" applyFont="1"/>
    <xf numFmtId="164" fontId="13" fillId="0" borderId="0" xfId="1" applyFont="1" applyFill="1" applyBorder="1" applyAlignment="1">
      <alignment horizontal="center"/>
    </xf>
    <xf numFmtId="164" fontId="10" fillId="0" borderId="0" xfId="1" applyFont="1" applyFill="1"/>
    <xf numFmtId="0" fontId="14" fillId="0" borderId="0" xfId="0" applyFont="1" applyFill="1"/>
    <xf numFmtId="0" fontId="10" fillId="0" borderId="0" xfId="0" applyFont="1" applyBorder="1"/>
    <xf numFmtId="164" fontId="10" fillId="0" borderId="0" xfId="1" applyFont="1" applyFill="1" applyBorder="1"/>
    <xf numFmtId="0" fontId="10" fillId="0" borderId="0" xfId="0" applyFont="1" applyBorder="1" applyAlignment="1">
      <alignment horizontal="right"/>
    </xf>
    <xf numFmtId="10" fontId="10" fillId="0" borderId="0" xfId="2" applyNumberFormat="1" applyFont="1" applyFill="1"/>
    <xf numFmtId="10" fontId="10" fillId="0" borderId="0" xfId="0" applyNumberFormat="1" applyFont="1" applyFill="1"/>
    <xf numFmtId="0" fontId="18" fillId="0" borderId="0" xfId="0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/>
    <xf numFmtId="10" fontId="10" fillId="0" borderId="0" xfId="2" applyNumberFormat="1" applyFont="1" applyFill="1" applyBorder="1" applyAlignment="1">
      <alignment horizontal="center"/>
    </xf>
    <xf numFmtId="164" fontId="16" fillId="0" borderId="0" xfId="1" applyFont="1" applyFill="1" applyBorder="1"/>
    <xf numFmtId="0" fontId="15" fillId="0" borderId="0" xfId="0" applyFont="1" applyFill="1" applyAlignment="1">
      <alignment horizontal="center"/>
    </xf>
    <xf numFmtId="164" fontId="16" fillId="0" borderId="0" xfId="1" applyFont="1" applyFill="1" applyAlignment="1">
      <alignment horizontal="right"/>
    </xf>
    <xf numFmtId="0" fontId="16" fillId="0" borderId="0" xfId="0" applyFont="1" applyFill="1" applyBorder="1"/>
    <xf numFmtId="164" fontId="10" fillId="0" borderId="0" xfId="0" applyNumberFormat="1" applyFont="1" applyFill="1"/>
    <xf numFmtId="172" fontId="10" fillId="0" borderId="0" xfId="0" applyNumberFormat="1" applyFont="1" applyFill="1" applyBorder="1"/>
    <xf numFmtId="0" fontId="15" fillId="0" borderId="0" xfId="0" applyFont="1" applyBorder="1"/>
    <xf numFmtId="0" fontId="15" fillId="0" borderId="0" xfId="0" applyFont="1" applyFill="1" applyBorder="1" applyAlignment="1">
      <alignment horizontal="left"/>
    </xf>
    <xf numFmtId="164" fontId="10" fillId="0" borderId="0" xfId="1" applyFont="1" applyFill="1" applyBorder="1" applyAlignment="1">
      <alignment horizontal="center"/>
    </xf>
    <xf numFmtId="170" fontId="10" fillId="0" borderId="0" xfId="1" applyNumberFormat="1" applyFont="1" applyFill="1" applyBorder="1" applyAlignment="1">
      <alignment horizontal="center"/>
    </xf>
    <xf numFmtId="164" fontId="15" fillId="0" borderId="0" xfId="1" applyFont="1" applyFill="1" applyBorder="1" applyAlignment="1"/>
    <xf numFmtId="0" fontId="10" fillId="0" borderId="0" xfId="0" applyFont="1" applyFill="1" applyBorder="1" applyAlignment="1">
      <alignment horizontal="left"/>
    </xf>
    <xf numFmtId="170" fontId="10" fillId="0" borderId="0" xfId="0" applyNumberFormat="1" applyFont="1" applyBorder="1"/>
    <xf numFmtId="0" fontId="22" fillId="0" borderId="0" xfId="0" applyFont="1" applyBorder="1"/>
    <xf numFmtId="49" fontId="23" fillId="0" borderId="0" xfId="0" applyNumberFormat="1" applyFont="1"/>
    <xf numFmtId="10" fontId="10" fillId="0" borderId="0" xfId="0" applyNumberFormat="1" applyFont="1"/>
    <xf numFmtId="10" fontId="10" fillId="0" borderId="0" xfId="0" applyNumberFormat="1" applyFont="1" applyFill="1" applyBorder="1"/>
    <xf numFmtId="10" fontId="19" fillId="0" borderId="0" xfId="2" applyNumberFormat="1" applyFont="1" applyFill="1" applyBorder="1" applyAlignment="1">
      <alignment horizontal="center"/>
    </xf>
    <xf numFmtId="165" fontId="19" fillId="0" borderId="0" xfId="1" applyNumberFormat="1" applyFont="1" applyFill="1" applyBorder="1" applyAlignment="1">
      <alignment horizontal="center"/>
    </xf>
    <xf numFmtId="166" fontId="10" fillId="0" borderId="0" xfId="0" applyNumberFormat="1" applyFont="1" applyFill="1" applyBorder="1"/>
    <xf numFmtId="49" fontId="10" fillId="0" borderId="0" xfId="0" applyNumberFormat="1" applyFont="1" applyFill="1" applyBorder="1"/>
    <xf numFmtId="165" fontId="15" fillId="0" borderId="0" xfId="0" applyNumberFormat="1" applyFont="1" applyFill="1" applyBorder="1"/>
    <xf numFmtId="165" fontId="15" fillId="0" borderId="0" xfId="0" applyNumberFormat="1" applyFont="1" applyFill="1" applyBorder="1" applyAlignment="1">
      <alignment horizontal="center"/>
    </xf>
    <xf numFmtId="165" fontId="24" fillId="0" borderId="0" xfId="0" applyNumberFormat="1" applyFont="1" applyFill="1" applyBorder="1"/>
    <xf numFmtId="49" fontId="11" fillId="0" borderId="0" xfId="0" applyNumberFormat="1" applyFont="1"/>
    <xf numFmtId="0" fontId="25" fillId="0" borderId="0" xfId="0" applyFont="1" applyFill="1" applyBorder="1"/>
    <xf numFmtId="0" fontId="10" fillId="0" borderId="1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165" fontId="11" fillId="0" borderId="3" xfId="1" applyNumberFormat="1" applyFont="1" applyFill="1" applyBorder="1"/>
    <xf numFmtId="165" fontId="12" fillId="0" borderId="3" xfId="1" applyNumberFormat="1" applyFont="1" applyFill="1" applyBorder="1"/>
    <xf numFmtId="165" fontId="11" fillId="0" borderId="0" xfId="1" applyNumberFormat="1" applyFont="1" applyFill="1" applyBorder="1"/>
    <xf numFmtId="165" fontId="12" fillId="0" borderId="0" xfId="1" applyNumberFormat="1" applyFont="1" applyFill="1" applyBorder="1"/>
    <xf numFmtId="164" fontId="26" fillId="0" borderId="3" xfId="1" applyFont="1" applyBorder="1"/>
    <xf numFmtId="0" fontId="12" fillId="0" borderId="0" xfId="0" applyFont="1" applyBorder="1" applyAlignment="1">
      <alignment horizontal="right"/>
    </xf>
    <xf numFmtId="164" fontId="10" fillId="0" borderId="0" xfId="1" applyFont="1" applyBorder="1"/>
    <xf numFmtId="0" fontId="15" fillId="0" borderId="0" xfId="0" applyFont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20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/>
    <xf numFmtId="9" fontId="10" fillId="0" borderId="0" xfId="0" applyNumberFormat="1" applyFont="1" applyBorder="1"/>
    <xf numFmtId="0" fontId="10" fillId="0" borderId="26" xfId="0" applyFont="1" applyBorder="1"/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2" fontId="10" fillId="0" borderId="3" xfId="1" applyNumberFormat="1" applyFont="1" applyBorder="1" applyAlignment="1">
      <alignment horizontal="center" vertical="center" wrapText="1"/>
    </xf>
    <xf numFmtId="2" fontId="10" fillId="0" borderId="3" xfId="1" applyNumberFormat="1" applyFont="1" applyFill="1" applyBorder="1" applyAlignment="1">
      <alignment horizontal="center" vertical="center" wrapText="1"/>
    </xf>
    <xf numFmtId="2" fontId="10" fillId="0" borderId="5" xfId="1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/>
    <xf numFmtId="0" fontId="10" fillId="0" borderId="13" xfId="0" applyFont="1" applyFill="1" applyBorder="1"/>
    <xf numFmtId="0" fontId="10" fillId="0" borderId="27" xfId="0" applyFont="1" applyFill="1" applyBorder="1"/>
    <xf numFmtId="0" fontId="15" fillId="0" borderId="0" xfId="0" applyFont="1" applyBorder="1" applyAlignment="1">
      <alignment horizontal="left" vertical="center"/>
    </xf>
    <xf numFmtId="165" fontId="15" fillId="0" borderId="0" xfId="1" applyNumberFormat="1" applyFont="1" applyFill="1" applyBorder="1" applyAlignment="1"/>
    <xf numFmtId="165" fontId="30" fillId="0" borderId="0" xfId="1" applyNumberFormat="1" applyFont="1" applyFill="1" applyBorder="1" applyAlignment="1"/>
    <xf numFmtId="165" fontId="29" fillId="0" borderId="0" xfId="0" applyNumberFormat="1" applyFont="1" applyFill="1" applyBorder="1" applyAlignment="1">
      <alignment horizontal="left"/>
    </xf>
    <xf numFmtId="2" fontId="10" fillId="0" borderId="0" xfId="0" applyNumberFormat="1" applyFont="1" applyBorder="1"/>
    <xf numFmtId="0" fontId="19" fillId="0" borderId="0" xfId="0" applyFont="1" applyFill="1" applyBorder="1" applyAlignment="1">
      <alignment horizontal="right"/>
    </xf>
    <xf numFmtId="0" fontId="23" fillId="0" borderId="0" xfId="0" applyFont="1" applyBorder="1" applyAlignment="1">
      <alignment vertical="distributed"/>
    </xf>
    <xf numFmtId="0" fontId="10" fillId="0" borderId="3" xfId="0" applyFont="1" applyBorder="1" applyAlignment="1">
      <alignment horizontal="center" vertical="center"/>
    </xf>
    <xf numFmtId="9" fontId="10" fillId="10" borderId="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166" fontId="10" fillId="0" borderId="0" xfId="0" applyNumberFormat="1" applyFont="1" applyBorder="1" applyAlignment="1">
      <alignment horizontal="left" vertical="center"/>
    </xf>
    <xf numFmtId="172" fontId="15" fillId="0" borderId="15" xfId="1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6" xfId="0" applyFont="1" applyBorder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10" xfId="0" applyFont="1" applyBorder="1"/>
    <xf numFmtId="0" fontId="15" fillId="0" borderId="25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5" xfId="0" applyFont="1" applyBorder="1" applyAlignment="1">
      <alignment horizontal="right"/>
    </xf>
    <xf numFmtId="165" fontId="10" fillId="9" borderId="3" xfId="0" applyNumberFormat="1" applyFont="1" applyFill="1" applyBorder="1" applyAlignment="1">
      <alignment vertical="center"/>
    </xf>
    <xf numFmtId="165" fontId="10" fillId="0" borderId="3" xfId="0" applyNumberFormat="1" applyFont="1" applyBorder="1" applyAlignment="1">
      <alignment vertical="center"/>
    </xf>
    <xf numFmtId="165" fontId="10" fillId="9" borderId="3" xfId="1" applyNumberFormat="1" applyFont="1" applyFill="1" applyBorder="1" applyAlignment="1">
      <alignment vertical="center"/>
    </xf>
    <xf numFmtId="164" fontId="10" fillId="0" borderId="0" xfId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165" fontId="15" fillId="0" borderId="16" xfId="0" applyNumberFormat="1" applyFont="1" applyBorder="1" applyAlignment="1">
      <alignment horizontal="right"/>
    </xf>
    <xf numFmtId="165" fontId="15" fillId="0" borderId="30" xfId="0" applyNumberFormat="1" applyFont="1" applyBorder="1" applyAlignment="1">
      <alignment horizontal="right"/>
    </xf>
    <xf numFmtId="0" fontId="15" fillId="0" borderId="0" xfId="0" applyFont="1" applyAlignment="1">
      <alignment horizontal="left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2" applyNumberFormat="1" applyFont="1" applyFill="1" applyBorder="1" applyAlignment="1">
      <alignment horizontal="center" vertical="center" wrapText="1"/>
    </xf>
    <xf numFmtId="164" fontId="15" fillId="0" borderId="4" xfId="1" applyFont="1" applyFill="1" applyBorder="1" applyAlignment="1">
      <alignment horizontal="center" vertical="center" wrapText="1"/>
    </xf>
    <xf numFmtId="164" fontId="15" fillId="0" borderId="4" xfId="1" applyFont="1" applyBorder="1" applyAlignment="1">
      <alignment horizontal="center" vertical="center" wrapText="1"/>
    </xf>
    <xf numFmtId="177" fontId="10" fillId="0" borderId="3" xfId="1" applyNumberFormat="1" applyFont="1" applyFill="1" applyBorder="1" applyAlignment="1">
      <alignment horizontal="center" vertical="center"/>
    </xf>
    <xf numFmtId="2" fontId="15" fillId="0" borderId="3" xfId="0" applyNumberFormat="1" applyFont="1" applyFill="1" applyBorder="1" applyAlignment="1">
      <alignment horizontal="center" vertical="center" wrapText="1"/>
    </xf>
    <xf numFmtId="168" fontId="15" fillId="0" borderId="3" xfId="2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166" fontId="10" fillId="0" borderId="0" xfId="0" applyNumberFormat="1" applyFont="1" applyFill="1" applyBorder="1" applyAlignment="1">
      <alignment horizontal="center" vertical="center" wrapText="1"/>
    </xf>
    <xf numFmtId="167" fontId="10" fillId="0" borderId="0" xfId="0" applyNumberFormat="1" applyFont="1" applyFill="1" applyBorder="1" applyAlignment="1">
      <alignment horizontal="center" vertical="center" wrapText="1"/>
    </xf>
    <xf numFmtId="169" fontId="10" fillId="0" borderId="0" xfId="1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73" fontId="10" fillId="0" borderId="0" xfId="0" applyNumberFormat="1" applyFont="1" applyFill="1" applyAlignment="1">
      <alignment horizontal="center" vertical="center" wrapText="1"/>
    </xf>
    <xf numFmtId="164" fontId="10" fillId="0" borderId="0" xfId="1" applyFont="1" applyBorder="1" applyAlignment="1">
      <alignment horizontal="center"/>
    </xf>
    <xf numFmtId="170" fontId="10" fillId="0" borderId="0" xfId="1" applyNumberFormat="1" applyFont="1" applyBorder="1" applyAlignment="1">
      <alignment horizontal="center"/>
    </xf>
    <xf numFmtId="10" fontId="15" fillId="0" borderId="0" xfId="2" applyNumberFormat="1" applyFont="1" applyFill="1" applyBorder="1" applyAlignment="1"/>
    <xf numFmtId="0" fontId="24" fillId="0" borderId="0" xfId="0" applyFont="1"/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wrapText="1"/>
    </xf>
    <xf numFmtId="164" fontId="20" fillId="0" borderId="13" xfId="1" applyFont="1" applyFill="1" applyBorder="1" applyAlignment="1">
      <alignment horizontal="right"/>
    </xf>
    <xf numFmtId="0" fontId="10" fillId="0" borderId="13" xfId="0" applyFont="1" applyFill="1" applyBorder="1" applyAlignment="1">
      <alignment horizontal="left"/>
    </xf>
    <xf numFmtId="170" fontId="10" fillId="0" borderId="13" xfId="1" applyNumberFormat="1" applyFont="1" applyFill="1" applyBorder="1" applyAlignment="1">
      <alignment horizontal="center"/>
    </xf>
    <xf numFmtId="164" fontId="10" fillId="0" borderId="13" xfId="1" applyFont="1" applyFill="1" applyBorder="1" applyAlignment="1">
      <alignment horizontal="center"/>
    </xf>
    <xf numFmtId="164" fontId="15" fillId="0" borderId="13" xfId="1" applyFont="1" applyFill="1" applyBorder="1" applyAlignment="1"/>
    <xf numFmtId="164" fontId="15" fillId="0" borderId="26" xfId="1" applyFont="1" applyFill="1" applyBorder="1" applyAlignment="1"/>
    <xf numFmtId="0" fontId="10" fillId="0" borderId="15" xfId="0" applyFont="1" applyFill="1" applyBorder="1"/>
    <xf numFmtId="165" fontId="15" fillId="0" borderId="3" xfId="0" applyNumberFormat="1" applyFont="1" applyFill="1" applyBorder="1" applyAlignment="1">
      <alignment horizontal="center"/>
    </xf>
    <xf numFmtId="1" fontId="15" fillId="0" borderId="3" xfId="0" applyNumberFormat="1" applyFont="1" applyFill="1" applyBorder="1" applyAlignment="1">
      <alignment horizontal="center"/>
    </xf>
    <xf numFmtId="10" fontId="15" fillId="0" borderId="3" xfId="2" applyNumberFormat="1" applyFont="1" applyBorder="1" applyAlignment="1">
      <alignment horizontal="center"/>
    </xf>
    <xf numFmtId="164" fontId="15" fillId="0" borderId="3" xfId="1" applyFont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10" fontId="15" fillId="13" borderId="3" xfId="2" applyNumberFormat="1" applyFont="1" applyFill="1" applyBorder="1" applyAlignment="1"/>
    <xf numFmtId="1" fontId="10" fillId="0" borderId="12" xfId="0" applyNumberFormat="1" applyFont="1" applyFill="1" applyBorder="1" applyAlignment="1">
      <alignment horizontal="center" vertical="center" wrapText="1"/>
    </xf>
    <xf numFmtId="164" fontId="15" fillId="0" borderId="27" xfId="1" applyFont="1" applyFill="1" applyBorder="1" applyAlignment="1"/>
    <xf numFmtId="10" fontId="10" fillId="0" borderId="12" xfId="2" applyNumberFormat="1" applyFont="1" applyFill="1" applyBorder="1"/>
    <xf numFmtId="0" fontId="10" fillId="0" borderId="27" xfId="0" applyFont="1" applyBorder="1"/>
    <xf numFmtId="2" fontId="10" fillId="0" borderId="12" xfId="1" applyNumberFormat="1" applyFont="1" applyFill="1" applyBorder="1" applyAlignment="1">
      <alignment horizontal="center" vertical="center" wrapText="1"/>
    </xf>
    <xf numFmtId="174" fontId="10" fillId="0" borderId="12" xfId="0" applyNumberFormat="1" applyFont="1" applyBorder="1"/>
    <xf numFmtId="168" fontId="10" fillId="0" borderId="12" xfId="2" applyNumberFormat="1" applyFont="1" applyFill="1" applyBorder="1" applyAlignment="1">
      <alignment horizontal="center" vertical="center" wrapText="1"/>
    </xf>
    <xf numFmtId="166" fontId="15" fillId="0" borderId="12" xfId="1" applyNumberFormat="1" applyFont="1" applyFill="1" applyBorder="1"/>
    <xf numFmtId="0" fontId="15" fillId="0" borderId="0" xfId="0" applyFont="1" applyAlignment="1">
      <alignment horizontal="left"/>
    </xf>
    <xf numFmtId="175" fontId="10" fillId="0" borderId="12" xfId="0" applyNumberFormat="1" applyFont="1" applyFill="1" applyBorder="1" applyAlignment="1">
      <alignment horizontal="center" vertical="center" wrapText="1"/>
    </xf>
    <xf numFmtId="167" fontId="10" fillId="2" borderId="12" xfId="1" applyNumberFormat="1" applyFont="1" applyFill="1" applyBorder="1"/>
    <xf numFmtId="168" fontId="10" fillId="0" borderId="0" xfId="2" applyNumberFormat="1" applyFont="1" applyAlignment="1">
      <alignment horizontal="center" vertical="center" wrapText="1"/>
    </xf>
    <xf numFmtId="10" fontId="10" fillId="11" borderId="12" xfId="2" applyNumberFormat="1" applyFont="1" applyFill="1" applyBorder="1" applyAlignment="1">
      <alignment horizontal="center" vertical="center" wrapText="1"/>
    </xf>
    <xf numFmtId="10" fontId="21" fillId="0" borderId="12" xfId="0" applyNumberFormat="1" applyFont="1" applyBorder="1"/>
    <xf numFmtId="10" fontId="10" fillId="2" borderId="3" xfId="2" applyNumberFormat="1" applyFont="1" applyFill="1" applyBorder="1" applyAlignment="1">
      <alignment horizontal="center"/>
    </xf>
    <xf numFmtId="10" fontId="10" fillId="4" borderId="3" xfId="2" applyNumberFormat="1" applyFont="1" applyFill="1" applyBorder="1" applyAlignment="1">
      <alignment horizontal="center"/>
    </xf>
    <xf numFmtId="10" fontId="10" fillId="3" borderId="3" xfId="2" applyNumberFormat="1" applyFont="1" applyFill="1" applyBorder="1" applyAlignment="1">
      <alignment horizontal="center"/>
    </xf>
    <xf numFmtId="10" fontId="10" fillId="0" borderId="10" xfId="2" applyNumberFormat="1" applyFont="1" applyBorder="1" applyAlignment="1">
      <alignment horizontal="center" vertical="center" wrapText="1"/>
    </xf>
    <xf numFmtId="0" fontId="22" fillId="0" borderId="11" xfId="0" applyFont="1" applyBorder="1"/>
    <xf numFmtId="0" fontId="10" fillId="0" borderId="11" xfId="0" applyFont="1" applyBorder="1"/>
    <xf numFmtId="171" fontId="10" fillId="0" borderId="11" xfId="0" applyNumberFormat="1" applyFont="1" applyBorder="1"/>
    <xf numFmtId="0" fontId="10" fillId="0" borderId="30" xfId="0" applyFont="1" applyBorder="1"/>
    <xf numFmtId="0" fontId="10" fillId="0" borderId="10" xfId="0" applyFont="1" applyFill="1" applyBorder="1"/>
    <xf numFmtId="0" fontId="10" fillId="0" borderId="11" xfId="0" applyFont="1" applyFill="1" applyBorder="1"/>
    <xf numFmtId="0" fontId="10" fillId="0" borderId="30" xfId="0" applyFont="1" applyFill="1" applyBorder="1"/>
    <xf numFmtId="1" fontId="10" fillId="2" borderId="3" xfId="0" applyNumberFormat="1" applyFont="1" applyFill="1" applyBorder="1" applyAlignment="1">
      <alignment horizontal="center"/>
    </xf>
    <xf numFmtId="1" fontId="10" fillId="4" borderId="3" xfId="0" applyNumberFormat="1" applyFont="1" applyFill="1" applyBorder="1" applyAlignment="1">
      <alignment horizontal="center"/>
    </xf>
    <xf numFmtId="1" fontId="10" fillId="3" borderId="3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0" fillId="0" borderId="13" xfId="0" applyFont="1" applyFill="1" applyBorder="1" applyAlignment="1">
      <alignment horizontal="right"/>
    </xf>
    <xf numFmtId="176" fontId="10" fillId="0" borderId="13" xfId="1" applyNumberFormat="1" applyFont="1" applyBorder="1" applyAlignment="1">
      <alignment horizontal="center" vertical="center"/>
    </xf>
    <xf numFmtId="2" fontId="10" fillId="0" borderId="13" xfId="0" applyNumberFormat="1" applyFont="1" applyBorder="1"/>
    <xf numFmtId="10" fontId="19" fillId="0" borderId="0" xfId="2" applyNumberFormat="1" applyFont="1" applyFill="1" applyBorder="1" applyAlignment="1">
      <alignment horizontal="right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right"/>
    </xf>
    <xf numFmtId="49" fontId="33" fillId="0" borderId="0" xfId="1" applyNumberFormat="1" applyFont="1" applyBorder="1" applyAlignment="1">
      <alignment horizontal="right"/>
    </xf>
    <xf numFmtId="1" fontId="33" fillId="0" borderId="0" xfId="0" applyNumberFormat="1" applyFont="1" applyFill="1" applyBorder="1" applyAlignment="1">
      <alignment horizontal="center"/>
    </xf>
    <xf numFmtId="164" fontId="15" fillId="0" borderId="12" xfId="1" applyFont="1" applyFill="1" applyBorder="1" applyAlignment="1">
      <alignment horizontal="center" vertical="center" wrapText="1"/>
    </xf>
    <xf numFmtId="0" fontId="13" fillId="0" borderId="0" xfId="0" applyFont="1" applyFill="1" applyBorder="1"/>
    <xf numFmtId="164" fontId="10" fillId="0" borderId="0" xfId="1" applyFont="1" applyFill="1" applyBorder="1" applyAlignment="1"/>
    <xf numFmtId="0" fontId="32" fillId="5" borderId="0" xfId="0" applyFont="1" applyFill="1" applyBorder="1" applyAlignment="1">
      <alignment horizontal="center" vertical="center" wrapText="1"/>
    </xf>
    <xf numFmtId="0" fontId="32" fillId="5" borderId="0" xfId="0" applyFont="1" applyFill="1" applyBorder="1"/>
    <xf numFmtId="0" fontId="32" fillId="5" borderId="0" xfId="0" applyFont="1" applyFill="1" applyBorder="1" applyAlignment="1">
      <alignment horizontal="right"/>
    </xf>
    <xf numFmtId="1" fontId="32" fillId="5" borderId="0" xfId="0" applyNumberFormat="1" applyFont="1" applyFill="1" applyBorder="1" applyAlignment="1">
      <alignment horizontal="center" vertical="distributed"/>
    </xf>
    <xf numFmtId="0" fontId="10" fillId="0" borderId="12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32" fillId="6" borderId="0" xfId="0" applyFont="1" applyFill="1" applyBorder="1" applyAlignment="1">
      <alignment horizontal="center" vertical="center" wrapText="1"/>
    </xf>
    <xf numFmtId="0" fontId="32" fillId="6" borderId="0" xfId="0" applyFont="1" applyFill="1" applyBorder="1"/>
    <xf numFmtId="0" fontId="32" fillId="6" borderId="0" xfId="0" applyFont="1" applyFill="1" applyBorder="1" applyAlignment="1">
      <alignment horizontal="right"/>
    </xf>
    <xf numFmtId="1" fontId="32" fillId="6" borderId="0" xfId="0" applyNumberFormat="1" applyFont="1" applyFill="1" applyBorder="1" applyAlignment="1">
      <alignment horizontal="center" vertical="distributed"/>
    </xf>
    <xf numFmtId="164" fontId="10" fillId="0" borderId="0" xfId="0" applyNumberFormat="1" applyFont="1" applyFill="1" applyBorder="1" applyAlignment="1">
      <alignment horizontal="left" vertical="center"/>
    </xf>
    <xf numFmtId="165" fontId="32" fillId="7" borderId="0" xfId="0" applyNumberFormat="1" applyFont="1" applyFill="1" applyBorder="1" applyAlignment="1">
      <alignment horizontal="center" vertical="center" wrapText="1"/>
    </xf>
    <xf numFmtId="164" fontId="34" fillId="7" borderId="0" xfId="1" applyFont="1" applyFill="1" applyBorder="1"/>
    <xf numFmtId="164" fontId="32" fillId="7" borderId="0" xfId="1" applyFont="1" applyFill="1" applyBorder="1" applyAlignment="1">
      <alignment horizontal="right"/>
    </xf>
    <xf numFmtId="1" fontId="32" fillId="7" borderId="0" xfId="0" applyNumberFormat="1" applyFont="1" applyFill="1" applyBorder="1" applyAlignment="1">
      <alignment horizontal="center" vertical="distributed"/>
    </xf>
    <xf numFmtId="49" fontId="32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/>
    <xf numFmtId="1" fontId="32" fillId="0" borderId="0" xfId="0" applyNumberFormat="1" applyFont="1" applyBorder="1" applyAlignment="1">
      <alignment horizontal="center"/>
    </xf>
    <xf numFmtId="164" fontId="10" fillId="0" borderId="11" xfId="1" applyFont="1" applyFill="1" applyBorder="1" applyAlignment="1">
      <alignment horizontal="center"/>
    </xf>
    <xf numFmtId="164" fontId="15" fillId="0" borderId="11" xfId="1" applyFont="1" applyFill="1" applyBorder="1" applyAlignment="1"/>
    <xf numFmtId="0" fontId="32" fillId="0" borderId="0" xfId="0" applyFont="1" applyFill="1" applyBorder="1" applyAlignment="1">
      <alignment horizontal="right" vertical="center"/>
    </xf>
    <xf numFmtId="49" fontId="32" fillId="0" borderId="0" xfId="1" applyNumberFormat="1" applyFont="1" applyBorder="1" applyAlignment="1">
      <alignment horizontal="right"/>
    </xf>
    <xf numFmtId="1" fontId="32" fillId="0" borderId="0" xfId="0" applyNumberFormat="1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 vertical="center" wrapText="1"/>
    </xf>
    <xf numFmtId="0" fontId="32" fillId="3" borderId="0" xfId="0" applyFont="1" applyFill="1" applyBorder="1"/>
    <xf numFmtId="0" fontId="32" fillId="3" borderId="0" xfId="0" applyFont="1" applyFill="1" applyBorder="1" applyAlignment="1">
      <alignment horizontal="right"/>
    </xf>
    <xf numFmtId="1" fontId="32" fillId="3" borderId="0" xfId="0" applyNumberFormat="1" applyFont="1" applyFill="1" applyBorder="1" applyAlignment="1">
      <alignment horizontal="center" vertical="distributed"/>
    </xf>
    <xf numFmtId="0" fontId="28" fillId="0" borderId="0" xfId="0" applyFont="1" applyFill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164" fontId="13" fillId="0" borderId="0" xfId="1" applyFont="1" applyFill="1" applyBorder="1" applyAlignment="1">
      <alignment horizontal="center" vertical="center" wrapText="1"/>
    </xf>
    <xf numFmtId="164" fontId="15" fillId="0" borderId="0" xfId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right" vertical="center"/>
    </xf>
    <xf numFmtId="164" fontId="10" fillId="0" borderId="3" xfId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right" vertical="center"/>
    </xf>
    <xf numFmtId="165" fontId="15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26" fillId="0" borderId="1" xfId="0" applyFont="1" applyBorder="1" applyAlignment="1">
      <alignment horizontal="left" vertical="center"/>
    </xf>
    <xf numFmtId="165" fontId="10" fillId="0" borderId="0" xfId="1" applyNumberFormat="1" applyFont="1" applyAlignment="1">
      <alignment horizontal="center" vertical="center" wrapText="1"/>
    </xf>
    <xf numFmtId="164" fontId="15" fillId="0" borderId="0" xfId="1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164" fontId="10" fillId="11" borderId="0" xfId="0" applyNumberFormat="1" applyFont="1" applyFill="1" applyAlignment="1">
      <alignment horizontal="center" vertical="center" wrapText="1"/>
    </xf>
    <xf numFmtId="164" fontId="15" fillId="0" borderId="3" xfId="0" applyNumberFormat="1" applyFont="1" applyBorder="1"/>
    <xf numFmtId="164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166" fontId="15" fillId="11" borderId="3" xfId="1" applyNumberFormat="1" applyFont="1" applyFill="1" applyBorder="1"/>
    <xf numFmtId="170" fontId="10" fillId="0" borderId="0" xfId="0" applyNumberFormat="1" applyFont="1" applyFill="1" applyBorder="1" applyAlignment="1">
      <alignment horizontal="center" vertical="center" wrapText="1"/>
    </xf>
    <xf numFmtId="9" fontId="10" fillId="0" borderId="0" xfId="2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/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/>
    <xf numFmtId="166" fontId="10" fillId="0" borderId="0" xfId="0" applyNumberFormat="1" applyFont="1" applyFill="1" applyBorder="1" applyAlignment="1">
      <alignment horizontal="center" vertical="center"/>
    </xf>
    <xf numFmtId="10" fontId="10" fillId="0" borderId="27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/>
    </xf>
    <xf numFmtId="0" fontId="10" fillId="0" borderId="12" xfId="0" applyFont="1" applyFill="1" applyBorder="1"/>
    <xf numFmtId="49" fontId="10" fillId="0" borderId="10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/>
    <xf numFmtId="0" fontId="10" fillId="0" borderId="11" xfId="0" applyFont="1" applyBorder="1" applyAlignment="1">
      <alignment horizontal="center" vertical="center" wrapText="1"/>
    </xf>
    <xf numFmtId="49" fontId="15" fillId="8" borderId="3" xfId="0" applyNumberFormat="1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6" fontId="10" fillId="0" borderId="0" xfId="0" applyNumberFormat="1" applyFont="1" applyAlignment="1">
      <alignment vertical="center"/>
    </xf>
    <xf numFmtId="175" fontId="10" fillId="0" borderId="3" xfId="0" applyNumberFormat="1" applyFont="1" applyBorder="1" applyAlignment="1">
      <alignment horizontal="center" vertical="center"/>
    </xf>
    <xf numFmtId="10" fontId="10" fillId="0" borderId="3" xfId="2" applyNumberFormat="1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 vertical="center" wrapText="1"/>
    </xf>
    <xf numFmtId="0" fontId="10" fillId="12" borderId="8" xfId="0" applyFont="1" applyFill="1" applyBorder="1" applyAlignment="1">
      <alignment horizontal="left" vertical="center" wrapText="1"/>
    </xf>
    <xf numFmtId="0" fontId="29" fillId="12" borderId="2" xfId="0" applyFont="1" applyFill="1" applyBorder="1" applyAlignment="1">
      <alignment horizontal="center" vertical="center" wrapText="1"/>
    </xf>
    <xf numFmtId="0" fontId="37" fillId="12" borderId="0" xfId="0" applyFont="1" applyFill="1" applyBorder="1" applyAlignment="1">
      <alignment vertical="center" wrapText="1"/>
    </xf>
    <xf numFmtId="0" fontId="37" fillId="12" borderId="6" xfId="0" applyFont="1" applyFill="1" applyBorder="1" applyAlignment="1">
      <alignment vertical="center" wrapText="1"/>
    </xf>
    <xf numFmtId="0" fontId="32" fillId="0" borderId="28" xfId="0" applyFont="1" applyFill="1" applyBorder="1" applyAlignment="1">
      <alignment horizontal="left" vertical="center"/>
    </xf>
    <xf numFmtId="0" fontId="32" fillId="12" borderId="21" xfId="0" applyFont="1" applyFill="1" applyBorder="1" applyAlignment="1">
      <alignment horizontal="left" vertical="center"/>
    </xf>
    <xf numFmtId="0" fontId="10" fillId="12" borderId="20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5" fillId="12" borderId="0" xfId="0" applyFont="1" applyFill="1" applyBorder="1" applyAlignment="1">
      <alignment vertical="center" wrapText="1"/>
    </xf>
    <xf numFmtId="0" fontId="32" fillId="12" borderId="28" xfId="0" applyFont="1" applyFill="1" applyBorder="1" applyAlignment="1">
      <alignment horizontal="left" vertical="center"/>
    </xf>
    <xf numFmtId="0" fontId="10" fillId="12" borderId="18" xfId="0" applyFont="1" applyFill="1" applyBorder="1" applyAlignment="1">
      <alignment horizontal="center" vertical="center"/>
    </xf>
    <xf numFmtId="0" fontId="32" fillId="12" borderId="22" xfId="0" applyFont="1" applyFill="1" applyBorder="1" applyAlignment="1">
      <alignment horizontal="left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21" xfId="0" applyFont="1" applyFill="1" applyBorder="1" applyAlignment="1">
      <alignment vertical="center"/>
    </xf>
    <xf numFmtId="0" fontId="4" fillId="12" borderId="17" xfId="0" applyFont="1" applyFill="1" applyBorder="1" applyAlignment="1">
      <alignment vertical="distributed"/>
    </xf>
    <xf numFmtId="0" fontId="4" fillId="12" borderId="24" xfId="0" applyFont="1" applyFill="1" applyBorder="1" applyAlignment="1">
      <alignment vertical="distributed"/>
    </xf>
    <xf numFmtId="0" fontId="39" fillId="0" borderId="0" xfId="0" applyFont="1"/>
    <xf numFmtId="0" fontId="40" fillId="0" borderId="0" xfId="0" applyFont="1"/>
    <xf numFmtId="175" fontId="24" fillId="12" borderId="29" xfId="0" applyNumberFormat="1" applyFont="1" applyFill="1" applyBorder="1" applyAlignment="1">
      <alignment horizontal="center" vertical="center"/>
    </xf>
    <xf numFmtId="175" fontId="24" fillId="12" borderId="19" xfId="0" applyNumberFormat="1" applyFont="1" applyFill="1" applyBorder="1" applyAlignment="1">
      <alignment horizontal="center" vertical="center"/>
    </xf>
    <xf numFmtId="175" fontId="24" fillId="12" borderId="23" xfId="0" applyNumberFormat="1" applyFont="1" applyFill="1" applyBorder="1" applyAlignment="1">
      <alignment horizontal="center" vertical="center"/>
    </xf>
    <xf numFmtId="0" fontId="10" fillId="0" borderId="28" xfId="0" applyFont="1" applyBorder="1" applyAlignment="1">
      <alignment horizontal="left" vertical="center" wrapText="1"/>
    </xf>
    <xf numFmtId="175" fontId="24" fillId="12" borderId="32" xfId="0" applyNumberFormat="1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left" vertical="center"/>
    </xf>
    <xf numFmtId="0" fontId="10" fillId="0" borderId="21" xfId="0" applyFont="1" applyBorder="1"/>
    <xf numFmtId="0" fontId="10" fillId="0" borderId="22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168" fontId="10" fillId="0" borderId="0" xfId="2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2" fillId="12" borderId="31" xfId="0" applyFont="1" applyFill="1" applyBorder="1" applyAlignment="1">
      <alignment horizontal="left" vertical="center"/>
    </xf>
    <xf numFmtId="0" fontId="10" fillId="12" borderId="16" xfId="0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75" fontId="24" fillId="12" borderId="0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right" vertical="center" wrapText="1"/>
    </xf>
    <xf numFmtId="175" fontId="24" fillId="12" borderId="19" xfId="0" applyNumberFormat="1" applyFont="1" applyFill="1" applyBorder="1" applyAlignment="1">
      <alignment horizontal="right" vertical="center"/>
    </xf>
    <xf numFmtId="0" fontId="10" fillId="0" borderId="21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/>
    </xf>
    <xf numFmtId="175" fontId="24" fillId="12" borderId="23" xfId="0" applyNumberFormat="1" applyFont="1" applyFill="1" applyBorder="1" applyAlignment="1">
      <alignment horizontal="right" vertical="center"/>
    </xf>
    <xf numFmtId="175" fontId="24" fillId="12" borderId="35" xfId="0" applyNumberFormat="1" applyFont="1" applyFill="1" applyBorder="1" applyAlignment="1">
      <alignment horizontal="center" vertical="center"/>
    </xf>
    <xf numFmtId="0" fontId="10" fillId="12" borderId="34" xfId="0" applyFont="1" applyFill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36" xfId="0" applyFont="1" applyBorder="1"/>
    <xf numFmtId="0" fontId="10" fillId="12" borderId="4" xfId="0" applyFont="1" applyFill="1" applyBorder="1" applyAlignment="1">
      <alignment horizontal="right" vertical="center"/>
    </xf>
    <xf numFmtId="175" fontId="24" fillId="12" borderId="35" xfId="0" applyNumberFormat="1" applyFont="1" applyFill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175" fontId="24" fillId="12" borderId="29" xfId="0" applyNumberFormat="1" applyFont="1" applyFill="1" applyBorder="1" applyAlignment="1">
      <alignment horizontal="right" vertical="center"/>
    </xf>
    <xf numFmtId="0" fontId="10" fillId="0" borderId="21" xfId="0" applyFont="1" applyBorder="1" applyAlignment="1">
      <alignment horizontal="left" vertical="center" wrapText="1"/>
    </xf>
    <xf numFmtId="0" fontId="10" fillId="12" borderId="28" xfId="0" applyFont="1" applyFill="1" applyBorder="1" applyAlignment="1">
      <alignment horizontal="left" vertical="center"/>
    </xf>
    <xf numFmtId="0" fontId="15" fillId="12" borderId="0" xfId="0" applyFont="1" applyFill="1" applyBorder="1" applyAlignment="1">
      <alignment wrapText="1"/>
    </xf>
    <xf numFmtId="0" fontId="32" fillId="12" borderId="0" xfId="0" applyFont="1" applyFill="1" applyBorder="1" applyAlignment="1">
      <alignment horizontal="left" vertical="center"/>
    </xf>
    <xf numFmtId="0" fontId="10" fillId="12" borderId="0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center" vertical="center"/>
    </xf>
    <xf numFmtId="175" fontId="24" fillId="12" borderId="39" xfId="0" applyNumberFormat="1" applyFont="1" applyFill="1" applyBorder="1" applyAlignment="1">
      <alignment horizontal="right" vertical="center"/>
    </xf>
    <xf numFmtId="0" fontId="35" fillId="0" borderId="3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distributed"/>
    </xf>
    <xf numFmtId="0" fontId="32" fillId="12" borderId="37" xfId="0" applyFont="1" applyFill="1" applyBorder="1" applyAlignment="1">
      <alignment horizontal="left" vertical="center"/>
    </xf>
    <xf numFmtId="0" fontId="10" fillId="12" borderId="38" xfId="0" applyFont="1" applyFill="1" applyBorder="1" applyAlignment="1">
      <alignment horizontal="center" vertical="center"/>
    </xf>
    <xf numFmtId="175" fontId="24" fillId="12" borderId="39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CFFFF"/>
      <color rgb="FF0000FF"/>
      <color rgb="FF008000"/>
      <color rgb="FF009900"/>
      <color rgb="FF0070C0"/>
      <color rgb="FFFFFF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6-4F5B-AF9C-CF233A2A2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5552"/>
        <c:axId val="1"/>
      </c:lineChart>
      <c:catAx>
        <c:axId val="210136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2-4E39-B32D-34499DA47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6800"/>
        <c:axId val="1"/>
      </c:lineChart>
      <c:catAx>
        <c:axId val="210136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6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5-40ED-B162-756C1D16C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59728"/>
        <c:axId val="1"/>
      </c:lineChart>
      <c:catAx>
        <c:axId val="210135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5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1-4EE2-B66A-7D6ADB957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0144"/>
        <c:axId val="1"/>
      </c:lineChart>
      <c:catAx>
        <c:axId val="210136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es-ES"/>
              <a:t>El NND (IC95%) es el Nº de pacientes que hay que tratar con el Mto de Intervención para perjudicar a "1" más que si se trata con Placebo. En el resto de pacientes el Mto de Intervención y el Placebo tienen un comportamiento similar.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Permanecerán sanos sin tomar el Mto de Intervención</c:v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58-4BDB-ACC8-93C6DB3FD1EC}"/>
                </c:ext>
              </c:extLst>
            </c:dLbl>
            <c:dLbl>
              <c:idx val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58-4BDB-ACC8-93C6DB3FD1EC}"/>
                </c:ext>
              </c:extLst>
            </c:dLbl>
            <c:dLbl>
              <c:idx val="2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58-4BDB-ACC8-93C6DB3FD1EC}"/>
                </c:ext>
              </c:extLst>
            </c:dLbl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'Inc Acumul'!$J$35:$L$35</c:f>
            </c:numRef>
          </c:val>
          <c:extLst>
            <c:ext xmlns:c16="http://schemas.microsoft.com/office/drawing/2014/chart" uri="{C3380CC4-5D6E-409C-BE32-E72D297353CC}">
              <c16:uniqueId val="{00000003-3C58-4BDB-ACC8-93C6DB3FD1EC}"/>
            </c:ext>
          </c:extLst>
        </c:ser>
        <c:ser>
          <c:idx val="1"/>
          <c:order val="1"/>
          <c:tx>
            <c:v>Enfermarán por tomar el Mto de Intervención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58-4BDB-ACC8-93C6DB3FD1EC}"/>
                </c:ext>
              </c:extLst>
            </c:dLbl>
            <c:dLbl>
              <c:idx val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58-4BDB-ACC8-93C6DB3FD1EC}"/>
                </c:ext>
              </c:extLst>
            </c:dLbl>
            <c:dLbl>
              <c:idx val="2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58-4BDB-ACC8-93C6DB3FD1EC}"/>
                </c:ext>
              </c:extLst>
            </c:dLbl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'Inc Acumul'!$J$36:$L$36</c:f>
            </c:numRef>
          </c:val>
          <c:extLst>
            <c:ext xmlns:c16="http://schemas.microsoft.com/office/drawing/2014/chart" uri="{C3380CC4-5D6E-409C-BE32-E72D297353CC}">
              <c16:uniqueId val="{00000007-3C58-4BDB-ACC8-93C6DB3FD1EC}"/>
            </c:ext>
          </c:extLst>
        </c:ser>
        <c:ser>
          <c:idx val="2"/>
          <c:order val="2"/>
          <c:tx>
            <c:v>Enfermarán incluso sin tomar el Mto de Intervención</c:v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58-4BDB-ACC8-93C6DB3FD1EC}"/>
                </c:ext>
              </c:extLst>
            </c:dLbl>
            <c:dLbl>
              <c:idx val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58-4BDB-ACC8-93C6DB3FD1EC}"/>
                </c:ext>
              </c:extLst>
            </c:dLbl>
            <c:dLbl>
              <c:idx val="2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58-4BDB-ACC8-93C6DB3FD1EC}"/>
                </c:ext>
              </c:extLst>
            </c:dLbl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'Inc Acumul'!$J$37:$L$37</c:f>
            </c:numRef>
          </c:val>
          <c:extLst>
            <c:ext xmlns:c16="http://schemas.microsoft.com/office/drawing/2014/chart" uri="{C3380CC4-5D6E-409C-BE32-E72D297353CC}">
              <c16:uniqueId val="{0000000B-3C58-4BDB-ACC8-93C6DB3FD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1360976"/>
        <c:axId val="1"/>
      </c:barChart>
      <c:catAx>
        <c:axId val="210136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s-ES"/>
                  <a:t>NND: el 1 es la estimación puntual, el 2 y el 3 son los extremos del IC 95%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pacientes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210136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1</xdr:col>
      <xdr:colOff>0</xdr:colOff>
      <xdr:row>43</xdr:row>
      <xdr:rowOff>38100</xdr:rowOff>
    </xdr:to>
    <xdr:graphicFrame macro="">
      <xdr:nvGraphicFramePr>
        <xdr:cNvPr id="1590" name="Gráfico 10">
          <a:extLst>
            <a:ext uri="{FF2B5EF4-FFF2-40B4-BE49-F238E27FC236}">
              <a16:creationId xmlns:a16="http://schemas.microsoft.com/office/drawing/2014/main" id="{A65AC891-D1C9-43FB-9808-A52C8E566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graphicFrame macro="">
      <xdr:nvGraphicFramePr>
        <xdr:cNvPr id="1591" name="Gráfico 11">
          <a:extLst>
            <a:ext uri="{FF2B5EF4-FFF2-40B4-BE49-F238E27FC236}">
              <a16:creationId xmlns:a16="http://schemas.microsoft.com/office/drawing/2014/main" id="{AA57A113-58A5-4E94-BDE8-AEAF8A4C8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graphicFrame macro="">
      <xdr:nvGraphicFramePr>
        <xdr:cNvPr id="1592" name="Gráfico 12">
          <a:extLst>
            <a:ext uri="{FF2B5EF4-FFF2-40B4-BE49-F238E27FC236}">
              <a16:creationId xmlns:a16="http://schemas.microsoft.com/office/drawing/2014/main" id="{1FE8F15B-BF78-4A40-AA0A-D79F66512D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43</xdr:row>
      <xdr:rowOff>28575</xdr:rowOff>
    </xdr:to>
    <xdr:graphicFrame macro="">
      <xdr:nvGraphicFramePr>
        <xdr:cNvPr id="1593" name="Gráfico 13">
          <a:extLst>
            <a:ext uri="{FF2B5EF4-FFF2-40B4-BE49-F238E27FC236}">
              <a16:creationId xmlns:a16="http://schemas.microsoft.com/office/drawing/2014/main" id="{C29DCF90-53A0-4DFA-9B4C-C76C012EA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257175</xdr:colOff>
      <xdr:row>27</xdr:row>
      <xdr:rowOff>76200</xdr:rowOff>
    </xdr:from>
    <xdr:to>
      <xdr:col>30</xdr:col>
      <xdr:colOff>695325</xdr:colOff>
      <xdr:row>52</xdr:row>
      <xdr:rowOff>0</xdr:rowOff>
    </xdr:to>
    <xdr:graphicFrame macro="">
      <xdr:nvGraphicFramePr>
        <xdr:cNvPr id="1594" name="Gráfico 88">
          <a:extLst>
            <a:ext uri="{FF2B5EF4-FFF2-40B4-BE49-F238E27FC236}">
              <a16:creationId xmlns:a16="http://schemas.microsoft.com/office/drawing/2014/main" id="{F3BAF80F-DC88-43D5-876D-001F15DF3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133"/>
  <sheetViews>
    <sheetView tabSelected="1" zoomScale="90" zoomScaleNormal="90" workbookViewId="0">
      <selection activeCell="G9" sqref="G9"/>
    </sheetView>
  </sheetViews>
  <sheetFormatPr baseColWidth="10" defaultColWidth="11.453125" defaultRowHeight="13" x14ac:dyDescent="0.3"/>
  <cols>
    <col min="1" max="1" width="1" style="5" customWidth="1"/>
    <col min="2" max="2" width="40.81640625" style="5" customWidth="1"/>
    <col min="3" max="3" width="19.26953125" style="5" customWidth="1"/>
    <col min="4" max="4" width="18.453125" style="5" customWidth="1"/>
    <col min="5" max="5" width="15.54296875" style="5" customWidth="1"/>
    <col min="6" max="6" width="20.1796875" style="5" customWidth="1"/>
    <col min="7" max="7" width="16.54296875" style="5" customWidth="1"/>
    <col min="8" max="8" width="8.7265625" style="5" customWidth="1"/>
    <col min="9" max="9" width="4.54296875" style="5" customWidth="1"/>
    <col min="10" max="10" width="13.81640625" style="5" customWidth="1"/>
    <col min="11" max="11" width="2.453125" style="5" customWidth="1"/>
    <col min="12" max="13" width="14.26953125" style="5" customWidth="1"/>
    <col min="14" max="14" width="14.7265625" style="5" bestFit="1" customWidth="1"/>
    <col min="15" max="15" width="14.26953125" style="12" bestFit="1" customWidth="1"/>
    <col min="16" max="16" width="14.26953125" style="12" customWidth="1"/>
    <col min="17" max="17" width="14" style="5" bestFit="1" customWidth="1"/>
    <col min="18" max="18" width="11.54296875" style="5" bestFit="1" customWidth="1"/>
    <col min="19" max="19" width="13.81640625" style="5" bestFit="1" customWidth="1"/>
    <col min="20" max="20" width="11.453125" style="5"/>
    <col min="21" max="22" width="11.453125" style="12"/>
    <col min="23" max="16384" width="11.453125" style="5"/>
  </cols>
  <sheetData>
    <row r="1" spans="2:30" s="4" customFormat="1" ht="8.25" customHeight="1" thickBot="1" x14ac:dyDescent="0.35">
      <c r="B1" s="94"/>
      <c r="C1" s="95"/>
      <c r="D1" s="94"/>
      <c r="E1" s="96"/>
      <c r="F1" s="5"/>
      <c r="G1" s="5"/>
      <c r="H1" s="97"/>
      <c r="I1" s="97"/>
      <c r="J1" s="97"/>
      <c r="K1" s="97"/>
      <c r="L1" s="8"/>
      <c r="M1" s="13"/>
      <c r="N1" s="13"/>
      <c r="O1" s="2"/>
      <c r="P1" s="2"/>
      <c r="Q1" s="3"/>
      <c r="R1" s="2"/>
      <c r="S1" s="2"/>
      <c r="T1" s="2"/>
      <c r="U1" s="98"/>
      <c r="V1" s="98"/>
      <c r="W1" s="98"/>
      <c r="X1" s="98"/>
      <c r="Y1" s="98"/>
      <c r="Z1" s="98"/>
      <c r="AA1" s="98"/>
      <c r="AB1" s="98"/>
      <c r="AC1" s="98"/>
    </row>
    <row r="2" spans="2:30" ht="24.75" customHeight="1" thickBot="1" x14ac:dyDescent="0.35">
      <c r="B2" s="350" t="s">
        <v>67</v>
      </c>
      <c r="C2" s="351"/>
      <c r="D2" s="351"/>
      <c r="E2" s="351"/>
      <c r="F2" s="352"/>
      <c r="G2" s="99"/>
      <c r="H2" s="100" t="s">
        <v>72</v>
      </c>
      <c r="I2" s="101">
        <v>0.95</v>
      </c>
      <c r="J2" s="99"/>
      <c r="K2" s="7"/>
      <c r="L2" s="8"/>
      <c r="M2" s="9"/>
      <c r="N2" s="9"/>
      <c r="O2" s="10"/>
      <c r="P2" s="10"/>
      <c r="Q2" s="11"/>
      <c r="R2" s="10"/>
      <c r="S2" s="10"/>
      <c r="T2" s="10"/>
      <c r="U2" s="10"/>
      <c r="V2" s="10"/>
      <c r="W2" s="10"/>
      <c r="X2" s="12"/>
      <c r="Y2" s="12"/>
      <c r="Z2" s="12"/>
      <c r="AA2" s="12"/>
      <c r="AB2" s="12"/>
      <c r="AC2" s="12"/>
      <c r="AD2" s="12"/>
    </row>
    <row r="3" spans="2:30" ht="28.5" customHeight="1" x14ac:dyDescent="0.3">
      <c r="B3" s="353" t="s">
        <v>112</v>
      </c>
      <c r="C3" s="354"/>
      <c r="D3" s="354"/>
      <c r="E3" s="354"/>
      <c r="F3" s="355"/>
      <c r="G3" s="102"/>
      <c r="H3" s="102"/>
      <c r="I3" s="102"/>
      <c r="J3" s="102"/>
      <c r="K3" s="7"/>
      <c r="L3" s="8"/>
      <c r="M3" s="9"/>
      <c r="N3" s="9"/>
      <c r="O3" s="10"/>
      <c r="P3" s="10"/>
      <c r="Q3" s="11"/>
      <c r="R3" s="10"/>
      <c r="S3" s="10"/>
      <c r="T3" s="10"/>
      <c r="U3" s="10"/>
      <c r="V3" s="10"/>
      <c r="W3" s="10"/>
      <c r="X3" s="12"/>
      <c r="Y3" s="12"/>
      <c r="Z3" s="12"/>
      <c r="AA3" s="12"/>
      <c r="AB3" s="12"/>
      <c r="AC3" s="12"/>
      <c r="AD3" s="12"/>
    </row>
    <row r="4" spans="2:30" ht="12.75" customHeight="1" x14ac:dyDescent="0.7">
      <c r="B4" s="78"/>
      <c r="C4" s="14"/>
      <c r="D4" s="13"/>
      <c r="E4" s="13"/>
      <c r="F4" s="6"/>
      <c r="G4" s="15"/>
      <c r="J4" s="102"/>
      <c r="K4" s="79"/>
      <c r="L4" s="16"/>
      <c r="O4" s="10"/>
      <c r="P4" s="10"/>
      <c r="Q4" s="17"/>
      <c r="R4" s="10"/>
      <c r="S4" s="10"/>
      <c r="T4" s="15"/>
      <c r="V4" s="18"/>
      <c r="W4" s="18"/>
      <c r="X4" s="12"/>
      <c r="Y4" s="18"/>
      <c r="Z4" s="19"/>
      <c r="AA4" s="12"/>
      <c r="AB4" s="12"/>
      <c r="AC4" s="12"/>
      <c r="AD4" s="12"/>
    </row>
    <row r="5" spans="2:30" x14ac:dyDescent="0.3">
      <c r="B5" s="103" t="s">
        <v>60</v>
      </c>
      <c r="C5" s="104"/>
      <c r="D5" s="105" t="s">
        <v>20</v>
      </c>
      <c r="E5" s="105" t="s">
        <v>21</v>
      </c>
      <c r="F5" s="106"/>
      <c r="I5" s="107"/>
      <c r="J5" s="102"/>
      <c r="K5" s="107"/>
      <c r="L5" s="108"/>
      <c r="M5" s="108"/>
      <c r="N5" s="108"/>
      <c r="O5" s="10"/>
      <c r="P5" s="10"/>
      <c r="Q5" s="10"/>
      <c r="R5" s="10"/>
      <c r="S5" s="10"/>
      <c r="T5" s="15"/>
      <c r="V5" s="18"/>
      <c r="W5" s="18"/>
      <c r="X5" s="12"/>
      <c r="Y5" s="18"/>
      <c r="Z5" s="19"/>
      <c r="AA5" s="12"/>
      <c r="AB5" s="12"/>
      <c r="AC5" s="12"/>
      <c r="AD5" s="12"/>
    </row>
    <row r="6" spans="2:30" x14ac:dyDescent="0.3">
      <c r="B6" s="82"/>
      <c r="C6" s="109"/>
      <c r="D6" s="110" t="s">
        <v>3</v>
      </c>
      <c r="E6" s="110" t="s">
        <v>2</v>
      </c>
      <c r="F6" s="111" t="s">
        <v>22</v>
      </c>
      <c r="I6" s="107"/>
      <c r="J6" s="102"/>
      <c r="K6" s="107"/>
      <c r="L6" s="108"/>
      <c r="M6" s="108"/>
      <c r="N6" s="108"/>
      <c r="O6" s="10"/>
      <c r="P6" s="10"/>
      <c r="Q6" s="10"/>
      <c r="R6" s="10"/>
      <c r="S6" s="10"/>
      <c r="T6" s="15"/>
      <c r="V6" s="18"/>
      <c r="W6" s="18"/>
      <c r="X6" s="12"/>
      <c r="Y6" s="18"/>
      <c r="Z6" s="12"/>
      <c r="AA6" s="12"/>
      <c r="AB6" s="12"/>
      <c r="AC6" s="12"/>
      <c r="AD6" s="12"/>
    </row>
    <row r="7" spans="2:30" ht="12.75" customHeight="1" x14ac:dyDescent="0.3">
      <c r="B7" s="82"/>
      <c r="C7" s="112" t="s">
        <v>73</v>
      </c>
      <c r="D7" s="113">
        <v>636</v>
      </c>
      <c r="E7" s="114">
        <f>F7-D7</f>
        <v>4656</v>
      </c>
      <c r="F7" s="115">
        <v>5292</v>
      </c>
      <c r="H7" s="287"/>
      <c r="J7" s="288"/>
      <c r="K7" s="107"/>
      <c r="L7" s="108"/>
      <c r="M7" s="108"/>
      <c r="N7" s="108"/>
      <c r="O7" s="10"/>
      <c r="P7" s="10"/>
      <c r="Q7" s="10"/>
      <c r="R7" s="10"/>
      <c r="S7" s="10"/>
      <c r="T7" s="15"/>
      <c r="V7" s="18"/>
      <c r="W7" s="18"/>
      <c r="X7" s="12"/>
      <c r="Y7" s="18"/>
      <c r="Z7" s="12"/>
      <c r="AA7" s="12"/>
      <c r="AB7" s="12"/>
      <c r="AC7" s="12"/>
      <c r="AD7" s="12"/>
    </row>
    <row r="8" spans="2:30" ht="12.75" customHeight="1" x14ac:dyDescent="0.3">
      <c r="B8" s="82"/>
      <c r="C8" s="112" t="s">
        <v>74</v>
      </c>
      <c r="D8" s="113">
        <v>637</v>
      </c>
      <c r="E8" s="114">
        <f>F8-D8</f>
        <v>4655</v>
      </c>
      <c r="F8" s="115">
        <v>5292</v>
      </c>
      <c r="H8" s="287"/>
      <c r="I8" s="107"/>
      <c r="J8" s="288"/>
      <c r="K8" s="107"/>
      <c r="L8" s="108"/>
      <c r="M8" s="116"/>
      <c r="N8" s="108"/>
      <c r="O8" s="10"/>
      <c r="P8" s="10"/>
      <c r="Q8" s="10"/>
      <c r="R8" s="10"/>
      <c r="S8" s="10"/>
      <c r="T8" s="15"/>
      <c r="V8" s="18"/>
      <c r="W8" s="18"/>
      <c r="X8" s="12"/>
      <c r="Y8" s="18"/>
      <c r="Z8" s="12"/>
      <c r="AA8" s="12"/>
      <c r="AB8" s="12"/>
      <c r="AC8" s="12"/>
      <c r="AD8" s="12"/>
    </row>
    <row r="9" spans="2:30" x14ac:dyDescent="0.3">
      <c r="B9" s="82"/>
      <c r="C9" s="117" t="s">
        <v>22</v>
      </c>
      <c r="D9" s="118">
        <f>SUM(D7:D8)</f>
        <v>1273</v>
      </c>
      <c r="E9" s="119">
        <f>SUM(E7:E8)</f>
        <v>9311</v>
      </c>
      <c r="F9" s="120">
        <f>SUM(F7:F8)</f>
        <v>10584</v>
      </c>
      <c r="G9" s="316"/>
      <c r="H9" s="107"/>
      <c r="I9" s="107"/>
      <c r="J9" s="102"/>
      <c r="K9" s="107"/>
      <c r="L9" s="108"/>
      <c r="M9" s="116"/>
      <c r="N9" s="108"/>
      <c r="P9" s="23"/>
      <c r="Q9" s="24"/>
      <c r="R9" s="24"/>
      <c r="S9" s="24"/>
      <c r="T9" s="18"/>
      <c r="V9" s="18"/>
      <c r="W9" s="18"/>
      <c r="X9" s="12"/>
      <c r="Y9" s="18"/>
      <c r="Z9" s="12"/>
      <c r="AA9" s="12"/>
      <c r="AB9" s="12"/>
      <c r="AC9" s="12"/>
      <c r="AD9" s="12"/>
    </row>
    <row r="10" spans="2:30" ht="12.75" hidden="1" customHeight="1" x14ac:dyDescent="0.3">
      <c r="B10" s="82"/>
      <c r="C10" s="25"/>
      <c r="D10" s="26"/>
      <c r="E10" s="22"/>
      <c r="F10" s="22"/>
      <c r="G10" s="108"/>
      <c r="H10" s="108"/>
      <c r="I10" s="107"/>
      <c r="J10" s="107"/>
      <c r="K10" s="107"/>
      <c r="L10" s="108"/>
      <c r="M10" s="116"/>
      <c r="N10" s="108"/>
      <c r="P10" s="23"/>
      <c r="Q10" s="24"/>
      <c r="R10" s="24"/>
      <c r="S10" s="24"/>
      <c r="T10" s="18"/>
      <c r="V10" s="18"/>
      <c r="W10" s="18"/>
      <c r="X10" s="12"/>
      <c r="Y10" s="18"/>
      <c r="Z10" s="12"/>
      <c r="AA10" s="12"/>
      <c r="AB10" s="12"/>
      <c r="AC10" s="12"/>
      <c r="AD10" s="12"/>
    </row>
    <row r="11" spans="2:30" s="4" customFormat="1" ht="14.25" hidden="1" customHeight="1" x14ac:dyDescent="0.3">
      <c r="B11" s="121" t="s">
        <v>75</v>
      </c>
      <c r="C11" s="28"/>
      <c r="D11" s="29"/>
      <c r="E11" s="2"/>
      <c r="F11" s="21"/>
      <c r="G11" s="122"/>
      <c r="H11" s="116"/>
      <c r="I11" s="122"/>
      <c r="J11" s="116"/>
      <c r="K11" s="123"/>
      <c r="L11" s="123"/>
      <c r="M11" s="122"/>
      <c r="N11" s="123"/>
      <c r="P11" s="2"/>
      <c r="Q11" s="31"/>
      <c r="R11" s="31"/>
      <c r="S11" s="31"/>
      <c r="T11" s="2"/>
      <c r="U11" s="2"/>
      <c r="V11" s="2"/>
      <c r="W11" s="2"/>
    </row>
    <row r="12" spans="2:30" s="4" customFormat="1" ht="12.75" hidden="1" customHeight="1" x14ac:dyDescent="0.3">
      <c r="B12" s="82" t="s">
        <v>68</v>
      </c>
      <c r="C12" s="28"/>
      <c r="D12" s="29"/>
      <c r="E12" s="2"/>
      <c r="F12" s="21"/>
      <c r="G12" s="122"/>
      <c r="H12" s="116"/>
      <c r="I12" s="122"/>
      <c r="J12" s="116"/>
      <c r="K12" s="124"/>
      <c r="L12" s="123"/>
      <c r="M12" s="123"/>
      <c r="N12" s="123"/>
      <c r="P12" s="2"/>
      <c r="Q12" s="3"/>
      <c r="R12" s="3"/>
      <c r="S12" s="3"/>
      <c r="T12" s="2"/>
      <c r="U12" s="2"/>
      <c r="V12" s="2"/>
      <c r="W12" s="2"/>
    </row>
    <row r="13" spans="2:30" s="4" customFormat="1" ht="45" hidden="1" customHeight="1" x14ac:dyDescent="0.3">
      <c r="B13" s="85" t="s">
        <v>25</v>
      </c>
      <c r="C13" s="85" t="s">
        <v>69</v>
      </c>
      <c r="D13" s="85" t="s">
        <v>76</v>
      </c>
      <c r="E13" s="85" t="s">
        <v>70</v>
      </c>
      <c r="F13" s="85" t="s">
        <v>71</v>
      </c>
      <c r="G13" s="85" t="s">
        <v>4</v>
      </c>
      <c r="H13" s="85" t="s">
        <v>77</v>
      </c>
      <c r="I13" s="85" t="s">
        <v>78</v>
      </c>
      <c r="J13" s="116"/>
      <c r="K13" s="125" t="s">
        <v>43</v>
      </c>
      <c r="L13" s="126" t="s">
        <v>0</v>
      </c>
      <c r="M13" s="126" t="s">
        <v>1</v>
      </c>
      <c r="N13" s="123"/>
      <c r="P13" s="2"/>
      <c r="Q13" s="2"/>
      <c r="R13" s="2"/>
      <c r="S13" s="2"/>
      <c r="T13" s="2"/>
      <c r="U13" s="2"/>
      <c r="V13" s="2"/>
      <c r="W13" s="2"/>
    </row>
    <row r="14" spans="2:30" s="4" customFormat="1" ht="12.75" hidden="1" customHeight="1" x14ac:dyDescent="0.3">
      <c r="B14" s="86">
        <f>LN((D7/F7)/(D8/F8))</f>
        <v>-1.571092232041101E-3</v>
      </c>
      <c r="C14" s="86">
        <f>SQRT((E7/(D7*F7)+(E8/(D8*F8))))</f>
        <v>5.2576200008972618E-2</v>
      </c>
      <c r="D14" s="127">
        <f>-NORMSINV((1-I2)/2)</f>
        <v>1.9599639845400536</v>
      </c>
      <c r="E14" s="87">
        <f>B14-(D14*C14)</f>
        <v>-0.10461855069360187</v>
      </c>
      <c r="F14" s="88">
        <f>B14+(D14*C14)</f>
        <v>0.10147636622951967</v>
      </c>
      <c r="G14" s="128">
        <f>(D7/F7)/(D8/F8)</f>
        <v>0.99843014128728425</v>
      </c>
      <c r="H14" s="128">
        <f>EXP(E14)</f>
        <v>0.90066801625948611</v>
      </c>
      <c r="I14" s="128">
        <f>EXP(F14)</f>
        <v>1.1068037601367939</v>
      </c>
      <c r="J14" s="116"/>
      <c r="K14" s="129">
        <f>1-G14</f>
        <v>1.5698587127157548E-3</v>
      </c>
      <c r="L14" s="128">
        <f>1-H14</f>
        <v>9.9331983740513885E-2</v>
      </c>
      <c r="M14" s="128">
        <f>1-I14</f>
        <v>-0.10680376013679393</v>
      </c>
      <c r="N14" s="130"/>
      <c r="P14" s="2"/>
      <c r="Q14" s="2"/>
      <c r="R14" s="2"/>
      <c r="S14" s="2"/>
      <c r="T14" s="2"/>
      <c r="U14" s="2"/>
      <c r="V14" s="2"/>
      <c r="W14" s="2"/>
    </row>
    <row r="15" spans="2:30" s="4" customFormat="1" ht="12.75" hidden="1" customHeight="1" x14ac:dyDescent="0.3">
      <c r="B15" s="131"/>
      <c r="C15" s="28"/>
      <c r="D15" s="28"/>
      <c r="E15" s="28"/>
      <c r="F15" s="32"/>
      <c r="G15" s="132"/>
      <c r="H15" s="116"/>
      <c r="I15" s="122"/>
      <c r="J15" s="116"/>
      <c r="K15" s="122"/>
      <c r="L15" s="122"/>
      <c r="M15" s="122"/>
      <c r="N15" s="123"/>
      <c r="P15" s="2"/>
      <c r="Q15" s="2"/>
      <c r="R15" s="2"/>
      <c r="S15" s="2"/>
      <c r="T15" s="2"/>
      <c r="U15" s="2"/>
      <c r="V15" s="2"/>
      <c r="W15" s="2"/>
    </row>
    <row r="16" spans="2:30" s="12" customFormat="1" ht="12.75" hidden="1" customHeight="1" x14ac:dyDescent="0.3">
      <c r="B16" s="81"/>
      <c r="C16" s="33"/>
      <c r="D16" s="34"/>
      <c r="E16" s="35"/>
      <c r="F16" s="36"/>
      <c r="G16" s="133"/>
      <c r="H16" s="134"/>
      <c r="I16" s="135"/>
      <c r="J16" s="135"/>
      <c r="K16" s="136"/>
      <c r="L16" s="136"/>
      <c r="M16" s="137"/>
      <c r="N16" s="137"/>
    </row>
    <row r="17" spans="2:30" ht="15.75" hidden="1" customHeight="1" x14ac:dyDescent="0.3">
      <c r="B17" s="39" t="s">
        <v>79</v>
      </c>
      <c r="C17" s="2"/>
      <c r="D17" s="138"/>
      <c r="E17" s="138"/>
      <c r="F17" s="13"/>
      <c r="G17" s="13"/>
      <c r="H17" s="139"/>
      <c r="I17" s="40"/>
      <c r="J17" s="140"/>
      <c r="K17" s="140"/>
      <c r="L17" s="4"/>
      <c r="M17" s="123"/>
      <c r="N17" s="116"/>
      <c r="O17" s="40"/>
      <c r="P17" s="2"/>
      <c r="Q17" s="2"/>
      <c r="R17" s="41"/>
      <c r="S17" s="40"/>
      <c r="T17" s="42"/>
      <c r="U17" s="42"/>
      <c r="V17" s="42"/>
      <c r="W17" s="12"/>
      <c r="X17" s="12"/>
      <c r="Y17" s="12"/>
      <c r="Z17" s="12"/>
      <c r="AA17" s="12"/>
      <c r="AB17" s="12"/>
      <c r="AC17" s="12"/>
    </row>
    <row r="18" spans="2:30" ht="12.75" hidden="1" customHeight="1" x14ac:dyDescent="0.3">
      <c r="B18" s="43" t="s">
        <v>80</v>
      </c>
      <c r="C18" s="2"/>
      <c r="D18" s="40"/>
      <c r="E18" s="40"/>
      <c r="F18" s="2"/>
      <c r="G18" s="2"/>
      <c r="H18" s="41"/>
      <c r="I18" s="40"/>
      <c r="J18" s="42"/>
      <c r="K18" s="42"/>
      <c r="L18" s="42"/>
      <c r="M18" s="123"/>
      <c r="N18" s="116"/>
      <c r="O18" s="2"/>
      <c r="P18" s="2"/>
      <c r="Q18" s="41"/>
      <c r="R18" s="40"/>
      <c r="S18" s="42"/>
      <c r="T18" s="42"/>
      <c r="U18" s="42"/>
      <c r="W18" s="12" t="s">
        <v>27</v>
      </c>
      <c r="X18" s="12"/>
      <c r="Y18" s="12"/>
      <c r="Z18" s="12"/>
      <c r="AA18" s="12"/>
      <c r="AB18" s="12"/>
    </row>
    <row r="19" spans="2:30" ht="25.5" hidden="1" customHeight="1" thickBot="1" x14ac:dyDescent="0.35">
      <c r="B19" s="141" t="s">
        <v>81</v>
      </c>
      <c r="C19" s="5" t="s">
        <v>9</v>
      </c>
      <c r="D19" s="4"/>
      <c r="E19" s="5" t="s">
        <v>82</v>
      </c>
      <c r="G19" s="5" t="s">
        <v>7</v>
      </c>
      <c r="I19" s="5" t="s">
        <v>8</v>
      </c>
      <c r="J19" s="42"/>
      <c r="K19" s="42"/>
      <c r="L19" s="42"/>
      <c r="M19" s="123"/>
      <c r="N19" s="136"/>
      <c r="P19" s="5"/>
      <c r="T19" s="12"/>
      <c r="V19" s="5"/>
      <c r="W19" s="5" t="s">
        <v>28</v>
      </c>
      <c r="Y19" s="12"/>
      <c r="Z19" s="12"/>
      <c r="AA19" s="12"/>
      <c r="AB19" s="12"/>
      <c r="AC19" s="12"/>
      <c r="AD19" s="12"/>
    </row>
    <row r="20" spans="2:30" ht="38.25" hidden="1" customHeight="1" x14ac:dyDescent="0.4">
      <c r="B20" s="85" t="s">
        <v>83</v>
      </c>
      <c r="C20" s="85" t="s">
        <v>26</v>
      </c>
      <c r="D20" s="142" t="s">
        <v>10</v>
      </c>
      <c r="E20" s="142" t="s">
        <v>9</v>
      </c>
      <c r="F20" s="142" t="s">
        <v>84</v>
      </c>
      <c r="G20" s="142" t="s">
        <v>7</v>
      </c>
      <c r="H20" s="142" t="s">
        <v>8</v>
      </c>
      <c r="I20" s="143" t="s">
        <v>5</v>
      </c>
      <c r="J20" s="142" t="s">
        <v>85</v>
      </c>
      <c r="K20" s="142" t="s">
        <v>0</v>
      </c>
      <c r="L20" s="142" t="s">
        <v>1</v>
      </c>
      <c r="M20" s="144"/>
      <c r="N20" s="145"/>
      <c r="O20" s="146" t="s">
        <v>13</v>
      </c>
      <c r="P20" s="147" t="s">
        <v>63</v>
      </c>
      <c r="Q20" s="148"/>
      <c r="R20" s="149"/>
      <c r="S20" s="150"/>
      <c r="T20" s="150"/>
      <c r="U20" s="151"/>
      <c r="W20" s="152"/>
      <c r="X20" s="146" t="s">
        <v>64</v>
      </c>
      <c r="Y20" s="147" t="s">
        <v>86</v>
      </c>
      <c r="Z20" s="90"/>
      <c r="AA20" s="90"/>
      <c r="AB20" s="90" t="s">
        <v>87</v>
      </c>
      <c r="AC20" s="90"/>
      <c r="AD20" s="80"/>
    </row>
    <row r="21" spans="2:30" ht="12.75" hidden="1" customHeight="1" x14ac:dyDescent="0.3">
      <c r="B21" s="153">
        <f>D7</f>
        <v>636</v>
      </c>
      <c r="C21" s="154">
        <f>F7</f>
        <v>5292</v>
      </c>
      <c r="D21" s="155">
        <f>B21/C21</f>
        <v>0.12018140589569161</v>
      </c>
      <c r="E21" s="156">
        <f>2*B21+I21^2</f>
        <v>1275.841458820694</v>
      </c>
      <c r="F21" s="156">
        <f>I21*SQRT((I21^2)+(4*B21*(1-D21)))</f>
        <v>92.805897855448137</v>
      </c>
      <c r="G21" s="157">
        <f>2*(C21+I21^2)</f>
        <v>10591.682917641388</v>
      </c>
      <c r="H21" s="158" t="s">
        <v>11</v>
      </c>
      <c r="I21" s="127">
        <f>-NORMSINV((1-I2)/2)</f>
        <v>1.9599639845400536</v>
      </c>
      <c r="J21" s="159">
        <f>D21</f>
        <v>0.12018140589569161</v>
      </c>
      <c r="K21" s="159">
        <f>(E21-F21)/G21</f>
        <v>0.11169476750430236</v>
      </c>
      <c r="L21" s="159">
        <f>(E21+F21)/G21</f>
        <v>0.12921906436573347</v>
      </c>
      <c r="M21" s="144"/>
      <c r="N21" s="160">
        <f>F9/2</f>
        <v>5292</v>
      </c>
      <c r="O21" s="20" t="s">
        <v>14</v>
      </c>
      <c r="P21" s="2"/>
      <c r="Q21" s="41"/>
      <c r="R21" s="40"/>
      <c r="S21" s="42"/>
      <c r="T21" s="42"/>
      <c r="U21" s="161"/>
      <c r="W21" s="162">
        <f>ABS(D21-D22)</f>
        <v>1.8896447467875443E-4</v>
      </c>
      <c r="X21" s="20" t="s">
        <v>88</v>
      </c>
      <c r="Y21" s="2"/>
      <c r="Z21" s="20"/>
      <c r="AA21" s="20"/>
      <c r="AB21" s="20" t="s">
        <v>89</v>
      </c>
      <c r="AC21" s="20"/>
      <c r="AD21" s="163"/>
    </row>
    <row r="22" spans="2:30" ht="14.25" hidden="1" customHeight="1" x14ac:dyDescent="0.4">
      <c r="B22" s="153">
        <f>D8</f>
        <v>637</v>
      </c>
      <c r="C22" s="154">
        <f>F8</f>
        <v>5292</v>
      </c>
      <c r="D22" s="155">
        <f>B22/C22</f>
        <v>0.12037037037037036</v>
      </c>
      <c r="E22" s="156">
        <f>2*B22+I22^2</f>
        <v>1277.841458820694</v>
      </c>
      <c r="F22" s="156">
        <f>I22*SQRT((I22^2)+(4*B22*(1-D22)))</f>
        <v>92.868747343051666</v>
      </c>
      <c r="G22" s="157">
        <f>2*(C22+I22^2)</f>
        <v>10591.682917641388</v>
      </c>
      <c r="H22" s="158" t="s">
        <v>11</v>
      </c>
      <c r="I22" s="127">
        <f>-NORMSINV((1-I2)/2)</f>
        <v>1.9599639845400536</v>
      </c>
      <c r="J22" s="159">
        <f>D22</f>
        <v>0.12037037037037036</v>
      </c>
      <c r="K22" s="159">
        <f>(E22-F22)/G22</f>
        <v>0.11187766105648472</v>
      </c>
      <c r="L22" s="159">
        <f>(E22+F22)/G22</f>
        <v>0.12941382562356601</v>
      </c>
      <c r="M22" s="144"/>
      <c r="N22" s="164">
        <f>J26</f>
        <v>1.8896447467875443E-4</v>
      </c>
      <c r="O22" s="20" t="s">
        <v>15</v>
      </c>
      <c r="P22" s="20"/>
      <c r="Q22" s="20"/>
      <c r="R22" s="20"/>
      <c r="S22" s="20"/>
      <c r="T22" s="20"/>
      <c r="U22" s="92"/>
      <c r="W22" s="165">
        <f>SQRT((D23*(1-D23)/C21)+(D23*(1-D23)/C22))</f>
        <v>6.3236469328771172E-3</v>
      </c>
      <c r="X22" s="43" t="s">
        <v>90</v>
      </c>
      <c r="Y22" s="20"/>
      <c r="Z22" s="20"/>
      <c r="AA22" s="20"/>
      <c r="AB22" s="20"/>
      <c r="AC22" s="20"/>
      <c r="AD22" s="163"/>
    </row>
    <row r="23" spans="2:30" ht="12.75" hidden="1" customHeight="1" x14ac:dyDescent="0.3">
      <c r="B23" s="153">
        <f>D9</f>
        <v>1273</v>
      </c>
      <c r="C23" s="154">
        <f>F9</f>
        <v>10584</v>
      </c>
      <c r="D23" s="155">
        <f>B23/C23</f>
        <v>0.12027588813303099</v>
      </c>
      <c r="E23" s="156">
        <f>2*B23+I23^2</f>
        <v>2549.8414588206942</v>
      </c>
      <c r="F23" s="156">
        <f>I23*SQRT((I23^2)+(4*B23*(1-D23)))</f>
        <v>131.2356032323197</v>
      </c>
      <c r="G23" s="157">
        <f>2*(C23+I23^2)</f>
        <v>21175.682917641388</v>
      </c>
      <c r="H23" s="158" t="s">
        <v>11</v>
      </c>
      <c r="I23" s="127">
        <f>-NORMSINV((1-I2)/2)</f>
        <v>1.9599639845400536</v>
      </c>
      <c r="J23" s="159">
        <f>D23</f>
        <v>0.12027588813303099</v>
      </c>
      <c r="K23" s="159">
        <f>(E23-F23)/G23</f>
        <v>0.11421619151528957</v>
      </c>
      <c r="L23" s="159">
        <f>(E23+F23)/G23</f>
        <v>0.12661112619038217</v>
      </c>
      <c r="M23" s="144"/>
      <c r="N23" s="166">
        <f>(B21+B22)/(C21+C22)</f>
        <v>0.12027588813303099</v>
      </c>
      <c r="O23" s="20" t="s">
        <v>6</v>
      </c>
      <c r="P23" s="2"/>
      <c r="Q23" s="41"/>
      <c r="R23" s="40"/>
      <c r="S23" s="42"/>
      <c r="T23" s="42"/>
      <c r="U23" s="163"/>
      <c r="W23" s="167">
        <f>W21/W22</f>
        <v>2.9882198782527514E-2</v>
      </c>
      <c r="X23" s="20" t="s">
        <v>42</v>
      </c>
      <c r="Y23" s="2"/>
      <c r="Z23" s="20"/>
      <c r="AA23" s="20"/>
      <c r="AB23" s="20"/>
      <c r="AC23" s="20"/>
      <c r="AD23" s="163"/>
    </row>
    <row r="24" spans="2:30" ht="15" hidden="1" customHeight="1" x14ac:dyDescent="0.3">
      <c r="B24" s="82"/>
      <c r="C24" s="168" t="s">
        <v>12</v>
      </c>
      <c r="F24" s="37"/>
      <c r="G24" s="135"/>
      <c r="H24" s="135"/>
      <c r="I24" s="135"/>
      <c r="J24" s="135"/>
      <c r="K24" s="136"/>
      <c r="L24" s="108"/>
      <c r="M24" s="144"/>
      <c r="N24" s="169">
        <f>SQRT(N21*N22^2/(2*N23*(1-N23)))-I21</f>
        <v>-1.9300817857575261</v>
      </c>
      <c r="O24" s="20" t="s">
        <v>91</v>
      </c>
      <c r="P24" s="20"/>
      <c r="Q24" s="20"/>
      <c r="R24" s="20"/>
      <c r="S24" s="20"/>
      <c r="T24" s="4"/>
      <c r="U24" s="161"/>
      <c r="W24" s="170">
        <f>NORMSDIST(-W23)</f>
        <v>0.48808050141172532</v>
      </c>
      <c r="X24" s="39" t="s">
        <v>92</v>
      </c>
      <c r="Y24" s="20"/>
      <c r="Z24" s="4"/>
      <c r="AA24" s="4"/>
      <c r="AB24" s="4"/>
      <c r="AC24" s="4"/>
      <c r="AD24" s="92"/>
    </row>
    <row r="25" spans="2:30" ht="13.5" hidden="1" customHeight="1" thickBot="1" x14ac:dyDescent="0.35">
      <c r="B25" s="82"/>
      <c r="C25" s="168" t="s">
        <v>93</v>
      </c>
      <c r="D25" s="27"/>
      <c r="E25" s="38"/>
      <c r="F25" s="37"/>
      <c r="G25" s="135"/>
      <c r="H25" s="108"/>
      <c r="I25" s="108"/>
      <c r="J25" s="171"/>
      <c r="K25" s="171"/>
      <c r="L25" s="171"/>
      <c r="M25" s="144"/>
      <c r="N25" s="172">
        <f>NORMSDIST(N24)</f>
        <v>2.679835245095118E-2</v>
      </c>
      <c r="O25" s="39" t="s">
        <v>16</v>
      </c>
      <c r="P25" s="44"/>
      <c r="Q25" s="20"/>
      <c r="R25" s="20"/>
      <c r="S25" s="20"/>
      <c r="T25" s="20"/>
      <c r="U25" s="163"/>
      <c r="W25" s="173">
        <f>1-W24</f>
        <v>0.51191949858827468</v>
      </c>
      <c r="X25" s="45" t="s">
        <v>94</v>
      </c>
      <c r="Y25" s="44"/>
      <c r="Z25" s="4"/>
      <c r="AA25" s="4"/>
      <c r="AB25" s="4"/>
      <c r="AC25" s="4"/>
      <c r="AD25" s="92"/>
    </row>
    <row r="26" spans="2:30" ht="15" hidden="1" customHeight="1" thickBot="1" x14ac:dyDescent="0.4">
      <c r="F26" s="46"/>
      <c r="G26" s="108"/>
      <c r="H26" s="108"/>
      <c r="I26" s="100" t="s">
        <v>23</v>
      </c>
      <c r="J26" s="174">
        <f>D22-D21</f>
        <v>1.8896447467875443E-4</v>
      </c>
      <c r="K26" s="175">
        <f>J26+SQRT((D22-K22)^2+(L21-D21)^2)</f>
        <v>1.2590794263515529E-2</v>
      </c>
      <c r="L26" s="176">
        <f>J26-SQRT((D21-K21)^2+(L22-D22)^2)</f>
        <v>-1.2212935142023271E-2</v>
      </c>
      <c r="M26" s="107"/>
      <c r="N26" s="177">
        <f>1-N25</f>
        <v>0.97320164754904881</v>
      </c>
      <c r="O26" s="178" t="s">
        <v>95</v>
      </c>
      <c r="P26" s="179"/>
      <c r="Q26" s="180"/>
      <c r="R26" s="179"/>
      <c r="S26" s="179"/>
      <c r="T26" s="179"/>
      <c r="U26" s="181"/>
      <c r="W26" s="182"/>
      <c r="X26" s="183"/>
      <c r="Y26" s="179"/>
      <c r="Z26" s="183"/>
      <c r="AA26" s="183"/>
      <c r="AB26" s="183"/>
      <c r="AC26" s="183"/>
      <c r="AD26" s="184"/>
    </row>
    <row r="27" spans="2:30" ht="13.5" hidden="1" customHeight="1" thickBot="1" x14ac:dyDescent="0.35">
      <c r="F27" s="47"/>
      <c r="G27" s="108"/>
      <c r="H27" s="108"/>
      <c r="I27" s="100" t="s">
        <v>24</v>
      </c>
      <c r="J27" s="185">
        <f>1/J26</f>
        <v>5292.0000000001664</v>
      </c>
      <c r="K27" s="186">
        <f>1/K26</f>
        <v>79.423106999509159</v>
      </c>
      <c r="L27" s="187">
        <f>1/L26</f>
        <v>-81.880398804306907</v>
      </c>
      <c r="M27" s="107"/>
      <c r="N27" s="108"/>
      <c r="O27" s="5"/>
      <c r="P27" s="5"/>
      <c r="U27" s="5"/>
      <c r="V27" s="5"/>
      <c r="W27" s="12"/>
      <c r="X27" s="12"/>
      <c r="Y27" s="12"/>
      <c r="Z27" s="12"/>
      <c r="AA27" s="12"/>
      <c r="AB27" s="12"/>
      <c r="AC27" s="12"/>
    </row>
    <row r="28" spans="2:30" ht="14.25" hidden="1" customHeight="1" x14ac:dyDescent="0.4">
      <c r="G28" s="108"/>
      <c r="H28" s="108"/>
      <c r="K28" s="188"/>
      <c r="L28" s="188"/>
      <c r="M28" s="189"/>
      <c r="N28" s="145"/>
      <c r="O28" s="190"/>
      <c r="P28" s="190" t="s">
        <v>90</v>
      </c>
      <c r="Q28" s="191">
        <f>SQRT((D23*(1-D23)/C21)+(D23*(1-D23)/C22))</f>
        <v>6.3236469328771172E-3</v>
      </c>
      <c r="R28" s="192"/>
      <c r="S28" s="192"/>
      <c r="T28" s="192"/>
      <c r="U28" s="80"/>
      <c r="V28" s="5"/>
    </row>
    <row r="29" spans="2:30" ht="31.5" hidden="1" customHeight="1" x14ac:dyDescent="0.35">
      <c r="F29" s="193"/>
      <c r="G29" s="194"/>
      <c r="H29" s="195" t="s">
        <v>53</v>
      </c>
      <c r="I29" s="196" t="s">
        <v>48</v>
      </c>
      <c r="J29" s="197">
        <f>J27</f>
        <v>5292.0000000001664</v>
      </c>
      <c r="K29" s="197">
        <f>K27</f>
        <v>79.423106999509159</v>
      </c>
      <c r="L29" s="197">
        <f>L27</f>
        <v>-81.880398804306907</v>
      </c>
      <c r="M29" s="108"/>
      <c r="N29" s="198" t="s">
        <v>96</v>
      </c>
      <c r="O29" s="199"/>
      <c r="P29" s="20" t="s">
        <v>97</v>
      </c>
      <c r="Q29" s="20"/>
      <c r="R29" s="41"/>
      <c r="S29" s="200" t="s">
        <v>98</v>
      </c>
      <c r="T29" s="20"/>
      <c r="U29" s="163"/>
      <c r="V29" s="5"/>
    </row>
    <row r="30" spans="2:30" s="4" customFormat="1" ht="14.25" hidden="1" customHeight="1" x14ac:dyDescent="0.4">
      <c r="F30" s="49"/>
      <c r="G30" s="201"/>
      <c r="H30" s="202"/>
      <c r="I30" s="203" t="s">
        <v>55</v>
      </c>
      <c r="J30" s="204">
        <f>(1-D22)*J27</f>
        <v>4655.0000000001464</v>
      </c>
      <c r="K30" s="204">
        <f>(1-D22)*K27</f>
        <v>69.862918194012693</v>
      </c>
      <c r="L30" s="204">
        <f>(1-D22)*L27</f>
        <v>-72.024424874158854</v>
      </c>
      <c r="M30" s="108"/>
      <c r="N30" s="205"/>
      <c r="O30" s="73" t="s">
        <v>99</v>
      </c>
      <c r="Q30" s="206" t="s">
        <v>100</v>
      </c>
      <c r="R30" s="73" t="s">
        <v>101</v>
      </c>
      <c r="S30" s="20"/>
      <c r="T30" s="20"/>
      <c r="U30" s="92"/>
    </row>
    <row r="31" spans="2:30" s="4" customFormat="1" ht="14.25" hidden="1" customHeight="1" x14ac:dyDescent="0.4">
      <c r="F31" s="50"/>
      <c r="G31" s="207"/>
      <c r="H31" s="208"/>
      <c r="I31" s="209" t="s">
        <v>58</v>
      </c>
      <c r="J31" s="210">
        <f>J27*J26</f>
        <v>0.99999999999999989</v>
      </c>
      <c r="K31" s="210">
        <f>K27*K26</f>
        <v>1</v>
      </c>
      <c r="L31" s="210">
        <f>L27*L26</f>
        <v>1</v>
      </c>
      <c r="M31" s="123"/>
      <c r="N31" s="169">
        <f>ABS((J26/Q28))-I21</f>
        <v>-1.9300817857575261</v>
      </c>
      <c r="O31" s="73" t="s">
        <v>102</v>
      </c>
      <c r="P31" s="20"/>
      <c r="Q31" s="20"/>
      <c r="R31" s="40"/>
      <c r="S31" s="42"/>
      <c r="T31" s="42"/>
      <c r="U31" s="161"/>
    </row>
    <row r="32" spans="2:30" s="4" customFormat="1" ht="12.75" hidden="1" customHeight="1" x14ac:dyDescent="0.3">
      <c r="B32" s="211"/>
      <c r="C32" s="51"/>
      <c r="E32" s="30"/>
      <c r="G32" s="212"/>
      <c r="H32" s="213"/>
      <c r="I32" s="214" t="s">
        <v>59</v>
      </c>
      <c r="J32" s="215">
        <f>(D22-J26)*J27</f>
        <v>636.00000000002001</v>
      </c>
      <c r="K32" s="215">
        <f>(D22-K26)*K27</f>
        <v>8.5601888054964714</v>
      </c>
      <c r="L32" s="215">
        <f>(D22-L26)*L27</f>
        <v>-10.855973930148053</v>
      </c>
      <c r="M32" s="123"/>
      <c r="N32" s="172">
        <f>NORMSDIST(N31)</f>
        <v>2.679835245095118E-2</v>
      </c>
      <c r="O32" s="43" t="s">
        <v>103</v>
      </c>
      <c r="P32" s="44"/>
      <c r="Q32" s="20"/>
      <c r="R32" s="20"/>
      <c r="S32" s="20"/>
      <c r="T32" s="20"/>
      <c r="U32" s="92"/>
    </row>
    <row r="33" spans="2:22" s="4" customFormat="1" ht="12.75" hidden="1" customHeight="1" x14ac:dyDescent="0.3">
      <c r="B33" s="211"/>
      <c r="G33" s="216"/>
      <c r="H33" s="217"/>
      <c r="I33" s="217"/>
      <c r="J33" s="218"/>
      <c r="K33" s="218"/>
      <c r="L33" s="218"/>
      <c r="M33" s="123"/>
      <c r="N33" s="177">
        <f>1-N32</f>
        <v>0.97320164754904881</v>
      </c>
      <c r="O33" s="179" t="s">
        <v>104</v>
      </c>
      <c r="P33" s="179"/>
      <c r="Q33" s="180"/>
      <c r="R33" s="219"/>
      <c r="S33" s="220"/>
      <c r="T33" s="220"/>
      <c r="U33" s="181"/>
    </row>
    <row r="34" spans="2:22" s="4" customFormat="1" ht="31.5" hidden="1" customHeight="1" x14ac:dyDescent="0.3">
      <c r="B34" s="131"/>
      <c r="F34" s="29"/>
      <c r="G34" s="221"/>
      <c r="H34" s="195" t="s">
        <v>54</v>
      </c>
      <c r="I34" s="222" t="s">
        <v>105</v>
      </c>
      <c r="J34" s="223">
        <f>ABS(J27)</f>
        <v>5292.0000000001664</v>
      </c>
      <c r="K34" s="223">
        <f>ABS(L27)</f>
        <v>81.880398804306907</v>
      </c>
      <c r="L34" s="223">
        <f>ABS(K27)</f>
        <v>79.423106999509159</v>
      </c>
      <c r="M34" s="123"/>
      <c r="N34" s="107"/>
      <c r="O34" s="20"/>
      <c r="P34" s="20"/>
      <c r="Q34" s="20"/>
      <c r="R34" s="20"/>
      <c r="S34" s="20"/>
      <c r="T34" s="20"/>
      <c r="U34" s="20"/>
      <c r="V34" s="20"/>
    </row>
    <row r="35" spans="2:22" s="4" customFormat="1" ht="13.5" hidden="1" customHeight="1" x14ac:dyDescent="0.3">
      <c r="B35" s="131"/>
      <c r="G35" s="201"/>
      <c r="H35" s="202"/>
      <c r="I35" s="203" t="s">
        <v>55</v>
      </c>
      <c r="J35" s="204">
        <f>ABS((1-(D22-J26))*J27)</f>
        <v>4656.0000000001464</v>
      </c>
      <c r="K35" s="204">
        <f>ABS((1-(D22-L26))*L27)</f>
        <v>71.024424874158854</v>
      </c>
      <c r="L35" s="204">
        <f>ABS((1-(D22-K26))*K27)</f>
        <v>70.862918194012678</v>
      </c>
      <c r="M35" s="123"/>
      <c r="N35" s="107"/>
      <c r="O35" s="20"/>
      <c r="P35" s="20"/>
      <c r="Q35" s="20"/>
      <c r="R35" s="20"/>
      <c r="S35" s="20"/>
      <c r="T35" s="20"/>
      <c r="U35" s="20"/>
      <c r="V35" s="20"/>
    </row>
    <row r="36" spans="2:22" s="4" customFormat="1" ht="12.75" hidden="1" customHeight="1" x14ac:dyDescent="0.3">
      <c r="B36" s="131"/>
      <c r="F36" s="56"/>
      <c r="G36" s="224"/>
      <c r="H36" s="225"/>
      <c r="I36" s="226" t="s">
        <v>56</v>
      </c>
      <c r="J36" s="227">
        <f>J27*J26</f>
        <v>0.99999999999999989</v>
      </c>
      <c r="K36" s="227">
        <f>L27*L26</f>
        <v>1</v>
      </c>
      <c r="L36" s="227">
        <f>K27*K26</f>
        <v>1</v>
      </c>
      <c r="M36" s="123"/>
      <c r="N36" s="107"/>
      <c r="O36" s="20"/>
      <c r="P36" s="20"/>
      <c r="Q36" s="20"/>
      <c r="R36" s="20"/>
      <c r="S36" s="20"/>
      <c r="T36" s="20"/>
      <c r="U36" s="20"/>
      <c r="V36" s="20"/>
    </row>
    <row r="37" spans="2:22" ht="15.75" hidden="1" customHeight="1" x14ac:dyDescent="0.35">
      <c r="B37" s="228" t="s">
        <v>106</v>
      </c>
      <c r="C37" s="57"/>
      <c r="D37" s="57"/>
      <c r="E37" s="57"/>
      <c r="F37" s="52"/>
      <c r="G37" s="212"/>
      <c r="H37" s="213"/>
      <c r="I37" s="214" t="s">
        <v>57</v>
      </c>
      <c r="J37" s="215">
        <f>ABS(D22*J27)</f>
        <v>637.00000000002001</v>
      </c>
      <c r="K37" s="215">
        <f>ABS(D22*L27)</f>
        <v>9.8559739301480533</v>
      </c>
      <c r="L37" s="215">
        <f>ABS(D22*K27)</f>
        <v>9.5601888054964714</v>
      </c>
      <c r="M37" s="108"/>
      <c r="N37" s="107"/>
      <c r="O37" s="20"/>
      <c r="P37" s="20"/>
      <c r="Q37" s="20"/>
      <c r="R37" s="20"/>
      <c r="S37" s="20"/>
      <c r="T37" s="20"/>
      <c r="U37" s="20"/>
      <c r="V37" s="20"/>
    </row>
    <row r="38" spans="2:22" s="12" customFormat="1" ht="12.75" hidden="1" customHeight="1" x14ac:dyDescent="0.3">
      <c r="B38" s="82"/>
      <c r="C38" s="58" t="s">
        <v>20</v>
      </c>
      <c r="D38" s="59" t="s">
        <v>21</v>
      </c>
      <c r="E38" s="20"/>
      <c r="F38" s="52"/>
      <c r="G38" s="229"/>
      <c r="H38" s="230"/>
      <c r="I38" s="231"/>
      <c r="J38" s="232"/>
      <c r="K38" s="232"/>
      <c r="L38" s="232"/>
      <c r="M38" s="136"/>
      <c r="N38" s="123"/>
      <c r="O38" s="4"/>
      <c r="P38" s="4"/>
      <c r="Q38" s="4"/>
      <c r="R38" s="4"/>
    </row>
    <row r="39" spans="2:22" ht="12.75" hidden="1" customHeight="1" x14ac:dyDescent="0.3">
      <c r="B39" s="233" t="s">
        <v>32</v>
      </c>
      <c r="C39" s="61" t="s">
        <v>3</v>
      </c>
      <c r="D39" s="62" t="s">
        <v>2</v>
      </c>
      <c r="E39" s="63" t="s">
        <v>22</v>
      </c>
      <c r="G39" s="108"/>
      <c r="H39" s="108"/>
      <c r="I39" s="108"/>
      <c r="J39" s="108"/>
      <c r="K39" s="108"/>
      <c r="L39" s="108"/>
      <c r="M39" s="108"/>
      <c r="N39" s="123"/>
      <c r="O39" s="4"/>
      <c r="P39" s="4"/>
      <c r="Q39" s="4"/>
      <c r="R39" s="4"/>
      <c r="U39" s="5"/>
      <c r="V39" s="5"/>
    </row>
    <row r="40" spans="2:22" ht="12.75" hidden="1" customHeight="1" x14ac:dyDescent="0.3">
      <c r="B40" s="234" t="s">
        <v>17</v>
      </c>
      <c r="C40" s="64">
        <f>F7*D9/F9</f>
        <v>636.5</v>
      </c>
      <c r="D40" s="64">
        <f>F7*E9/F9</f>
        <v>4655.5</v>
      </c>
      <c r="E40" s="64">
        <f>F7</f>
        <v>5292</v>
      </c>
      <c r="G40" s="235"/>
      <c r="H40" s="236" t="s">
        <v>30</v>
      </c>
      <c r="I40" s="237">
        <f>CHIINV(0.05,K41)</f>
        <v>3.8414588206941236</v>
      </c>
      <c r="J40" s="108"/>
      <c r="K40" s="108"/>
      <c r="L40" s="108"/>
      <c r="M40" s="108"/>
      <c r="N40" s="123"/>
      <c r="O40" s="53"/>
      <c r="P40" s="53"/>
      <c r="Q40" s="53"/>
      <c r="R40" s="4"/>
      <c r="U40" s="5"/>
      <c r="V40" s="5"/>
    </row>
    <row r="41" spans="2:22" ht="12.75" hidden="1" customHeight="1" x14ac:dyDescent="0.3">
      <c r="B41" s="238" t="s">
        <v>18</v>
      </c>
      <c r="C41" s="64">
        <f>F8*D9/F9</f>
        <v>636.5</v>
      </c>
      <c r="D41" s="64">
        <f>F8*E9/F9</f>
        <v>4655.5</v>
      </c>
      <c r="E41" s="64">
        <f>F8</f>
        <v>5292</v>
      </c>
      <c r="F41" s="12"/>
      <c r="G41" s="239"/>
      <c r="H41" s="239"/>
      <c r="I41" s="240"/>
      <c r="J41" s="241" t="s">
        <v>31</v>
      </c>
      <c r="K41" s="242">
        <f>(COUNT(C40:D40)-1)*(COUNT(C40:C41)-1)</f>
        <v>1</v>
      </c>
      <c r="L41" s="108"/>
      <c r="M41" s="108"/>
      <c r="N41" s="108"/>
      <c r="O41" s="53"/>
      <c r="P41" s="53"/>
      <c r="Q41" s="53"/>
      <c r="R41" s="4"/>
      <c r="U41" s="5"/>
      <c r="V41" s="5"/>
    </row>
    <row r="42" spans="2:22" ht="12.75" hidden="1" customHeight="1" x14ac:dyDescent="0.3">
      <c r="B42" s="243" t="s">
        <v>29</v>
      </c>
      <c r="C42" s="64">
        <f>SUM(C40:C41)</f>
        <v>1273</v>
      </c>
      <c r="D42" s="64">
        <f>SUM(D40:D41)</f>
        <v>9311</v>
      </c>
      <c r="E42" s="65">
        <f>SUM(E40:E41)</f>
        <v>10584</v>
      </c>
      <c r="F42" s="12"/>
      <c r="G42" s="136"/>
      <c r="H42" s="244" t="s">
        <v>33</v>
      </c>
      <c r="I42" s="77" t="s">
        <v>34</v>
      </c>
      <c r="J42" s="108"/>
      <c r="K42" s="108"/>
      <c r="L42" s="108"/>
      <c r="M42" s="108"/>
      <c r="N42" s="108"/>
      <c r="O42" s="53"/>
      <c r="P42" s="54"/>
      <c r="Q42" s="53"/>
      <c r="R42" s="4"/>
      <c r="U42" s="5"/>
      <c r="V42" s="5"/>
    </row>
    <row r="43" spans="2:22" ht="12.75" hidden="1" customHeight="1" x14ac:dyDescent="0.3">
      <c r="B43" s="243"/>
      <c r="C43" s="66"/>
      <c r="D43" s="66"/>
      <c r="E43" s="67"/>
      <c r="F43" s="12"/>
      <c r="G43" s="136"/>
      <c r="H43" s="244" t="s">
        <v>35</v>
      </c>
      <c r="I43" s="77" t="s">
        <v>36</v>
      </c>
      <c r="J43" s="108"/>
      <c r="K43" s="108"/>
      <c r="L43" s="108"/>
      <c r="M43" s="108"/>
      <c r="N43" s="108"/>
      <c r="O43" s="55"/>
      <c r="P43" s="55"/>
      <c r="Q43" s="55"/>
      <c r="R43" s="4"/>
      <c r="U43" s="5"/>
      <c r="V43" s="5"/>
    </row>
    <row r="44" spans="2:22" ht="26.25" hidden="1" customHeight="1" x14ac:dyDescent="0.3">
      <c r="B44" s="245"/>
      <c r="C44" s="356" t="s">
        <v>107</v>
      </c>
      <c r="D44" s="357"/>
      <c r="G44" s="108"/>
      <c r="H44" s="246"/>
      <c r="I44" s="108"/>
      <c r="J44" s="108"/>
      <c r="K44" s="108"/>
      <c r="L44" s="108"/>
      <c r="M44" s="108"/>
      <c r="N44" s="108"/>
      <c r="O44" s="5"/>
      <c r="P44" s="5"/>
      <c r="U44" s="5"/>
      <c r="V44" s="5"/>
    </row>
    <row r="45" spans="2:22" ht="12.75" hidden="1" customHeight="1" x14ac:dyDescent="0.3">
      <c r="B45" s="245"/>
      <c r="C45" s="68">
        <f>(D7-C40)^2/C40</f>
        <v>3.9277297721916735E-4</v>
      </c>
      <c r="D45" s="68">
        <f>(E7-D40)^2/D40</f>
        <v>5.3699924820105251E-5</v>
      </c>
      <c r="F45" s="60"/>
      <c r="G45" s="247"/>
      <c r="H45" s="108"/>
      <c r="I45" s="108"/>
      <c r="J45" s="123"/>
      <c r="K45" s="123"/>
      <c r="L45" s="248"/>
      <c r="M45" s="108"/>
      <c r="N45" s="108"/>
      <c r="O45" s="5"/>
      <c r="P45" s="5"/>
      <c r="U45" s="5"/>
      <c r="V45" s="5"/>
    </row>
    <row r="46" spans="2:22" ht="12.75" hidden="1" customHeight="1" x14ac:dyDescent="0.3">
      <c r="B46" s="245"/>
      <c r="C46" s="68">
        <f>(D8-C41)^2/C41</f>
        <v>3.9277297721916735E-4</v>
      </c>
      <c r="D46" s="68">
        <f>(E8-D41)^2/D41</f>
        <v>5.3699924820105251E-5</v>
      </c>
      <c r="E46" s="16"/>
      <c r="F46" s="69" t="s">
        <v>37</v>
      </c>
      <c r="G46" s="249">
        <f>C48-I40</f>
        <v>-3.8405658748900451</v>
      </c>
      <c r="H46" s="108"/>
      <c r="I46" s="108"/>
      <c r="J46" s="123"/>
      <c r="K46" s="123"/>
      <c r="L46" s="108"/>
      <c r="M46" s="108"/>
      <c r="N46" s="108"/>
      <c r="O46" s="5"/>
      <c r="P46" s="5"/>
      <c r="U46" s="5"/>
      <c r="V46" s="5"/>
    </row>
    <row r="47" spans="2:22" ht="12.75" hidden="1" customHeight="1" thickBot="1" x14ac:dyDescent="0.35">
      <c r="B47" s="77" t="s">
        <v>39</v>
      </c>
      <c r="D47" s="70"/>
      <c r="G47" s="84" t="s">
        <v>40</v>
      </c>
      <c r="H47" s="108"/>
      <c r="I47" s="108"/>
      <c r="J47" s="123"/>
      <c r="K47" s="123"/>
      <c r="L47" s="108"/>
      <c r="M47" s="108"/>
      <c r="N47" s="108"/>
      <c r="O47" s="5"/>
      <c r="P47" s="5"/>
      <c r="U47" s="5"/>
      <c r="V47" s="5"/>
    </row>
    <row r="48" spans="2:22" ht="13.5" hidden="1" customHeight="1" thickBot="1" x14ac:dyDescent="0.35">
      <c r="B48" s="93" t="s">
        <v>38</v>
      </c>
      <c r="C48" s="250">
        <f>SUM(C45:D46)</f>
        <v>8.9294580407854509E-4</v>
      </c>
      <c r="D48" s="20"/>
      <c r="G48" s="84" t="s">
        <v>41</v>
      </c>
      <c r="H48" s="108"/>
      <c r="I48" s="251"/>
      <c r="J48" s="123"/>
      <c r="K48" s="123"/>
      <c r="L48" s="252"/>
      <c r="M48" s="108"/>
      <c r="N48" s="108"/>
      <c r="O48" s="5"/>
      <c r="P48" s="5"/>
      <c r="U48" s="5"/>
      <c r="V48" s="5"/>
    </row>
    <row r="49" spans="2:22" ht="12.75" hidden="1" customHeight="1" thickBot="1" x14ac:dyDescent="0.35">
      <c r="B49" s="253" t="s">
        <v>65</v>
      </c>
      <c r="C49" s="254">
        <f>CHIDIST(C48,1)</f>
        <v>0.97616100282344997</v>
      </c>
      <c r="E49" s="20"/>
      <c r="F49" s="20"/>
      <c r="G49" s="107"/>
      <c r="H49" s="255"/>
      <c r="I49" s="107"/>
      <c r="J49" s="123"/>
      <c r="K49" s="123"/>
      <c r="L49" s="107"/>
      <c r="M49" s="108"/>
      <c r="N49" s="108"/>
      <c r="O49" s="5"/>
      <c r="P49" s="5"/>
      <c r="U49" s="5"/>
      <c r="V49" s="5"/>
    </row>
    <row r="50" spans="2:22" s="4" customFormat="1" ht="12.75" hidden="1" customHeight="1" x14ac:dyDescent="0.3">
      <c r="B50" s="131"/>
      <c r="E50" s="71"/>
      <c r="F50" s="71"/>
      <c r="G50" s="123"/>
      <c r="H50" s="123"/>
      <c r="I50" s="256"/>
      <c r="J50" s="123"/>
      <c r="K50" s="123"/>
      <c r="L50" s="123"/>
      <c r="M50" s="123"/>
      <c r="N50" s="123"/>
    </row>
    <row r="51" spans="2:22" ht="13.5" hidden="1" customHeight="1" x14ac:dyDescent="0.3">
      <c r="B51" s="82"/>
      <c r="G51" s="108"/>
      <c r="H51" s="108"/>
      <c r="I51" s="108"/>
      <c r="J51" s="123"/>
      <c r="K51" s="123"/>
      <c r="L51" s="108"/>
      <c r="M51" s="108"/>
      <c r="N51" s="108"/>
      <c r="O51" s="5"/>
      <c r="P51" s="5"/>
      <c r="U51" s="5"/>
      <c r="V51" s="5"/>
    </row>
    <row r="52" spans="2:22" ht="12.75" hidden="1" customHeight="1" thickBot="1" x14ac:dyDescent="0.35">
      <c r="B52" s="257" t="s">
        <v>108</v>
      </c>
      <c r="C52" s="91"/>
      <c r="D52" s="91"/>
      <c r="E52" s="91"/>
      <c r="F52" s="91"/>
      <c r="G52" s="91"/>
      <c r="H52" s="258"/>
      <c r="I52" s="108"/>
      <c r="J52" s="259" t="s">
        <v>109</v>
      </c>
      <c r="K52" s="260"/>
      <c r="L52" s="261"/>
      <c r="M52" s="261"/>
      <c r="N52" s="261"/>
      <c r="O52" s="80"/>
      <c r="P52" s="5"/>
      <c r="U52" s="5"/>
      <c r="V52" s="5"/>
    </row>
    <row r="53" spans="2:22" ht="12.75" hidden="1" customHeight="1" thickBot="1" x14ac:dyDescent="0.35">
      <c r="B53" s="262">
        <f>I2*100</f>
        <v>95</v>
      </c>
      <c r="C53" s="52"/>
      <c r="D53" s="52"/>
      <c r="E53" s="4"/>
      <c r="F53" s="4"/>
      <c r="G53" s="4"/>
      <c r="H53" s="92"/>
      <c r="I53" s="108"/>
      <c r="J53" s="263"/>
      <c r="K53" s="123"/>
      <c r="L53" s="107"/>
      <c r="M53" s="107"/>
      <c r="N53" s="107"/>
      <c r="O53" s="163"/>
      <c r="P53" s="5"/>
      <c r="U53" s="5"/>
      <c r="V53" s="5"/>
    </row>
    <row r="54" spans="2:22" ht="12.75" hidden="1" customHeight="1" x14ac:dyDescent="0.3">
      <c r="B54" s="264" t="s">
        <v>44</v>
      </c>
      <c r="C54" s="265"/>
      <c r="D54" s="265"/>
      <c r="E54" s="1">
        <f>ROUND(G14,2)</f>
        <v>1</v>
      </c>
      <c r="F54" s="48">
        <f>ROUND(J26,4)</f>
        <v>2.0000000000000001E-4</v>
      </c>
      <c r="G54" s="266">
        <f>ROUND(J27,0)</f>
        <v>5292</v>
      </c>
      <c r="H54" s="267"/>
      <c r="I54" s="108"/>
      <c r="J54" s="268" t="s">
        <v>44</v>
      </c>
      <c r="K54" s="4"/>
      <c r="L54" s="4"/>
      <c r="M54" s="4"/>
      <c r="N54" s="107"/>
      <c r="O54" s="163"/>
      <c r="P54" s="5"/>
      <c r="U54" s="5"/>
      <c r="V54" s="5"/>
    </row>
    <row r="55" spans="2:22" ht="12.75" hidden="1" customHeight="1" x14ac:dyDescent="0.3">
      <c r="B55" s="264" t="s">
        <v>46</v>
      </c>
      <c r="C55" s="20"/>
      <c r="D55" s="20"/>
      <c r="E55" s="1">
        <f>ROUND(H14,2)</f>
        <v>0.9</v>
      </c>
      <c r="F55" s="48">
        <f>ROUND(L26,4)</f>
        <v>-1.2200000000000001E-2</v>
      </c>
      <c r="G55" s="266">
        <f>ROUND(L27,0)</f>
        <v>-82</v>
      </c>
      <c r="H55" s="267"/>
      <c r="I55" s="108"/>
      <c r="J55" s="268" t="s">
        <v>46</v>
      </c>
      <c r="K55" s="269" t="str">
        <f>ROUND(J21,4)*100&amp;J57</f>
        <v>12,02%</v>
      </c>
      <c r="L55" s="269" t="str">
        <f>ROUND(K21,4)*100&amp;J57</f>
        <v>11,17%</v>
      </c>
      <c r="M55" s="269" t="str">
        <f>ROUND(L21,4)*100&amp;J57</f>
        <v>12,92%</v>
      </c>
      <c r="N55" s="83" t="str">
        <f>CONCATENATE(K55," ",J54,L55," ",J58," ",M55,J56)</f>
        <v>12,02% (11,17% a 12,92%)</v>
      </c>
      <c r="O55" s="163"/>
      <c r="P55" s="5"/>
      <c r="U55" s="5"/>
      <c r="V55" s="5"/>
    </row>
    <row r="56" spans="2:22" s="12" customFormat="1" ht="12.75" hidden="1" customHeight="1" x14ac:dyDescent="0.3">
      <c r="B56" s="264" t="s">
        <v>45</v>
      </c>
      <c r="C56" s="265">
        <f>ROUND(D7,0)</f>
        <v>636</v>
      </c>
      <c r="D56" s="265">
        <f>ROUND(D8,0)</f>
        <v>637</v>
      </c>
      <c r="E56" s="1">
        <f>ROUND(I14,2)</f>
        <v>1.1100000000000001</v>
      </c>
      <c r="F56" s="48">
        <f>ROUND(K26,4)</f>
        <v>1.26E-2</v>
      </c>
      <c r="G56" s="266">
        <f>ROUND(K27,0)</f>
        <v>79</v>
      </c>
      <c r="H56" s="270">
        <f>ROUND(N32,4)</f>
        <v>2.6800000000000001E-2</v>
      </c>
      <c r="I56" s="136"/>
      <c r="J56" s="268" t="s">
        <v>45</v>
      </c>
      <c r="K56" s="72" t="str">
        <f>ROUND(J22,4)*100&amp;J57</f>
        <v>12,04%</v>
      </c>
      <c r="L56" s="72" t="str">
        <f>ROUND(K22,4)*100&amp;J57</f>
        <v>11,19%</v>
      </c>
      <c r="M56" s="72" t="str">
        <f>ROUND(L22,4)*100&amp;J57</f>
        <v>12,94%</v>
      </c>
      <c r="N56" s="83" t="str">
        <f>CONCATENATE(K56," ",J54,L56," ",J58," ",M56,J56)</f>
        <v>12,04% (11,19% a 12,94%)</v>
      </c>
      <c r="O56" s="92"/>
    </row>
    <row r="57" spans="2:22" ht="12.75" hidden="1" customHeight="1" x14ac:dyDescent="0.3">
      <c r="B57" s="264" t="s">
        <v>47</v>
      </c>
      <c r="C57" s="271" t="s">
        <v>61</v>
      </c>
      <c r="D57" s="271" t="s">
        <v>62</v>
      </c>
      <c r="E57" s="271" t="s">
        <v>4</v>
      </c>
      <c r="F57" s="271" t="s">
        <v>50</v>
      </c>
      <c r="G57" s="272" t="s">
        <v>48</v>
      </c>
      <c r="H57" s="235" t="s">
        <v>51</v>
      </c>
      <c r="I57" s="108"/>
      <c r="J57" s="268" t="s">
        <v>47</v>
      </c>
      <c r="K57" s="72" t="str">
        <f>ROUND(J23,4)*100&amp;J57</f>
        <v>12,03%</v>
      </c>
      <c r="L57" s="72" t="str">
        <f>ROUND(K23,4)*100&amp;J57</f>
        <v>11,42%</v>
      </c>
      <c r="M57" s="72" t="str">
        <f>ROUND(L23,4)*100&amp;J57</f>
        <v>12,66%</v>
      </c>
      <c r="N57" s="83" t="str">
        <f>CONCATENATE(K57," ",J54,L57," ",J58," ",M57,J56)</f>
        <v>12,03% (11,42% a 12,66%)</v>
      </c>
      <c r="O57" s="92"/>
    </row>
    <row r="58" spans="2:22" ht="12.75" hidden="1" customHeight="1" x14ac:dyDescent="0.3">
      <c r="B58" s="273" t="s">
        <v>19</v>
      </c>
      <c r="C58" s="274" t="str">
        <f>CONCATENATE(C56,B59,C21," ",B54,K55,B56)</f>
        <v>636/5292 (12,02%)</v>
      </c>
      <c r="D58" s="100" t="str">
        <f>CONCATENATE(D56,B59,C22," ",B54,K56,B56)</f>
        <v>637/5292 (12,04%)</v>
      </c>
      <c r="E58" s="274" t="str">
        <f>CONCATENATE(E54," ",B54,E55,B55,E56,B56)</f>
        <v>1 (0,9-1,11)</v>
      </c>
      <c r="F58" s="274" t="str">
        <f>CONCATENATE(F54*100,B57," ",B54,F55*100,B57," ",B58," ",F56*100,B57,B56)</f>
        <v>0,02% (-1,22% a 1,26%)</v>
      </c>
      <c r="G58" s="235" t="str">
        <f>CONCATENATE(G54," ",B54,G56," ",B58," ",G55,B56)</f>
        <v>5292 (79 a -82)</v>
      </c>
      <c r="H58" s="235" t="str">
        <f>CONCATENATE(H56*100,B57)</f>
        <v>2,68%</v>
      </c>
      <c r="I58" s="108"/>
      <c r="J58" s="275" t="s">
        <v>19</v>
      </c>
      <c r="K58" s="20"/>
      <c r="L58" s="20"/>
      <c r="M58" s="20"/>
      <c r="N58" s="107"/>
      <c r="O58" s="163"/>
      <c r="P58" s="5"/>
      <c r="U58" s="5"/>
      <c r="V58" s="5"/>
    </row>
    <row r="59" spans="2:22" ht="13.5" hidden="1" customHeight="1" thickBot="1" x14ac:dyDescent="0.35">
      <c r="B59" s="276" t="s">
        <v>49</v>
      </c>
      <c r="C59" s="183"/>
      <c r="D59" s="183"/>
      <c r="E59" s="183"/>
      <c r="F59" s="183"/>
      <c r="G59" s="277"/>
      <c r="H59" s="278"/>
      <c r="I59" s="108"/>
      <c r="J59" s="279" t="s">
        <v>49</v>
      </c>
      <c r="K59" s="183"/>
      <c r="L59" s="183"/>
      <c r="M59" s="183"/>
      <c r="N59" s="280"/>
      <c r="O59" s="181"/>
      <c r="P59" s="5"/>
      <c r="U59" s="5"/>
      <c r="V59" s="5"/>
    </row>
    <row r="60" spans="2:22" x14ac:dyDescent="0.3">
      <c r="B60" s="82"/>
      <c r="G60" s="108"/>
      <c r="H60" s="108"/>
      <c r="I60" s="108"/>
      <c r="J60" s="108"/>
      <c r="K60" s="108"/>
      <c r="L60" s="123"/>
      <c r="M60" s="108"/>
      <c r="N60" s="108"/>
      <c r="O60" s="5"/>
      <c r="P60" s="5"/>
      <c r="U60" s="5"/>
      <c r="V60" s="5"/>
    </row>
    <row r="61" spans="2:22" ht="27" customHeight="1" x14ac:dyDescent="0.3">
      <c r="B61" s="82"/>
      <c r="C61" s="281" t="s">
        <v>61</v>
      </c>
      <c r="D61" s="281" t="s">
        <v>62</v>
      </c>
      <c r="E61" s="282" t="str">
        <f>CONCATENATE(E57," ",B54,H2," ",B53,B57,B56)</f>
        <v>RR (IC 95%)</v>
      </c>
      <c r="F61" s="282" t="str">
        <f>CONCATENATE(F57," ",B54,H2," ",B53,B57,B56)</f>
        <v>RAR (IC 95%)</v>
      </c>
      <c r="G61" s="282" t="str">
        <f>CONCATENATE(G57," ",B54,H2," ",B53,B57,B56)</f>
        <v>NNT (IC 95%)</v>
      </c>
      <c r="H61" s="282" t="s">
        <v>52</v>
      </c>
      <c r="I61" s="283"/>
      <c r="J61" s="282" t="s">
        <v>66</v>
      </c>
      <c r="L61" s="321" t="s">
        <v>110</v>
      </c>
      <c r="M61" s="321" t="s">
        <v>111</v>
      </c>
      <c r="O61" s="5"/>
      <c r="P61" s="5"/>
      <c r="U61" s="5"/>
      <c r="V61" s="5"/>
    </row>
    <row r="62" spans="2:22" ht="21" customHeight="1" x14ac:dyDescent="0.3">
      <c r="B62" s="82"/>
      <c r="C62" s="100" t="str">
        <f t="shared" ref="C62:H62" si="0">C58</f>
        <v>636/5292 (12,02%)</v>
      </c>
      <c r="D62" s="100" t="str">
        <f t="shared" si="0"/>
        <v>637/5292 (12,04%)</v>
      </c>
      <c r="E62" s="100" t="str">
        <f t="shared" si="0"/>
        <v>1 (0,9-1,11)</v>
      </c>
      <c r="F62" s="100" t="str">
        <f t="shared" si="0"/>
        <v>0,02% (-1,22% a 1,26%)</v>
      </c>
      <c r="G62" s="100" t="str">
        <f t="shared" si="0"/>
        <v>5292 (79 a -82)</v>
      </c>
      <c r="H62" s="100" t="str">
        <f t="shared" si="0"/>
        <v>2,68%</v>
      </c>
      <c r="I62" s="284"/>
      <c r="J62" s="285">
        <f>C49</f>
        <v>0.97616100282344997</v>
      </c>
      <c r="L62" s="286">
        <f>IF((K26*L26&lt;0),J23,J21)</f>
        <v>0.12027588813303099</v>
      </c>
      <c r="M62" s="286">
        <f>IF((K26*L26&lt;0),J23,J22)</f>
        <v>0.12027588813303099</v>
      </c>
      <c r="O62" s="5"/>
      <c r="P62" s="5"/>
      <c r="U62" s="5"/>
      <c r="V62" s="5"/>
    </row>
    <row r="63" spans="2:22" x14ac:dyDescent="0.3">
      <c r="L63" s="4"/>
    </row>
    <row r="64" spans="2:22" x14ac:dyDescent="0.3">
      <c r="L64" s="4"/>
    </row>
    <row r="65" spans="2:5" x14ac:dyDescent="0.3">
      <c r="B65" s="306" t="s">
        <v>123</v>
      </c>
    </row>
    <row r="66" spans="2:5" ht="13.5" thickBot="1" x14ac:dyDescent="0.35">
      <c r="B66" s="305" t="s">
        <v>124</v>
      </c>
    </row>
    <row r="67" spans="2:5" ht="27.75" customHeight="1" thickBot="1" x14ac:dyDescent="0.35">
      <c r="B67" s="312" t="s">
        <v>125</v>
      </c>
      <c r="C67" s="303"/>
      <c r="D67" s="303"/>
      <c r="E67" s="304"/>
    </row>
    <row r="68" spans="2:5" ht="38.5" customHeight="1" thickBot="1" x14ac:dyDescent="0.35">
      <c r="B68" s="289" t="s">
        <v>254</v>
      </c>
      <c r="C68" s="317" t="s">
        <v>126</v>
      </c>
      <c r="D68" s="318" t="s">
        <v>127</v>
      </c>
      <c r="E68" s="290" t="s">
        <v>113</v>
      </c>
    </row>
    <row r="69" spans="2:5" ht="6" customHeight="1" thickBot="1" x14ac:dyDescent="0.35">
      <c r="B69" s="291"/>
      <c r="C69" s="292"/>
      <c r="D69" s="292"/>
      <c r="E69" s="292"/>
    </row>
    <row r="70" spans="2:5" x14ac:dyDescent="0.3">
      <c r="B70" s="293" t="s">
        <v>129</v>
      </c>
      <c r="C70" s="299" t="s">
        <v>128</v>
      </c>
      <c r="D70" s="299" t="s">
        <v>130</v>
      </c>
      <c r="E70" s="307"/>
    </row>
    <row r="71" spans="2:5" ht="13.5" thickBot="1" x14ac:dyDescent="0.35">
      <c r="B71" s="294" t="s">
        <v>114</v>
      </c>
      <c r="C71" s="295" t="s">
        <v>185</v>
      </c>
      <c r="D71" s="295" t="s">
        <v>186</v>
      </c>
      <c r="E71" s="309">
        <v>0.24099696953666563</v>
      </c>
    </row>
    <row r="72" spans="2:5" ht="3.5" customHeight="1" thickBot="1" x14ac:dyDescent="0.35">
      <c r="B72" s="344"/>
      <c r="C72" s="345"/>
      <c r="D72" s="345"/>
      <c r="E72" s="323"/>
    </row>
    <row r="73" spans="2:5" x14ac:dyDescent="0.3">
      <c r="B73" s="75" t="s">
        <v>165</v>
      </c>
      <c r="C73" s="89" t="s">
        <v>167</v>
      </c>
      <c r="D73" s="89" t="s">
        <v>168</v>
      </c>
      <c r="E73" s="307"/>
    </row>
    <row r="74" spans="2:5" x14ac:dyDescent="0.3">
      <c r="B74" s="296" t="s">
        <v>166</v>
      </c>
      <c r="C74" s="100" t="s">
        <v>169</v>
      </c>
      <c r="D74" s="100" t="s">
        <v>169</v>
      </c>
      <c r="E74" s="308"/>
    </row>
    <row r="75" spans="2:5" ht="14.5" x14ac:dyDescent="0.3">
      <c r="B75" s="296" t="s">
        <v>139</v>
      </c>
      <c r="C75" s="100" t="s">
        <v>141</v>
      </c>
      <c r="D75" s="100" t="s">
        <v>142</v>
      </c>
      <c r="E75" s="308"/>
    </row>
    <row r="76" spans="2:5" ht="13.5" thickBot="1" x14ac:dyDescent="0.35">
      <c r="B76" s="313" t="s">
        <v>136</v>
      </c>
      <c r="C76" s="74" t="s">
        <v>137</v>
      </c>
      <c r="D76" s="74" t="s">
        <v>138</v>
      </c>
      <c r="E76" s="309"/>
    </row>
    <row r="77" spans="2:5" ht="19.5" customHeight="1" thickBot="1" x14ac:dyDescent="0.35">
      <c r="B77" s="343" t="s">
        <v>260</v>
      </c>
      <c r="C77" s="297"/>
      <c r="D77" s="297"/>
    </row>
    <row r="78" spans="2:5" x14ac:dyDescent="0.3">
      <c r="B78" s="298" t="s">
        <v>258</v>
      </c>
      <c r="C78" s="299" t="s">
        <v>261</v>
      </c>
      <c r="D78" s="299" t="s">
        <v>261</v>
      </c>
      <c r="E78" s="307">
        <v>1</v>
      </c>
    </row>
    <row r="79" spans="2:5" x14ac:dyDescent="0.3">
      <c r="B79" s="319" t="s">
        <v>257</v>
      </c>
      <c r="C79" s="320" t="s">
        <v>262</v>
      </c>
      <c r="D79" s="320" t="s">
        <v>263</v>
      </c>
      <c r="E79" s="311">
        <v>0.95451451571742318</v>
      </c>
    </row>
    <row r="80" spans="2:5" x14ac:dyDescent="0.3">
      <c r="B80" s="319" t="s">
        <v>256</v>
      </c>
      <c r="C80" s="320" t="s">
        <v>264</v>
      </c>
      <c r="D80" s="320" t="s">
        <v>264</v>
      </c>
      <c r="E80" s="311">
        <v>1</v>
      </c>
    </row>
    <row r="81" spans="2:5" x14ac:dyDescent="0.3">
      <c r="B81" s="300" t="s">
        <v>255</v>
      </c>
      <c r="C81" s="301" t="s">
        <v>265</v>
      </c>
      <c r="D81" s="301" t="s">
        <v>266</v>
      </c>
      <c r="E81" s="308">
        <v>0.97772217417926577</v>
      </c>
    </row>
    <row r="82" spans="2:5" ht="13.5" thickBot="1" x14ac:dyDescent="0.35">
      <c r="B82" s="294" t="s">
        <v>259</v>
      </c>
      <c r="C82" s="295" t="s">
        <v>267</v>
      </c>
      <c r="D82" s="295" t="s">
        <v>268</v>
      </c>
      <c r="E82" s="309">
        <v>0.97616100282344997</v>
      </c>
    </row>
    <row r="83" spans="2:5" ht="19.5" customHeight="1" thickBot="1" x14ac:dyDescent="0.35">
      <c r="B83" s="343" t="s">
        <v>131</v>
      </c>
      <c r="C83" s="297"/>
      <c r="D83" s="297"/>
    </row>
    <row r="84" spans="2:5" x14ac:dyDescent="0.3">
      <c r="B84" s="298" t="s">
        <v>115</v>
      </c>
      <c r="C84" s="299" t="s">
        <v>187</v>
      </c>
      <c r="D84" s="299" t="s">
        <v>188</v>
      </c>
      <c r="E84" s="307">
        <v>0.15789667491524229</v>
      </c>
    </row>
    <row r="85" spans="2:5" x14ac:dyDescent="0.3">
      <c r="B85" s="319" t="s">
        <v>117</v>
      </c>
      <c r="C85" s="320" t="s">
        <v>189</v>
      </c>
      <c r="D85" s="320" t="s">
        <v>190</v>
      </c>
      <c r="E85" s="311">
        <v>0.52212464888973864</v>
      </c>
    </row>
    <row r="86" spans="2:5" x14ac:dyDescent="0.3">
      <c r="B86" s="319" t="s">
        <v>116</v>
      </c>
      <c r="C86" s="320" t="s">
        <v>191</v>
      </c>
      <c r="D86" s="320" t="s">
        <v>192</v>
      </c>
      <c r="E86" s="311">
        <v>5.7399307433437234E-2</v>
      </c>
    </row>
    <row r="87" spans="2:5" x14ac:dyDescent="0.3">
      <c r="B87" s="300" t="s">
        <v>132</v>
      </c>
      <c r="C87" s="301" t="s">
        <v>193</v>
      </c>
      <c r="D87" s="301" t="s">
        <v>194</v>
      </c>
      <c r="E87" s="308">
        <v>0.61933210594525701</v>
      </c>
    </row>
    <row r="88" spans="2:5" x14ac:dyDescent="0.3">
      <c r="B88" s="300" t="s">
        <v>135</v>
      </c>
      <c r="C88" s="301" t="s">
        <v>195</v>
      </c>
      <c r="D88" s="301" t="s">
        <v>196</v>
      </c>
      <c r="E88" s="308">
        <v>0.11316297464123436</v>
      </c>
    </row>
    <row r="89" spans="2:5" x14ac:dyDescent="0.3">
      <c r="B89" s="300" t="s">
        <v>133</v>
      </c>
      <c r="C89" s="301" t="s">
        <v>197</v>
      </c>
      <c r="D89" s="301" t="s">
        <v>198</v>
      </c>
      <c r="E89" s="308">
        <v>0.32228108665562272</v>
      </c>
    </row>
    <row r="90" spans="2:5" ht="13.5" thickBot="1" x14ac:dyDescent="0.35">
      <c r="B90" s="302" t="s">
        <v>134</v>
      </c>
      <c r="C90" s="295" t="s">
        <v>199</v>
      </c>
      <c r="D90" s="295" t="s">
        <v>200</v>
      </c>
      <c r="E90" s="309">
        <v>0.41435171184074882</v>
      </c>
    </row>
    <row r="91" spans="2:5" ht="19.5" customHeight="1" thickBot="1" x14ac:dyDescent="0.35">
      <c r="B91" s="343" t="s">
        <v>269</v>
      </c>
      <c r="C91" s="297"/>
      <c r="D91" s="297"/>
    </row>
    <row r="92" spans="2:5" ht="13" customHeight="1" thickBot="1" x14ac:dyDescent="0.35">
      <c r="B92" s="358" t="s">
        <v>270</v>
      </c>
      <c r="C92" s="359" t="s">
        <v>272</v>
      </c>
      <c r="D92" s="359" t="s">
        <v>272</v>
      </c>
      <c r="E92" s="360">
        <v>1</v>
      </c>
    </row>
    <row r="93" spans="2:5" ht="19.5" customHeight="1" thickBot="1" x14ac:dyDescent="0.35">
      <c r="B93" s="343" t="s">
        <v>120</v>
      </c>
      <c r="C93" s="297"/>
      <c r="D93" s="297"/>
    </row>
    <row r="94" spans="2:5" ht="14.5" x14ac:dyDescent="0.3">
      <c r="B94" s="75" t="s">
        <v>140</v>
      </c>
      <c r="C94" s="89" t="s">
        <v>143</v>
      </c>
      <c r="D94" s="89" t="s">
        <v>144</v>
      </c>
      <c r="E94" s="307"/>
    </row>
    <row r="95" spans="2:5" x14ac:dyDescent="0.3">
      <c r="B95" s="314" t="s">
        <v>184</v>
      </c>
      <c r="C95" s="324" t="s">
        <v>201</v>
      </c>
      <c r="D95" s="324" t="s">
        <v>202</v>
      </c>
      <c r="E95" s="327">
        <v>0.36148647469442913</v>
      </c>
    </row>
    <row r="96" spans="2:5" x14ac:dyDescent="0.3">
      <c r="B96" s="314" t="s">
        <v>119</v>
      </c>
      <c r="C96" s="324" t="s">
        <v>185</v>
      </c>
      <c r="D96" s="324" t="s">
        <v>203</v>
      </c>
      <c r="E96" s="327">
        <v>0.44502909790490824</v>
      </c>
    </row>
    <row r="97" spans="2:5" ht="13.5" thickBot="1" x14ac:dyDescent="0.35">
      <c r="B97" s="315" t="s">
        <v>183</v>
      </c>
      <c r="C97" s="329" t="s">
        <v>204</v>
      </c>
      <c r="D97" s="329" t="s">
        <v>205</v>
      </c>
      <c r="E97" s="330">
        <v>0.2131780987179473</v>
      </c>
    </row>
    <row r="98" spans="2:5" ht="3.5" customHeight="1" thickBot="1" x14ac:dyDescent="0.35"/>
    <row r="99" spans="2:5" x14ac:dyDescent="0.3">
      <c r="B99" s="342" t="s">
        <v>159</v>
      </c>
      <c r="C99" s="299" t="s">
        <v>160</v>
      </c>
      <c r="D99" s="299" t="s">
        <v>161</v>
      </c>
      <c r="E99" s="307"/>
    </row>
    <row r="100" spans="2:5" x14ac:dyDescent="0.3">
      <c r="B100" s="332" t="s">
        <v>162</v>
      </c>
      <c r="C100" s="337" t="s">
        <v>206</v>
      </c>
      <c r="D100" s="337" t="s">
        <v>207</v>
      </c>
      <c r="E100" s="338">
        <v>0.69868839504852087</v>
      </c>
    </row>
    <row r="101" spans="2:5" x14ac:dyDescent="0.3">
      <c r="B101" s="332" t="s">
        <v>163</v>
      </c>
      <c r="C101" s="337" t="s">
        <v>208</v>
      </c>
      <c r="D101" s="337" t="s">
        <v>209</v>
      </c>
      <c r="E101" s="338">
        <v>0.31436829544876366</v>
      </c>
    </row>
    <row r="102" spans="2:5" ht="13.5" thickBot="1" x14ac:dyDescent="0.35">
      <c r="B102" s="315" t="s">
        <v>164</v>
      </c>
      <c r="C102" s="329" t="s">
        <v>210</v>
      </c>
      <c r="D102" s="329" t="s">
        <v>211</v>
      </c>
      <c r="E102" s="330">
        <v>0.5285333024509562</v>
      </c>
    </row>
    <row r="103" spans="2:5" ht="19.5" customHeight="1" thickBot="1" x14ac:dyDescent="0.35">
      <c r="B103" s="343" t="s">
        <v>152</v>
      </c>
      <c r="C103" s="297"/>
      <c r="D103" s="297"/>
    </row>
    <row r="104" spans="2:5" ht="26" x14ac:dyDescent="0.3">
      <c r="B104" s="310" t="s">
        <v>145</v>
      </c>
      <c r="C104" s="89" t="s">
        <v>212</v>
      </c>
      <c r="D104" s="89" t="s">
        <v>212</v>
      </c>
      <c r="E104" s="307">
        <v>1</v>
      </c>
    </row>
    <row r="105" spans="2:5" ht="15" customHeight="1" x14ac:dyDescent="0.3">
      <c r="B105" s="325" t="s">
        <v>146</v>
      </c>
      <c r="C105" s="100" t="s">
        <v>213</v>
      </c>
      <c r="D105" s="100" t="s">
        <v>214</v>
      </c>
      <c r="E105" s="308">
        <v>0.94973426500762248</v>
      </c>
    </row>
    <row r="106" spans="2:5" ht="15" customHeight="1" x14ac:dyDescent="0.3">
      <c r="B106" s="325" t="s">
        <v>153</v>
      </c>
      <c r="C106" s="100" t="s">
        <v>154</v>
      </c>
      <c r="D106" s="100" t="s">
        <v>155</v>
      </c>
      <c r="E106" s="327"/>
    </row>
    <row r="107" spans="2:5" x14ac:dyDescent="0.3">
      <c r="B107" s="326" t="s">
        <v>147</v>
      </c>
      <c r="C107" s="324" t="s">
        <v>215</v>
      </c>
      <c r="D107" s="324" t="s">
        <v>216</v>
      </c>
      <c r="E107" s="327">
        <v>0.45125902862247591</v>
      </c>
    </row>
    <row r="108" spans="2:5" x14ac:dyDescent="0.3">
      <c r="B108" s="326" t="s">
        <v>148</v>
      </c>
      <c r="C108" s="324" t="s">
        <v>217</v>
      </c>
      <c r="D108" s="324" t="s">
        <v>218</v>
      </c>
      <c r="E108" s="327">
        <v>0.96596075067384368</v>
      </c>
    </row>
    <row r="109" spans="2:5" ht="13.5" thickBot="1" x14ac:dyDescent="0.35">
      <c r="B109" s="328" t="s">
        <v>147</v>
      </c>
      <c r="C109" s="329" t="s">
        <v>219</v>
      </c>
      <c r="D109" s="329" t="s">
        <v>220</v>
      </c>
      <c r="E109" s="330">
        <v>0.61216024603352892</v>
      </c>
    </row>
    <row r="110" spans="2:5" ht="3.5" customHeight="1" thickBot="1" x14ac:dyDescent="0.35"/>
    <row r="111" spans="2:5" ht="26.5" thickBot="1" x14ac:dyDescent="0.35">
      <c r="B111" s="346" t="s">
        <v>156</v>
      </c>
      <c r="C111" s="347" t="s">
        <v>157</v>
      </c>
      <c r="D111" s="347" t="s">
        <v>158</v>
      </c>
      <c r="E111" s="348"/>
    </row>
    <row r="112" spans="2:5" ht="19.5" customHeight="1" thickBot="1" x14ac:dyDescent="0.35">
      <c r="B112" s="343" t="s">
        <v>122</v>
      </c>
      <c r="C112" s="297"/>
      <c r="D112" s="297"/>
    </row>
    <row r="113" spans="2:22" x14ac:dyDescent="0.3">
      <c r="B113" s="310" t="s">
        <v>149</v>
      </c>
      <c r="C113" s="339" t="s">
        <v>221</v>
      </c>
      <c r="D113" s="339" t="s">
        <v>222</v>
      </c>
      <c r="E113" s="340">
        <v>0.88389682882400034</v>
      </c>
    </row>
    <row r="114" spans="2:22" x14ac:dyDescent="0.3">
      <c r="B114" s="325" t="s">
        <v>150</v>
      </c>
      <c r="C114" s="324" t="s">
        <v>223</v>
      </c>
      <c r="D114" s="324" t="s">
        <v>224</v>
      </c>
      <c r="E114" s="327">
        <v>0.33943483751712328</v>
      </c>
    </row>
    <row r="115" spans="2:22" ht="13.5" thickBot="1" x14ac:dyDescent="0.35">
      <c r="B115" s="341" t="s">
        <v>151</v>
      </c>
      <c r="C115" s="329" t="s">
        <v>225</v>
      </c>
      <c r="D115" s="329" t="s">
        <v>226</v>
      </c>
      <c r="E115" s="330">
        <v>0.78617562089004345</v>
      </c>
    </row>
    <row r="116" spans="2:22" ht="19.5" customHeight="1" thickBot="1" x14ac:dyDescent="0.35">
      <c r="B116" s="343" t="s">
        <v>121</v>
      </c>
      <c r="C116" s="297"/>
      <c r="D116" s="297"/>
    </row>
    <row r="117" spans="2:22" x14ac:dyDescent="0.3">
      <c r="B117" s="75" t="s">
        <v>118</v>
      </c>
      <c r="C117" s="89" t="s">
        <v>227</v>
      </c>
      <c r="D117" s="89" t="s">
        <v>228</v>
      </c>
      <c r="E117" s="307">
        <v>0.54848906703743872</v>
      </c>
    </row>
    <row r="118" spans="2:22" x14ac:dyDescent="0.3">
      <c r="B118" s="296" t="s">
        <v>170</v>
      </c>
      <c r="C118" s="100" t="s">
        <v>229</v>
      </c>
      <c r="D118" s="100" t="s">
        <v>230</v>
      </c>
      <c r="E118" s="308">
        <v>0.26771226979587448</v>
      </c>
    </row>
    <row r="119" spans="2:22" x14ac:dyDescent="0.3">
      <c r="B119" s="296" t="s">
        <v>172</v>
      </c>
      <c r="C119" s="100" t="s">
        <v>200</v>
      </c>
      <c r="D119" s="100" t="s">
        <v>231</v>
      </c>
      <c r="E119" s="308">
        <v>0.92994329934815734</v>
      </c>
    </row>
    <row r="120" spans="2:22" x14ac:dyDescent="0.3">
      <c r="B120" s="296" t="s">
        <v>171</v>
      </c>
      <c r="C120" s="100" t="s">
        <v>232</v>
      </c>
      <c r="D120" s="100" t="s">
        <v>233</v>
      </c>
      <c r="E120" s="308">
        <v>0.35448115023945853</v>
      </c>
    </row>
    <row r="121" spans="2:22" x14ac:dyDescent="0.3">
      <c r="B121" s="296" t="s">
        <v>173</v>
      </c>
      <c r="C121" s="100" t="s">
        <v>234</v>
      </c>
      <c r="D121" s="100" t="s">
        <v>235</v>
      </c>
      <c r="E121" s="308">
        <v>0.93598604261294127</v>
      </c>
    </row>
    <row r="122" spans="2:22" x14ac:dyDescent="0.3">
      <c r="B122" s="296" t="s">
        <v>174</v>
      </c>
      <c r="C122" s="100" t="s">
        <v>236</v>
      </c>
      <c r="D122" s="100" t="s">
        <v>237</v>
      </c>
      <c r="E122" s="308">
        <v>0.6084465968653755</v>
      </c>
    </row>
    <row r="123" spans="2:22" x14ac:dyDescent="0.3">
      <c r="B123" s="296" t="s">
        <v>175</v>
      </c>
      <c r="C123" s="100" t="s">
        <v>238</v>
      </c>
      <c r="D123" s="100" t="s">
        <v>239</v>
      </c>
      <c r="E123" s="308">
        <v>0.96755185308579439</v>
      </c>
    </row>
    <row r="124" spans="2:22" ht="13.5" thickBot="1" x14ac:dyDescent="0.35">
      <c r="B124" s="76" t="s">
        <v>176</v>
      </c>
      <c r="C124" s="74" t="s">
        <v>240</v>
      </c>
      <c r="D124" s="74" t="s">
        <v>241</v>
      </c>
      <c r="E124" s="309">
        <v>0.43247101213044126</v>
      </c>
    </row>
    <row r="125" spans="2:22" s="20" customFormat="1" ht="2" customHeight="1" thickBot="1" x14ac:dyDescent="0.35">
      <c r="B125" s="77"/>
      <c r="C125" s="322"/>
      <c r="D125" s="322"/>
      <c r="E125" s="323"/>
      <c r="F125" s="5"/>
      <c r="G125" s="5"/>
      <c r="H125" s="5"/>
      <c r="I125" s="5"/>
      <c r="J125" s="5"/>
      <c r="K125" s="5"/>
      <c r="O125" s="4"/>
      <c r="P125" s="4"/>
      <c r="U125" s="4"/>
      <c r="V125" s="4"/>
    </row>
    <row r="126" spans="2:22" x14ac:dyDescent="0.3">
      <c r="B126" s="75" t="s">
        <v>182</v>
      </c>
      <c r="C126" s="89" t="s">
        <v>242</v>
      </c>
      <c r="D126" s="89" t="s">
        <v>243</v>
      </c>
      <c r="E126" s="307">
        <v>0.16634331503483821</v>
      </c>
    </row>
    <row r="127" spans="2:22" x14ac:dyDescent="0.3">
      <c r="B127" s="296" t="s">
        <v>177</v>
      </c>
      <c r="C127" s="100" t="s">
        <v>244</v>
      </c>
      <c r="D127" s="100" t="s">
        <v>245</v>
      </c>
      <c r="E127" s="308">
        <v>0.3479364806272176</v>
      </c>
    </row>
    <row r="128" spans="2:22" x14ac:dyDescent="0.3">
      <c r="B128" s="333" t="s">
        <v>178</v>
      </c>
      <c r="C128" s="334" t="s">
        <v>246</v>
      </c>
      <c r="D128" s="334" t="s">
        <v>247</v>
      </c>
      <c r="E128" s="331">
        <v>6.0505076232672664E-2</v>
      </c>
    </row>
    <row r="129" spans="2:5" x14ac:dyDescent="0.3">
      <c r="B129" s="333" t="s">
        <v>179</v>
      </c>
      <c r="C129" s="334" t="s">
        <v>248</v>
      </c>
      <c r="D129" s="334" t="s">
        <v>249</v>
      </c>
      <c r="E129" s="331"/>
    </row>
    <row r="130" spans="2:5" x14ac:dyDescent="0.3">
      <c r="B130" s="333" t="s">
        <v>180</v>
      </c>
      <c r="C130" s="334" t="s">
        <v>250</v>
      </c>
      <c r="D130" s="334" t="s">
        <v>251</v>
      </c>
      <c r="E130" s="331">
        <v>0.5941135679940972</v>
      </c>
    </row>
    <row r="131" spans="2:5" ht="13.5" thickBot="1" x14ac:dyDescent="0.35">
      <c r="B131" s="76" t="s">
        <v>181</v>
      </c>
      <c r="C131" s="74" t="s">
        <v>252</v>
      </c>
      <c r="D131" s="74" t="s">
        <v>253</v>
      </c>
      <c r="E131" s="309">
        <v>0.25817024234962432</v>
      </c>
    </row>
    <row r="132" spans="2:5" ht="4" customHeight="1" x14ac:dyDescent="0.3">
      <c r="B132" s="335"/>
      <c r="C132" s="20"/>
      <c r="D132" s="20"/>
      <c r="E132" s="336"/>
    </row>
    <row r="133" spans="2:5" ht="25" customHeight="1" x14ac:dyDescent="0.3">
      <c r="B133" s="349" t="s">
        <v>271</v>
      </c>
      <c r="C133" s="349"/>
      <c r="D133" s="349"/>
      <c r="E133" s="349"/>
    </row>
  </sheetData>
  <mergeCells count="4">
    <mergeCell ref="B133:E133"/>
    <mergeCell ref="B2:F2"/>
    <mergeCell ref="B3:F3"/>
    <mergeCell ref="C44:D44"/>
  </mergeCells>
  <phoneticPr fontId="2" type="noConversion"/>
  <pageMargins left="0.17" right="0.17" top="0.21" bottom="0.7" header="0" footer="0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Inc Acumul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gasanchez</dc:creator>
  <cp:lastModifiedBy>Galo Agustín Sánchez Robles</cp:lastModifiedBy>
  <cp:lastPrinted>2012-06-13T14:26:24Z</cp:lastPrinted>
  <dcterms:created xsi:type="dcterms:W3CDTF">2009-05-28T14:19:22Z</dcterms:created>
  <dcterms:modified xsi:type="dcterms:W3CDTF">2021-10-29T15:09:56Z</dcterms:modified>
</cp:coreProperties>
</file>