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11030- VÑ DAPA-CKD\"/>
    </mc:Choice>
  </mc:AlternateContent>
  <xr:revisionPtr revIDLastSave="0" documentId="13_ncr:1_{053C3174-F961-4411-8D8E-D17E104A159C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NNT desde HR" sheetId="10" r:id="rId1"/>
    <sheet name="Inc Acumul" sheetId="1" r:id="rId2"/>
    <sheet name="Tamaño por HR" sheetId="12" r:id="rId3"/>
  </sheets>
  <definedNames>
    <definedName name="ArticleComments" localSheetId="1">'Inc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2" l="1"/>
  <c r="E18" i="12"/>
  <c r="C15" i="12"/>
  <c r="C8" i="12"/>
  <c r="C16" i="12" s="1"/>
  <c r="E16" i="12" s="1"/>
  <c r="I6" i="12"/>
  <c r="C21" i="12" l="1"/>
  <c r="E15" i="12"/>
  <c r="C17" i="12"/>
  <c r="E17" i="12" l="1"/>
  <c r="C20" i="12" s="1"/>
  <c r="C22" i="12" s="1"/>
  <c r="E27" i="12" l="1"/>
  <c r="C23" i="12"/>
  <c r="G20" i="12"/>
  <c r="G19" i="12"/>
  <c r="G21" i="12" s="1"/>
  <c r="L44" i="10" l="1"/>
  <c r="M44" i="10"/>
  <c r="L45" i="10"/>
  <c r="M45" i="10"/>
  <c r="L47" i="10"/>
  <c r="M47" i="10"/>
  <c r="L48" i="10"/>
  <c r="M48" i="10"/>
  <c r="L50" i="10"/>
  <c r="M50" i="10"/>
  <c r="L51" i="10"/>
  <c r="M51" i="10"/>
  <c r="L53" i="10"/>
  <c r="M53" i="10"/>
  <c r="L56" i="10"/>
  <c r="M56" i="10"/>
  <c r="L57" i="10"/>
  <c r="M57" i="10"/>
  <c r="L58" i="10"/>
  <c r="M58" i="10"/>
  <c r="L61" i="10"/>
  <c r="M61" i="10"/>
  <c r="M42" i="10" l="1"/>
  <c r="L42" i="10"/>
  <c r="F5" i="10" l="1"/>
  <c r="D10" i="10" s="1"/>
  <c r="E13" i="10" s="1"/>
  <c r="D9" i="1"/>
  <c r="B23" i="1" s="1"/>
  <c r="E28" i="10"/>
  <c r="E27" i="10"/>
  <c r="E26" i="10"/>
  <c r="D26" i="10"/>
  <c r="D30" i="10" s="1"/>
  <c r="D34" i="10" s="1"/>
  <c r="D56" i="1"/>
  <c r="B53" i="1"/>
  <c r="G61" i="1" s="1"/>
  <c r="E41" i="1"/>
  <c r="E40" i="1"/>
  <c r="I23" i="1"/>
  <c r="I22" i="1"/>
  <c r="C22" i="1"/>
  <c r="B22" i="1"/>
  <c r="I21" i="1"/>
  <c r="C21" i="1"/>
  <c r="G21" i="1" s="1"/>
  <c r="D14" i="1"/>
  <c r="F9" i="1"/>
  <c r="C23" i="1" s="1"/>
  <c r="E8" i="1"/>
  <c r="B14" i="1"/>
  <c r="G14" i="1"/>
  <c r="E54" i="1" s="1"/>
  <c r="E7" i="1"/>
  <c r="B21" i="1"/>
  <c r="C56" i="1"/>
  <c r="E61" i="1"/>
  <c r="F61" i="1"/>
  <c r="G22" i="1" l="1"/>
  <c r="E23" i="1"/>
  <c r="G23" i="1"/>
  <c r="E22" i="1"/>
  <c r="E42" i="1"/>
  <c r="E10" i="10"/>
  <c r="G13" i="10" s="1"/>
  <c r="F14" i="10" s="1"/>
  <c r="F23" i="10" s="1"/>
  <c r="F10" i="10"/>
  <c r="F11" i="10" s="1"/>
  <c r="C28" i="10" s="1"/>
  <c r="C41" i="1"/>
  <c r="C46" i="1" s="1"/>
  <c r="N21" i="1"/>
  <c r="C40" i="1"/>
  <c r="E9" i="1"/>
  <c r="D41" i="1" s="1"/>
  <c r="D46" i="1" s="1"/>
  <c r="D23" i="1"/>
  <c r="Q28" i="1" s="1"/>
  <c r="N23" i="1"/>
  <c r="D11" i="10"/>
  <c r="C26" i="10" s="1"/>
  <c r="E30" i="10"/>
  <c r="E34" i="10" s="1"/>
  <c r="E14" i="10"/>
  <c r="E21" i="10" s="1"/>
  <c r="F26" i="10"/>
  <c r="E21" i="1"/>
  <c r="C14" i="1"/>
  <c r="E14" i="1" s="1"/>
  <c r="H14" i="1" s="1"/>
  <c r="K14" i="1"/>
  <c r="D22" i="1"/>
  <c r="D21" i="1"/>
  <c r="E11" i="10" l="1"/>
  <c r="C27" i="10" s="1"/>
  <c r="C30" i="10" s="1"/>
  <c r="C34" i="10" s="1"/>
  <c r="F14" i="1"/>
  <c r="I14" i="1" s="1"/>
  <c r="E56" i="1" s="1"/>
  <c r="F28" i="10"/>
  <c r="F13" i="10"/>
  <c r="F27" i="10" s="1"/>
  <c r="D40" i="1"/>
  <c r="D42" i="1" s="1"/>
  <c r="C45" i="1"/>
  <c r="C42" i="1"/>
  <c r="F23" i="1"/>
  <c r="W22" i="1"/>
  <c r="J23" i="1"/>
  <c r="K57" i="1" s="1"/>
  <c r="F22" i="10"/>
  <c r="E23" i="10"/>
  <c r="E24" i="10"/>
  <c r="E19" i="10"/>
  <c r="E16" i="10"/>
  <c r="F18" i="10"/>
  <c r="E22" i="10"/>
  <c r="F21" i="10"/>
  <c r="F16" i="10"/>
  <c r="G26" i="10"/>
  <c r="E18" i="10"/>
  <c r="F19" i="10"/>
  <c r="F17" i="10"/>
  <c r="G27" i="10"/>
  <c r="E17" i="10"/>
  <c r="F24" i="10"/>
  <c r="E55" i="1"/>
  <c r="L14" i="1"/>
  <c r="J22" i="1"/>
  <c r="K56" i="1" s="1"/>
  <c r="J26" i="1"/>
  <c r="F22" i="1"/>
  <c r="W21" i="1"/>
  <c r="J21" i="1"/>
  <c r="K55" i="1" s="1"/>
  <c r="F21" i="1"/>
  <c r="L21" i="1" s="1"/>
  <c r="M55" i="1" s="1"/>
  <c r="D45" i="1" l="1"/>
  <c r="K41" i="1"/>
  <c r="I40" i="1" s="1"/>
  <c r="M14" i="1"/>
  <c r="W23" i="1"/>
  <c r="W24" i="1" s="1"/>
  <c r="W25" i="1" s="1"/>
  <c r="G14" i="10"/>
  <c r="G19" i="10" s="1"/>
  <c r="I34" i="10"/>
  <c r="J34" i="10"/>
  <c r="F30" i="10"/>
  <c r="F34" i="10" s="1"/>
  <c r="G22" i="10"/>
  <c r="K23" i="1"/>
  <c r="L57" i="1" s="1"/>
  <c r="L23" i="1"/>
  <c r="M57" i="1" s="1"/>
  <c r="C48" i="1"/>
  <c r="C49" i="1" s="1"/>
  <c r="J62" i="1" s="1"/>
  <c r="G24" i="10"/>
  <c r="G21" i="10"/>
  <c r="K21" i="1"/>
  <c r="L55" i="1" s="1"/>
  <c r="N55" i="1" s="1"/>
  <c r="N31" i="1"/>
  <c r="N32" i="1" s="1"/>
  <c r="J27" i="1"/>
  <c r="J35" i="1" s="1"/>
  <c r="F54" i="1"/>
  <c r="N22" i="1"/>
  <c r="N24" i="1" s="1"/>
  <c r="N25" i="1" s="1"/>
  <c r="N26" i="1" s="1"/>
  <c r="C58" i="1"/>
  <c r="C62" i="1" s="1"/>
  <c r="D58" i="1"/>
  <c r="D62" i="1" s="1"/>
  <c r="L22" i="1"/>
  <c r="M56" i="1" s="1"/>
  <c r="K22" i="1"/>
  <c r="L56" i="1" s="1"/>
  <c r="E58" i="1"/>
  <c r="E62" i="1" s="1"/>
  <c r="J32" i="1" l="1"/>
  <c r="G23" i="10"/>
  <c r="G28" i="10"/>
  <c r="G30" i="10" s="1"/>
  <c r="G34" i="10" s="1"/>
  <c r="G17" i="10"/>
  <c r="N57" i="1"/>
  <c r="G18" i="10"/>
  <c r="G16" i="10"/>
  <c r="L26" i="1"/>
  <c r="L27" i="1" s="1"/>
  <c r="L32" i="1" s="1"/>
  <c r="G46" i="1"/>
  <c r="N56" i="1"/>
  <c r="K26" i="1"/>
  <c r="G54" i="1"/>
  <c r="J36" i="1"/>
  <c r="J29" i="1"/>
  <c r="J31" i="1"/>
  <c r="J34" i="1"/>
  <c r="J37" i="1"/>
  <c r="J30" i="1"/>
  <c r="H56" i="1"/>
  <c r="H58" i="1" s="1"/>
  <c r="H62" i="1" s="1"/>
  <c r="N33" i="1"/>
  <c r="F55" i="1" l="1"/>
  <c r="F56" i="1"/>
  <c r="L62" i="1"/>
  <c r="K27" i="1"/>
  <c r="K32" i="1" s="1"/>
  <c r="M62" i="1"/>
  <c r="L31" i="1"/>
  <c r="K36" i="1"/>
  <c r="G55" i="1"/>
  <c r="L29" i="1"/>
  <c r="K34" i="1"/>
  <c r="K37" i="1"/>
  <c r="L30" i="1"/>
  <c r="K35" i="1"/>
  <c r="F58" i="1" l="1"/>
  <c r="F62" i="1" s="1"/>
  <c r="L35" i="1"/>
  <c r="L34" i="1"/>
  <c r="K31" i="1"/>
  <c r="K29" i="1"/>
  <c r="L36" i="1"/>
  <c r="G56" i="1"/>
  <c r="G58" i="1" s="1"/>
  <c r="G62" i="1" s="1"/>
  <c r="L37" i="1"/>
  <c r="K30" i="1"/>
</calcChain>
</file>

<file path=xl/sharedStrings.xml><?xml version="1.0" encoding="utf-8"?>
<sst xmlns="http://schemas.openxmlformats.org/spreadsheetml/2006/main" count="388" uniqueCount="330">
  <si>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</si>
  <si>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</si>
  <si>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</si>
  <si>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</si>
  <si>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</si>
  <si>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</si>
  <si>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</si>
  <si>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</si>
  <si>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</si>
  <si>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</si>
  <si>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</si>
  <si>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</si>
  <si>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</si>
  <si>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</si>
  <si>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</si>
  <si>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</si>
  <si>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</si>
  <si>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</si>
  <si>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</si>
  <si>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</si>
  <si>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</si>
  <si>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</si>
  <si>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</si>
  <si>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</si>
  <si>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</si>
  <si>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</si>
  <si>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</si>
  <si>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</si>
  <si>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</si>
  <si>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</si>
  <si>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</si>
  <si>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</si>
  <si>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</si>
  <si>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</si>
  <si>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</si>
  <si>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</si>
  <si>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</si>
  <si>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</si>
  <si>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</si>
  <si>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</si>
  <si>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</si>
  <si>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</si>
  <si>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</si>
  <si>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</si>
  <si>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</si>
  <si>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</si>
  <si>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</si>
  <si>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</si>
  <si>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</si>
  <si>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</si>
  <si>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</si>
  <si>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</si>
  <si>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</si>
  <si>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</si>
  <si>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</si>
  <si>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</si>
  <si>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</si>
  <si>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</si>
  <si>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</si>
  <si>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</si>
  <si>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</si>
  <si>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</si>
  <si>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</si>
  <si>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</si>
  <si>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</si>
  <si>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</si>
  <si>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</si>
  <si>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</si>
  <si>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</si>
  <si>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</si>
  <si>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</si>
  <si>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</si>
  <si>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</si>
  <si>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</si>
  <si>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</si>
  <si>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</si>
  <si>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</si>
  <si>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</si>
  <si>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</si>
  <si>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</si>
  <si>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</si>
  <si>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</si>
  <si>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</si>
  <si>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</si>
  <si>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Cálculo por incidencias acumuladas de RR, RAR, NNT con sus IC 95%, potencia estadística y valor de p</t>
  </si>
  <si>
    <t>Cálculo de RAR y NNT a partir del HR y el % RA en el grupo control</t>
  </si>
  <si>
    <t>% RA control =</t>
  </si>
  <si>
    <t>100% - % RA control =</t>
  </si>
  <si>
    <t>Estimación puntual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</si>
  <si>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</si>
  <si>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</si>
  <si>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</si>
  <si>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</si>
  <si>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</si>
  <si>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</si>
  <si>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</si>
  <si>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</si>
  <si>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</si>
  <si>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</si>
  <si>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</si>
  <si>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</si>
  <si>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</si>
  <si>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</si>
  <si>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</si>
  <si>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</si>
  <si>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</si>
  <si>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</si>
  <si>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</si>
  <si>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</si>
  <si>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</si>
  <si>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</si>
  <si>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</si>
  <si>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</si>
  <si>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</si>
  <si>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</si>
  <si>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</si>
  <si>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</si>
  <si>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</si>
  <si>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</si>
  <si>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</si>
  <si>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</si>
  <si>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</si>
  <si>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</si>
  <si>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</si>
  <si>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</si>
  <si>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</si>
  <si>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</si>
  <si>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</si>
  <si>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</si>
  <si>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</si>
  <si>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</si>
  <si>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</si>
  <si>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</si>
  <si>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t>L I  del IC 95%</t>
  </si>
  <si>
    <t>L S del IC 95%</t>
  </si>
  <si>
    <r>
      <t xml:space="preserve">S </t>
    </r>
    <r>
      <rPr>
        <i/>
        <vertAlign val="subscript"/>
        <sz val="10"/>
        <rFont val="Calibri"/>
        <family val="2"/>
      </rPr>
      <t>intervención</t>
    </r>
    <r>
      <rPr>
        <i/>
        <sz val="10"/>
        <rFont val="Calibri"/>
        <family val="2"/>
      </rPr>
      <t xml:space="preserve"> = S 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</si>
  <si>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complementario de Supervivencia = % Eventos interv (LI IC - LS IC)</t>
  </si>
  <si>
    <t>% Interv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</si>
  <si>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</si>
  <si>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</si>
  <si>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Hoja información al usuario que no se maneja con los IC</t>
  </si>
  <si>
    <t>Placebo</t>
  </si>
  <si>
    <t>Nº Eventos crudos (%)</t>
  </si>
  <si>
    <t>Nº Eventos ajustados (%)</t>
  </si>
  <si>
    <r>
      <t xml:space="preserve">Medidas del efecto </t>
    </r>
    <r>
      <rPr>
        <b/>
        <u/>
        <sz val="10"/>
        <rFont val="Calibri"/>
        <family val="2"/>
      </rPr>
      <t>EN LOS MESES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</si>
  <si>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meses del control</t>
  </si>
  <si>
    <t>Hoja información al usuario (FACT BOX)</t>
  </si>
  <si>
    <t>Fracturas óseas</t>
  </si>
  <si>
    <t>Medidas del efecto obtenidas por incidencias acumuladas</t>
  </si>
  <si>
    <r>
      <t>Valor de</t>
    </r>
    <r>
      <rPr>
        <b/>
        <i/>
        <sz val="10"/>
        <rFont val="Calibri"/>
        <family val="2"/>
      </rPr>
      <t xml:space="preserve"> p</t>
    </r>
  </si>
  <si>
    <t>Cálculo del tamaño necesario de la muestra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</si>
  <si>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RAc:</t>
    </r>
    <r>
      <rPr>
        <sz val="10"/>
        <rFont val="Calibri"/>
        <family val="2"/>
      </rPr>
      <t xml:space="preserve"> riesgo absoluto del grupo de control; </t>
    </r>
    <r>
      <rPr>
        <b/>
        <sz val="10"/>
        <rFont val="Calibri"/>
        <family val="2"/>
      </rPr>
      <t>RAi:</t>
    </r>
    <r>
      <rPr>
        <sz val="10"/>
        <rFont val="Calibri"/>
        <family val="2"/>
      </rPr>
      <t xml:space="preserve"> riesgo absoluto del grupo de intervención: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 xml:space="preserve">riesgo relativo;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nivel de significación estadística (= 1 - nivel de confianza);  </t>
    </r>
    <r>
      <rPr>
        <b/>
        <sz val="10"/>
        <rFont val="Calibri"/>
        <family val="2"/>
      </rPr>
      <t xml:space="preserve">Error beta </t>
    </r>
    <r>
      <rPr>
        <sz val="10"/>
        <rFont val="Calibri"/>
        <family val="2"/>
      </rPr>
      <t>= 1 - potencia estadística (o potencia de contraste);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n</t>
    </r>
    <r>
      <rPr>
        <sz val="11"/>
        <rFont val="Calibri"/>
        <family val="2"/>
      </rPr>
      <t>:</t>
    </r>
    <r>
      <rPr>
        <sz val="10"/>
        <rFont val="Calibri"/>
        <family val="2"/>
      </rPr>
      <t xml:space="preserve"> número de pacientes de cada grupo.</t>
    </r>
  </si>
  <si>
    <r>
      <t>S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= S</t>
    </r>
    <r>
      <rPr>
        <vertAlign val="subscript"/>
        <sz val="11"/>
        <rFont val="Calibri"/>
        <family val="2"/>
      </rPr>
      <t>c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=&gt;</t>
    </r>
  </si>
  <si>
    <r>
      <t>1-%RA</t>
    </r>
    <r>
      <rPr>
        <b/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(1-%RA</t>
    </r>
    <r>
      <rPr>
        <b/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=&gt;</t>
    </r>
  </si>
  <si>
    <r>
      <t xml:space="preserve"> %RA</t>
    </r>
    <r>
      <rPr>
        <b/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(1-%RA</t>
    </r>
    <r>
      <rPr>
        <b/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</si>
  <si>
    <r>
      <t>si se espera un % RA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/año =</t>
    </r>
  </si>
  <si>
    <t>durante</t>
  </si>
  <si>
    <t>años</t>
  </si>
  <si>
    <r>
      <t xml:space="preserve"> =&gt; que se espera un % RA</t>
    </r>
    <r>
      <rPr>
        <b/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=</t>
    </r>
  </si>
  <si>
    <t>y se espera un HR =</t>
  </si>
  <si>
    <r>
      <t>entonces %RA</t>
    </r>
    <r>
      <rPr>
        <b/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(1-%RA</t>
    </r>
    <r>
      <rPr>
        <b/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=</t>
    </r>
  </si>
  <si>
    <t>DETERMINACIÓN DEL TAMAÑO DE MUESTRA EN CADA GRUPO DE ESTUDIO PARA LA COMPARACIÓN DE DOS PROPORCIONES.</t>
  </si>
  <si>
    <t xml:space="preserve">Siguendo en mismo razonamiento que antes: </t>
  </si>
  <si>
    <r>
      <t>n = 2pq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(z</t>
    </r>
    <r>
      <rPr>
        <b/>
        <vertAlign val="subscript"/>
        <sz val="11"/>
        <rFont val="Calibri"/>
        <family val="2"/>
      </rPr>
      <t>α/2</t>
    </r>
    <r>
      <rPr>
        <b/>
        <sz val="11"/>
        <rFont val="Calibri"/>
        <family val="2"/>
      </rPr>
      <t xml:space="preserve"> + z</t>
    </r>
    <r>
      <rPr>
        <b/>
        <vertAlign val="subscript"/>
        <sz val="11"/>
        <rFont val="Calibri"/>
        <family val="2"/>
      </rPr>
      <t>β</t>
    </r>
    <r>
      <rPr>
        <b/>
        <sz val="11"/>
        <rFont val="Calibri"/>
        <family val="2"/>
      </rPr>
      <t>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</si>
  <si>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La proporción que debe usarse no es ni pA ni pB, sino la llamada porporción media (pM) = pA+pB/2, y así=&gt;</t>
  </si>
  <si>
    <r>
      <t>n = 2* (pM * qM) * (z α/2 + zβ)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</si>
  <si>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CÁLCULO DEL TAMAÑO DE MUESTRA PARA UNA DIFERENCIA DE DOS PROPORCIONES</t>
  </si>
  <si>
    <t>qA</t>
  </si>
  <si>
    <t>% RA intervención</t>
  </si>
  <si>
    <t>qB</t>
  </si>
  <si>
    <t>pM (=proporción Media)</t>
  </si>
  <si>
    <t>qM</t>
  </si>
  <si>
    <t>Para un error alfa 2 colas</t>
  </si>
  <si>
    <t>=&gt; z α/2 =</t>
  </si>
  <si>
    <t>Según estos cálculos ¿cuándo debería pararse el estudio?</t>
  </si>
  <si>
    <t>Para un error beta 1 cola</t>
  </si>
  <si>
    <t>=&gt; zβ =</t>
  </si>
  <si>
    <t>Nº eventos esperados en el grupo control</t>
  </si>
  <si>
    <t>Numerador</t>
  </si>
  <si>
    <t>Nº eventos esperados en el grupo intervención</t>
  </si>
  <si>
    <t>Denominador</t>
  </si>
  <si>
    <t>Suma de los eventos</t>
  </si>
  <si>
    <t>n (cada grupo) =</t>
  </si>
  <si>
    <t>2n (total) =</t>
  </si>
  <si>
    <t>Significación estadística = 5% (2 colas)</t>
  </si>
  <si>
    <t xml:space="preserve">Si espero pérdidas del </t>
  </si>
  <si>
    <t>=&gt; Total =</t>
  </si>
  <si>
    <t>por grupo</t>
  </si>
  <si>
    <t>Variables experienciales</t>
  </si>
  <si>
    <r>
      <rPr>
        <b/>
        <sz val="12"/>
        <color rgb="FF99330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62 años (DE 12), con FGe 43 ml/min (DE 12), DM2 en un 67%, enfermedad CV en un 37% e insuficiencia cardíaca en un 10% diabéticos y no diabéticos.</t>
    </r>
  </si>
  <si>
    <t>ECA DAPA-CKD, media de seguimiento 23,5 meses</t>
  </si>
  <si>
    <t>Tto estándar + Dapaglifozina, n= 2152</t>
  </si>
  <si>
    <t>Tto estándar + Placebo, n= 2152</t>
  </si>
  <si>
    <r>
      <t>Nº de pacientes con evento en</t>
    </r>
    <r>
      <rPr>
        <b/>
        <sz val="10"/>
        <rFont val="Calibri"/>
        <family val="2"/>
      </rPr>
      <t xml:space="preserve"> 24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</si>
  <si>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Dapaglifozina</t>
  </si>
  <si>
    <t>20201008-ECA DAPA-CKD 2y, ERC +-DM2 [Dapa vs Pl] –ERC Mort. Heerspink</t>
  </si>
  <si>
    <t>Heerspink HJL, Stefánsson BV, Correa-Rotter R, Chertow GM, Greene T, Hou FF, Mann JFE, McMurray JJV, Lindberg M, Rossing P, Sjöström CD, Toto RD, Langkilde AM, Wheeler DC; DAPA-CKD Trial Committees and Investigators. Dapagliflozin in Patients with Chronic Kidney Disease. N Engl J Med. 2020 Oct 8;383(15):1436-1446.</t>
  </si>
  <si>
    <r>
      <t>% de pacientes con evento en</t>
    </r>
    <r>
      <rPr>
        <b/>
        <sz val="10"/>
        <rFont val="Calibri"/>
        <family val="2"/>
      </rPr>
      <t xml:space="preserve"> 24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</si>
  <si>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Mortalidad por cualquier causa (Mort)</t>
  </si>
  <si>
    <t>Mort , SG con DM2</t>
  </si>
  <si>
    <t>Mort, SG sin DM2</t>
  </si>
  <si>
    <r>
      <t xml:space="preserve">Mort, SG albúmina(mg)/ creatinina(g) </t>
    </r>
    <r>
      <rPr>
        <sz val="10"/>
        <rFont val="Calibri"/>
        <family val="2"/>
      </rPr>
      <t>≤</t>
    </r>
    <r>
      <rPr>
        <i/>
        <sz val="10"/>
        <rFont val="Calibri"/>
        <family val="2"/>
        <scheme val="minor"/>
      </rPr>
      <t xml:space="preserve"> 1000</t>
    </r>
  </si>
  <si>
    <t>Mort, SG albúmina(mg)/ creatinina(g) &gt; 1000</t>
  </si>
  <si>
    <t>Mortalidad por causa cardiovascular</t>
  </si>
  <si>
    <t>Mortalidad por causa renal</t>
  </si>
  <si>
    <t>Declinación FGe &gt; 50%</t>
  </si>
  <si>
    <t>FGe &lt; 15 ml/min</t>
  </si>
  <si>
    <t>Diálisis de larga duración</t>
  </si>
  <si>
    <t>Trasplante renal</t>
  </si>
  <si>
    <t>Variables NO experienciales</t>
  </si>
  <si>
    <r>
      <rPr>
        <sz val="9"/>
        <rFont val="Calibri"/>
        <family val="2"/>
        <scheme val="minor"/>
      </rPr>
      <t>1</t>
    </r>
    <r>
      <rPr>
        <vertAlign val="superscript"/>
        <sz val="9"/>
        <rFont val="Calibri"/>
        <family val="2"/>
        <scheme val="minor"/>
      </rPr>
      <t>er</t>
    </r>
    <r>
      <rPr>
        <sz val="9"/>
        <rFont val="Calibri"/>
        <family val="2"/>
        <scheme val="minor"/>
      </rPr>
      <t xml:space="preserve"> evento de </t>
    </r>
    <r>
      <rPr>
        <b/>
        <sz val="9"/>
        <rFont val="Calibri"/>
        <family val="2"/>
        <scheme val="minor"/>
      </rPr>
      <t>[Declinación FGe &gt; 50%, FGe &lt;15 ml/min, Diálisis de larga duración, Trasplante renal, Mortalidad por causa CV o Mortalidad por causa Renal]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</si>
  <si>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CV:</t>
    </r>
    <r>
      <rPr>
        <sz val="10"/>
        <rFont val="Calibri"/>
        <family val="2"/>
      </rPr>
      <t xml:space="preserve"> cardiovascular; </t>
    </r>
    <r>
      <rPr>
        <b/>
        <sz val="10"/>
        <rFont val="Calibri"/>
        <family val="2"/>
      </rPr>
      <t xml:space="preserve">DM2: </t>
    </r>
    <r>
      <rPr>
        <sz val="10"/>
        <rFont val="Calibri"/>
        <family val="2"/>
      </rPr>
      <t xml:space="preserve">diabetes mellitus tipo 2; </t>
    </r>
    <r>
      <rPr>
        <b/>
        <sz val="10"/>
        <rFont val="Calibri"/>
        <family val="2"/>
      </rPr>
      <t>ERC:</t>
    </r>
    <r>
      <rPr>
        <sz val="10"/>
        <rFont val="Calibri"/>
        <family val="2"/>
      </rPr>
      <t xml:space="preserve"> enfermedad renal crónica; </t>
    </r>
    <r>
      <rPr>
        <b/>
        <sz val="10"/>
        <rFont val="Calibri"/>
        <family val="2"/>
      </rPr>
      <t xml:space="preserve">ERT: </t>
    </r>
    <r>
      <rPr>
        <sz val="10"/>
        <rFont val="Calibri"/>
        <family val="2"/>
      </rPr>
      <t xml:space="preserve">enfermedad renal en etapa terminal; </t>
    </r>
    <r>
      <rPr>
        <b/>
        <sz val="10"/>
        <rFont val="Calibri"/>
        <family val="2"/>
      </rPr>
      <t>FGe:</t>
    </r>
    <r>
      <rPr>
        <sz val="10"/>
        <rFont val="Calibri"/>
        <family val="2"/>
      </rPr>
      <t xml:space="preserve"> filtración glomerular estimada, en ml/ min/ 1,73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superficie corporal; HR: hazard ratio;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ml/min: mililitros por minuto; </t>
    </r>
    <r>
      <rPr>
        <b/>
        <sz val="10"/>
        <rFont val="Calibri"/>
        <family val="2"/>
      </rPr>
      <t xml:space="preserve">Mort: </t>
    </r>
    <r>
      <rPr>
        <sz val="10"/>
        <rFont val="Calibri"/>
        <family val="2"/>
      </rPr>
      <t xml:space="preserve">mortalidad por cualquier causa;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>reducción absoluta del riesgo; SG: subgrupo.</t>
    </r>
  </si>
  <si>
    <t>4,73% (3,66%-6%)</t>
  </si>
  <si>
    <t>0,69 (0,53-0,88)</t>
  </si>
  <si>
    <t>2,05% (0,79% a 3,13%)</t>
  </si>
  <si>
    <t>49 (32 a 127)</t>
  </si>
  <si>
    <t>3,02% (2,17%-4,15%)</t>
  </si>
  <si>
    <t>0,81 (0,58-1,12)</t>
  </si>
  <si>
    <t>0,7% (-0,44% a 1,54%)</t>
  </si>
  <si>
    <t>144 (65 a -229)</t>
  </si>
  <si>
    <t>3,77% (2,88%-4,92%)</t>
  </si>
  <si>
    <t>0,67 (0,51-0,88)</t>
  </si>
  <si>
    <t>1,8% (0,65% a 2,69%)</t>
  </si>
  <si>
    <t>55 (37 a 153)</t>
  </si>
  <si>
    <t>5,06% (4,03%-6,36%)</t>
  </si>
  <si>
    <t>0,53 (0,42-0,67)</t>
  </si>
  <si>
    <t>4,28% (2,98% a 5,31%)</t>
  </si>
  <si>
    <t>23 (19 a 34)</t>
  </si>
  <si>
    <t>3,06% (2,24%-4,15%)</t>
  </si>
  <si>
    <t>0,66 (0,48-0,9)</t>
  </si>
  <si>
    <t>1,54% (0,45% a 2,37%)</t>
  </si>
  <si>
    <t>65 (42 a 222)</t>
  </si>
  <si>
    <t>0,23% (-0,14% a 0,56%)</t>
  </si>
  <si>
    <t>430 (179 a -718)</t>
  </si>
  <si>
    <t>0,19% (-0,15% a 0,47%)</t>
  </si>
  <si>
    <t>538 (211 a -670)</t>
  </si>
  <si>
    <r>
      <rPr>
        <sz val="11"/>
        <color rgb="FF993300"/>
        <rFont val="Calibri"/>
        <family val="2"/>
        <scheme val="minor"/>
      </rPr>
      <t xml:space="preserve">en RR = </t>
    </r>
    <r>
      <rPr>
        <sz val="11"/>
        <rFont val="Calibri"/>
        <family val="2"/>
        <scheme val="minor"/>
      </rPr>
      <t>0,33 (0,07-1,65)</t>
    </r>
  </si>
  <si>
    <r>
      <rPr>
        <sz val="11"/>
        <color rgb="FF993300"/>
        <rFont val="Calibri"/>
        <family val="2"/>
        <scheme val="minor"/>
      </rPr>
      <t>en IncAcum</t>
    </r>
    <r>
      <rPr>
        <sz val="11"/>
        <rFont val="Calibri"/>
        <family val="2"/>
        <scheme val="minor"/>
      </rPr>
      <t xml:space="preserve"> 0,09% (0,03% a 0,34%)</t>
    </r>
  </si>
  <si>
    <r>
      <rPr>
        <sz val="11"/>
        <color rgb="FF993300"/>
        <rFont val="Calibri"/>
        <family val="2"/>
        <scheme val="minor"/>
      </rPr>
      <t>en IncAcum</t>
    </r>
    <r>
      <rPr>
        <sz val="11"/>
        <rFont val="Calibri"/>
        <family val="2"/>
        <scheme val="minor"/>
      </rPr>
      <t xml:space="preserve"> 0,14% (0,04% a 0,55%)</t>
    </r>
  </si>
  <si>
    <r>
      <rPr>
        <sz val="11"/>
        <color rgb="FF993300"/>
        <rFont val="Calibri"/>
        <family val="2"/>
        <scheme val="minor"/>
      </rPr>
      <t xml:space="preserve">en RR = </t>
    </r>
    <r>
      <rPr>
        <sz val="11"/>
        <rFont val="Calibri"/>
        <family val="2"/>
        <scheme val="minor"/>
      </rPr>
      <t>0,38 (0,10-1,41)</t>
    </r>
  </si>
  <si>
    <t>9,11% (7,68%-10,66%)</t>
  </si>
  <si>
    <t>0,61 (0,51-0,72)</t>
  </si>
  <si>
    <t>5,39% (3,83% a 6,82%)</t>
  </si>
  <si>
    <t>19 (15 a 26)</t>
  </si>
  <si>
    <t>5,82% (4,44%-7,64%)</t>
  </si>
  <si>
    <t>0,74 (0,56-0,98)</t>
  </si>
  <si>
    <t>1,97% (0,15% a 3,35%)</t>
  </si>
  <si>
    <t>51 (30 a 668)</t>
  </si>
  <si>
    <t>2,48% (1,39%-4,39%)</t>
  </si>
  <si>
    <t>0,52 (0,29-0,93)</t>
  </si>
  <si>
    <t>2,23% (0,32% a 3,32%)</t>
  </si>
  <si>
    <t>45 (30 a 310)</t>
  </si>
  <si>
    <t>5,18% (3,83%-7,01%)</t>
  </si>
  <si>
    <t>7,52%</t>
  </si>
  <si>
    <t>0,68 (0,5-0,93)</t>
  </si>
  <si>
    <t>2,34% (0,51% a 3,69%)</t>
  </si>
  <si>
    <t>43 (27 a 197)</t>
  </si>
  <si>
    <t>3,9% (2,52%-5,93%)</t>
  </si>
  <si>
    <t>5,76%</t>
  </si>
  <si>
    <t>0,67 (0,43-1,03)</t>
  </si>
  <si>
    <t>1,86% (-0,17% a 3,24%)</t>
  </si>
  <si>
    <t>54 (31 a -597)</t>
  </si>
  <si>
    <t>4,29% (2,98%-6,12%)</t>
  </si>
  <si>
    <t>6,24%</t>
  </si>
  <si>
    <t>0,68 (0,47-0,98)</t>
  </si>
  <si>
    <t>1,95% (0,12% a 3,26%)</t>
  </si>
  <si>
    <t>51 (31 a 827)</t>
  </si>
  <si>
    <t>5,15% (3,68%-7,23%)</t>
  </si>
  <si>
    <t>7,37%</t>
  </si>
  <si>
    <t>0,69 (0,49-0,98)</t>
  </si>
  <si>
    <t>2,22% (0,14% a 3,69%)</t>
  </si>
  <si>
    <t>45 (27 a 705)</t>
  </si>
  <si>
    <r>
      <t>Mort, SG con FGe &lt;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45</t>
    </r>
    <r>
      <rPr>
        <i/>
        <sz val="10"/>
        <rFont val="Calibri"/>
        <family val="2"/>
        <scheme val="minor"/>
      </rPr>
      <t xml:space="preserve"> ml/min/1,73 m</t>
    </r>
    <r>
      <rPr>
        <i/>
        <vertAlign val="superscript"/>
        <sz val="10"/>
        <rFont val="Calibri"/>
        <family val="2"/>
        <scheme val="minor"/>
      </rPr>
      <t>2</t>
    </r>
  </si>
  <si>
    <r>
      <t xml:space="preserve">Mort, SG con FGe </t>
    </r>
    <r>
      <rPr>
        <sz val="10"/>
        <rFont val="Calibri"/>
        <family val="2"/>
      </rPr>
      <t>≥</t>
    </r>
    <r>
      <rPr>
        <i/>
        <sz val="10"/>
        <rFont val="Calibri"/>
        <family val="2"/>
        <scheme val="minor"/>
      </rPr>
      <t xml:space="preserve"> 45 ml/min/1,73 m</t>
    </r>
    <r>
      <rPr>
        <i/>
        <vertAlign val="superscript"/>
        <sz val="10"/>
        <rFont val="Calibri"/>
        <family val="2"/>
        <scheme val="minor"/>
      </rPr>
      <t>2</t>
    </r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</si>
  <si>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INFORMADOS POR LOS INVESTIGADORES</t>
    </r>
  </si>
  <si>
    <t>Tto estándar + Dapaglifozina, n= 2149</t>
  </si>
  <si>
    <t>Tto estándar + Placebo, n= 2149</t>
  </si>
  <si>
    <t>Nº de pacientes con evento en 24 meses por cada 100 tratados con:</t>
  </si>
  <si>
    <t>NNT (IC 95%) en 24 meses</t>
  </si>
  <si>
    <t>EFECTOS ADVERSOS (EA) sin especificar los atribuidos a los tratamientos estudiados</t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</si>
  <si>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</si>
  <si>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t>633/2149 (29,46%)</t>
  </si>
  <si>
    <t>729/2149 (33,92%)</t>
  </si>
  <si>
    <t>0,87 (0,8-0,95)</t>
  </si>
  <si>
    <t>4,47% (1,69% a 7,25%)</t>
  </si>
  <si>
    <t>22 (14 a 59)</t>
  </si>
  <si>
    <t>Abandono del tratamiento por EA</t>
  </si>
  <si>
    <t>118/2149 (5,49%)</t>
  </si>
  <si>
    <t>123/2149 (5,72%)</t>
  </si>
  <si>
    <t>0,96 (0,75-1,23)</t>
  </si>
  <si>
    <t>0,23% (-1,15% a 1,62%)</t>
  </si>
  <si>
    <t>430 (62 a -87)</t>
  </si>
  <si>
    <t>Hipoglucemia que requiere asistencia</t>
  </si>
  <si>
    <t>14/2149 (0,65%)</t>
  </si>
  <si>
    <t>28/2149 (1,3%)</t>
  </si>
  <si>
    <t>0,5 (0,26-0,95)</t>
  </si>
  <si>
    <t>0,65% (0,02% a 1,25%)</t>
  </si>
  <si>
    <t>154 (80 a 4920)</t>
  </si>
  <si>
    <t>Cetoacidois diabética</t>
  </si>
  <si>
    <t>0/2149 (0%)</t>
  </si>
  <si>
    <t>2/2149 (0,09%)</t>
  </si>
  <si>
    <t>--------</t>
  </si>
  <si>
    <t>0,09% (-0,15% a 0,28%)</t>
  </si>
  <si>
    <t>1075 (352 a -655)</t>
  </si>
  <si>
    <t>Contracción del volumen del líquido extracelular</t>
  </si>
  <si>
    <t>127/2149 (5,91%)</t>
  </si>
  <si>
    <t>90/2149 (4,19%)</t>
  </si>
  <si>
    <t>1,41 (1,08-1,84)</t>
  </si>
  <si>
    <t>-1,72% (-3,03% a -0,4%)</t>
  </si>
  <si>
    <t>-58 (-251 a -33)</t>
  </si>
  <si>
    <t>85/2149 (3,96%)</t>
  </si>
  <si>
    <t>69/2149 (3,21%)</t>
  </si>
  <si>
    <t>1,23 (0,9-1,68)</t>
  </si>
  <si>
    <t>-0,74% (-1,86% a 0,38%)</t>
  </si>
  <si>
    <t>-134 (261 a -54)</t>
  </si>
  <si>
    <t>Eventos que conducen a amputación</t>
  </si>
  <si>
    <t>35/2149 (1,63%)</t>
  </si>
  <si>
    <t>39/2149 (1,81%)</t>
  </si>
  <si>
    <t>0,9 (0,57-1,41)</t>
  </si>
  <si>
    <t>0,19% (-0,61% a 0,98%)</t>
  </si>
  <si>
    <t>537 (102 a -163)</t>
  </si>
  <si>
    <t>EA renales (sin especificar cuáles son)</t>
  </si>
  <si>
    <t>155/2149 (7,21%)</t>
  </si>
  <si>
    <t>188/2149 (8,75%)</t>
  </si>
  <si>
    <t>0,82 (0,67-1,01)</t>
  </si>
  <si>
    <t>1,54% (-0,09% a 3,16%)</t>
  </si>
  <si>
    <t>65 (32 a -1084)</t>
  </si>
  <si>
    <r>
      <rPr>
        <b/>
        <sz val="10"/>
        <color rgb="FF0000FF"/>
        <rFont val="Calibri"/>
        <family val="2"/>
        <scheme val="minor"/>
      </rPr>
      <t xml:space="preserve">(*) </t>
    </r>
    <r>
      <rPr>
        <sz val="10"/>
        <rFont val="Calibri"/>
        <family val="2"/>
        <scheme val="minor"/>
      </rPr>
      <t>La FDA define un evento adverso grave (serious adverse event, SAE) cuando el resultado del paciente es uno de los siguientes: 1) Mortalidad;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</si>
  <si>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</si>
  <si>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Si potencia estadística = 90% =&gt; error beta = 100% - 10% =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</si>
</sst>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  <numFmt numFmtId="178" formatCode="0.0"/>
    <numFmt numFmtId="179" formatCode="_-* #,##0\ _€_-;\-* #,##0\ _€_-;_-* &quot;-&quot;???\ _€_-;_-@_-"/>
    <numFmt numFmtId="180" formatCode="_-* #,##0.00\ _€_-;\-* #,##0.00\ _€_-;_-* \-??\ _€_-;_-@_-"/>
    <numFmt numFmtId="181" formatCode="_-* #,##0\ _€_-;\-* #,##0\ _€_-;_-* &quot;-&quot;?\ _€_-;_-@_-"/>
    <numFmt numFmtId="182" formatCode="_-* #,##0.00\ _€_-;\-* #,##0.00\ _€_-;_-* &quot;-&quot;???\ _€_-;_-@_-"/>
  </numFmts>
  <fonts count="8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</font>
    <font>
      <sz val="10"/>
      <color rgb="FF0000FF"/>
      <name val="Calibri"/>
      <family val="2"/>
      <scheme val="minor"/>
    </font>
    <font>
      <u/>
      <sz val="10"/>
      <name val="Calibri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</font>
    <font>
      <sz val="10"/>
      <color indexed="12"/>
      <name val="Calibri"/>
      <family val="2"/>
    </font>
    <font>
      <b/>
      <sz val="16"/>
      <color rgb="FF0099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12"/>
      <name val="Trebuchet MS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u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2"/>
      <color indexed="16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FFC00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Calibri"/>
      <family val="2"/>
    </font>
    <font>
      <b/>
      <sz val="12"/>
      <color rgb="FF993300"/>
      <name val="Calibri"/>
      <family val="2"/>
    </font>
    <font>
      <vertAlign val="superscript"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sz val="11"/>
      <color rgb="FF9933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008000"/>
      <name val="Calibri"/>
      <family val="2"/>
      <scheme val="minor"/>
    </font>
    <font>
      <b/>
      <i/>
      <sz val="10"/>
      <color rgb="FF0099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1">
    <xf numFmtId="0" fontId="0" fillId="0" borderId="0" xfId="0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2" fontId="11" fillId="0" borderId="0" xfId="0" applyNumberFormat="1" applyFont="1"/>
    <xf numFmtId="10" fontId="11" fillId="0" borderId="0" xfId="2" applyNumberFormat="1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18" fontId="11" fillId="0" borderId="0" xfId="1" applyNumberFormat="1" applyFont="1" applyBorder="1" applyAlignment="1">
      <alignment horizontal="center"/>
    </xf>
    <xf numFmtId="164" fontId="11" fillId="0" borderId="0" xfId="1" applyFont="1" applyFill="1" applyAlignment="1">
      <alignment horizontal="center"/>
    </xf>
    <xf numFmtId="164" fontId="11" fillId="0" borderId="0" xfId="0" applyNumberFormat="1" applyFont="1"/>
    <xf numFmtId="164" fontId="14" fillId="0" borderId="0" xfId="1" applyFont="1" applyFill="1" applyBorder="1" applyAlignment="1">
      <alignment horizontal="center"/>
    </xf>
    <xf numFmtId="164" fontId="11" fillId="0" borderId="0" xfId="1" applyFont="1" applyFill="1"/>
    <xf numFmtId="0" fontId="15" fillId="0" borderId="0" xfId="0" applyFont="1" applyFill="1"/>
    <xf numFmtId="0" fontId="11" fillId="0" borderId="0" xfId="0" applyFont="1" applyBorder="1"/>
    <xf numFmtId="164" fontId="11" fillId="0" borderId="0" xfId="1" applyFont="1" applyFill="1" applyBorder="1"/>
    <xf numFmtId="0" fontId="11" fillId="0" borderId="0" xfId="0" applyFont="1" applyBorder="1" applyAlignment="1">
      <alignment horizontal="right"/>
    </xf>
    <xf numFmtId="10" fontId="11" fillId="0" borderId="0" xfId="2" applyNumberFormat="1" applyFont="1" applyFill="1"/>
    <xf numFmtId="10" fontId="11" fillId="0" borderId="0" xfId="0" applyNumberFormat="1" applyFont="1" applyFill="1"/>
    <xf numFmtId="0" fontId="19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10" fontId="11" fillId="0" borderId="0" xfId="2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16" fillId="0" borderId="0" xfId="0" applyFont="1" applyFill="1" applyAlignment="1">
      <alignment horizontal="center"/>
    </xf>
    <xf numFmtId="164" fontId="17" fillId="0" borderId="0" xfId="1" applyFont="1" applyFill="1" applyAlignment="1">
      <alignment horizontal="right"/>
    </xf>
    <xf numFmtId="0" fontId="17" fillId="0" borderId="0" xfId="0" applyFont="1" applyFill="1" applyBorder="1"/>
    <xf numFmtId="164" fontId="11" fillId="0" borderId="0" xfId="0" applyNumberFormat="1" applyFont="1" applyFill="1"/>
    <xf numFmtId="172" fontId="11" fillId="0" borderId="0" xfId="0" applyNumberFormat="1" applyFont="1" applyFill="1" applyBorder="1"/>
    <xf numFmtId="173" fontId="11" fillId="0" borderId="0" xfId="0" applyNumberFormat="1" applyFont="1" applyFill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164" fontId="11" fillId="0" borderId="0" xfId="1" applyFont="1" applyFill="1" applyBorder="1" applyAlignment="1">
      <alignment horizontal="center"/>
    </xf>
    <xf numFmtId="170" fontId="11" fillId="0" borderId="0" xfId="1" applyNumberFormat="1" applyFont="1" applyFill="1" applyBorder="1" applyAlignment="1">
      <alignment horizontal="center"/>
    </xf>
    <xf numFmtId="164" fontId="16" fillId="0" borderId="0" xfId="1" applyFont="1" applyFill="1" applyBorder="1" applyAlignment="1"/>
    <xf numFmtId="0" fontId="12" fillId="0" borderId="0" xfId="0" applyFont="1" applyAlignment="1">
      <alignment horizontal="right"/>
    </xf>
    <xf numFmtId="0" fontId="20" fillId="0" borderId="0" xfId="0" applyFont="1" applyFill="1"/>
    <xf numFmtId="0" fontId="12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left"/>
    </xf>
    <xf numFmtId="170" fontId="11" fillId="0" borderId="0" xfId="0" applyNumberFormat="1" applyFont="1" applyBorder="1"/>
    <xf numFmtId="0" fontId="23" fillId="0" borderId="0" xfId="0" applyFont="1" applyBorder="1"/>
    <xf numFmtId="49" fontId="24" fillId="0" borderId="0" xfId="0" applyNumberFormat="1" applyFont="1"/>
    <xf numFmtId="10" fontId="11" fillId="0" borderId="0" xfId="2" applyNumberFormat="1" applyFont="1"/>
    <xf numFmtId="10" fontId="11" fillId="0" borderId="0" xfId="0" applyNumberFormat="1" applyFont="1"/>
    <xf numFmtId="10" fontId="11" fillId="0" borderId="0" xfId="0" applyNumberFormat="1" applyFont="1" applyFill="1" applyBorder="1"/>
    <xf numFmtId="165" fontId="11" fillId="0" borderId="0" xfId="1" applyNumberFormat="1" applyFont="1"/>
    <xf numFmtId="10" fontId="20" fillId="0" borderId="0" xfId="2" applyNumberFormat="1" applyFont="1" applyFill="1" applyBorder="1" applyAlignment="1">
      <alignment horizontal="center"/>
    </xf>
    <xf numFmtId="165" fontId="20" fillId="0" borderId="0" xfId="1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49" fontId="11" fillId="0" borderId="0" xfId="0" applyNumberFormat="1" applyFont="1" applyFill="1" applyBorder="1"/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/>
    <xf numFmtId="49" fontId="12" fillId="0" borderId="0" xfId="0" applyNumberFormat="1" applyFont="1"/>
    <xf numFmtId="0" fontId="26" fillId="0" borderId="0" xfId="0" applyFont="1" applyFill="1" applyBorder="1"/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6" fillId="0" borderId="0" xfId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2" fillId="0" borderId="4" xfId="1" applyNumberFormat="1" applyFont="1" applyFill="1" applyBorder="1"/>
    <xf numFmtId="165" fontId="13" fillId="0" borderId="4" xfId="1" applyNumberFormat="1" applyFont="1" applyFill="1" applyBorder="1"/>
    <xf numFmtId="165" fontId="12" fillId="0" borderId="0" xfId="1" applyNumberFormat="1" applyFont="1" applyFill="1" applyBorder="1"/>
    <xf numFmtId="165" fontId="13" fillId="0" borderId="0" xfId="1" applyNumberFormat="1" applyFont="1" applyFill="1" applyBorder="1"/>
    <xf numFmtId="164" fontId="27" fillId="0" borderId="4" xfId="1" applyFont="1" applyBorder="1"/>
    <xf numFmtId="0" fontId="13" fillId="0" borderId="0" xfId="0" applyFont="1" applyBorder="1" applyAlignment="1">
      <alignment horizontal="right"/>
    </xf>
    <xf numFmtId="164" fontId="11" fillId="0" borderId="0" xfId="1" applyFont="1" applyBorder="1"/>
    <xf numFmtId="0" fontId="16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distributed"/>
    </xf>
    <xf numFmtId="166" fontId="1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164" fontId="21" fillId="0" borderId="0" xfId="1" applyFont="1" applyFill="1" applyBorder="1" applyAlignment="1">
      <alignment horizontal="right"/>
    </xf>
    <xf numFmtId="167" fontId="11" fillId="0" borderId="0" xfId="1" applyNumberFormat="1" applyFont="1" applyFill="1" applyBorder="1"/>
    <xf numFmtId="174" fontId="11" fillId="0" borderId="0" xfId="0" applyNumberFormat="1" applyFont="1" applyFill="1" applyBorder="1"/>
    <xf numFmtId="166" fontId="16" fillId="0" borderId="0" xfId="1" applyNumberFormat="1" applyFont="1" applyFill="1" applyBorder="1"/>
    <xf numFmtId="0" fontId="25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10" fontId="16" fillId="0" borderId="0" xfId="2" applyNumberFormat="1" applyFont="1" applyFill="1" applyBorder="1"/>
    <xf numFmtId="170" fontId="11" fillId="0" borderId="0" xfId="0" applyNumberFormat="1" applyFont="1" applyFill="1" applyBorder="1"/>
    <xf numFmtId="10" fontId="22" fillId="0" borderId="0" xfId="0" applyNumberFormat="1" applyFont="1" applyFill="1" applyBorder="1"/>
    <xf numFmtId="0" fontId="23" fillId="0" borderId="0" xfId="0" applyFont="1" applyFill="1" applyBorder="1"/>
    <xf numFmtId="171" fontId="11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0" fillId="0" borderId="0" xfId="0" applyFont="1"/>
    <xf numFmtId="9" fontId="11" fillId="0" borderId="0" xfId="0" applyNumberFormat="1" applyFont="1" applyBorder="1"/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horizontal="center" vertical="center"/>
    </xf>
    <xf numFmtId="2" fontId="11" fillId="9" borderId="8" xfId="0" applyNumberFormat="1" applyFont="1" applyFill="1" applyBorder="1" applyAlignment="1">
      <alignment horizontal="center" vertical="center"/>
    </xf>
    <xf numFmtId="0" fontId="11" fillId="0" borderId="23" xfId="0" applyFont="1" applyBorder="1"/>
    <xf numFmtId="0" fontId="11" fillId="0" borderId="0" xfId="0" applyFont="1" applyFill="1" applyAlignment="1">
      <alignment horizontal="left" vertical="center"/>
    </xf>
    <xf numFmtId="0" fontId="34" fillId="0" borderId="0" xfId="0" applyFont="1"/>
    <xf numFmtId="0" fontId="16" fillId="0" borderId="7" xfId="0" applyFont="1" applyBorder="1" applyAlignment="1">
      <alignment horizontal="right" vertical="center"/>
    </xf>
    <xf numFmtId="10" fontId="11" fillId="9" borderId="21" xfId="2" applyNumberFormat="1" applyFont="1" applyFill="1" applyBorder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0" fontId="11" fillId="0" borderId="21" xfId="2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64" fontId="14" fillId="0" borderId="0" xfId="1" applyFont="1" applyFill="1" applyBorder="1" applyAlignment="1"/>
    <xf numFmtId="10" fontId="11" fillId="0" borderId="0" xfId="0" applyNumberFormat="1" applyFont="1" applyAlignment="1"/>
    <xf numFmtId="167" fontId="11" fillId="0" borderId="0" xfId="1" applyNumberFormat="1" applyFont="1" applyFill="1"/>
    <xf numFmtId="0" fontId="11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Border="1"/>
    <xf numFmtId="0" fontId="11" fillId="0" borderId="13" xfId="0" applyFont="1" applyFill="1" applyBorder="1"/>
    <xf numFmtId="0" fontId="11" fillId="0" borderId="24" xfId="0" applyFont="1" applyFill="1" applyBorder="1"/>
    <xf numFmtId="0" fontId="16" fillId="0" borderId="0" xfId="0" applyFont="1" applyBorder="1" applyAlignment="1">
      <alignment horizontal="left" vertical="center"/>
    </xf>
    <xf numFmtId="165" fontId="16" fillId="0" borderId="0" xfId="1" applyNumberFormat="1" applyFont="1" applyFill="1" applyBorder="1" applyAlignment="1"/>
    <xf numFmtId="165" fontId="37" fillId="0" borderId="0" xfId="1" applyNumberFormat="1" applyFont="1" applyFill="1" applyBorder="1" applyAlignment="1"/>
    <xf numFmtId="165" fontId="35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/>
    <xf numFmtId="0" fontId="20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vertical="distributed"/>
    </xf>
    <xf numFmtId="0" fontId="11" fillId="0" borderId="4" xfId="0" applyFont="1" applyBorder="1" applyAlignment="1">
      <alignment horizontal="center" vertical="center"/>
    </xf>
    <xf numFmtId="9" fontId="11" fillId="1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horizontal="left" vertical="center"/>
    </xf>
    <xf numFmtId="172" fontId="16" fillId="0" borderId="15" xfId="1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3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0" xfId="0" applyFont="1" applyBorder="1"/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165" fontId="11" fillId="9" borderId="4" xfId="0" applyNumberFormat="1" applyFont="1" applyFill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65" fontId="11" fillId="9" borderId="4" xfId="1" applyNumberFormat="1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5" fontId="16" fillId="0" borderId="16" xfId="0" applyNumberFormat="1" applyFont="1" applyBorder="1" applyAlignment="1">
      <alignment horizontal="right"/>
    </xf>
    <xf numFmtId="165" fontId="16" fillId="0" borderId="29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164" fontId="16" fillId="0" borderId="5" xfId="1" applyFont="1" applyFill="1" applyBorder="1" applyAlignment="1">
      <alignment horizontal="center" vertical="center" wrapText="1"/>
    </xf>
    <xf numFmtId="164" fontId="16" fillId="0" borderId="5" xfId="1" applyFont="1" applyBorder="1" applyAlignment="1">
      <alignment horizontal="center" vertical="center" wrapText="1"/>
    </xf>
    <xf numFmtId="177" fontId="11" fillId="0" borderId="4" xfId="1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168" fontId="16" fillId="0" borderId="4" xfId="2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9" fontId="11" fillId="0" borderId="0" xfId="1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64" fontId="11" fillId="0" borderId="0" xfId="1" applyFont="1" applyBorder="1" applyAlignment="1">
      <alignment horizontal="center"/>
    </xf>
    <xf numFmtId="170" fontId="11" fillId="0" borderId="0" xfId="1" applyNumberFormat="1" applyFont="1" applyBorder="1" applyAlignment="1">
      <alignment horizontal="center"/>
    </xf>
    <xf numFmtId="10" fontId="16" fillId="0" borderId="0" xfId="2" applyNumberFormat="1" applyFont="1" applyFill="1" applyBorder="1" applyAlignment="1"/>
    <xf numFmtId="0" fontId="25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164" fontId="21" fillId="0" borderId="13" xfId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170" fontId="11" fillId="0" borderId="13" xfId="1" applyNumberFormat="1" applyFont="1" applyFill="1" applyBorder="1" applyAlignment="1">
      <alignment horizontal="center"/>
    </xf>
    <xf numFmtId="164" fontId="11" fillId="0" borderId="13" xfId="1" applyFont="1" applyFill="1" applyBorder="1" applyAlignment="1">
      <alignment horizontal="center"/>
    </xf>
    <xf numFmtId="164" fontId="16" fillId="0" borderId="13" xfId="1" applyFont="1" applyFill="1" applyBorder="1" applyAlignment="1"/>
    <xf numFmtId="164" fontId="16" fillId="0" borderId="23" xfId="1" applyFont="1" applyFill="1" applyBorder="1" applyAlignment="1"/>
    <xf numFmtId="0" fontId="11" fillId="0" borderId="15" xfId="0" applyFont="1" applyFill="1" applyBorder="1"/>
    <xf numFmtId="165" fontId="16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10" fontId="16" fillId="0" borderId="4" xfId="2" applyNumberFormat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0" fontId="16" fillId="13" borderId="4" xfId="2" applyNumberFormat="1" applyFont="1" applyFill="1" applyBorder="1" applyAlignment="1"/>
    <xf numFmtId="1" fontId="11" fillId="0" borderId="12" xfId="0" applyNumberFormat="1" applyFont="1" applyFill="1" applyBorder="1" applyAlignment="1">
      <alignment horizontal="center" vertical="center" wrapText="1"/>
    </xf>
    <xf numFmtId="164" fontId="16" fillId="0" borderId="24" xfId="1" applyFont="1" applyFill="1" applyBorder="1" applyAlignment="1"/>
    <xf numFmtId="10" fontId="11" fillId="0" borderId="12" xfId="2" applyNumberFormat="1" applyFont="1" applyFill="1" applyBorder="1"/>
    <xf numFmtId="0" fontId="11" fillId="0" borderId="24" xfId="0" applyFont="1" applyBorder="1"/>
    <xf numFmtId="2" fontId="11" fillId="0" borderId="12" xfId="1" applyNumberFormat="1" applyFont="1" applyFill="1" applyBorder="1" applyAlignment="1">
      <alignment horizontal="center" vertical="center" wrapText="1"/>
    </xf>
    <xf numFmtId="174" fontId="11" fillId="0" borderId="12" xfId="0" applyNumberFormat="1" applyFont="1" applyBorder="1"/>
    <xf numFmtId="168" fontId="11" fillId="0" borderId="12" xfId="2" applyNumberFormat="1" applyFont="1" applyFill="1" applyBorder="1" applyAlignment="1">
      <alignment horizontal="center" vertical="center" wrapText="1"/>
    </xf>
    <xf numFmtId="166" fontId="16" fillId="0" borderId="12" xfId="1" applyNumberFormat="1" applyFont="1" applyFill="1" applyBorder="1"/>
    <xf numFmtId="0" fontId="16" fillId="0" borderId="0" xfId="0" applyFont="1" applyAlignment="1">
      <alignment horizontal="left"/>
    </xf>
    <xf numFmtId="175" fontId="11" fillId="0" borderId="12" xfId="0" applyNumberFormat="1" applyFont="1" applyFill="1" applyBorder="1" applyAlignment="1">
      <alignment horizontal="center" vertical="center" wrapText="1"/>
    </xf>
    <xf numFmtId="167" fontId="11" fillId="2" borderId="12" xfId="1" applyNumberFormat="1" applyFont="1" applyFill="1" applyBorder="1"/>
    <xf numFmtId="168" fontId="11" fillId="0" borderId="0" xfId="2" applyNumberFormat="1" applyFont="1" applyAlignment="1">
      <alignment horizontal="center" vertical="center" wrapText="1"/>
    </xf>
    <xf numFmtId="10" fontId="11" fillId="11" borderId="12" xfId="2" applyNumberFormat="1" applyFont="1" applyFill="1" applyBorder="1" applyAlignment="1">
      <alignment horizontal="center" vertical="center" wrapText="1"/>
    </xf>
    <xf numFmtId="10" fontId="22" fillId="0" borderId="12" xfId="0" applyNumberFormat="1" applyFont="1" applyBorder="1"/>
    <xf numFmtId="10" fontId="11" fillId="2" borderId="4" xfId="2" applyNumberFormat="1" applyFont="1" applyFill="1" applyBorder="1" applyAlignment="1">
      <alignment horizontal="center"/>
    </xf>
    <xf numFmtId="10" fontId="11" fillId="4" borderId="4" xfId="2" applyNumberFormat="1" applyFont="1" applyFill="1" applyBorder="1" applyAlignment="1">
      <alignment horizontal="center"/>
    </xf>
    <xf numFmtId="10" fontId="11" fillId="3" borderId="4" xfId="2" applyNumberFormat="1" applyFont="1" applyFill="1" applyBorder="1" applyAlignment="1">
      <alignment horizontal="center"/>
    </xf>
    <xf numFmtId="10" fontId="11" fillId="0" borderId="10" xfId="2" applyNumberFormat="1" applyFont="1" applyBorder="1" applyAlignment="1">
      <alignment horizontal="center" vertical="center" wrapText="1"/>
    </xf>
    <xf numFmtId="0" fontId="23" fillId="0" borderId="11" xfId="0" applyFont="1" applyBorder="1"/>
    <xf numFmtId="0" fontId="11" fillId="0" borderId="11" xfId="0" applyFont="1" applyBorder="1"/>
    <xf numFmtId="171" fontId="11" fillId="0" borderId="11" xfId="0" applyNumberFormat="1" applyFont="1" applyBorder="1"/>
    <xf numFmtId="0" fontId="11" fillId="0" borderId="29" xfId="0" applyFont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29" xfId="0" applyFont="1" applyFill="1" applyBorder="1"/>
    <xf numFmtId="1" fontId="11" fillId="2" borderId="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176" fontId="11" fillId="0" borderId="13" xfId="1" applyNumberFormat="1" applyFont="1" applyBorder="1" applyAlignment="1">
      <alignment horizontal="center" vertical="center"/>
    </xf>
    <xf numFmtId="2" fontId="11" fillId="0" borderId="13" xfId="0" applyNumberFormat="1" applyFont="1" applyBorder="1"/>
    <xf numFmtId="10" fontId="20" fillId="0" borderId="0" xfId="2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/>
    </xf>
    <xf numFmtId="49" fontId="40" fillId="0" borderId="0" xfId="1" applyNumberFormat="1" applyFont="1" applyBorder="1" applyAlignment="1">
      <alignment horizontal="right"/>
    </xf>
    <xf numFmtId="1" fontId="40" fillId="0" borderId="0" xfId="0" applyNumberFormat="1" applyFont="1" applyFill="1" applyBorder="1" applyAlignment="1">
      <alignment horizontal="center"/>
    </xf>
    <xf numFmtId="164" fontId="16" fillId="0" borderId="12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164" fontId="11" fillId="0" borderId="0" xfId="1" applyFont="1" applyFill="1" applyBorder="1" applyAlignment="1"/>
    <xf numFmtId="0" fontId="39" fillId="5" borderId="0" xfId="0" applyFont="1" applyFill="1" applyBorder="1" applyAlignment="1">
      <alignment horizontal="center" vertical="center" wrapText="1"/>
    </xf>
    <xf numFmtId="0" fontId="39" fillId="5" borderId="0" xfId="0" applyFont="1" applyFill="1" applyBorder="1"/>
    <xf numFmtId="0" fontId="39" fillId="5" borderId="0" xfId="0" applyFont="1" applyFill="1" applyBorder="1" applyAlignment="1">
      <alignment horizontal="right"/>
    </xf>
    <xf numFmtId="1" fontId="39" fillId="5" borderId="0" xfId="0" applyNumberFormat="1" applyFont="1" applyFill="1" applyBorder="1" applyAlignment="1">
      <alignment horizontal="center" vertical="distributed"/>
    </xf>
    <xf numFmtId="0" fontId="11" fillId="0" borderId="12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39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/>
    <xf numFmtId="0" fontId="39" fillId="6" borderId="0" xfId="0" applyFont="1" applyFill="1" applyBorder="1" applyAlignment="1">
      <alignment horizontal="right"/>
    </xf>
    <xf numFmtId="1" fontId="39" fillId="6" borderId="0" xfId="0" applyNumberFormat="1" applyFont="1" applyFill="1" applyBorder="1" applyAlignment="1">
      <alignment horizontal="center" vertical="distributed"/>
    </xf>
    <xf numFmtId="164" fontId="11" fillId="0" borderId="0" xfId="0" applyNumberFormat="1" applyFont="1" applyFill="1" applyBorder="1" applyAlignment="1">
      <alignment horizontal="left" vertical="center"/>
    </xf>
    <xf numFmtId="165" fontId="39" fillId="7" borderId="0" xfId="0" applyNumberFormat="1" applyFont="1" applyFill="1" applyBorder="1" applyAlignment="1">
      <alignment horizontal="center" vertical="center" wrapText="1"/>
    </xf>
    <xf numFmtId="164" fontId="41" fillId="7" borderId="0" xfId="1" applyFont="1" applyFill="1" applyBorder="1"/>
    <xf numFmtId="164" fontId="39" fillId="7" borderId="0" xfId="1" applyFont="1" applyFill="1" applyBorder="1" applyAlignment="1">
      <alignment horizontal="right"/>
    </xf>
    <xf numFmtId="1" fontId="39" fillId="7" borderId="0" xfId="0" applyNumberFormat="1" applyFont="1" applyFill="1" applyBorder="1" applyAlignment="1">
      <alignment horizontal="center" vertical="distributed"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/>
    <xf numFmtId="1" fontId="39" fillId="0" borderId="0" xfId="0" applyNumberFormat="1" applyFont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6" fillId="0" borderId="11" xfId="1" applyFont="1" applyFill="1" applyBorder="1" applyAlignment="1"/>
    <xf numFmtId="0" fontId="39" fillId="0" borderId="0" xfId="0" applyFont="1" applyFill="1" applyBorder="1" applyAlignment="1">
      <alignment horizontal="right" vertical="center"/>
    </xf>
    <xf numFmtId="49" fontId="39" fillId="0" borderId="0" xfId="1" applyNumberFormat="1" applyFont="1" applyBorder="1" applyAlignment="1">
      <alignment horizontal="right"/>
    </xf>
    <xf numFmtId="1" fontId="39" fillId="0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/>
    <xf numFmtId="0" fontId="39" fillId="3" borderId="0" xfId="0" applyFont="1" applyFill="1" applyBorder="1" applyAlignment="1">
      <alignment horizontal="right"/>
    </xf>
    <xf numFmtId="1" fontId="39" fillId="3" borderId="0" xfId="0" applyNumberFormat="1" applyFont="1" applyFill="1" applyBorder="1" applyAlignment="1">
      <alignment horizontal="center" vertical="distributed"/>
    </xf>
    <xf numFmtId="0" fontId="32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right" vertical="center"/>
    </xf>
    <xf numFmtId="164" fontId="11" fillId="0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165" fontId="1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165" fontId="11" fillId="0" borderId="0" xfId="1" applyNumberFormat="1" applyFont="1" applyAlignment="1">
      <alignment horizontal="center" vertical="center" wrapText="1"/>
    </xf>
    <xf numFmtId="164" fontId="16" fillId="0" borderId="0" xfId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11" fillId="11" borderId="0" xfId="0" applyNumberFormat="1" applyFont="1" applyFill="1" applyAlignment="1">
      <alignment horizontal="center" vertical="center" wrapText="1"/>
    </xf>
    <xf numFmtId="164" fontId="16" fillId="0" borderId="4" xfId="0" applyNumberFormat="1" applyFont="1" applyBorder="1"/>
    <xf numFmtId="164" fontId="11" fillId="0" borderId="0" xfId="0" applyNumberFormat="1" applyFont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166" fontId="16" fillId="11" borderId="4" xfId="1" applyNumberFormat="1" applyFont="1" applyFill="1" applyBorder="1"/>
    <xf numFmtId="170" fontId="11" fillId="0" borderId="0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0" fontId="11" fillId="0" borderId="2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12" xfId="0" applyFont="1" applyFill="1" applyBorder="1"/>
    <xf numFmtId="49" fontId="11" fillId="0" borderId="1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14" borderId="4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vertical="center"/>
    </xf>
    <xf numFmtId="175" fontId="11" fillId="0" borderId="4" xfId="0" applyNumberFormat="1" applyFont="1" applyBorder="1" applyAlignment="1">
      <alignment horizontal="center" vertical="center"/>
    </xf>
    <xf numFmtId="10" fontId="11" fillId="0" borderId="4" xfId="2" applyNumberFormat="1" applyFont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/>
    </xf>
    <xf numFmtId="10" fontId="11" fillId="0" borderId="0" xfId="2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10" fontId="11" fillId="0" borderId="0" xfId="2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168" fontId="11" fillId="0" borderId="0" xfId="2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10" fontId="11" fillId="0" borderId="4" xfId="2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4" xfId="0" applyFont="1" applyFill="1" applyBorder="1" applyAlignment="1">
      <alignment horizontal="right"/>
    </xf>
    <xf numFmtId="49" fontId="11" fillId="0" borderId="4" xfId="1" applyNumberFormat="1" applyFont="1" applyFill="1" applyBorder="1" applyAlignment="1">
      <alignment horizontal="right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right"/>
    </xf>
    <xf numFmtId="0" fontId="11" fillId="0" borderId="4" xfId="0" applyFont="1" applyFill="1" applyBorder="1" applyAlignment="1"/>
    <xf numFmtId="1" fontId="11" fillId="0" borderId="0" xfId="0" applyNumberFormat="1" applyFont="1" applyFill="1" applyBorder="1" applyAlignment="1"/>
    <xf numFmtId="0" fontId="11" fillId="0" borderId="22" xfId="0" applyFont="1" applyFill="1" applyBorder="1" applyAlignment="1"/>
    <xf numFmtId="1" fontId="11" fillId="0" borderId="14" xfId="0" applyNumberFormat="1" applyFont="1" applyFill="1" applyBorder="1" applyAlignment="1">
      <alignment horizontal="center"/>
    </xf>
    <xf numFmtId="164" fontId="14" fillId="0" borderId="16" xfId="1" applyFont="1" applyFill="1" applyBorder="1" applyAlignment="1"/>
    <xf numFmtId="10" fontId="11" fillId="0" borderId="0" xfId="0" applyNumberFormat="1" applyFont="1" applyFill="1" applyBorder="1" applyAlignment="1"/>
    <xf numFmtId="2" fontId="11" fillId="0" borderId="13" xfId="0" applyNumberFormat="1" applyFont="1" applyFill="1" applyBorder="1" applyAlignment="1">
      <alignment horizontal="center"/>
    </xf>
    <xf numFmtId="10" fontId="11" fillId="0" borderId="13" xfId="2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0" fontId="11" fillId="0" borderId="4" xfId="2" applyNumberFormat="1" applyFont="1" applyBorder="1" applyAlignment="1">
      <alignment horizontal="center" vertical="distributed"/>
    </xf>
    <xf numFmtId="0" fontId="16" fillId="8" borderId="5" xfId="0" applyFont="1" applyFill="1" applyBorder="1" applyAlignment="1">
      <alignment horizontal="center" vertical="center"/>
    </xf>
    <xf numFmtId="10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8" fontId="11" fillId="0" borderId="0" xfId="2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11" fillId="12" borderId="0" xfId="0" applyFont="1" applyFill="1"/>
    <xf numFmtId="165" fontId="16" fillId="12" borderId="8" xfId="1" applyNumberFormat="1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center" vertical="center" wrapText="1"/>
    </xf>
    <xf numFmtId="1" fontId="49" fillId="12" borderId="4" xfId="0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32" fillId="12" borderId="4" xfId="0" applyFont="1" applyFill="1" applyBorder="1" applyAlignment="1">
      <alignment horizontal="center" vertical="center"/>
    </xf>
    <xf numFmtId="10" fontId="32" fillId="12" borderId="4" xfId="0" applyNumberFormat="1" applyFont="1" applyFill="1" applyBorder="1" applyAlignment="1">
      <alignment horizontal="center" vertical="center"/>
    </xf>
    <xf numFmtId="175" fontId="11" fillId="12" borderId="4" xfId="0" applyNumberFormat="1" applyFont="1" applyFill="1" applyBorder="1" applyAlignment="1">
      <alignment horizontal="center" vertical="center"/>
    </xf>
    <xf numFmtId="1" fontId="52" fillId="12" borderId="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6" fontId="11" fillId="12" borderId="0" xfId="0" applyNumberFormat="1" applyFont="1" applyFill="1"/>
    <xf numFmtId="9" fontId="11" fillId="12" borderId="0" xfId="2" applyFont="1" applyFill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distributed"/>
    </xf>
    <xf numFmtId="0" fontId="32" fillId="0" borderId="36" xfId="0" applyFont="1" applyBorder="1" applyAlignment="1">
      <alignment horizontal="right"/>
    </xf>
    <xf numFmtId="0" fontId="32" fillId="0" borderId="34" xfId="0" applyFont="1" applyBorder="1"/>
    <xf numFmtId="49" fontId="32" fillId="0" borderId="34" xfId="0" applyNumberFormat="1" applyFont="1" applyBorder="1" applyAlignment="1">
      <alignment horizontal="left"/>
    </xf>
    <xf numFmtId="0" fontId="32" fillId="0" borderId="35" xfId="0" applyFont="1" applyBorder="1"/>
    <xf numFmtId="0" fontId="32" fillId="0" borderId="0" xfId="0" applyFont="1"/>
    <xf numFmtId="1" fontId="32" fillId="0" borderId="0" xfId="0" applyNumberFormat="1" applyFont="1"/>
    <xf numFmtId="0" fontId="32" fillId="0" borderId="2" xfId="0" applyFont="1" applyBorder="1" applyAlignment="1">
      <alignment horizontal="right" vertical="center"/>
    </xf>
    <xf numFmtId="168" fontId="32" fillId="9" borderId="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2" fontId="32" fillId="9" borderId="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168" fontId="32" fillId="11" borderId="37" xfId="2" applyNumberFormat="1" applyFont="1" applyFill="1" applyBorder="1" applyAlignment="1">
      <alignment vertical="center"/>
    </xf>
    <xf numFmtId="164" fontId="32" fillId="9" borderId="4" xfId="1" applyFont="1" applyFill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32" fillId="0" borderId="39" xfId="0" applyFont="1" applyBorder="1" applyAlignment="1">
      <alignment horizontal="right"/>
    </xf>
    <xf numFmtId="168" fontId="32" fillId="11" borderId="30" xfId="2" applyNumberFormat="1" applyFont="1" applyFill="1" applyBorder="1" applyAlignment="1">
      <alignment horizontal="right" vertical="center"/>
    </xf>
    <xf numFmtId="0" fontId="32" fillId="0" borderId="4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0" xfId="0" applyFont="1" applyAlignment="1">
      <alignment horizontal="right"/>
    </xf>
    <xf numFmtId="179" fontId="33" fillId="0" borderId="0" xfId="0" applyNumberFormat="1" applyFont="1" applyAlignment="1">
      <alignment horizontal="right"/>
    </xf>
    <xf numFmtId="0" fontId="33" fillId="0" borderId="0" xfId="0" applyFont="1"/>
    <xf numFmtId="0" fontId="59" fillId="0" borderId="0" xfId="0" applyFont="1"/>
    <xf numFmtId="0" fontId="61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42" xfId="0" applyFont="1" applyBorder="1" applyAlignment="1">
      <alignment vertical="center"/>
    </xf>
    <xf numFmtId="168" fontId="32" fillId="12" borderId="16" xfId="2" applyNumberFormat="1" applyFont="1" applyFill="1" applyBorder="1" applyAlignment="1">
      <alignment horizontal="right" vertical="center"/>
    </xf>
    <xf numFmtId="0" fontId="33" fillId="0" borderId="16" xfId="0" applyFont="1" applyBorder="1" applyAlignment="1">
      <alignment vertical="center"/>
    </xf>
    <xf numFmtId="171" fontId="32" fillId="0" borderId="43" xfId="0" applyNumberFormat="1" applyFont="1" applyBorder="1" applyAlignment="1">
      <alignment horizontal="right" vertical="center"/>
    </xf>
    <xf numFmtId="164" fontId="26" fillId="0" borderId="0" xfId="1" applyFont="1" applyAlignment="1">
      <alignment horizontal="center"/>
    </xf>
    <xf numFmtId="0" fontId="33" fillId="0" borderId="19" xfId="0" applyFont="1" applyBorder="1" applyAlignment="1">
      <alignment vertical="center"/>
    </xf>
    <xf numFmtId="168" fontId="32" fillId="12" borderId="4" xfId="2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vertical="center"/>
    </xf>
    <xf numFmtId="171" fontId="32" fillId="0" borderId="37" xfId="0" applyNumberFormat="1" applyFont="1" applyBorder="1" applyAlignment="1">
      <alignment horizontal="right" vertical="center"/>
    </xf>
    <xf numFmtId="0" fontId="32" fillId="0" borderId="19" xfId="0" applyFont="1" applyBorder="1" applyAlignment="1">
      <alignment vertical="center"/>
    </xf>
    <xf numFmtId="171" fontId="32" fillId="0" borderId="4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center"/>
    </xf>
    <xf numFmtId="9" fontId="32" fillId="9" borderId="4" xfId="2" applyFont="1" applyFill="1" applyBorder="1" applyAlignment="1">
      <alignment horizontal="right" vertical="center"/>
    </xf>
    <xf numFmtId="49" fontId="32" fillId="0" borderId="19" xfId="0" applyNumberFormat="1" applyFont="1" applyBorder="1" applyAlignment="1">
      <alignment vertical="center"/>
    </xf>
    <xf numFmtId="0" fontId="62" fillId="0" borderId="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180" fontId="26" fillId="0" borderId="9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0" fontId="32" fillId="10" borderId="4" xfId="2" applyNumberFormat="1" applyFont="1" applyFill="1" applyBorder="1" applyAlignment="1">
      <alignment horizontal="right" vertical="center"/>
    </xf>
    <xf numFmtId="2" fontId="32" fillId="0" borderId="19" xfId="0" applyNumberFormat="1" applyFont="1" applyBorder="1" applyAlignment="1">
      <alignment vertical="center"/>
    </xf>
    <xf numFmtId="181" fontId="63" fillId="0" borderId="16" xfId="0" applyNumberFormat="1" applyFont="1" applyBorder="1" applyAlignment="1">
      <alignment vertical="center"/>
    </xf>
    <xf numFmtId="0" fontId="63" fillId="0" borderId="4" xfId="0" applyFont="1" applyBorder="1" applyAlignment="1">
      <alignment vertical="center"/>
    </xf>
    <xf numFmtId="164" fontId="26" fillId="0" borderId="9" xfId="0" applyNumberFormat="1" applyFont="1" applyBorder="1" applyAlignment="1">
      <alignment vertical="center"/>
    </xf>
    <xf numFmtId="182" fontId="32" fillId="0" borderId="4" xfId="0" applyNumberFormat="1" applyFont="1" applyBorder="1" applyAlignment="1">
      <alignment horizontal="right" vertical="center"/>
    </xf>
    <xf numFmtId="181" fontId="63" fillId="0" borderId="4" xfId="0" applyNumberFormat="1" applyFont="1" applyBorder="1" applyAlignment="1">
      <alignment vertical="center"/>
    </xf>
    <xf numFmtId="0" fontId="63" fillId="0" borderId="5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182" fontId="32" fillId="0" borderId="4" xfId="0" applyNumberFormat="1" applyFont="1" applyBorder="1" applyAlignment="1">
      <alignment vertical="center"/>
    </xf>
    <xf numFmtId="181" fontId="62" fillId="0" borderId="6" xfId="0" applyNumberFormat="1" applyFont="1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179" fontId="33" fillId="11" borderId="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18" xfId="0" applyFont="1" applyBorder="1" applyAlignment="1">
      <alignment horizontal="right" vertical="center"/>
    </xf>
    <xf numFmtId="179" fontId="33" fillId="11" borderId="30" xfId="0" applyNumberFormat="1" applyFont="1" applyFill="1" applyBorder="1" applyAlignment="1">
      <alignment horizontal="right" vertical="center"/>
    </xf>
    <xf numFmtId="0" fontId="33" fillId="0" borderId="40" xfId="0" applyFont="1" applyBorder="1" applyAlignment="1">
      <alignment vertical="center"/>
    </xf>
    <xf numFmtId="10" fontId="32" fillId="0" borderId="0" xfId="2" applyNumberFormat="1" applyFont="1" applyAlignment="1">
      <alignment horizontal="center" vertical="center"/>
    </xf>
    <xf numFmtId="10" fontId="32" fillId="0" borderId="0" xfId="0" applyNumberFormat="1" applyFont="1"/>
    <xf numFmtId="0" fontId="64" fillId="0" borderId="0" xfId="0" applyFont="1"/>
    <xf numFmtId="179" fontId="32" fillId="0" borderId="0" xfId="0" applyNumberFormat="1" applyFont="1"/>
    <xf numFmtId="10" fontId="32" fillId="9" borderId="4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right"/>
    </xf>
    <xf numFmtId="0" fontId="65" fillId="0" borderId="0" xfId="0" applyFont="1"/>
    <xf numFmtId="164" fontId="66" fillId="0" borderId="0" xfId="1" applyFont="1" applyFill="1" applyBorder="1" applyAlignment="1">
      <alignment horizontal="center" vertical="distributed"/>
    </xf>
    <xf numFmtId="0" fontId="66" fillId="0" borderId="0" xfId="0" applyFont="1" applyAlignment="1">
      <alignment horizontal="center" vertical="distributed"/>
    </xf>
    <xf numFmtId="0" fontId="67" fillId="0" borderId="0" xfId="0" applyFont="1" applyAlignment="1">
      <alignment horizontal="center" vertical="distributed"/>
    </xf>
    <xf numFmtId="10" fontId="0" fillId="0" borderId="0" xfId="2" applyNumberFormat="1" applyFont="1"/>
    <xf numFmtId="164" fontId="66" fillId="0" borderId="0" xfId="1" applyFont="1" applyFill="1" applyBorder="1"/>
    <xf numFmtId="164" fontId="66" fillId="0" borderId="0" xfId="0" applyNumberFormat="1" applyFont="1"/>
    <xf numFmtId="172" fontId="66" fillId="0" borderId="0" xfId="0" applyNumberFormat="1" applyFont="1"/>
    <xf numFmtId="10" fontId="67" fillId="0" borderId="0" xfId="2" applyNumberFormat="1" applyFont="1" applyFill="1" applyBorder="1"/>
    <xf numFmtId="164" fontId="0" fillId="0" borderId="0" xfId="1" applyFont="1"/>
    <xf numFmtId="0" fontId="53" fillId="10" borderId="4" xfId="0" applyFont="1" applyFill="1" applyBorder="1" applyAlignment="1">
      <alignment horizontal="center" vertical="center"/>
    </xf>
    <xf numFmtId="0" fontId="71" fillId="1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72" fillId="0" borderId="0" xfId="0" applyFont="1" applyAlignment="1">
      <alignment horizontal="left"/>
    </xf>
    <xf numFmtId="0" fontId="33" fillId="12" borderId="4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25" fillId="12" borderId="4" xfId="0" applyFont="1" applyFill="1" applyBorder="1" applyAlignment="1">
      <alignment horizontal="right" vertical="center" wrapText="1"/>
    </xf>
    <xf numFmtId="0" fontId="33" fillId="12" borderId="4" xfId="0" applyFont="1" applyFill="1" applyBorder="1" applyAlignment="1">
      <alignment horizontal="left" vertical="center"/>
    </xf>
    <xf numFmtId="0" fontId="33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5" fillId="12" borderId="4" xfId="0" applyFont="1" applyFill="1" applyBorder="1" applyAlignment="1">
      <alignment horizontal="right" vertical="center"/>
    </xf>
    <xf numFmtId="2" fontId="25" fillId="0" borderId="0" xfId="0" applyNumberFormat="1" applyFont="1" applyBorder="1" applyAlignment="1">
      <alignment horizontal="right"/>
    </xf>
    <xf numFmtId="2" fontId="11" fillId="0" borderId="0" xfId="0" applyNumberFormat="1" applyFont="1" applyAlignment="1"/>
    <xf numFmtId="2" fontId="11" fillId="0" borderId="6" xfId="0" applyNumberFormat="1" applyFont="1" applyFill="1" applyBorder="1" applyAlignment="1"/>
    <xf numFmtId="2" fontId="11" fillId="0" borderId="0" xfId="0" applyNumberFormat="1" applyFont="1" applyFill="1" applyAlignment="1"/>
    <xf numFmtId="2" fontId="11" fillId="0" borderId="9" xfId="0" applyNumberFormat="1" applyFont="1" applyFill="1" applyBorder="1" applyAlignment="1"/>
    <xf numFmtId="2" fontId="11" fillId="0" borderId="16" xfId="0" applyNumberFormat="1" applyFont="1" applyFill="1" applyBorder="1" applyAlignment="1"/>
    <xf numFmtId="2" fontId="11" fillId="0" borderId="4" xfId="0" applyNumberFormat="1" applyFont="1" applyFill="1" applyBorder="1" applyAlignment="1"/>
    <xf numFmtId="2" fontId="11" fillId="0" borderId="0" xfId="0" applyNumberFormat="1" applyFont="1" applyFill="1" applyBorder="1" applyAlignment="1"/>
    <xf numFmtId="2" fontId="11" fillId="0" borderId="22" xfId="0" applyNumberFormat="1" applyFont="1" applyFill="1" applyBorder="1" applyAlignment="1"/>
    <xf numFmtId="2" fontId="11" fillId="0" borderId="15" xfId="0" applyNumberFormat="1" applyFont="1" applyFill="1" applyBorder="1" applyAlignment="1"/>
    <xf numFmtId="2" fontId="11" fillId="0" borderId="12" xfId="0" applyNumberFormat="1" applyFont="1" applyFill="1" applyBorder="1" applyAlignment="1"/>
    <xf numFmtId="2" fontId="11" fillId="0" borderId="10" xfId="0" applyNumberFormat="1" applyFont="1" applyFill="1" applyBorder="1" applyAlignment="1"/>
    <xf numFmtId="3" fontId="11" fillId="0" borderId="0" xfId="2" applyNumberFormat="1" applyFont="1" applyAlignment="1">
      <alignment horizontal="center" vertical="center"/>
    </xf>
    <xf numFmtId="168" fontId="11" fillId="0" borderId="0" xfId="2" applyNumberFormat="1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 wrapText="1"/>
    </xf>
    <xf numFmtId="0" fontId="16" fillId="12" borderId="0" xfId="0" applyFont="1" applyFill="1" applyAlignment="1">
      <alignment horizontal="center" vertical="center"/>
    </xf>
    <xf numFmtId="0" fontId="75" fillId="10" borderId="4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11" fillId="12" borderId="4" xfId="0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1" fontId="77" fillId="12" borderId="4" xfId="0" applyNumberFormat="1" applyFont="1" applyFill="1" applyBorder="1" applyAlignment="1">
      <alignment horizontal="right" vertical="center"/>
    </xf>
    <xf numFmtId="1" fontId="78" fillId="12" borderId="4" xfId="0" applyNumberFormat="1" applyFont="1" applyFill="1" applyBorder="1" applyAlignment="1">
      <alignment horizontal="right" vertical="center"/>
    </xf>
    <xf numFmtId="1" fontId="35" fillId="12" borderId="4" xfId="0" applyNumberFormat="1" applyFont="1" applyFill="1" applyBorder="1" applyAlignment="1">
      <alignment horizontal="right" vertical="center"/>
    </xf>
    <xf numFmtId="1" fontId="79" fillId="12" borderId="4" xfId="0" applyNumberFormat="1" applyFont="1" applyFill="1" applyBorder="1" applyAlignment="1">
      <alignment horizontal="center" vertical="center"/>
    </xf>
    <xf numFmtId="178" fontId="79" fillId="12" borderId="4" xfId="0" applyNumberFormat="1" applyFont="1" applyFill="1" applyBorder="1" applyAlignment="1">
      <alignment horizontal="center" vertical="center"/>
    </xf>
    <xf numFmtId="1" fontId="80" fillId="12" borderId="4" xfId="0" applyNumberFormat="1" applyFont="1" applyFill="1" applyBorder="1" applyAlignment="1">
      <alignment horizontal="center" vertical="center"/>
    </xf>
    <xf numFmtId="1" fontId="81" fillId="12" borderId="4" xfId="0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3" fillId="16" borderId="7" xfId="0" applyFont="1" applyFill="1" applyBorder="1" applyAlignment="1">
      <alignment vertical="center"/>
    </xf>
    <xf numFmtId="0" fontId="68" fillId="16" borderId="17" xfId="0" applyFont="1" applyFill="1" applyBorder="1" applyAlignment="1">
      <alignment vertical="center"/>
    </xf>
    <xf numFmtId="0" fontId="68" fillId="16" borderId="21" xfId="0" applyFont="1" applyFill="1" applyBorder="1" applyAlignment="1">
      <alignment vertical="center"/>
    </xf>
    <xf numFmtId="0" fontId="83" fillId="12" borderId="0" xfId="0" applyFont="1" applyFill="1" applyAlignment="1">
      <alignment horizontal="left" vertical="center"/>
    </xf>
    <xf numFmtId="0" fontId="76" fillId="12" borderId="0" xfId="0" applyFont="1" applyFill="1" applyAlignment="1">
      <alignment horizontal="center" vertical="center"/>
    </xf>
    <xf numFmtId="9" fontId="11" fillId="12" borderId="0" xfId="0" applyNumberFormat="1" applyFont="1" applyFill="1" applyAlignment="1">
      <alignment horizontal="center" vertical="center"/>
    </xf>
    <xf numFmtId="175" fontId="11" fillId="12" borderId="0" xfId="0" applyNumberFormat="1" applyFont="1" applyFill="1" applyAlignment="1">
      <alignment horizontal="center" vertical="center"/>
    </xf>
    <xf numFmtId="1" fontId="44" fillId="12" borderId="0" xfId="0" applyNumberFormat="1" applyFont="1" applyFill="1" applyAlignment="1">
      <alignment horizontal="center" vertical="center"/>
    </xf>
    <xf numFmtId="1" fontId="45" fillId="12" borderId="0" xfId="0" applyNumberFormat="1" applyFont="1" applyFill="1" applyAlignment="1">
      <alignment horizontal="center" vertical="center"/>
    </xf>
    <xf numFmtId="1" fontId="84" fillId="12" borderId="4" xfId="0" applyNumberFormat="1" applyFont="1" applyFill="1" applyBorder="1" applyAlignment="1">
      <alignment horizontal="center" vertical="center"/>
    </xf>
    <xf numFmtId="1" fontId="85" fillId="12" borderId="4" xfId="0" applyNumberFormat="1" applyFont="1" applyFill="1" applyBorder="1" applyAlignment="1">
      <alignment horizontal="center" vertical="center"/>
    </xf>
    <xf numFmtId="1" fontId="54" fillId="12" borderId="4" xfId="0" applyNumberFormat="1" applyFont="1" applyFill="1" applyBorder="1" applyAlignment="1">
      <alignment horizontal="center" vertical="center"/>
    </xf>
    <xf numFmtId="178" fontId="84" fillId="12" borderId="4" xfId="0" applyNumberFormat="1" applyFont="1" applyFill="1" applyBorder="1" applyAlignment="1">
      <alignment horizontal="center" vertical="center"/>
    </xf>
    <xf numFmtId="178" fontId="85" fillId="12" borderId="4" xfId="0" applyNumberFormat="1" applyFont="1" applyFill="1" applyBorder="1" applyAlignment="1">
      <alignment horizontal="center" vertical="center"/>
    </xf>
    <xf numFmtId="49" fontId="32" fillId="12" borderId="4" xfId="0" applyNumberFormat="1" applyFont="1" applyFill="1" applyBorder="1" applyAlignment="1">
      <alignment horizontal="center" vertical="center"/>
    </xf>
    <xf numFmtId="2" fontId="54" fillId="12" borderId="4" xfId="0" applyNumberFormat="1" applyFont="1" applyFill="1" applyBorder="1" applyAlignment="1">
      <alignment horizontal="center" vertical="center"/>
    </xf>
    <xf numFmtId="10" fontId="32" fillId="12" borderId="4" xfId="2" applyNumberFormat="1" applyFont="1" applyFill="1" applyBorder="1" applyAlignment="1">
      <alignment horizontal="center" vertical="center"/>
    </xf>
    <xf numFmtId="10" fontId="11" fillId="12" borderId="4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distributed"/>
    </xf>
    <xf numFmtId="0" fontId="24" fillId="0" borderId="17" xfId="0" applyFont="1" applyBorder="1" applyAlignment="1">
      <alignment horizontal="left" vertical="distributed"/>
    </xf>
    <xf numFmtId="0" fontId="24" fillId="0" borderId="21" xfId="0" applyFont="1" applyBorder="1" applyAlignment="1">
      <alignment horizontal="left" vertical="distributed"/>
    </xf>
    <xf numFmtId="0" fontId="16" fillId="15" borderId="7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distributed"/>
    </xf>
    <xf numFmtId="0" fontId="24" fillId="0" borderId="17" xfId="0" applyFont="1" applyBorder="1" applyAlignment="1">
      <alignment horizontal="center" vertical="distributed"/>
    </xf>
    <xf numFmtId="0" fontId="24" fillId="0" borderId="21" xfId="0" applyFont="1" applyBorder="1" applyAlignment="1">
      <alignment horizontal="center" vertical="distributed"/>
    </xf>
    <xf numFmtId="0" fontId="33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68" fillId="15" borderId="7" xfId="0" applyFont="1" applyFill="1" applyBorder="1" applyAlignment="1">
      <alignment horizontal="left" vertical="center" wrapText="1"/>
    </xf>
    <xf numFmtId="0" fontId="68" fillId="15" borderId="17" xfId="0" applyFont="1" applyFill="1" applyBorder="1" applyAlignment="1">
      <alignment horizontal="left" vertical="center" wrapText="1"/>
    </xf>
    <xf numFmtId="0" fontId="68" fillId="15" borderId="21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3" fillId="12" borderId="4" xfId="0" applyFont="1" applyFill="1" applyBorder="1" applyAlignment="1">
      <alignment horizontal="left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2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12" borderId="6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distributed"/>
    </xf>
    <xf numFmtId="0" fontId="54" fillId="0" borderId="32" xfId="0" applyFont="1" applyBorder="1" applyAlignment="1">
      <alignment horizontal="left" vertical="distributed"/>
    </xf>
    <xf numFmtId="0" fontId="54" fillId="0" borderId="33" xfId="0" applyFont="1" applyBorder="1" applyAlignment="1">
      <alignment horizontal="left" vertical="distributed"/>
    </xf>
    <xf numFmtId="0" fontId="12" fillId="0" borderId="1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0000FF"/>
      <color rgb="FF009900"/>
      <color rgb="FFFFCCFF"/>
      <color rgb="FFFFFF99"/>
      <color rgb="FF008000"/>
      <color rgb="FFFFFFCC"/>
      <color rgb="FF007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057525" y="9715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1" name="Line 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2" name="Line 4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4" name="Line 4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5" name="Line 4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6" name="Line 4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8" name="Line 4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9" name="Line 4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0" name="Line 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1" name="Line 4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2" name="Line 4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3" name="Line 4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4" name="Line 4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6" name="Line 4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609975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19</xdr:row>
      <xdr:rowOff>9525</xdr:rowOff>
    </xdr:from>
    <xdr:to>
      <xdr:col>3</xdr:col>
      <xdr:colOff>514350</xdr:colOff>
      <xdr:row>24</xdr:row>
      <xdr:rowOff>38100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425550CA-9234-4EC9-B658-25E45F35F6A4}"/>
            </a:ext>
          </a:extLst>
        </xdr:cNvPr>
        <xdr:cNvSpPr>
          <a:spLocks noChangeShapeType="1"/>
        </xdr:cNvSpPr>
      </xdr:nvSpPr>
      <xdr:spPr bwMode="auto">
        <a:xfrm flipH="1" flipV="1">
          <a:off x="3248025" y="2968625"/>
          <a:ext cx="758825" cy="841375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1438275</xdr:colOff>
      <xdr:row>17</xdr:row>
      <xdr:rowOff>104774</xdr:rowOff>
    </xdr:from>
    <xdr:to>
      <xdr:col>2</xdr:col>
      <xdr:colOff>971550</xdr:colOff>
      <xdr:row>24</xdr:row>
      <xdr:rowOff>19049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101B7BA-CC2D-4990-AFC2-A8742126C81B}"/>
            </a:ext>
          </a:extLst>
        </xdr:cNvPr>
        <xdr:cNvSpPr>
          <a:spLocks noChangeShapeType="1"/>
        </xdr:cNvSpPr>
      </xdr:nvSpPr>
      <xdr:spPr bwMode="auto">
        <a:xfrm flipV="1">
          <a:off x="1558925" y="2670174"/>
          <a:ext cx="1527175" cy="1120775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1133475</xdr:colOff>
      <xdr:row>19</xdr:row>
      <xdr:rowOff>9525</xdr:rowOff>
    </xdr:from>
    <xdr:to>
      <xdr:col>3</xdr:col>
      <xdr:colOff>514350</xdr:colOff>
      <xdr:row>24</xdr:row>
      <xdr:rowOff>38100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F8308E01-3982-45A8-BB1F-90CDF533B63D}"/>
            </a:ext>
          </a:extLst>
        </xdr:cNvPr>
        <xdr:cNvSpPr>
          <a:spLocks noChangeShapeType="1"/>
        </xdr:cNvSpPr>
      </xdr:nvSpPr>
      <xdr:spPr bwMode="auto">
        <a:xfrm flipH="1" flipV="1">
          <a:off x="3248025" y="2968625"/>
          <a:ext cx="758825" cy="841375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1276349</xdr:colOff>
      <xdr:row>5</xdr:row>
      <xdr:rowOff>152400</xdr:rowOff>
    </xdr:from>
    <xdr:to>
      <xdr:col>8</xdr:col>
      <xdr:colOff>323849</xdr:colOff>
      <xdr:row>14</xdr:row>
      <xdr:rowOff>38100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7E30BC6-93A0-4C74-8D6A-AEA940748F4C}"/>
            </a:ext>
          </a:extLst>
        </xdr:cNvPr>
        <xdr:cNvSpPr>
          <a:spLocks noChangeShapeType="1"/>
        </xdr:cNvSpPr>
      </xdr:nvSpPr>
      <xdr:spPr bwMode="auto">
        <a:xfrm flipH="1">
          <a:off x="3390899" y="1066800"/>
          <a:ext cx="4000500" cy="946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847723</xdr:colOff>
      <xdr:row>7</xdr:row>
      <xdr:rowOff>133349</xdr:rowOff>
    </xdr:from>
    <xdr:to>
      <xdr:col>2</xdr:col>
      <xdr:colOff>904874</xdr:colOff>
      <xdr:row>15</xdr:row>
      <xdr:rowOff>95250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E975694A-782B-4BA9-B4AF-88C744CD5013}"/>
            </a:ext>
          </a:extLst>
        </xdr:cNvPr>
        <xdr:cNvSpPr>
          <a:spLocks noChangeShapeType="1"/>
        </xdr:cNvSpPr>
      </xdr:nvSpPr>
      <xdr:spPr bwMode="auto">
        <a:xfrm>
          <a:off x="2962273" y="1441449"/>
          <a:ext cx="57151" cy="8255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tabSelected="1" zoomScale="85" zoomScaleNormal="85" workbookViewId="0"/>
  </sheetViews>
  <sheetFormatPr baseColWidth="10" defaultRowHeight="13" x14ac:dyDescent="0.3"/>
  <cols>
    <col min="1" max="1" width="0.90625" style="5" customWidth="1"/>
    <col min="2" max="2" width="35.6328125" style="5" customWidth="1"/>
    <col min="3" max="3" width="21.7265625" style="5" customWidth="1"/>
    <col min="4" max="4" width="18.7265625" style="5" customWidth="1"/>
    <col min="5" max="5" width="18.453125" style="5" customWidth="1"/>
    <col min="6" max="6" width="20.7265625" style="5" customWidth="1"/>
    <col min="7" max="7" width="16.7265625" style="5" customWidth="1"/>
    <col min="8" max="8" width="2.7265625" style="5" customWidth="1"/>
    <col min="9" max="9" width="15.81640625" style="5" hidden="1" customWidth="1"/>
    <col min="10" max="10" width="16.26953125" style="12" hidden="1" customWidth="1"/>
    <col min="11" max="11" width="2.1796875" style="12" hidden="1" customWidth="1"/>
    <col min="12" max="13" width="14.26953125" style="5" customWidth="1"/>
    <col min="14" max="14" width="13.81640625" style="5" bestFit="1" customWidth="1"/>
    <col min="15" max="15" width="11.453125" style="5"/>
    <col min="16" max="17" width="11.453125" style="12"/>
    <col min="18" max="256" width="11.453125" style="5"/>
    <col min="257" max="257" width="12.81640625" style="5" customWidth="1"/>
    <col min="258" max="258" width="18.26953125" style="5" customWidth="1"/>
    <col min="259" max="259" width="13.7265625" style="5" customWidth="1"/>
    <col min="260" max="260" width="16.453125" style="5" customWidth="1"/>
    <col min="261" max="261" width="20.7265625" style="5" customWidth="1"/>
    <col min="262" max="262" width="23.81640625" style="5" customWidth="1"/>
    <col min="263" max="263" width="18.81640625" style="5" customWidth="1"/>
    <col min="264" max="264" width="8.26953125" style="5" customWidth="1"/>
    <col min="265" max="265" width="14.54296875" style="5" bestFit="1" customWidth="1"/>
    <col min="266" max="266" width="14.1796875" style="5" bestFit="1" customWidth="1"/>
    <col min="267" max="267" width="11.453125" style="5"/>
    <col min="268" max="268" width="15.54296875" style="5" customWidth="1"/>
    <col min="269" max="269" width="11.453125" style="5"/>
    <col min="270" max="270" width="13.81640625" style="5" bestFit="1" customWidth="1"/>
    <col min="271" max="512" width="11.453125" style="5"/>
    <col min="513" max="513" width="12.81640625" style="5" customWidth="1"/>
    <col min="514" max="514" width="18.26953125" style="5" customWidth="1"/>
    <col min="515" max="515" width="13.7265625" style="5" customWidth="1"/>
    <col min="516" max="516" width="16.453125" style="5" customWidth="1"/>
    <col min="517" max="517" width="20.7265625" style="5" customWidth="1"/>
    <col min="518" max="518" width="23.81640625" style="5" customWidth="1"/>
    <col min="519" max="519" width="18.81640625" style="5" customWidth="1"/>
    <col min="520" max="520" width="8.26953125" style="5" customWidth="1"/>
    <col min="521" max="521" width="14.54296875" style="5" bestFit="1" customWidth="1"/>
    <col min="522" max="522" width="14.1796875" style="5" bestFit="1" customWidth="1"/>
    <col min="523" max="523" width="11.453125" style="5"/>
    <col min="524" max="524" width="15.54296875" style="5" customWidth="1"/>
    <col min="525" max="525" width="11.453125" style="5"/>
    <col min="526" max="526" width="13.81640625" style="5" bestFit="1" customWidth="1"/>
    <col min="527" max="768" width="11.453125" style="5"/>
    <col min="769" max="769" width="12.81640625" style="5" customWidth="1"/>
    <col min="770" max="770" width="18.26953125" style="5" customWidth="1"/>
    <col min="771" max="771" width="13.7265625" style="5" customWidth="1"/>
    <col min="772" max="772" width="16.453125" style="5" customWidth="1"/>
    <col min="773" max="773" width="20.7265625" style="5" customWidth="1"/>
    <col min="774" max="774" width="23.81640625" style="5" customWidth="1"/>
    <col min="775" max="775" width="18.81640625" style="5" customWidth="1"/>
    <col min="776" max="776" width="8.26953125" style="5" customWidth="1"/>
    <col min="777" max="777" width="14.54296875" style="5" bestFit="1" customWidth="1"/>
    <col min="778" max="778" width="14.1796875" style="5" bestFit="1" customWidth="1"/>
    <col min="779" max="779" width="11.453125" style="5"/>
    <col min="780" max="780" width="15.54296875" style="5" customWidth="1"/>
    <col min="781" max="781" width="11.453125" style="5"/>
    <col min="782" max="782" width="13.81640625" style="5" bestFit="1" customWidth="1"/>
    <col min="783" max="1024" width="11.453125" style="5"/>
    <col min="1025" max="1025" width="12.81640625" style="5" customWidth="1"/>
    <col min="1026" max="1026" width="18.26953125" style="5" customWidth="1"/>
    <col min="1027" max="1027" width="13.7265625" style="5" customWidth="1"/>
    <col min="1028" max="1028" width="16.453125" style="5" customWidth="1"/>
    <col min="1029" max="1029" width="20.7265625" style="5" customWidth="1"/>
    <col min="1030" max="1030" width="23.81640625" style="5" customWidth="1"/>
    <col min="1031" max="1031" width="18.81640625" style="5" customWidth="1"/>
    <col min="1032" max="1032" width="8.26953125" style="5" customWidth="1"/>
    <col min="1033" max="1033" width="14.54296875" style="5" bestFit="1" customWidth="1"/>
    <col min="1034" max="1034" width="14.1796875" style="5" bestFit="1" customWidth="1"/>
    <col min="1035" max="1035" width="11.453125" style="5"/>
    <col min="1036" max="1036" width="15.54296875" style="5" customWidth="1"/>
    <col min="1037" max="1037" width="11.453125" style="5"/>
    <col min="1038" max="1038" width="13.81640625" style="5" bestFit="1" customWidth="1"/>
    <col min="1039" max="1280" width="11.453125" style="5"/>
    <col min="1281" max="1281" width="12.81640625" style="5" customWidth="1"/>
    <col min="1282" max="1282" width="18.26953125" style="5" customWidth="1"/>
    <col min="1283" max="1283" width="13.7265625" style="5" customWidth="1"/>
    <col min="1284" max="1284" width="16.453125" style="5" customWidth="1"/>
    <col min="1285" max="1285" width="20.7265625" style="5" customWidth="1"/>
    <col min="1286" max="1286" width="23.81640625" style="5" customWidth="1"/>
    <col min="1287" max="1287" width="18.81640625" style="5" customWidth="1"/>
    <col min="1288" max="1288" width="8.26953125" style="5" customWidth="1"/>
    <col min="1289" max="1289" width="14.54296875" style="5" bestFit="1" customWidth="1"/>
    <col min="1290" max="1290" width="14.1796875" style="5" bestFit="1" customWidth="1"/>
    <col min="1291" max="1291" width="11.453125" style="5"/>
    <col min="1292" max="1292" width="15.54296875" style="5" customWidth="1"/>
    <col min="1293" max="1293" width="11.453125" style="5"/>
    <col min="1294" max="1294" width="13.81640625" style="5" bestFit="1" customWidth="1"/>
    <col min="1295" max="1536" width="11.453125" style="5"/>
    <col min="1537" max="1537" width="12.81640625" style="5" customWidth="1"/>
    <col min="1538" max="1538" width="18.26953125" style="5" customWidth="1"/>
    <col min="1539" max="1539" width="13.7265625" style="5" customWidth="1"/>
    <col min="1540" max="1540" width="16.453125" style="5" customWidth="1"/>
    <col min="1541" max="1541" width="20.7265625" style="5" customWidth="1"/>
    <col min="1542" max="1542" width="23.81640625" style="5" customWidth="1"/>
    <col min="1543" max="1543" width="18.81640625" style="5" customWidth="1"/>
    <col min="1544" max="1544" width="8.26953125" style="5" customWidth="1"/>
    <col min="1545" max="1545" width="14.54296875" style="5" bestFit="1" customWidth="1"/>
    <col min="1546" max="1546" width="14.1796875" style="5" bestFit="1" customWidth="1"/>
    <col min="1547" max="1547" width="11.453125" style="5"/>
    <col min="1548" max="1548" width="15.54296875" style="5" customWidth="1"/>
    <col min="1549" max="1549" width="11.453125" style="5"/>
    <col min="1550" max="1550" width="13.81640625" style="5" bestFit="1" customWidth="1"/>
    <col min="1551" max="1792" width="11.453125" style="5"/>
    <col min="1793" max="1793" width="12.81640625" style="5" customWidth="1"/>
    <col min="1794" max="1794" width="18.26953125" style="5" customWidth="1"/>
    <col min="1795" max="1795" width="13.7265625" style="5" customWidth="1"/>
    <col min="1796" max="1796" width="16.453125" style="5" customWidth="1"/>
    <col min="1797" max="1797" width="20.7265625" style="5" customWidth="1"/>
    <col min="1798" max="1798" width="23.81640625" style="5" customWidth="1"/>
    <col min="1799" max="1799" width="18.81640625" style="5" customWidth="1"/>
    <col min="1800" max="1800" width="8.26953125" style="5" customWidth="1"/>
    <col min="1801" max="1801" width="14.54296875" style="5" bestFit="1" customWidth="1"/>
    <col min="1802" max="1802" width="14.1796875" style="5" bestFit="1" customWidth="1"/>
    <col min="1803" max="1803" width="11.453125" style="5"/>
    <col min="1804" max="1804" width="15.54296875" style="5" customWidth="1"/>
    <col min="1805" max="1805" width="11.453125" style="5"/>
    <col min="1806" max="1806" width="13.81640625" style="5" bestFit="1" customWidth="1"/>
    <col min="1807" max="2048" width="11.453125" style="5"/>
    <col min="2049" max="2049" width="12.81640625" style="5" customWidth="1"/>
    <col min="2050" max="2050" width="18.26953125" style="5" customWidth="1"/>
    <col min="2051" max="2051" width="13.7265625" style="5" customWidth="1"/>
    <col min="2052" max="2052" width="16.453125" style="5" customWidth="1"/>
    <col min="2053" max="2053" width="20.7265625" style="5" customWidth="1"/>
    <col min="2054" max="2054" width="23.81640625" style="5" customWidth="1"/>
    <col min="2055" max="2055" width="18.81640625" style="5" customWidth="1"/>
    <col min="2056" max="2056" width="8.26953125" style="5" customWidth="1"/>
    <col min="2057" max="2057" width="14.54296875" style="5" bestFit="1" customWidth="1"/>
    <col min="2058" max="2058" width="14.1796875" style="5" bestFit="1" customWidth="1"/>
    <col min="2059" max="2059" width="11.453125" style="5"/>
    <col min="2060" max="2060" width="15.54296875" style="5" customWidth="1"/>
    <col min="2061" max="2061" width="11.453125" style="5"/>
    <col min="2062" max="2062" width="13.81640625" style="5" bestFit="1" customWidth="1"/>
    <col min="2063" max="2304" width="11.453125" style="5"/>
    <col min="2305" max="2305" width="12.81640625" style="5" customWidth="1"/>
    <col min="2306" max="2306" width="18.26953125" style="5" customWidth="1"/>
    <col min="2307" max="2307" width="13.7265625" style="5" customWidth="1"/>
    <col min="2308" max="2308" width="16.453125" style="5" customWidth="1"/>
    <col min="2309" max="2309" width="20.7265625" style="5" customWidth="1"/>
    <col min="2310" max="2310" width="23.81640625" style="5" customWidth="1"/>
    <col min="2311" max="2311" width="18.81640625" style="5" customWidth="1"/>
    <col min="2312" max="2312" width="8.26953125" style="5" customWidth="1"/>
    <col min="2313" max="2313" width="14.54296875" style="5" bestFit="1" customWidth="1"/>
    <col min="2314" max="2314" width="14.1796875" style="5" bestFit="1" customWidth="1"/>
    <col min="2315" max="2315" width="11.453125" style="5"/>
    <col min="2316" max="2316" width="15.54296875" style="5" customWidth="1"/>
    <col min="2317" max="2317" width="11.453125" style="5"/>
    <col min="2318" max="2318" width="13.81640625" style="5" bestFit="1" customWidth="1"/>
    <col min="2319" max="2560" width="11.453125" style="5"/>
    <col min="2561" max="2561" width="12.81640625" style="5" customWidth="1"/>
    <col min="2562" max="2562" width="18.26953125" style="5" customWidth="1"/>
    <col min="2563" max="2563" width="13.7265625" style="5" customWidth="1"/>
    <col min="2564" max="2564" width="16.453125" style="5" customWidth="1"/>
    <col min="2565" max="2565" width="20.7265625" style="5" customWidth="1"/>
    <col min="2566" max="2566" width="23.81640625" style="5" customWidth="1"/>
    <col min="2567" max="2567" width="18.81640625" style="5" customWidth="1"/>
    <col min="2568" max="2568" width="8.26953125" style="5" customWidth="1"/>
    <col min="2569" max="2569" width="14.54296875" style="5" bestFit="1" customWidth="1"/>
    <col min="2570" max="2570" width="14.1796875" style="5" bestFit="1" customWidth="1"/>
    <col min="2571" max="2571" width="11.453125" style="5"/>
    <col min="2572" max="2572" width="15.54296875" style="5" customWidth="1"/>
    <col min="2573" max="2573" width="11.453125" style="5"/>
    <col min="2574" max="2574" width="13.81640625" style="5" bestFit="1" customWidth="1"/>
    <col min="2575" max="2816" width="11.453125" style="5"/>
    <col min="2817" max="2817" width="12.81640625" style="5" customWidth="1"/>
    <col min="2818" max="2818" width="18.26953125" style="5" customWidth="1"/>
    <col min="2819" max="2819" width="13.7265625" style="5" customWidth="1"/>
    <col min="2820" max="2820" width="16.453125" style="5" customWidth="1"/>
    <col min="2821" max="2821" width="20.7265625" style="5" customWidth="1"/>
    <col min="2822" max="2822" width="23.81640625" style="5" customWidth="1"/>
    <col min="2823" max="2823" width="18.81640625" style="5" customWidth="1"/>
    <col min="2824" max="2824" width="8.26953125" style="5" customWidth="1"/>
    <col min="2825" max="2825" width="14.54296875" style="5" bestFit="1" customWidth="1"/>
    <col min="2826" max="2826" width="14.1796875" style="5" bestFit="1" customWidth="1"/>
    <col min="2827" max="2827" width="11.453125" style="5"/>
    <col min="2828" max="2828" width="15.54296875" style="5" customWidth="1"/>
    <col min="2829" max="2829" width="11.453125" style="5"/>
    <col min="2830" max="2830" width="13.81640625" style="5" bestFit="1" customWidth="1"/>
    <col min="2831" max="3072" width="11.453125" style="5"/>
    <col min="3073" max="3073" width="12.81640625" style="5" customWidth="1"/>
    <col min="3074" max="3074" width="18.26953125" style="5" customWidth="1"/>
    <col min="3075" max="3075" width="13.7265625" style="5" customWidth="1"/>
    <col min="3076" max="3076" width="16.453125" style="5" customWidth="1"/>
    <col min="3077" max="3077" width="20.7265625" style="5" customWidth="1"/>
    <col min="3078" max="3078" width="23.81640625" style="5" customWidth="1"/>
    <col min="3079" max="3079" width="18.81640625" style="5" customWidth="1"/>
    <col min="3080" max="3080" width="8.26953125" style="5" customWidth="1"/>
    <col min="3081" max="3081" width="14.54296875" style="5" bestFit="1" customWidth="1"/>
    <col min="3082" max="3082" width="14.1796875" style="5" bestFit="1" customWidth="1"/>
    <col min="3083" max="3083" width="11.453125" style="5"/>
    <col min="3084" max="3084" width="15.54296875" style="5" customWidth="1"/>
    <col min="3085" max="3085" width="11.453125" style="5"/>
    <col min="3086" max="3086" width="13.81640625" style="5" bestFit="1" customWidth="1"/>
    <col min="3087" max="3328" width="11.453125" style="5"/>
    <col min="3329" max="3329" width="12.81640625" style="5" customWidth="1"/>
    <col min="3330" max="3330" width="18.26953125" style="5" customWidth="1"/>
    <col min="3331" max="3331" width="13.7265625" style="5" customWidth="1"/>
    <col min="3332" max="3332" width="16.453125" style="5" customWidth="1"/>
    <col min="3333" max="3333" width="20.7265625" style="5" customWidth="1"/>
    <col min="3334" max="3334" width="23.81640625" style="5" customWidth="1"/>
    <col min="3335" max="3335" width="18.81640625" style="5" customWidth="1"/>
    <col min="3336" max="3336" width="8.26953125" style="5" customWidth="1"/>
    <col min="3337" max="3337" width="14.54296875" style="5" bestFit="1" customWidth="1"/>
    <col min="3338" max="3338" width="14.1796875" style="5" bestFit="1" customWidth="1"/>
    <col min="3339" max="3339" width="11.453125" style="5"/>
    <col min="3340" max="3340" width="15.54296875" style="5" customWidth="1"/>
    <col min="3341" max="3341" width="11.453125" style="5"/>
    <col min="3342" max="3342" width="13.81640625" style="5" bestFit="1" customWidth="1"/>
    <col min="3343" max="3584" width="11.453125" style="5"/>
    <col min="3585" max="3585" width="12.81640625" style="5" customWidth="1"/>
    <col min="3586" max="3586" width="18.26953125" style="5" customWidth="1"/>
    <col min="3587" max="3587" width="13.7265625" style="5" customWidth="1"/>
    <col min="3588" max="3588" width="16.453125" style="5" customWidth="1"/>
    <col min="3589" max="3589" width="20.7265625" style="5" customWidth="1"/>
    <col min="3590" max="3590" width="23.81640625" style="5" customWidth="1"/>
    <col min="3591" max="3591" width="18.81640625" style="5" customWidth="1"/>
    <col min="3592" max="3592" width="8.26953125" style="5" customWidth="1"/>
    <col min="3593" max="3593" width="14.54296875" style="5" bestFit="1" customWidth="1"/>
    <col min="3594" max="3594" width="14.1796875" style="5" bestFit="1" customWidth="1"/>
    <col min="3595" max="3595" width="11.453125" style="5"/>
    <col min="3596" max="3596" width="15.54296875" style="5" customWidth="1"/>
    <col min="3597" max="3597" width="11.453125" style="5"/>
    <col min="3598" max="3598" width="13.81640625" style="5" bestFit="1" customWidth="1"/>
    <col min="3599" max="3840" width="11.453125" style="5"/>
    <col min="3841" max="3841" width="12.81640625" style="5" customWidth="1"/>
    <col min="3842" max="3842" width="18.26953125" style="5" customWidth="1"/>
    <col min="3843" max="3843" width="13.7265625" style="5" customWidth="1"/>
    <col min="3844" max="3844" width="16.453125" style="5" customWidth="1"/>
    <col min="3845" max="3845" width="20.7265625" style="5" customWidth="1"/>
    <col min="3846" max="3846" width="23.81640625" style="5" customWidth="1"/>
    <col min="3847" max="3847" width="18.81640625" style="5" customWidth="1"/>
    <col min="3848" max="3848" width="8.26953125" style="5" customWidth="1"/>
    <col min="3849" max="3849" width="14.54296875" style="5" bestFit="1" customWidth="1"/>
    <col min="3850" max="3850" width="14.1796875" style="5" bestFit="1" customWidth="1"/>
    <col min="3851" max="3851" width="11.453125" style="5"/>
    <col min="3852" max="3852" width="15.54296875" style="5" customWidth="1"/>
    <col min="3853" max="3853" width="11.453125" style="5"/>
    <col min="3854" max="3854" width="13.81640625" style="5" bestFit="1" customWidth="1"/>
    <col min="3855" max="4096" width="11.453125" style="5"/>
    <col min="4097" max="4097" width="12.81640625" style="5" customWidth="1"/>
    <col min="4098" max="4098" width="18.26953125" style="5" customWidth="1"/>
    <col min="4099" max="4099" width="13.7265625" style="5" customWidth="1"/>
    <col min="4100" max="4100" width="16.453125" style="5" customWidth="1"/>
    <col min="4101" max="4101" width="20.7265625" style="5" customWidth="1"/>
    <col min="4102" max="4102" width="23.81640625" style="5" customWidth="1"/>
    <col min="4103" max="4103" width="18.81640625" style="5" customWidth="1"/>
    <col min="4104" max="4104" width="8.26953125" style="5" customWidth="1"/>
    <col min="4105" max="4105" width="14.54296875" style="5" bestFit="1" customWidth="1"/>
    <col min="4106" max="4106" width="14.1796875" style="5" bestFit="1" customWidth="1"/>
    <col min="4107" max="4107" width="11.453125" style="5"/>
    <col min="4108" max="4108" width="15.54296875" style="5" customWidth="1"/>
    <col min="4109" max="4109" width="11.453125" style="5"/>
    <col min="4110" max="4110" width="13.81640625" style="5" bestFit="1" customWidth="1"/>
    <col min="4111" max="4352" width="11.453125" style="5"/>
    <col min="4353" max="4353" width="12.81640625" style="5" customWidth="1"/>
    <col min="4354" max="4354" width="18.26953125" style="5" customWidth="1"/>
    <col min="4355" max="4355" width="13.7265625" style="5" customWidth="1"/>
    <col min="4356" max="4356" width="16.453125" style="5" customWidth="1"/>
    <col min="4357" max="4357" width="20.7265625" style="5" customWidth="1"/>
    <col min="4358" max="4358" width="23.81640625" style="5" customWidth="1"/>
    <col min="4359" max="4359" width="18.81640625" style="5" customWidth="1"/>
    <col min="4360" max="4360" width="8.26953125" style="5" customWidth="1"/>
    <col min="4361" max="4361" width="14.54296875" style="5" bestFit="1" customWidth="1"/>
    <col min="4362" max="4362" width="14.1796875" style="5" bestFit="1" customWidth="1"/>
    <col min="4363" max="4363" width="11.453125" style="5"/>
    <col min="4364" max="4364" width="15.54296875" style="5" customWidth="1"/>
    <col min="4365" max="4365" width="11.453125" style="5"/>
    <col min="4366" max="4366" width="13.81640625" style="5" bestFit="1" customWidth="1"/>
    <col min="4367" max="4608" width="11.453125" style="5"/>
    <col min="4609" max="4609" width="12.81640625" style="5" customWidth="1"/>
    <col min="4610" max="4610" width="18.26953125" style="5" customWidth="1"/>
    <col min="4611" max="4611" width="13.7265625" style="5" customWidth="1"/>
    <col min="4612" max="4612" width="16.453125" style="5" customWidth="1"/>
    <col min="4613" max="4613" width="20.7265625" style="5" customWidth="1"/>
    <col min="4614" max="4614" width="23.81640625" style="5" customWidth="1"/>
    <col min="4615" max="4615" width="18.81640625" style="5" customWidth="1"/>
    <col min="4616" max="4616" width="8.26953125" style="5" customWidth="1"/>
    <col min="4617" max="4617" width="14.54296875" style="5" bestFit="1" customWidth="1"/>
    <col min="4618" max="4618" width="14.1796875" style="5" bestFit="1" customWidth="1"/>
    <col min="4619" max="4619" width="11.453125" style="5"/>
    <col min="4620" max="4620" width="15.54296875" style="5" customWidth="1"/>
    <col min="4621" max="4621" width="11.453125" style="5"/>
    <col min="4622" max="4622" width="13.81640625" style="5" bestFit="1" customWidth="1"/>
    <col min="4623" max="4864" width="11.453125" style="5"/>
    <col min="4865" max="4865" width="12.81640625" style="5" customWidth="1"/>
    <col min="4866" max="4866" width="18.26953125" style="5" customWidth="1"/>
    <col min="4867" max="4867" width="13.7265625" style="5" customWidth="1"/>
    <col min="4868" max="4868" width="16.453125" style="5" customWidth="1"/>
    <col min="4869" max="4869" width="20.7265625" style="5" customWidth="1"/>
    <col min="4870" max="4870" width="23.81640625" style="5" customWidth="1"/>
    <col min="4871" max="4871" width="18.81640625" style="5" customWidth="1"/>
    <col min="4872" max="4872" width="8.26953125" style="5" customWidth="1"/>
    <col min="4873" max="4873" width="14.54296875" style="5" bestFit="1" customWidth="1"/>
    <col min="4874" max="4874" width="14.1796875" style="5" bestFit="1" customWidth="1"/>
    <col min="4875" max="4875" width="11.453125" style="5"/>
    <col min="4876" max="4876" width="15.54296875" style="5" customWidth="1"/>
    <col min="4877" max="4877" width="11.453125" style="5"/>
    <col min="4878" max="4878" width="13.81640625" style="5" bestFit="1" customWidth="1"/>
    <col min="4879" max="5120" width="11.453125" style="5"/>
    <col min="5121" max="5121" width="12.81640625" style="5" customWidth="1"/>
    <col min="5122" max="5122" width="18.26953125" style="5" customWidth="1"/>
    <col min="5123" max="5123" width="13.7265625" style="5" customWidth="1"/>
    <col min="5124" max="5124" width="16.453125" style="5" customWidth="1"/>
    <col min="5125" max="5125" width="20.7265625" style="5" customWidth="1"/>
    <col min="5126" max="5126" width="23.81640625" style="5" customWidth="1"/>
    <col min="5127" max="5127" width="18.81640625" style="5" customWidth="1"/>
    <col min="5128" max="5128" width="8.26953125" style="5" customWidth="1"/>
    <col min="5129" max="5129" width="14.54296875" style="5" bestFit="1" customWidth="1"/>
    <col min="5130" max="5130" width="14.1796875" style="5" bestFit="1" customWidth="1"/>
    <col min="5131" max="5131" width="11.453125" style="5"/>
    <col min="5132" max="5132" width="15.54296875" style="5" customWidth="1"/>
    <col min="5133" max="5133" width="11.453125" style="5"/>
    <col min="5134" max="5134" width="13.81640625" style="5" bestFit="1" customWidth="1"/>
    <col min="5135" max="5376" width="11.453125" style="5"/>
    <col min="5377" max="5377" width="12.81640625" style="5" customWidth="1"/>
    <col min="5378" max="5378" width="18.26953125" style="5" customWidth="1"/>
    <col min="5379" max="5379" width="13.7265625" style="5" customWidth="1"/>
    <col min="5380" max="5380" width="16.453125" style="5" customWidth="1"/>
    <col min="5381" max="5381" width="20.7265625" style="5" customWidth="1"/>
    <col min="5382" max="5382" width="23.81640625" style="5" customWidth="1"/>
    <col min="5383" max="5383" width="18.81640625" style="5" customWidth="1"/>
    <col min="5384" max="5384" width="8.26953125" style="5" customWidth="1"/>
    <col min="5385" max="5385" width="14.54296875" style="5" bestFit="1" customWidth="1"/>
    <col min="5386" max="5386" width="14.1796875" style="5" bestFit="1" customWidth="1"/>
    <col min="5387" max="5387" width="11.453125" style="5"/>
    <col min="5388" max="5388" width="15.54296875" style="5" customWidth="1"/>
    <col min="5389" max="5389" width="11.453125" style="5"/>
    <col min="5390" max="5390" width="13.81640625" style="5" bestFit="1" customWidth="1"/>
    <col min="5391" max="5632" width="11.453125" style="5"/>
    <col min="5633" max="5633" width="12.81640625" style="5" customWidth="1"/>
    <col min="5634" max="5634" width="18.26953125" style="5" customWidth="1"/>
    <col min="5635" max="5635" width="13.7265625" style="5" customWidth="1"/>
    <col min="5636" max="5636" width="16.453125" style="5" customWidth="1"/>
    <col min="5637" max="5637" width="20.7265625" style="5" customWidth="1"/>
    <col min="5638" max="5638" width="23.81640625" style="5" customWidth="1"/>
    <col min="5639" max="5639" width="18.81640625" style="5" customWidth="1"/>
    <col min="5640" max="5640" width="8.26953125" style="5" customWidth="1"/>
    <col min="5641" max="5641" width="14.54296875" style="5" bestFit="1" customWidth="1"/>
    <col min="5642" max="5642" width="14.1796875" style="5" bestFit="1" customWidth="1"/>
    <col min="5643" max="5643" width="11.453125" style="5"/>
    <col min="5644" max="5644" width="15.54296875" style="5" customWidth="1"/>
    <col min="5645" max="5645" width="11.453125" style="5"/>
    <col min="5646" max="5646" width="13.81640625" style="5" bestFit="1" customWidth="1"/>
    <col min="5647" max="5888" width="11.453125" style="5"/>
    <col min="5889" max="5889" width="12.81640625" style="5" customWidth="1"/>
    <col min="5890" max="5890" width="18.26953125" style="5" customWidth="1"/>
    <col min="5891" max="5891" width="13.7265625" style="5" customWidth="1"/>
    <col min="5892" max="5892" width="16.453125" style="5" customWidth="1"/>
    <col min="5893" max="5893" width="20.7265625" style="5" customWidth="1"/>
    <col min="5894" max="5894" width="23.81640625" style="5" customWidth="1"/>
    <col min="5895" max="5895" width="18.81640625" style="5" customWidth="1"/>
    <col min="5896" max="5896" width="8.26953125" style="5" customWidth="1"/>
    <col min="5897" max="5897" width="14.54296875" style="5" bestFit="1" customWidth="1"/>
    <col min="5898" max="5898" width="14.1796875" style="5" bestFit="1" customWidth="1"/>
    <col min="5899" max="5899" width="11.453125" style="5"/>
    <col min="5900" max="5900" width="15.54296875" style="5" customWidth="1"/>
    <col min="5901" max="5901" width="11.453125" style="5"/>
    <col min="5902" max="5902" width="13.81640625" style="5" bestFit="1" customWidth="1"/>
    <col min="5903" max="6144" width="11.453125" style="5"/>
    <col min="6145" max="6145" width="12.81640625" style="5" customWidth="1"/>
    <col min="6146" max="6146" width="18.26953125" style="5" customWidth="1"/>
    <col min="6147" max="6147" width="13.7265625" style="5" customWidth="1"/>
    <col min="6148" max="6148" width="16.453125" style="5" customWidth="1"/>
    <col min="6149" max="6149" width="20.7265625" style="5" customWidth="1"/>
    <col min="6150" max="6150" width="23.81640625" style="5" customWidth="1"/>
    <col min="6151" max="6151" width="18.81640625" style="5" customWidth="1"/>
    <col min="6152" max="6152" width="8.26953125" style="5" customWidth="1"/>
    <col min="6153" max="6153" width="14.54296875" style="5" bestFit="1" customWidth="1"/>
    <col min="6154" max="6154" width="14.1796875" style="5" bestFit="1" customWidth="1"/>
    <col min="6155" max="6155" width="11.453125" style="5"/>
    <col min="6156" max="6156" width="15.54296875" style="5" customWidth="1"/>
    <col min="6157" max="6157" width="11.453125" style="5"/>
    <col min="6158" max="6158" width="13.81640625" style="5" bestFit="1" customWidth="1"/>
    <col min="6159" max="6400" width="11.453125" style="5"/>
    <col min="6401" max="6401" width="12.81640625" style="5" customWidth="1"/>
    <col min="6402" max="6402" width="18.26953125" style="5" customWidth="1"/>
    <col min="6403" max="6403" width="13.7265625" style="5" customWidth="1"/>
    <col min="6404" max="6404" width="16.453125" style="5" customWidth="1"/>
    <col min="6405" max="6405" width="20.7265625" style="5" customWidth="1"/>
    <col min="6406" max="6406" width="23.81640625" style="5" customWidth="1"/>
    <col min="6407" max="6407" width="18.81640625" style="5" customWidth="1"/>
    <col min="6408" max="6408" width="8.26953125" style="5" customWidth="1"/>
    <col min="6409" max="6409" width="14.54296875" style="5" bestFit="1" customWidth="1"/>
    <col min="6410" max="6410" width="14.1796875" style="5" bestFit="1" customWidth="1"/>
    <col min="6411" max="6411" width="11.453125" style="5"/>
    <col min="6412" max="6412" width="15.54296875" style="5" customWidth="1"/>
    <col min="6413" max="6413" width="11.453125" style="5"/>
    <col min="6414" max="6414" width="13.81640625" style="5" bestFit="1" customWidth="1"/>
    <col min="6415" max="6656" width="11.453125" style="5"/>
    <col min="6657" max="6657" width="12.81640625" style="5" customWidth="1"/>
    <col min="6658" max="6658" width="18.26953125" style="5" customWidth="1"/>
    <col min="6659" max="6659" width="13.7265625" style="5" customWidth="1"/>
    <col min="6660" max="6660" width="16.453125" style="5" customWidth="1"/>
    <col min="6661" max="6661" width="20.7265625" style="5" customWidth="1"/>
    <col min="6662" max="6662" width="23.81640625" style="5" customWidth="1"/>
    <col min="6663" max="6663" width="18.81640625" style="5" customWidth="1"/>
    <col min="6664" max="6664" width="8.26953125" style="5" customWidth="1"/>
    <col min="6665" max="6665" width="14.54296875" style="5" bestFit="1" customWidth="1"/>
    <col min="6666" max="6666" width="14.1796875" style="5" bestFit="1" customWidth="1"/>
    <col min="6667" max="6667" width="11.453125" style="5"/>
    <col min="6668" max="6668" width="15.54296875" style="5" customWidth="1"/>
    <col min="6669" max="6669" width="11.453125" style="5"/>
    <col min="6670" max="6670" width="13.81640625" style="5" bestFit="1" customWidth="1"/>
    <col min="6671" max="6912" width="11.453125" style="5"/>
    <col min="6913" max="6913" width="12.81640625" style="5" customWidth="1"/>
    <col min="6914" max="6914" width="18.26953125" style="5" customWidth="1"/>
    <col min="6915" max="6915" width="13.7265625" style="5" customWidth="1"/>
    <col min="6916" max="6916" width="16.453125" style="5" customWidth="1"/>
    <col min="6917" max="6917" width="20.7265625" style="5" customWidth="1"/>
    <col min="6918" max="6918" width="23.81640625" style="5" customWidth="1"/>
    <col min="6919" max="6919" width="18.81640625" style="5" customWidth="1"/>
    <col min="6920" max="6920" width="8.26953125" style="5" customWidth="1"/>
    <col min="6921" max="6921" width="14.54296875" style="5" bestFit="1" customWidth="1"/>
    <col min="6922" max="6922" width="14.1796875" style="5" bestFit="1" customWidth="1"/>
    <col min="6923" max="6923" width="11.453125" style="5"/>
    <col min="6924" max="6924" width="15.54296875" style="5" customWidth="1"/>
    <col min="6925" max="6925" width="11.453125" style="5"/>
    <col min="6926" max="6926" width="13.81640625" style="5" bestFit="1" customWidth="1"/>
    <col min="6927" max="7168" width="11.453125" style="5"/>
    <col min="7169" max="7169" width="12.81640625" style="5" customWidth="1"/>
    <col min="7170" max="7170" width="18.26953125" style="5" customWidth="1"/>
    <col min="7171" max="7171" width="13.7265625" style="5" customWidth="1"/>
    <col min="7172" max="7172" width="16.453125" style="5" customWidth="1"/>
    <col min="7173" max="7173" width="20.7265625" style="5" customWidth="1"/>
    <col min="7174" max="7174" width="23.81640625" style="5" customWidth="1"/>
    <col min="7175" max="7175" width="18.81640625" style="5" customWidth="1"/>
    <col min="7176" max="7176" width="8.26953125" style="5" customWidth="1"/>
    <col min="7177" max="7177" width="14.54296875" style="5" bestFit="1" customWidth="1"/>
    <col min="7178" max="7178" width="14.1796875" style="5" bestFit="1" customWidth="1"/>
    <col min="7179" max="7179" width="11.453125" style="5"/>
    <col min="7180" max="7180" width="15.54296875" style="5" customWidth="1"/>
    <col min="7181" max="7181" width="11.453125" style="5"/>
    <col min="7182" max="7182" width="13.81640625" style="5" bestFit="1" customWidth="1"/>
    <col min="7183" max="7424" width="11.453125" style="5"/>
    <col min="7425" max="7425" width="12.81640625" style="5" customWidth="1"/>
    <col min="7426" max="7426" width="18.26953125" style="5" customWidth="1"/>
    <col min="7427" max="7427" width="13.7265625" style="5" customWidth="1"/>
    <col min="7428" max="7428" width="16.453125" style="5" customWidth="1"/>
    <col min="7429" max="7429" width="20.7265625" style="5" customWidth="1"/>
    <col min="7430" max="7430" width="23.81640625" style="5" customWidth="1"/>
    <col min="7431" max="7431" width="18.81640625" style="5" customWidth="1"/>
    <col min="7432" max="7432" width="8.26953125" style="5" customWidth="1"/>
    <col min="7433" max="7433" width="14.54296875" style="5" bestFit="1" customWidth="1"/>
    <col min="7434" max="7434" width="14.1796875" style="5" bestFit="1" customWidth="1"/>
    <col min="7435" max="7435" width="11.453125" style="5"/>
    <col min="7436" max="7436" width="15.54296875" style="5" customWidth="1"/>
    <col min="7437" max="7437" width="11.453125" style="5"/>
    <col min="7438" max="7438" width="13.81640625" style="5" bestFit="1" customWidth="1"/>
    <col min="7439" max="7680" width="11.453125" style="5"/>
    <col min="7681" max="7681" width="12.81640625" style="5" customWidth="1"/>
    <col min="7682" max="7682" width="18.26953125" style="5" customWidth="1"/>
    <col min="7683" max="7683" width="13.7265625" style="5" customWidth="1"/>
    <col min="7684" max="7684" width="16.453125" style="5" customWidth="1"/>
    <col min="7685" max="7685" width="20.7265625" style="5" customWidth="1"/>
    <col min="7686" max="7686" width="23.81640625" style="5" customWidth="1"/>
    <col min="7687" max="7687" width="18.81640625" style="5" customWidth="1"/>
    <col min="7688" max="7688" width="8.26953125" style="5" customWidth="1"/>
    <col min="7689" max="7689" width="14.54296875" style="5" bestFit="1" customWidth="1"/>
    <col min="7690" max="7690" width="14.1796875" style="5" bestFit="1" customWidth="1"/>
    <col min="7691" max="7691" width="11.453125" style="5"/>
    <col min="7692" max="7692" width="15.54296875" style="5" customWidth="1"/>
    <col min="7693" max="7693" width="11.453125" style="5"/>
    <col min="7694" max="7694" width="13.81640625" style="5" bestFit="1" customWidth="1"/>
    <col min="7695" max="7936" width="11.453125" style="5"/>
    <col min="7937" max="7937" width="12.81640625" style="5" customWidth="1"/>
    <col min="7938" max="7938" width="18.26953125" style="5" customWidth="1"/>
    <col min="7939" max="7939" width="13.7265625" style="5" customWidth="1"/>
    <col min="7940" max="7940" width="16.453125" style="5" customWidth="1"/>
    <col min="7941" max="7941" width="20.7265625" style="5" customWidth="1"/>
    <col min="7942" max="7942" width="23.81640625" style="5" customWidth="1"/>
    <col min="7943" max="7943" width="18.81640625" style="5" customWidth="1"/>
    <col min="7944" max="7944" width="8.26953125" style="5" customWidth="1"/>
    <col min="7945" max="7945" width="14.54296875" style="5" bestFit="1" customWidth="1"/>
    <col min="7946" max="7946" width="14.1796875" style="5" bestFit="1" customWidth="1"/>
    <col min="7947" max="7947" width="11.453125" style="5"/>
    <col min="7948" max="7948" width="15.54296875" style="5" customWidth="1"/>
    <col min="7949" max="7949" width="11.453125" style="5"/>
    <col min="7950" max="7950" width="13.81640625" style="5" bestFit="1" customWidth="1"/>
    <col min="7951" max="8192" width="11.453125" style="5"/>
    <col min="8193" max="8193" width="12.81640625" style="5" customWidth="1"/>
    <col min="8194" max="8194" width="18.26953125" style="5" customWidth="1"/>
    <col min="8195" max="8195" width="13.7265625" style="5" customWidth="1"/>
    <col min="8196" max="8196" width="16.453125" style="5" customWidth="1"/>
    <col min="8197" max="8197" width="20.7265625" style="5" customWidth="1"/>
    <col min="8198" max="8198" width="23.81640625" style="5" customWidth="1"/>
    <col min="8199" max="8199" width="18.81640625" style="5" customWidth="1"/>
    <col min="8200" max="8200" width="8.26953125" style="5" customWidth="1"/>
    <col min="8201" max="8201" width="14.54296875" style="5" bestFit="1" customWidth="1"/>
    <col min="8202" max="8202" width="14.1796875" style="5" bestFit="1" customWidth="1"/>
    <col min="8203" max="8203" width="11.453125" style="5"/>
    <col min="8204" max="8204" width="15.54296875" style="5" customWidth="1"/>
    <col min="8205" max="8205" width="11.453125" style="5"/>
    <col min="8206" max="8206" width="13.81640625" style="5" bestFit="1" customWidth="1"/>
    <col min="8207" max="8448" width="11.453125" style="5"/>
    <col min="8449" max="8449" width="12.81640625" style="5" customWidth="1"/>
    <col min="8450" max="8450" width="18.26953125" style="5" customWidth="1"/>
    <col min="8451" max="8451" width="13.7265625" style="5" customWidth="1"/>
    <col min="8452" max="8452" width="16.453125" style="5" customWidth="1"/>
    <col min="8453" max="8453" width="20.7265625" style="5" customWidth="1"/>
    <col min="8454" max="8454" width="23.81640625" style="5" customWidth="1"/>
    <col min="8455" max="8455" width="18.81640625" style="5" customWidth="1"/>
    <col min="8456" max="8456" width="8.26953125" style="5" customWidth="1"/>
    <col min="8457" max="8457" width="14.54296875" style="5" bestFit="1" customWidth="1"/>
    <col min="8458" max="8458" width="14.1796875" style="5" bestFit="1" customWidth="1"/>
    <col min="8459" max="8459" width="11.453125" style="5"/>
    <col min="8460" max="8460" width="15.54296875" style="5" customWidth="1"/>
    <col min="8461" max="8461" width="11.453125" style="5"/>
    <col min="8462" max="8462" width="13.81640625" style="5" bestFit="1" customWidth="1"/>
    <col min="8463" max="8704" width="11.453125" style="5"/>
    <col min="8705" max="8705" width="12.81640625" style="5" customWidth="1"/>
    <col min="8706" max="8706" width="18.26953125" style="5" customWidth="1"/>
    <col min="8707" max="8707" width="13.7265625" style="5" customWidth="1"/>
    <col min="8708" max="8708" width="16.453125" style="5" customWidth="1"/>
    <col min="8709" max="8709" width="20.7265625" style="5" customWidth="1"/>
    <col min="8710" max="8710" width="23.81640625" style="5" customWidth="1"/>
    <col min="8711" max="8711" width="18.81640625" style="5" customWidth="1"/>
    <col min="8712" max="8712" width="8.26953125" style="5" customWidth="1"/>
    <col min="8713" max="8713" width="14.54296875" style="5" bestFit="1" customWidth="1"/>
    <col min="8714" max="8714" width="14.1796875" style="5" bestFit="1" customWidth="1"/>
    <col min="8715" max="8715" width="11.453125" style="5"/>
    <col min="8716" max="8716" width="15.54296875" style="5" customWidth="1"/>
    <col min="8717" max="8717" width="11.453125" style="5"/>
    <col min="8718" max="8718" width="13.81640625" style="5" bestFit="1" customWidth="1"/>
    <col min="8719" max="8960" width="11.453125" style="5"/>
    <col min="8961" max="8961" width="12.81640625" style="5" customWidth="1"/>
    <col min="8962" max="8962" width="18.26953125" style="5" customWidth="1"/>
    <col min="8963" max="8963" width="13.7265625" style="5" customWidth="1"/>
    <col min="8964" max="8964" width="16.453125" style="5" customWidth="1"/>
    <col min="8965" max="8965" width="20.7265625" style="5" customWidth="1"/>
    <col min="8966" max="8966" width="23.81640625" style="5" customWidth="1"/>
    <col min="8967" max="8967" width="18.81640625" style="5" customWidth="1"/>
    <col min="8968" max="8968" width="8.26953125" style="5" customWidth="1"/>
    <col min="8969" max="8969" width="14.54296875" style="5" bestFit="1" customWidth="1"/>
    <col min="8970" max="8970" width="14.1796875" style="5" bestFit="1" customWidth="1"/>
    <col min="8971" max="8971" width="11.453125" style="5"/>
    <col min="8972" max="8972" width="15.54296875" style="5" customWidth="1"/>
    <col min="8973" max="8973" width="11.453125" style="5"/>
    <col min="8974" max="8974" width="13.81640625" style="5" bestFit="1" customWidth="1"/>
    <col min="8975" max="9216" width="11.453125" style="5"/>
    <col min="9217" max="9217" width="12.81640625" style="5" customWidth="1"/>
    <col min="9218" max="9218" width="18.26953125" style="5" customWidth="1"/>
    <col min="9219" max="9219" width="13.7265625" style="5" customWidth="1"/>
    <col min="9220" max="9220" width="16.453125" style="5" customWidth="1"/>
    <col min="9221" max="9221" width="20.7265625" style="5" customWidth="1"/>
    <col min="9222" max="9222" width="23.81640625" style="5" customWidth="1"/>
    <col min="9223" max="9223" width="18.81640625" style="5" customWidth="1"/>
    <col min="9224" max="9224" width="8.26953125" style="5" customWidth="1"/>
    <col min="9225" max="9225" width="14.54296875" style="5" bestFit="1" customWidth="1"/>
    <col min="9226" max="9226" width="14.1796875" style="5" bestFit="1" customWidth="1"/>
    <col min="9227" max="9227" width="11.453125" style="5"/>
    <col min="9228" max="9228" width="15.54296875" style="5" customWidth="1"/>
    <col min="9229" max="9229" width="11.453125" style="5"/>
    <col min="9230" max="9230" width="13.81640625" style="5" bestFit="1" customWidth="1"/>
    <col min="9231" max="9472" width="11.453125" style="5"/>
    <col min="9473" max="9473" width="12.81640625" style="5" customWidth="1"/>
    <col min="9474" max="9474" width="18.26953125" style="5" customWidth="1"/>
    <col min="9475" max="9475" width="13.7265625" style="5" customWidth="1"/>
    <col min="9476" max="9476" width="16.453125" style="5" customWidth="1"/>
    <col min="9477" max="9477" width="20.7265625" style="5" customWidth="1"/>
    <col min="9478" max="9478" width="23.81640625" style="5" customWidth="1"/>
    <col min="9479" max="9479" width="18.81640625" style="5" customWidth="1"/>
    <col min="9480" max="9480" width="8.26953125" style="5" customWidth="1"/>
    <col min="9481" max="9481" width="14.54296875" style="5" bestFit="1" customWidth="1"/>
    <col min="9482" max="9482" width="14.1796875" style="5" bestFit="1" customWidth="1"/>
    <col min="9483" max="9483" width="11.453125" style="5"/>
    <col min="9484" max="9484" width="15.54296875" style="5" customWidth="1"/>
    <col min="9485" max="9485" width="11.453125" style="5"/>
    <col min="9486" max="9486" width="13.81640625" style="5" bestFit="1" customWidth="1"/>
    <col min="9487" max="9728" width="11.453125" style="5"/>
    <col min="9729" max="9729" width="12.81640625" style="5" customWidth="1"/>
    <col min="9730" max="9730" width="18.26953125" style="5" customWidth="1"/>
    <col min="9731" max="9731" width="13.7265625" style="5" customWidth="1"/>
    <col min="9732" max="9732" width="16.453125" style="5" customWidth="1"/>
    <col min="9733" max="9733" width="20.7265625" style="5" customWidth="1"/>
    <col min="9734" max="9734" width="23.81640625" style="5" customWidth="1"/>
    <col min="9735" max="9735" width="18.81640625" style="5" customWidth="1"/>
    <col min="9736" max="9736" width="8.26953125" style="5" customWidth="1"/>
    <col min="9737" max="9737" width="14.54296875" style="5" bestFit="1" customWidth="1"/>
    <col min="9738" max="9738" width="14.1796875" style="5" bestFit="1" customWidth="1"/>
    <col min="9739" max="9739" width="11.453125" style="5"/>
    <col min="9740" max="9740" width="15.54296875" style="5" customWidth="1"/>
    <col min="9741" max="9741" width="11.453125" style="5"/>
    <col min="9742" max="9742" width="13.81640625" style="5" bestFit="1" customWidth="1"/>
    <col min="9743" max="9984" width="11.453125" style="5"/>
    <col min="9985" max="9985" width="12.81640625" style="5" customWidth="1"/>
    <col min="9986" max="9986" width="18.26953125" style="5" customWidth="1"/>
    <col min="9987" max="9987" width="13.7265625" style="5" customWidth="1"/>
    <col min="9988" max="9988" width="16.453125" style="5" customWidth="1"/>
    <col min="9989" max="9989" width="20.7265625" style="5" customWidth="1"/>
    <col min="9990" max="9990" width="23.81640625" style="5" customWidth="1"/>
    <col min="9991" max="9991" width="18.81640625" style="5" customWidth="1"/>
    <col min="9992" max="9992" width="8.26953125" style="5" customWidth="1"/>
    <col min="9993" max="9993" width="14.54296875" style="5" bestFit="1" customWidth="1"/>
    <col min="9994" max="9994" width="14.1796875" style="5" bestFit="1" customWidth="1"/>
    <col min="9995" max="9995" width="11.453125" style="5"/>
    <col min="9996" max="9996" width="15.54296875" style="5" customWidth="1"/>
    <col min="9997" max="9997" width="11.453125" style="5"/>
    <col min="9998" max="9998" width="13.81640625" style="5" bestFit="1" customWidth="1"/>
    <col min="9999" max="10240" width="11.453125" style="5"/>
    <col min="10241" max="10241" width="12.81640625" style="5" customWidth="1"/>
    <col min="10242" max="10242" width="18.26953125" style="5" customWidth="1"/>
    <col min="10243" max="10243" width="13.7265625" style="5" customWidth="1"/>
    <col min="10244" max="10244" width="16.453125" style="5" customWidth="1"/>
    <col min="10245" max="10245" width="20.7265625" style="5" customWidth="1"/>
    <col min="10246" max="10246" width="23.81640625" style="5" customWidth="1"/>
    <col min="10247" max="10247" width="18.81640625" style="5" customWidth="1"/>
    <col min="10248" max="10248" width="8.26953125" style="5" customWidth="1"/>
    <col min="10249" max="10249" width="14.54296875" style="5" bestFit="1" customWidth="1"/>
    <col min="10250" max="10250" width="14.1796875" style="5" bestFit="1" customWidth="1"/>
    <col min="10251" max="10251" width="11.453125" style="5"/>
    <col min="10252" max="10252" width="15.54296875" style="5" customWidth="1"/>
    <col min="10253" max="10253" width="11.453125" style="5"/>
    <col min="10254" max="10254" width="13.81640625" style="5" bestFit="1" customWidth="1"/>
    <col min="10255" max="10496" width="11.453125" style="5"/>
    <col min="10497" max="10497" width="12.81640625" style="5" customWidth="1"/>
    <col min="10498" max="10498" width="18.26953125" style="5" customWidth="1"/>
    <col min="10499" max="10499" width="13.7265625" style="5" customWidth="1"/>
    <col min="10500" max="10500" width="16.453125" style="5" customWidth="1"/>
    <col min="10501" max="10501" width="20.7265625" style="5" customWidth="1"/>
    <col min="10502" max="10502" width="23.81640625" style="5" customWidth="1"/>
    <col min="10503" max="10503" width="18.81640625" style="5" customWidth="1"/>
    <col min="10504" max="10504" width="8.26953125" style="5" customWidth="1"/>
    <col min="10505" max="10505" width="14.54296875" style="5" bestFit="1" customWidth="1"/>
    <col min="10506" max="10506" width="14.1796875" style="5" bestFit="1" customWidth="1"/>
    <col min="10507" max="10507" width="11.453125" style="5"/>
    <col min="10508" max="10508" width="15.54296875" style="5" customWidth="1"/>
    <col min="10509" max="10509" width="11.453125" style="5"/>
    <col min="10510" max="10510" width="13.81640625" style="5" bestFit="1" customWidth="1"/>
    <col min="10511" max="10752" width="11.453125" style="5"/>
    <col min="10753" max="10753" width="12.81640625" style="5" customWidth="1"/>
    <col min="10754" max="10754" width="18.26953125" style="5" customWidth="1"/>
    <col min="10755" max="10755" width="13.7265625" style="5" customWidth="1"/>
    <col min="10756" max="10756" width="16.453125" style="5" customWidth="1"/>
    <col min="10757" max="10757" width="20.7265625" style="5" customWidth="1"/>
    <col min="10758" max="10758" width="23.81640625" style="5" customWidth="1"/>
    <col min="10759" max="10759" width="18.81640625" style="5" customWidth="1"/>
    <col min="10760" max="10760" width="8.26953125" style="5" customWidth="1"/>
    <col min="10761" max="10761" width="14.54296875" style="5" bestFit="1" customWidth="1"/>
    <col min="10762" max="10762" width="14.1796875" style="5" bestFit="1" customWidth="1"/>
    <col min="10763" max="10763" width="11.453125" style="5"/>
    <col min="10764" max="10764" width="15.54296875" style="5" customWidth="1"/>
    <col min="10765" max="10765" width="11.453125" style="5"/>
    <col min="10766" max="10766" width="13.81640625" style="5" bestFit="1" customWidth="1"/>
    <col min="10767" max="11008" width="11.453125" style="5"/>
    <col min="11009" max="11009" width="12.81640625" style="5" customWidth="1"/>
    <col min="11010" max="11010" width="18.26953125" style="5" customWidth="1"/>
    <col min="11011" max="11011" width="13.7265625" style="5" customWidth="1"/>
    <col min="11012" max="11012" width="16.453125" style="5" customWidth="1"/>
    <col min="11013" max="11013" width="20.7265625" style="5" customWidth="1"/>
    <col min="11014" max="11014" width="23.81640625" style="5" customWidth="1"/>
    <col min="11015" max="11015" width="18.81640625" style="5" customWidth="1"/>
    <col min="11016" max="11016" width="8.26953125" style="5" customWidth="1"/>
    <col min="11017" max="11017" width="14.54296875" style="5" bestFit="1" customWidth="1"/>
    <col min="11018" max="11018" width="14.1796875" style="5" bestFit="1" customWidth="1"/>
    <col min="11019" max="11019" width="11.453125" style="5"/>
    <col min="11020" max="11020" width="15.54296875" style="5" customWidth="1"/>
    <col min="11021" max="11021" width="11.453125" style="5"/>
    <col min="11022" max="11022" width="13.81640625" style="5" bestFit="1" customWidth="1"/>
    <col min="11023" max="11264" width="11.453125" style="5"/>
    <col min="11265" max="11265" width="12.81640625" style="5" customWidth="1"/>
    <col min="11266" max="11266" width="18.26953125" style="5" customWidth="1"/>
    <col min="11267" max="11267" width="13.7265625" style="5" customWidth="1"/>
    <col min="11268" max="11268" width="16.453125" style="5" customWidth="1"/>
    <col min="11269" max="11269" width="20.7265625" style="5" customWidth="1"/>
    <col min="11270" max="11270" width="23.81640625" style="5" customWidth="1"/>
    <col min="11271" max="11271" width="18.81640625" style="5" customWidth="1"/>
    <col min="11272" max="11272" width="8.26953125" style="5" customWidth="1"/>
    <col min="11273" max="11273" width="14.54296875" style="5" bestFit="1" customWidth="1"/>
    <col min="11274" max="11274" width="14.1796875" style="5" bestFit="1" customWidth="1"/>
    <col min="11275" max="11275" width="11.453125" style="5"/>
    <col min="11276" max="11276" width="15.54296875" style="5" customWidth="1"/>
    <col min="11277" max="11277" width="11.453125" style="5"/>
    <col min="11278" max="11278" width="13.81640625" style="5" bestFit="1" customWidth="1"/>
    <col min="11279" max="11520" width="11.453125" style="5"/>
    <col min="11521" max="11521" width="12.81640625" style="5" customWidth="1"/>
    <col min="11522" max="11522" width="18.26953125" style="5" customWidth="1"/>
    <col min="11523" max="11523" width="13.7265625" style="5" customWidth="1"/>
    <col min="11524" max="11524" width="16.453125" style="5" customWidth="1"/>
    <col min="11525" max="11525" width="20.7265625" style="5" customWidth="1"/>
    <col min="11526" max="11526" width="23.81640625" style="5" customWidth="1"/>
    <col min="11527" max="11527" width="18.81640625" style="5" customWidth="1"/>
    <col min="11528" max="11528" width="8.26953125" style="5" customWidth="1"/>
    <col min="11529" max="11529" width="14.54296875" style="5" bestFit="1" customWidth="1"/>
    <col min="11530" max="11530" width="14.1796875" style="5" bestFit="1" customWidth="1"/>
    <col min="11531" max="11531" width="11.453125" style="5"/>
    <col min="11532" max="11532" width="15.54296875" style="5" customWidth="1"/>
    <col min="11533" max="11533" width="11.453125" style="5"/>
    <col min="11534" max="11534" width="13.81640625" style="5" bestFit="1" customWidth="1"/>
    <col min="11535" max="11776" width="11.453125" style="5"/>
    <col min="11777" max="11777" width="12.81640625" style="5" customWidth="1"/>
    <col min="11778" max="11778" width="18.26953125" style="5" customWidth="1"/>
    <col min="11779" max="11779" width="13.7265625" style="5" customWidth="1"/>
    <col min="11780" max="11780" width="16.453125" style="5" customWidth="1"/>
    <col min="11781" max="11781" width="20.7265625" style="5" customWidth="1"/>
    <col min="11782" max="11782" width="23.81640625" style="5" customWidth="1"/>
    <col min="11783" max="11783" width="18.81640625" style="5" customWidth="1"/>
    <col min="11784" max="11784" width="8.26953125" style="5" customWidth="1"/>
    <col min="11785" max="11785" width="14.54296875" style="5" bestFit="1" customWidth="1"/>
    <col min="11786" max="11786" width="14.1796875" style="5" bestFit="1" customWidth="1"/>
    <col min="11787" max="11787" width="11.453125" style="5"/>
    <col min="11788" max="11788" width="15.54296875" style="5" customWidth="1"/>
    <col min="11789" max="11789" width="11.453125" style="5"/>
    <col min="11790" max="11790" width="13.81640625" style="5" bestFit="1" customWidth="1"/>
    <col min="11791" max="12032" width="11.453125" style="5"/>
    <col min="12033" max="12033" width="12.81640625" style="5" customWidth="1"/>
    <col min="12034" max="12034" width="18.26953125" style="5" customWidth="1"/>
    <col min="12035" max="12035" width="13.7265625" style="5" customWidth="1"/>
    <col min="12036" max="12036" width="16.453125" style="5" customWidth="1"/>
    <col min="12037" max="12037" width="20.7265625" style="5" customWidth="1"/>
    <col min="12038" max="12038" width="23.81640625" style="5" customWidth="1"/>
    <col min="12039" max="12039" width="18.81640625" style="5" customWidth="1"/>
    <col min="12040" max="12040" width="8.26953125" style="5" customWidth="1"/>
    <col min="12041" max="12041" width="14.54296875" style="5" bestFit="1" customWidth="1"/>
    <col min="12042" max="12042" width="14.1796875" style="5" bestFit="1" customWidth="1"/>
    <col min="12043" max="12043" width="11.453125" style="5"/>
    <col min="12044" max="12044" width="15.54296875" style="5" customWidth="1"/>
    <col min="12045" max="12045" width="11.453125" style="5"/>
    <col min="12046" max="12046" width="13.81640625" style="5" bestFit="1" customWidth="1"/>
    <col min="12047" max="12288" width="11.453125" style="5"/>
    <col min="12289" max="12289" width="12.81640625" style="5" customWidth="1"/>
    <col min="12290" max="12290" width="18.26953125" style="5" customWidth="1"/>
    <col min="12291" max="12291" width="13.7265625" style="5" customWidth="1"/>
    <col min="12292" max="12292" width="16.453125" style="5" customWidth="1"/>
    <col min="12293" max="12293" width="20.7265625" style="5" customWidth="1"/>
    <col min="12294" max="12294" width="23.81640625" style="5" customWidth="1"/>
    <col min="12295" max="12295" width="18.81640625" style="5" customWidth="1"/>
    <col min="12296" max="12296" width="8.26953125" style="5" customWidth="1"/>
    <col min="12297" max="12297" width="14.54296875" style="5" bestFit="1" customWidth="1"/>
    <col min="12298" max="12298" width="14.1796875" style="5" bestFit="1" customWidth="1"/>
    <col min="12299" max="12299" width="11.453125" style="5"/>
    <col min="12300" max="12300" width="15.54296875" style="5" customWidth="1"/>
    <col min="12301" max="12301" width="11.453125" style="5"/>
    <col min="12302" max="12302" width="13.81640625" style="5" bestFit="1" customWidth="1"/>
    <col min="12303" max="12544" width="11.453125" style="5"/>
    <col min="12545" max="12545" width="12.81640625" style="5" customWidth="1"/>
    <col min="12546" max="12546" width="18.26953125" style="5" customWidth="1"/>
    <col min="12547" max="12547" width="13.7265625" style="5" customWidth="1"/>
    <col min="12548" max="12548" width="16.453125" style="5" customWidth="1"/>
    <col min="12549" max="12549" width="20.7265625" style="5" customWidth="1"/>
    <col min="12550" max="12550" width="23.81640625" style="5" customWidth="1"/>
    <col min="12551" max="12551" width="18.81640625" style="5" customWidth="1"/>
    <col min="12552" max="12552" width="8.26953125" style="5" customWidth="1"/>
    <col min="12553" max="12553" width="14.54296875" style="5" bestFit="1" customWidth="1"/>
    <col min="12554" max="12554" width="14.1796875" style="5" bestFit="1" customWidth="1"/>
    <col min="12555" max="12555" width="11.453125" style="5"/>
    <col min="12556" max="12556" width="15.54296875" style="5" customWidth="1"/>
    <col min="12557" max="12557" width="11.453125" style="5"/>
    <col min="12558" max="12558" width="13.81640625" style="5" bestFit="1" customWidth="1"/>
    <col min="12559" max="12800" width="11.453125" style="5"/>
    <col min="12801" max="12801" width="12.81640625" style="5" customWidth="1"/>
    <col min="12802" max="12802" width="18.26953125" style="5" customWidth="1"/>
    <col min="12803" max="12803" width="13.7265625" style="5" customWidth="1"/>
    <col min="12804" max="12804" width="16.453125" style="5" customWidth="1"/>
    <col min="12805" max="12805" width="20.7265625" style="5" customWidth="1"/>
    <col min="12806" max="12806" width="23.81640625" style="5" customWidth="1"/>
    <col min="12807" max="12807" width="18.81640625" style="5" customWidth="1"/>
    <col min="12808" max="12808" width="8.26953125" style="5" customWidth="1"/>
    <col min="12809" max="12809" width="14.54296875" style="5" bestFit="1" customWidth="1"/>
    <col min="12810" max="12810" width="14.1796875" style="5" bestFit="1" customWidth="1"/>
    <col min="12811" max="12811" width="11.453125" style="5"/>
    <col min="12812" max="12812" width="15.54296875" style="5" customWidth="1"/>
    <col min="12813" max="12813" width="11.453125" style="5"/>
    <col min="12814" max="12814" width="13.81640625" style="5" bestFit="1" customWidth="1"/>
    <col min="12815" max="13056" width="11.453125" style="5"/>
    <col min="13057" max="13057" width="12.81640625" style="5" customWidth="1"/>
    <col min="13058" max="13058" width="18.26953125" style="5" customWidth="1"/>
    <col min="13059" max="13059" width="13.7265625" style="5" customWidth="1"/>
    <col min="13060" max="13060" width="16.453125" style="5" customWidth="1"/>
    <col min="13061" max="13061" width="20.7265625" style="5" customWidth="1"/>
    <col min="13062" max="13062" width="23.81640625" style="5" customWidth="1"/>
    <col min="13063" max="13063" width="18.81640625" style="5" customWidth="1"/>
    <col min="13064" max="13064" width="8.26953125" style="5" customWidth="1"/>
    <col min="13065" max="13065" width="14.54296875" style="5" bestFit="1" customWidth="1"/>
    <col min="13066" max="13066" width="14.1796875" style="5" bestFit="1" customWidth="1"/>
    <col min="13067" max="13067" width="11.453125" style="5"/>
    <col min="13068" max="13068" width="15.54296875" style="5" customWidth="1"/>
    <col min="13069" max="13069" width="11.453125" style="5"/>
    <col min="13070" max="13070" width="13.81640625" style="5" bestFit="1" customWidth="1"/>
    <col min="13071" max="13312" width="11.453125" style="5"/>
    <col min="13313" max="13313" width="12.81640625" style="5" customWidth="1"/>
    <col min="13314" max="13314" width="18.26953125" style="5" customWidth="1"/>
    <col min="13315" max="13315" width="13.7265625" style="5" customWidth="1"/>
    <col min="13316" max="13316" width="16.453125" style="5" customWidth="1"/>
    <col min="13317" max="13317" width="20.7265625" style="5" customWidth="1"/>
    <col min="13318" max="13318" width="23.81640625" style="5" customWidth="1"/>
    <col min="13319" max="13319" width="18.81640625" style="5" customWidth="1"/>
    <col min="13320" max="13320" width="8.26953125" style="5" customWidth="1"/>
    <col min="13321" max="13321" width="14.54296875" style="5" bestFit="1" customWidth="1"/>
    <col min="13322" max="13322" width="14.1796875" style="5" bestFit="1" customWidth="1"/>
    <col min="13323" max="13323" width="11.453125" style="5"/>
    <col min="13324" max="13324" width="15.54296875" style="5" customWidth="1"/>
    <col min="13325" max="13325" width="11.453125" style="5"/>
    <col min="13326" max="13326" width="13.81640625" style="5" bestFit="1" customWidth="1"/>
    <col min="13327" max="13568" width="11.453125" style="5"/>
    <col min="13569" max="13569" width="12.81640625" style="5" customWidth="1"/>
    <col min="13570" max="13570" width="18.26953125" style="5" customWidth="1"/>
    <col min="13571" max="13571" width="13.7265625" style="5" customWidth="1"/>
    <col min="13572" max="13572" width="16.453125" style="5" customWidth="1"/>
    <col min="13573" max="13573" width="20.7265625" style="5" customWidth="1"/>
    <col min="13574" max="13574" width="23.81640625" style="5" customWidth="1"/>
    <col min="13575" max="13575" width="18.81640625" style="5" customWidth="1"/>
    <col min="13576" max="13576" width="8.26953125" style="5" customWidth="1"/>
    <col min="13577" max="13577" width="14.54296875" style="5" bestFit="1" customWidth="1"/>
    <col min="13578" max="13578" width="14.1796875" style="5" bestFit="1" customWidth="1"/>
    <col min="13579" max="13579" width="11.453125" style="5"/>
    <col min="13580" max="13580" width="15.54296875" style="5" customWidth="1"/>
    <col min="13581" max="13581" width="11.453125" style="5"/>
    <col min="13582" max="13582" width="13.81640625" style="5" bestFit="1" customWidth="1"/>
    <col min="13583" max="13824" width="11.453125" style="5"/>
    <col min="13825" max="13825" width="12.81640625" style="5" customWidth="1"/>
    <col min="13826" max="13826" width="18.26953125" style="5" customWidth="1"/>
    <col min="13827" max="13827" width="13.7265625" style="5" customWidth="1"/>
    <col min="13828" max="13828" width="16.453125" style="5" customWidth="1"/>
    <col min="13829" max="13829" width="20.7265625" style="5" customWidth="1"/>
    <col min="13830" max="13830" width="23.81640625" style="5" customWidth="1"/>
    <col min="13831" max="13831" width="18.81640625" style="5" customWidth="1"/>
    <col min="13832" max="13832" width="8.26953125" style="5" customWidth="1"/>
    <col min="13833" max="13833" width="14.54296875" style="5" bestFit="1" customWidth="1"/>
    <col min="13834" max="13834" width="14.1796875" style="5" bestFit="1" customWidth="1"/>
    <col min="13835" max="13835" width="11.453125" style="5"/>
    <col min="13836" max="13836" width="15.54296875" style="5" customWidth="1"/>
    <col min="13837" max="13837" width="11.453125" style="5"/>
    <col min="13838" max="13838" width="13.81640625" style="5" bestFit="1" customWidth="1"/>
    <col min="13839" max="14080" width="11.453125" style="5"/>
    <col min="14081" max="14081" width="12.81640625" style="5" customWidth="1"/>
    <col min="14082" max="14082" width="18.26953125" style="5" customWidth="1"/>
    <col min="14083" max="14083" width="13.7265625" style="5" customWidth="1"/>
    <col min="14084" max="14084" width="16.453125" style="5" customWidth="1"/>
    <col min="14085" max="14085" width="20.7265625" style="5" customWidth="1"/>
    <col min="14086" max="14086" width="23.81640625" style="5" customWidth="1"/>
    <col min="14087" max="14087" width="18.81640625" style="5" customWidth="1"/>
    <col min="14088" max="14088" width="8.26953125" style="5" customWidth="1"/>
    <col min="14089" max="14089" width="14.54296875" style="5" bestFit="1" customWidth="1"/>
    <col min="14090" max="14090" width="14.1796875" style="5" bestFit="1" customWidth="1"/>
    <col min="14091" max="14091" width="11.453125" style="5"/>
    <col min="14092" max="14092" width="15.54296875" style="5" customWidth="1"/>
    <col min="14093" max="14093" width="11.453125" style="5"/>
    <col min="14094" max="14094" width="13.81640625" style="5" bestFit="1" customWidth="1"/>
    <col min="14095" max="14336" width="11.453125" style="5"/>
    <col min="14337" max="14337" width="12.81640625" style="5" customWidth="1"/>
    <col min="14338" max="14338" width="18.26953125" style="5" customWidth="1"/>
    <col min="14339" max="14339" width="13.7265625" style="5" customWidth="1"/>
    <col min="14340" max="14340" width="16.453125" style="5" customWidth="1"/>
    <col min="14341" max="14341" width="20.7265625" style="5" customWidth="1"/>
    <col min="14342" max="14342" width="23.81640625" style="5" customWidth="1"/>
    <col min="14343" max="14343" width="18.81640625" style="5" customWidth="1"/>
    <col min="14344" max="14344" width="8.26953125" style="5" customWidth="1"/>
    <col min="14345" max="14345" width="14.54296875" style="5" bestFit="1" customWidth="1"/>
    <col min="14346" max="14346" width="14.1796875" style="5" bestFit="1" customWidth="1"/>
    <col min="14347" max="14347" width="11.453125" style="5"/>
    <col min="14348" max="14348" width="15.54296875" style="5" customWidth="1"/>
    <col min="14349" max="14349" width="11.453125" style="5"/>
    <col min="14350" max="14350" width="13.81640625" style="5" bestFit="1" customWidth="1"/>
    <col min="14351" max="14592" width="11.453125" style="5"/>
    <col min="14593" max="14593" width="12.81640625" style="5" customWidth="1"/>
    <col min="14594" max="14594" width="18.26953125" style="5" customWidth="1"/>
    <col min="14595" max="14595" width="13.7265625" style="5" customWidth="1"/>
    <col min="14596" max="14596" width="16.453125" style="5" customWidth="1"/>
    <col min="14597" max="14597" width="20.7265625" style="5" customWidth="1"/>
    <col min="14598" max="14598" width="23.81640625" style="5" customWidth="1"/>
    <col min="14599" max="14599" width="18.81640625" style="5" customWidth="1"/>
    <col min="14600" max="14600" width="8.26953125" style="5" customWidth="1"/>
    <col min="14601" max="14601" width="14.54296875" style="5" bestFit="1" customWidth="1"/>
    <col min="14602" max="14602" width="14.1796875" style="5" bestFit="1" customWidth="1"/>
    <col min="14603" max="14603" width="11.453125" style="5"/>
    <col min="14604" max="14604" width="15.54296875" style="5" customWidth="1"/>
    <col min="14605" max="14605" width="11.453125" style="5"/>
    <col min="14606" max="14606" width="13.81640625" style="5" bestFit="1" customWidth="1"/>
    <col min="14607" max="14848" width="11.453125" style="5"/>
    <col min="14849" max="14849" width="12.81640625" style="5" customWidth="1"/>
    <col min="14850" max="14850" width="18.26953125" style="5" customWidth="1"/>
    <col min="14851" max="14851" width="13.7265625" style="5" customWidth="1"/>
    <col min="14852" max="14852" width="16.453125" style="5" customWidth="1"/>
    <col min="14853" max="14853" width="20.7265625" style="5" customWidth="1"/>
    <col min="14854" max="14854" width="23.81640625" style="5" customWidth="1"/>
    <col min="14855" max="14855" width="18.81640625" style="5" customWidth="1"/>
    <col min="14856" max="14856" width="8.26953125" style="5" customWidth="1"/>
    <col min="14857" max="14857" width="14.54296875" style="5" bestFit="1" customWidth="1"/>
    <col min="14858" max="14858" width="14.1796875" style="5" bestFit="1" customWidth="1"/>
    <col min="14859" max="14859" width="11.453125" style="5"/>
    <col min="14860" max="14860" width="15.54296875" style="5" customWidth="1"/>
    <col min="14861" max="14861" width="11.453125" style="5"/>
    <col min="14862" max="14862" width="13.81640625" style="5" bestFit="1" customWidth="1"/>
    <col min="14863" max="15104" width="11.453125" style="5"/>
    <col min="15105" max="15105" width="12.81640625" style="5" customWidth="1"/>
    <col min="15106" max="15106" width="18.26953125" style="5" customWidth="1"/>
    <col min="15107" max="15107" width="13.7265625" style="5" customWidth="1"/>
    <col min="15108" max="15108" width="16.453125" style="5" customWidth="1"/>
    <col min="15109" max="15109" width="20.7265625" style="5" customWidth="1"/>
    <col min="15110" max="15110" width="23.81640625" style="5" customWidth="1"/>
    <col min="15111" max="15111" width="18.81640625" style="5" customWidth="1"/>
    <col min="15112" max="15112" width="8.26953125" style="5" customWidth="1"/>
    <col min="15113" max="15113" width="14.54296875" style="5" bestFit="1" customWidth="1"/>
    <col min="15114" max="15114" width="14.1796875" style="5" bestFit="1" customWidth="1"/>
    <col min="15115" max="15115" width="11.453125" style="5"/>
    <col min="15116" max="15116" width="15.54296875" style="5" customWidth="1"/>
    <col min="15117" max="15117" width="11.453125" style="5"/>
    <col min="15118" max="15118" width="13.81640625" style="5" bestFit="1" customWidth="1"/>
    <col min="15119" max="15360" width="11.453125" style="5"/>
    <col min="15361" max="15361" width="12.81640625" style="5" customWidth="1"/>
    <col min="15362" max="15362" width="18.26953125" style="5" customWidth="1"/>
    <col min="15363" max="15363" width="13.7265625" style="5" customWidth="1"/>
    <col min="15364" max="15364" width="16.453125" style="5" customWidth="1"/>
    <col min="15365" max="15365" width="20.7265625" style="5" customWidth="1"/>
    <col min="15366" max="15366" width="23.81640625" style="5" customWidth="1"/>
    <col min="15367" max="15367" width="18.81640625" style="5" customWidth="1"/>
    <col min="15368" max="15368" width="8.26953125" style="5" customWidth="1"/>
    <col min="15369" max="15369" width="14.54296875" style="5" bestFit="1" customWidth="1"/>
    <col min="15370" max="15370" width="14.1796875" style="5" bestFit="1" customWidth="1"/>
    <col min="15371" max="15371" width="11.453125" style="5"/>
    <col min="15372" max="15372" width="15.54296875" style="5" customWidth="1"/>
    <col min="15373" max="15373" width="11.453125" style="5"/>
    <col min="15374" max="15374" width="13.81640625" style="5" bestFit="1" customWidth="1"/>
    <col min="15375" max="15616" width="11.453125" style="5"/>
    <col min="15617" max="15617" width="12.81640625" style="5" customWidth="1"/>
    <col min="15618" max="15618" width="18.26953125" style="5" customWidth="1"/>
    <col min="15619" max="15619" width="13.7265625" style="5" customWidth="1"/>
    <col min="15620" max="15620" width="16.453125" style="5" customWidth="1"/>
    <col min="15621" max="15621" width="20.7265625" style="5" customWidth="1"/>
    <col min="15622" max="15622" width="23.81640625" style="5" customWidth="1"/>
    <col min="15623" max="15623" width="18.81640625" style="5" customWidth="1"/>
    <col min="15624" max="15624" width="8.26953125" style="5" customWidth="1"/>
    <col min="15625" max="15625" width="14.54296875" style="5" bestFit="1" customWidth="1"/>
    <col min="15626" max="15626" width="14.1796875" style="5" bestFit="1" customWidth="1"/>
    <col min="15627" max="15627" width="11.453125" style="5"/>
    <col min="15628" max="15628" width="15.54296875" style="5" customWidth="1"/>
    <col min="15629" max="15629" width="11.453125" style="5"/>
    <col min="15630" max="15630" width="13.81640625" style="5" bestFit="1" customWidth="1"/>
    <col min="15631" max="15872" width="11.453125" style="5"/>
    <col min="15873" max="15873" width="12.81640625" style="5" customWidth="1"/>
    <col min="15874" max="15874" width="18.26953125" style="5" customWidth="1"/>
    <col min="15875" max="15875" width="13.7265625" style="5" customWidth="1"/>
    <col min="15876" max="15876" width="16.453125" style="5" customWidth="1"/>
    <col min="15877" max="15877" width="20.7265625" style="5" customWidth="1"/>
    <col min="15878" max="15878" width="23.81640625" style="5" customWidth="1"/>
    <col min="15879" max="15879" width="18.81640625" style="5" customWidth="1"/>
    <col min="15880" max="15880" width="8.26953125" style="5" customWidth="1"/>
    <col min="15881" max="15881" width="14.54296875" style="5" bestFit="1" customWidth="1"/>
    <col min="15882" max="15882" width="14.1796875" style="5" bestFit="1" customWidth="1"/>
    <col min="15883" max="15883" width="11.453125" style="5"/>
    <col min="15884" max="15884" width="15.54296875" style="5" customWidth="1"/>
    <col min="15885" max="15885" width="11.453125" style="5"/>
    <col min="15886" max="15886" width="13.81640625" style="5" bestFit="1" customWidth="1"/>
    <col min="15887" max="16128" width="11.453125" style="5"/>
    <col min="16129" max="16129" width="12.81640625" style="5" customWidth="1"/>
    <col min="16130" max="16130" width="18.26953125" style="5" customWidth="1"/>
    <col min="16131" max="16131" width="13.7265625" style="5" customWidth="1"/>
    <col min="16132" max="16132" width="16.453125" style="5" customWidth="1"/>
    <col min="16133" max="16133" width="20.7265625" style="5" customWidth="1"/>
    <col min="16134" max="16134" width="23.81640625" style="5" customWidth="1"/>
    <col min="16135" max="16135" width="18.81640625" style="5" customWidth="1"/>
    <col min="16136" max="16136" width="8.26953125" style="5" customWidth="1"/>
    <col min="16137" max="16137" width="14.54296875" style="5" bestFit="1" customWidth="1"/>
    <col min="16138" max="16138" width="14.1796875" style="5" bestFit="1" customWidth="1"/>
    <col min="16139" max="16139" width="11.453125" style="5"/>
    <col min="16140" max="16140" width="15.54296875" style="5" customWidth="1"/>
    <col min="16141" max="16141" width="11.453125" style="5"/>
    <col min="16142" max="16142" width="13.81640625" style="5" bestFit="1" customWidth="1"/>
    <col min="16143" max="16384" width="11.453125" style="5"/>
  </cols>
  <sheetData>
    <row r="1" spans="1:34" ht="4.5" customHeight="1" thickBot="1" x14ac:dyDescent="0.35"/>
    <row r="2" spans="1:34" s="4" customFormat="1" ht="20.25" customHeight="1" thickBot="1" x14ac:dyDescent="0.35">
      <c r="B2" s="524" t="s">
        <v>85</v>
      </c>
      <c r="C2" s="525"/>
      <c r="D2" s="525"/>
      <c r="E2" s="525"/>
      <c r="F2" s="525"/>
      <c r="G2" s="526"/>
      <c r="H2" s="30"/>
      <c r="K2" s="2"/>
      <c r="L2" s="2"/>
      <c r="M2" s="2"/>
      <c r="N2" s="2"/>
      <c r="O2" s="2"/>
      <c r="P2" s="2"/>
      <c r="Q2" s="2"/>
      <c r="R2" s="2"/>
    </row>
    <row r="3" spans="1:34" s="12" customFormat="1" ht="31.5" customHeight="1" x14ac:dyDescent="0.3">
      <c r="B3" s="544" t="s">
        <v>139</v>
      </c>
      <c r="C3" s="545"/>
      <c r="D3" s="545"/>
      <c r="E3" s="545"/>
      <c r="F3" s="545"/>
      <c r="G3" s="546"/>
      <c r="H3" s="38"/>
      <c r="I3" s="38"/>
      <c r="L3" s="84"/>
    </row>
    <row r="4" spans="1:34" s="12" customFormat="1" ht="16.5" customHeight="1" thickBot="1" x14ac:dyDescent="0.7">
      <c r="A4" s="107"/>
      <c r="B4" s="5"/>
      <c r="C4" s="5"/>
      <c r="D4" s="5"/>
      <c r="E4" s="5"/>
      <c r="F4" s="5"/>
      <c r="G4" s="5"/>
      <c r="H4" s="38"/>
      <c r="I4" s="38"/>
      <c r="J4" s="106"/>
      <c r="K4" s="97"/>
      <c r="L4" s="106"/>
    </row>
    <row r="5" spans="1:34" ht="19.5" customHeight="1" thickBot="1" x14ac:dyDescent="0.35">
      <c r="A5" s="113"/>
      <c r="B5" s="108" t="s">
        <v>86</v>
      </c>
      <c r="C5" s="109">
        <v>7.3700000000000002E-2</v>
      </c>
      <c r="D5" s="110" t="s">
        <v>82</v>
      </c>
      <c r="E5" s="111" t="s">
        <v>87</v>
      </c>
      <c r="F5" s="112">
        <f>1-C5</f>
        <v>0.92630000000000001</v>
      </c>
      <c r="G5" s="120"/>
      <c r="H5" s="324"/>
      <c r="I5" s="325"/>
      <c r="J5" s="106"/>
      <c r="K5" s="2"/>
      <c r="L5" s="84"/>
      <c r="M5" s="12"/>
      <c r="N5" s="12"/>
      <c r="O5" s="43"/>
      <c r="P5" s="43"/>
      <c r="Q5" s="43"/>
      <c r="R5" s="12"/>
      <c r="S5" s="12"/>
      <c r="T5" s="12"/>
      <c r="U5" s="12"/>
      <c r="V5" s="12"/>
      <c r="W5" s="12"/>
      <c r="X5" s="12"/>
    </row>
    <row r="6" spans="1:34" ht="13.5" thickBot="1" x14ac:dyDescent="0.35">
      <c r="A6" s="358"/>
      <c r="B6" s="120"/>
      <c r="C6" s="120"/>
      <c r="D6" s="120"/>
      <c r="E6" s="120"/>
      <c r="F6" s="120"/>
      <c r="G6" s="120"/>
      <c r="H6" s="125"/>
      <c r="I6" s="327"/>
      <c r="J6" s="113"/>
      <c r="L6" s="27"/>
      <c r="M6" s="12"/>
      <c r="N6" s="12"/>
      <c r="U6" s="45"/>
      <c r="V6" s="45"/>
      <c r="W6" s="45"/>
      <c r="X6" s="45"/>
      <c r="Y6" s="45"/>
      <c r="Z6" s="45"/>
    </row>
    <row r="7" spans="1:34" ht="21" customHeight="1" thickBot="1" x14ac:dyDescent="0.35">
      <c r="A7" s="358"/>
      <c r="B7" s="488"/>
      <c r="C7" s="359"/>
      <c r="D7" s="533" t="s">
        <v>55</v>
      </c>
      <c r="E7" s="534"/>
      <c r="F7" s="535"/>
      <c r="G7" s="120"/>
      <c r="H7" s="328"/>
      <c r="I7" s="327"/>
      <c r="J7" s="106"/>
      <c r="K7" s="113"/>
      <c r="N7" s="51"/>
      <c r="O7" s="43"/>
      <c r="P7" s="43"/>
      <c r="Q7" s="43"/>
      <c r="R7" s="4"/>
      <c r="S7" s="4"/>
      <c r="T7" s="85"/>
      <c r="U7" s="4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149999999999999" customHeight="1" thickBot="1" x14ac:dyDescent="0.35">
      <c r="A8" s="326"/>
      <c r="B8" s="488"/>
      <c r="C8" s="329"/>
      <c r="D8" s="101" t="s">
        <v>88</v>
      </c>
      <c r="E8" s="102" t="s">
        <v>133</v>
      </c>
      <c r="F8" s="101" t="s">
        <v>134</v>
      </c>
      <c r="G8" s="144"/>
      <c r="H8" s="330"/>
      <c r="I8" s="152"/>
      <c r="K8" s="4"/>
      <c r="L8" s="2"/>
      <c r="M8" s="42"/>
      <c r="N8" s="41"/>
      <c r="O8" s="43"/>
      <c r="P8" s="43"/>
      <c r="Q8" s="43"/>
      <c r="R8" s="4"/>
      <c r="S8" s="86"/>
      <c r="T8" s="4"/>
      <c r="U8" s="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149999999999999" customHeight="1" thickBot="1" x14ac:dyDescent="0.35">
      <c r="A9" s="326"/>
      <c r="B9" s="488"/>
      <c r="C9" s="120"/>
      <c r="D9" s="103">
        <v>0.69</v>
      </c>
      <c r="E9" s="104">
        <v>0.49</v>
      </c>
      <c r="F9" s="104">
        <v>0.98</v>
      </c>
      <c r="G9" s="144"/>
      <c r="H9" s="331"/>
      <c r="I9" s="159"/>
      <c r="J9" s="113"/>
      <c r="K9" s="4"/>
      <c r="L9" s="4"/>
      <c r="M9" s="4"/>
      <c r="N9" s="4"/>
      <c r="O9" s="4"/>
      <c r="P9" s="4"/>
      <c r="Q9" s="4"/>
      <c r="R9" s="4"/>
      <c r="S9" s="87"/>
      <c r="T9" s="4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.75" hidden="1" customHeight="1" x14ac:dyDescent="0.4">
      <c r="A10" s="332"/>
      <c r="B10" s="476"/>
      <c r="C10" s="333" t="s">
        <v>135</v>
      </c>
      <c r="D10" s="7">
        <f>F5^D9</f>
        <v>0.94854654871212685</v>
      </c>
      <c r="E10" s="334">
        <f>F5^E9</f>
        <v>0.96318190577767226</v>
      </c>
      <c r="F10" s="334">
        <f>F5^F9</f>
        <v>0.92771938361750872</v>
      </c>
      <c r="H10" s="46"/>
      <c r="I10" s="4"/>
      <c r="K10" s="4"/>
      <c r="L10" s="2"/>
      <c r="M10" s="42"/>
      <c r="N10" s="41"/>
      <c r="O10" s="43"/>
      <c r="P10" s="43"/>
      <c r="Q10" s="4"/>
      <c r="R10" s="4"/>
      <c r="S10" s="88"/>
      <c r="T10" s="4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30.75" hidden="1" customHeight="1" x14ac:dyDescent="0.3">
      <c r="A11" s="332"/>
      <c r="B11" s="476"/>
      <c r="C11" s="89" t="s">
        <v>136</v>
      </c>
      <c r="D11" s="7">
        <f>1-D10</f>
        <v>5.1453451287873153E-2</v>
      </c>
      <c r="E11" s="7">
        <f>1-E10</f>
        <v>3.6818094222327735E-2</v>
      </c>
      <c r="F11" s="7">
        <f>1-F10</f>
        <v>7.2280616382491281E-2</v>
      </c>
      <c r="H11" s="46"/>
      <c r="I11" s="4"/>
      <c r="J11" s="30"/>
      <c r="K11" s="4"/>
      <c r="L11" s="4"/>
      <c r="M11" s="4"/>
      <c r="N11" s="4"/>
      <c r="O11" s="4"/>
      <c r="P11" s="4"/>
      <c r="Q11" s="43"/>
      <c r="R11" s="4"/>
      <c r="S11" s="86"/>
      <c r="T11" s="4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hidden="1" customHeight="1" x14ac:dyDescent="0.3">
      <c r="A12" s="332"/>
      <c r="B12" s="477"/>
      <c r="C12" s="44"/>
      <c r="D12" s="114"/>
      <c r="E12" s="114"/>
      <c r="F12" s="114"/>
      <c r="H12" s="90"/>
      <c r="I12" s="4"/>
      <c r="J12" s="91"/>
      <c r="K12" s="40"/>
      <c r="L12" s="92"/>
      <c r="M12" s="4"/>
      <c r="N12" s="4"/>
      <c r="O12" s="4"/>
      <c r="P12" s="4"/>
      <c r="Q12" s="4"/>
      <c r="R12" s="4"/>
      <c r="S12" s="93"/>
      <c r="T12" s="94"/>
      <c r="U12" s="9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.75" hidden="1" customHeight="1" x14ac:dyDescent="0.4">
      <c r="A13" s="332"/>
      <c r="B13" s="478"/>
      <c r="C13" s="335" t="s">
        <v>83</v>
      </c>
      <c r="D13" s="310" t="s">
        <v>23</v>
      </c>
      <c r="E13" s="336">
        <f>D10-F5</f>
        <v>2.2246548712126835E-2</v>
      </c>
      <c r="F13" s="336">
        <f>F10-F5</f>
        <v>1.4193836175087071E-3</v>
      </c>
      <c r="G13" s="336">
        <f>E10-F5</f>
        <v>3.6881905777672253E-2</v>
      </c>
      <c r="H13" s="46"/>
      <c r="I13" s="4"/>
      <c r="J13" s="93"/>
      <c r="K13" s="94"/>
      <c r="L13" s="4"/>
      <c r="M13" s="9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0.75" hidden="1" customHeight="1" x14ac:dyDescent="0.3">
      <c r="A14" s="332"/>
      <c r="B14" s="478"/>
      <c r="C14" s="337" t="s">
        <v>46</v>
      </c>
      <c r="D14" s="310" t="s">
        <v>24</v>
      </c>
      <c r="E14" s="338">
        <f>1/E13</f>
        <v>44.950792724755964</v>
      </c>
      <c r="F14" s="338">
        <f>1/G13</f>
        <v>27.113566365797315</v>
      </c>
      <c r="G14" s="338">
        <f>1/F13</f>
        <v>704.53116949115804</v>
      </c>
      <c r="J14" s="5"/>
      <c r="K14" s="5"/>
      <c r="P14" s="5"/>
      <c r="Q14" s="5"/>
      <c r="R14" s="12"/>
      <c r="S14" s="12"/>
      <c r="T14" s="12"/>
      <c r="U14" s="12"/>
      <c r="V14" s="12"/>
      <c r="W14" s="12"/>
      <c r="X14" s="12"/>
    </row>
    <row r="15" spans="1:34" ht="30.75" hidden="1" customHeight="1" x14ac:dyDescent="0.3">
      <c r="A15" s="332"/>
      <c r="B15" s="479"/>
      <c r="C15" s="339"/>
      <c r="D15" s="339"/>
      <c r="E15" s="339"/>
      <c r="F15" s="339"/>
      <c r="G15" s="12"/>
      <c r="J15" s="5"/>
      <c r="K15" s="5"/>
      <c r="P15" s="5"/>
      <c r="Q15" s="5"/>
    </row>
    <row r="16" spans="1:34" ht="30.75" hidden="1" customHeight="1" x14ac:dyDescent="0.3">
      <c r="A16" s="332"/>
      <c r="B16" s="480"/>
      <c r="C16" s="340" t="s">
        <v>64</v>
      </c>
      <c r="D16" s="341" t="s">
        <v>65</v>
      </c>
      <c r="E16" s="96">
        <f>E14</f>
        <v>44.950792724755964</v>
      </c>
      <c r="F16" s="96">
        <f>F14</f>
        <v>27.113566365797315</v>
      </c>
      <c r="G16" s="96">
        <f>G14</f>
        <v>704.53116949115804</v>
      </c>
      <c r="J16" s="5"/>
      <c r="K16" s="5"/>
      <c r="P16" s="5"/>
      <c r="Q16" s="5"/>
    </row>
    <row r="17" spans="1:17" s="4" customFormat="1" ht="30.75" hidden="1" customHeight="1" x14ac:dyDescent="0.3">
      <c r="A17" s="332"/>
      <c r="B17" s="481"/>
      <c r="C17" s="342"/>
      <c r="D17" s="343" t="s">
        <v>42</v>
      </c>
      <c r="E17" s="338">
        <f>(1-C5)*E14</f>
        <v>41.637919300941448</v>
      </c>
      <c r="F17" s="338">
        <f>(1-C5)*F14</f>
        <v>25.115296524638055</v>
      </c>
      <c r="G17" s="338">
        <f>(1-C5)*G14</f>
        <v>652.60722229965972</v>
      </c>
      <c r="I17" s="53"/>
    </row>
    <row r="18" spans="1:17" s="4" customFormat="1" ht="30.75" hidden="1" customHeight="1" x14ac:dyDescent="0.3">
      <c r="A18" s="332"/>
      <c r="B18" s="482"/>
      <c r="C18" s="344"/>
      <c r="D18" s="340" t="s">
        <v>61</v>
      </c>
      <c r="E18" s="338">
        <f>E14*E13</f>
        <v>1</v>
      </c>
      <c r="F18" s="338">
        <f>F14*G13</f>
        <v>1</v>
      </c>
      <c r="G18" s="338">
        <f>G14*F13</f>
        <v>1</v>
      </c>
    </row>
    <row r="19" spans="1:17" s="4" customFormat="1" ht="30.75" hidden="1" customHeight="1" x14ac:dyDescent="0.3">
      <c r="A19" s="332"/>
      <c r="B19" s="482"/>
      <c r="C19" s="344"/>
      <c r="D19" s="340" t="s">
        <v>43</v>
      </c>
      <c r="E19" s="338">
        <f>(C5-E13)*E14</f>
        <v>2.3128734238145143</v>
      </c>
      <c r="F19" s="338">
        <f>(C5-G13)*F14</f>
        <v>0.99826984115926209</v>
      </c>
      <c r="G19" s="338">
        <f>(C5-F13)*G14</f>
        <v>50.92394719149835</v>
      </c>
    </row>
    <row r="20" spans="1:17" s="4" customFormat="1" ht="30.75" hidden="1" customHeight="1" x14ac:dyDescent="0.3">
      <c r="A20" s="332"/>
      <c r="B20" s="483"/>
      <c r="C20" s="115"/>
      <c r="D20" s="115"/>
      <c r="E20" s="345"/>
      <c r="F20" s="345"/>
      <c r="G20" s="345"/>
      <c r="J20" s="301"/>
      <c r="K20" s="59"/>
      <c r="L20" s="61"/>
    </row>
    <row r="21" spans="1:17" s="4" customFormat="1" ht="30.75" hidden="1" customHeight="1" x14ac:dyDescent="0.3">
      <c r="A21" s="332"/>
      <c r="B21" s="480"/>
      <c r="C21" s="340" t="s">
        <v>66</v>
      </c>
      <c r="D21" s="341" t="s">
        <v>67</v>
      </c>
      <c r="E21" s="96">
        <f>E14</f>
        <v>44.950792724755964</v>
      </c>
      <c r="F21" s="96">
        <f>F14</f>
        <v>27.113566365797315</v>
      </c>
      <c r="G21" s="96">
        <f>G14</f>
        <v>704.53116949115804</v>
      </c>
      <c r="I21" s="301"/>
      <c r="J21" s="301"/>
      <c r="K21" s="60"/>
      <c r="L21" s="61"/>
    </row>
    <row r="22" spans="1:17" s="4" customFormat="1" ht="30.75" hidden="1" customHeight="1" x14ac:dyDescent="0.3">
      <c r="A22" s="332"/>
      <c r="B22" s="484"/>
      <c r="C22" s="346"/>
      <c r="D22" s="226" t="s">
        <v>42</v>
      </c>
      <c r="E22" s="338">
        <f>ABS((1-(C5-E13))*E14)</f>
        <v>42.637919300941448</v>
      </c>
      <c r="F22" s="338">
        <f>ABS((1-(C5-G13))*F14)</f>
        <v>26.115296524638055</v>
      </c>
      <c r="G22" s="338">
        <f>ABS((1-(C5-F13))*G14)</f>
        <v>653.60722229965972</v>
      </c>
      <c r="I22" s="301"/>
      <c r="J22" s="301"/>
      <c r="K22" s="59"/>
      <c r="L22" s="61"/>
    </row>
    <row r="23" spans="1:17" ht="30.75" hidden="1" customHeight="1" x14ac:dyDescent="0.3">
      <c r="A23" s="332"/>
      <c r="B23" s="483"/>
      <c r="C23" s="116"/>
      <c r="D23" s="29" t="s">
        <v>62</v>
      </c>
      <c r="E23" s="347">
        <f>E14*E13</f>
        <v>1</v>
      </c>
      <c r="F23" s="338">
        <f>F14*G13</f>
        <v>1</v>
      </c>
      <c r="G23" s="338">
        <f>G14*F13</f>
        <v>1</v>
      </c>
      <c r="J23" s="5"/>
      <c r="K23" s="5"/>
      <c r="P23" s="5"/>
      <c r="Q23" s="5"/>
    </row>
    <row r="24" spans="1:17" ht="30.75" hidden="1" customHeight="1" x14ac:dyDescent="0.3">
      <c r="A24" s="332"/>
      <c r="B24" s="481"/>
      <c r="C24" s="348"/>
      <c r="D24" s="343" t="s">
        <v>63</v>
      </c>
      <c r="E24" s="338">
        <f>ABS(C5*E14)</f>
        <v>3.3128734238145148</v>
      </c>
      <c r="F24" s="338">
        <f>ABS(C5*F14)</f>
        <v>1.9982698411592621</v>
      </c>
      <c r="G24" s="338">
        <f>ABS(C5*G14)</f>
        <v>51.92394719149835</v>
      </c>
      <c r="I24" s="6"/>
      <c r="J24" s="6"/>
      <c r="K24" s="6"/>
      <c r="P24" s="5"/>
      <c r="Q24" s="5"/>
    </row>
    <row r="25" spans="1:17" s="4" customFormat="1" ht="30.75" hidden="1" customHeight="1" x14ac:dyDescent="0.3">
      <c r="A25" s="332"/>
      <c r="B25" s="483"/>
      <c r="C25" s="117"/>
      <c r="D25" s="66"/>
      <c r="E25" s="67"/>
      <c r="F25" s="67"/>
      <c r="G25" s="67"/>
      <c r="I25" s="6"/>
      <c r="J25" s="6"/>
      <c r="K25" s="1"/>
    </row>
    <row r="26" spans="1:17" ht="30.75" hidden="1" customHeight="1" x14ac:dyDescent="0.3">
      <c r="A26" s="332"/>
      <c r="B26" s="485" t="s">
        <v>49</v>
      </c>
      <c r="C26" s="349">
        <f>ROUND(D11,4)</f>
        <v>5.1499999999999997E-2</v>
      </c>
      <c r="D26" s="349">
        <f>ROUND(C5,4)</f>
        <v>7.3700000000000002E-2</v>
      </c>
      <c r="E26" s="350">
        <f>ROUND(D9,2)</f>
        <v>0.69</v>
      </c>
      <c r="F26" s="351">
        <f>ROUND(E13,4)</f>
        <v>2.2200000000000001E-2</v>
      </c>
      <c r="G26" s="352">
        <f>ROUND(E14,0)</f>
        <v>45</v>
      </c>
      <c r="I26" s="6"/>
      <c r="J26" s="6"/>
      <c r="K26" s="5"/>
      <c r="P26" s="5"/>
      <c r="Q26" s="5"/>
    </row>
    <row r="27" spans="1:17" ht="30.75" hidden="1" customHeight="1" x14ac:dyDescent="0.3">
      <c r="A27" s="332"/>
      <c r="B27" s="486" t="s">
        <v>51</v>
      </c>
      <c r="C27" s="349">
        <f>ROUND(E11,4)</f>
        <v>3.6799999999999999E-2</v>
      </c>
      <c r="E27" s="353">
        <f>ROUND(E9,2)</f>
        <v>0.49</v>
      </c>
      <c r="F27" s="31">
        <f>ROUND(F13,4)</f>
        <v>1.4E-3</v>
      </c>
      <c r="G27" s="354">
        <f>ROUND(F14,0)</f>
        <v>27</v>
      </c>
      <c r="I27" s="6"/>
      <c r="J27" s="6"/>
      <c r="P27" s="5"/>
      <c r="Q27" s="5"/>
    </row>
    <row r="28" spans="1:17" ht="30.75" hidden="1" customHeight="1" x14ac:dyDescent="0.3">
      <c r="A28" s="332"/>
      <c r="B28" s="486" t="s">
        <v>50</v>
      </c>
      <c r="C28" s="349">
        <f>ROUND(F11,4)</f>
        <v>7.2300000000000003E-2</v>
      </c>
      <c r="D28" s="116"/>
      <c r="E28" s="353">
        <f>ROUND(F9,2)</f>
        <v>0.98</v>
      </c>
      <c r="F28" s="31">
        <f>ROUND(G13,4)</f>
        <v>3.6900000000000002E-2</v>
      </c>
      <c r="G28" s="354">
        <f>ROUND(G14,0)</f>
        <v>705</v>
      </c>
      <c r="I28" s="6"/>
      <c r="J28" s="6"/>
      <c r="P28" s="5"/>
      <c r="Q28" s="5"/>
    </row>
    <row r="29" spans="1:17" ht="30.75" hidden="1" customHeight="1" x14ac:dyDescent="0.3">
      <c r="A29" s="332"/>
      <c r="B29" s="486" t="s">
        <v>52</v>
      </c>
      <c r="C29" s="310" t="s">
        <v>76</v>
      </c>
      <c r="D29" s="310" t="s">
        <v>77</v>
      </c>
      <c r="E29" s="310" t="s">
        <v>55</v>
      </c>
      <c r="F29" s="310" t="s">
        <v>54</v>
      </c>
      <c r="G29" s="310" t="s">
        <v>48</v>
      </c>
      <c r="I29" s="6"/>
      <c r="J29" s="6"/>
      <c r="K29" s="5"/>
      <c r="P29" s="5"/>
      <c r="Q29" s="5"/>
    </row>
    <row r="30" spans="1:17" ht="30.75" hidden="1" customHeight="1" x14ac:dyDescent="0.3">
      <c r="A30" s="332"/>
      <c r="B30" s="487" t="s">
        <v>19</v>
      </c>
      <c r="C30" s="310" t="str">
        <f>CONCATENATE(C26*100,B29," ",B26,C27*100,B29,B27,C28*100,B29,B28)</f>
        <v>5,15% (3,68%-7,23%)</v>
      </c>
      <c r="D30" s="310" t="str">
        <f>CONCATENATE(D26*100,B29)</f>
        <v>7,37%</v>
      </c>
      <c r="E30" s="310" t="str">
        <f>CONCATENATE(E26," ",B26,E27,B27,E28,B28)</f>
        <v>0,69 (0,49-0,98)</v>
      </c>
      <c r="F30" s="310" t="str">
        <f>CONCATENATE(F26*100,B29," ",B26,F27*100,B29," ",B30," ",F28*100,B29,B28)</f>
        <v>2,22% (0,14% a 3,69%)</v>
      </c>
      <c r="G30" s="310" t="str">
        <f>CONCATENATE(G26," ",B26,G27," ",B30," ",G28,B28)</f>
        <v>45 (27 a 705)</v>
      </c>
      <c r="I30" s="6"/>
      <c r="J30" s="6"/>
      <c r="K30" s="5"/>
      <c r="P30" s="5"/>
      <c r="Q30" s="5"/>
    </row>
    <row r="31" spans="1:17" s="12" customFormat="1" ht="30.75" hidden="1" customHeight="1" x14ac:dyDescent="0.3">
      <c r="A31" s="332"/>
      <c r="B31" s="483"/>
      <c r="C31" s="2"/>
      <c r="D31" s="116"/>
      <c r="E31" s="116"/>
      <c r="F31" s="116"/>
      <c r="G31" s="4"/>
      <c r="I31" s="6"/>
      <c r="J31" s="6"/>
    </row>
    <row r="32" spans="1:17" x14ac:dyDescent="0.3">
      <c r="A32" s="332"/>
      <c r="B32" s="477"/>
      <c r="C32" s="114"/>
      <c r="D32" s="118"/>
      <c r="E32" s="114"/>
      <c r="F32" s="114"/>
      <c r="I32" s="6"/>
      <c r="J32" s="6"/>
      <c r="K32" s="5"/>
      <c r="P32" s="5"/>
      <c r="Q32" s="5"/>
    </row>
    <row r="33" spans="1:13" ht="18.75" customHeight="1" x14ac:dyDescent="0.3">
      <c r="A33" s="332"/>
      <c r="C33" s="356" t="s">
        <v>76</v>
      </c>
      <c r="D33" s="356" t="s">
        <v>77</v>
      </c>
      <c r="E33" s="356" t="s">
        <v>55</v>
      </c>
      <c r="F33" s="356" t="s">
        <v>47</v>
      </c>
      <c r="G33" s="356" t="s">
        <v>48</v>
      </c>
      <c r="I33" s="356" t="s">
        <v>137</v>
      </c>
      <c r="J33" s="356" t="s">
        <v>132</v>
      </c>
      <c r="L33" s="27"/>
      <c r="M33" s="119"/>
    </row>
    <row r="34" spans="1:13" ht="27.75" customHeight="1" x14ac:dyDescent="0.3">
      <c r="A34" s="332"/>
      <c r="C34" s="80" t="str">
        <f>C30</f>
        <v>5,15% (3,68%-7,23%)</v>
      </c>
      <c r="D34" s="357" t="str">
        <f>D30</f>
        <v>7,37%</v>
      </c>
      <c r="E34" s="80" t="str">
        <f>E30</f>
        <v>0,69 (0,49-0,98)</v>
      </c>
      <c r="F34" s="80" t="str">
        <f>F30</f>
        <v>2,22% (0,14% a 3,69%)</v>
      </c>
      <c r="G34" s="80" t="str">
        <f>G30</f>
        <v>45 (27 a 705)</v>
      </c>
      <c r="I34" s="355">
        <f>IF((F27*F28&lt;0),(C26+D26)/2,C26)</f>
        <v>5.1499999999999997E-2</v>
      </c>
      <c r="J34" s="355">
        <f>IF((F27*F28&lt;0),(C26+D26)/2,D26)</f>
        <v>7.3700000000000002E-2</v>
      </c>
      <c r="L34" s="27"/>
      <c r="M34" s="119"/>
    </row>
    <row r="35" spans="1:13" x14ac:dyDescent="0.3">
      <c r="B35" s="54"/>
      <c r="G35" s="120"/>
      <c r="L35" s="27"/>
      <c r="M35" s="119"/>
    </row>
    <row r="36" spans="1:13" x14ac:dyDescent="0.3">
      <c r="A36" s="362"/>
      <c r="B36" s="360" t="s">
        <v>195</v>
      </c>
      <c r="G36" s="120"/>
      <c r="L36" s="27"/>
      <c r="M36" s="119"/>
    </row>
    <row r="37" spans="1:13" ht="13.5" thickBot="1" x14ac:dyDescent="0.35">
      <c r="A37" s="362"/>
      <c r="B37" s="361" t="s">
        <v>196</v>
      </c>
    </row>
    <row r="38" spans="1:13" ht="34" customHeight="1" thickBot="1" x14ac:dyDescent="0.35">
      <c r="A38" s="362"/>
      <c r="B38" s="541" t="s">
        <v>189</v>
      </c>
      <c r="C38" s="542"/>
      <c r="D38" s="542"/>
      <c r="E38" s="542"/>
      <c r="F38" s="542"/>
      <c r="G38" s="543"/>
      <c r="H38" s="362"/>
      <c r="I38" s="527" t="s">
        <v>140</v>
      </c>
      <c r="J38" s="528"/>
      <c r="K38" s="362"/>
      <c r="L38" s="527" t="s">
        <v>146</v>
      </c>
      <c r="M38" s="528"/>
    </row>
    <row r="39" spans="1:13" ht="41" customHeight="1" thickBot="1" x14ac:dyDescent="0.35">
      <c r="A39" s="362"/>
      <c r="B39" s="536" t="s">
        <v>190</v>
      </c>
      <c r="C39" s="372" t="s">
        <v>191</v>
      </c>
      <c r="D39" s="373" t="s">
        <v>192</v>
      </c>
      <c r="E39" s="538" t="s">
        <v>144</v>
      </c>
      <c r="F39" s="539"/>
      <c r="G39" s="540"/>
      <c r="H39" s="362"/>
      <c r="I39" s="531" t="s">
        <v>197</v>
      </c>
      <c r="J39" s="532"/>
      <c r="K39" s="362"/>
      <c r="L39" s="529" t="s">
        <v>193</v>
      </c>
      <c r="M39" s="530"/>
    </row>
    <row r="40" spans="1:13" ht="31" customHeight="1" thickBot="1" x14ac:dyDescent="0.35">
      <c r="A40" s="362"/>
      <c r="B40" s="537"/>
      <c r="C40" s="385" t="s">
        <v>143</v>
      </c>
      <c r="D40" s="375" t="s">
        <v>142</v>
      </c>
      <c r="E40" s="363" t="s">
        <v>55</v>
      </c>
      <c r="F40" s="363" t="s">
        <v>47</v>
      </c>
      <c r="G40" s="363" t="s">
        <v>145</v>
      </c>
      <c r="H40" s="362"/>
      <c r="I40" s="364" t="s">
        <v>194</v>
      </c>
      <c r="J40" s="365" t="s">
        <v>141</v>
      </c>
      <c r="K40" s="362"/>
      <c r="L40" s="380" t="s">
        <v>194</v>
      </c>
      <c r="M40" s="381" t="s">
        <v>141</v>
      </c>
    </row>
    <row r="41" spans="1:13" ht="18" customHeight="1" x14ac:dyDescent="0.35">
      <c r="B41" s="468" t="s">
        <v>188</v>
      </c>
      <c r="C41" s="490"/>
      <c r="D41" s="490"/>
      <c r="E41" s="491"/>
      <c r="F41" s="491"/>
      <c r="G41" s="491"/>
    </row>
    <row r="42" spans="1:13" ht="21" x14ac:dyDescent="0.3">
      <c r="B42" s="469" t="s">
        <v>198</v>
      </c>
      <c r="C42" s="368" t="s">
        <v>212</v>
      </c>
      <c r="D42" s="521">
        <v>6.7799999999999999E-2</v>
      </c>
      <c r="E42" s="368" t="s">
        <v>213</v>
      </c>
      <c r="F42" s="368" t="s">
        <v>214</v>
      </c>
      <c r="G42" s="465" t="s">
        <v>215</v>
      </c>
      <c r="H42" s="120"/>
      <c r="I42" s="359">
        <v>4.7300000000000002E-2</v>
      </c>
      <c r="J42" s="489">
        <v>6.7799999999999999E-2</v>
      </c>
      <c r="L42" s="371">
        <f t="shared" ref="L42" si="0">I42*100</f>
        <v>4.7300000000000004</v>
      </c>
      <c r="M42" s="366">
        <f t="shared" ref="M42" si="1">J42*100</f>
        <v>6.78</v>
      </c>
    </row>
    <row r="43" spans="1:13" ht="3" customHeight="1" x14ac:dyDescent="0.3">
      <c r="B43" s="470"/>
      <c r="C43" s="470"/>
      <c r="D43" s="470"/>
      <c r="E43" s="470"/>
      <c r="F43" s="470"/>
      <c r="G43" s="470"/>
      <c r="J43" s="5"/>
      <c r="K43" s="5"/>
    </row>
    <row r="44" spans="1:13" ht="16" customHeight="1" x14ac:dyDescent="0.3">
      <c r="B44" s="471" t="s">
        <v>199</v>
      </c>
      <c r="C44" s="475" t="s">
        <v>244</v>
      </c>
      <c r="D44" s="475">
        <v>7.7899999999999997E-2</v>
      </c>
      <c r="E44" s="475" t="s">
        <v>245</v>
      </c>
      <c r="F44" s="475" t="s">
        <v>246</v>
      </c>
      <c r="G44" s="492" t="s">
        <v>247</v>
      </c>
      <c r="I44" s="359">
        <v>5.8200000000000002E-2</v>
      </c>
      <c r="J44" s="489">
        <v>7.7899999999999997E-2</v>
      </c>
      <c r="L44" s="496">
        <f t="shared" ref="L44:L61" si="2">I44*100</f>
        <v>5.82</v>
      </c>
      <c r="M44" s="497">
        <f t="shared" ref="M44:M61" si="3">J44*100</f>
        <v>7.79</v>
      </c>
    </row>
    <row r="45" spans="1:13" ht="16" customHeight="1" x14ac:dyDescent="0.3">
      <c r="B45" s="471" t="s">
        <v>200</v>
      </c>
      <c r="C45" s="475" t="s">
        <v>248</v>
      </c>
      <c r="D45" s="475">
        <v>4.7100000000000003E-2</v>
      </c>
      <c r="E45" s="475" t="s">
        <v>249</v>
      </c>
      <c r="F45" s="475" t="s">
        <v>250</v>
      </c>
      <c r="G45" s="492" t="s">
        <v>251</v>
      </c>
      <c r="I45" s="359">
        <v>2.4799999999999999E-2</v>
      </c>
      <c r="J45" s="489">
        <v>4.7100000000000003E-2</v>
      </c>
      <c r="L45" s="496">
        <f t="shared" si="2"/>
        <v>2.48</v>
      </c>
      <c r="M45" s="497">
        <f t="shared" si="3"/>
        <v>4.71</v>
      </c>
    </row>
    <row r="46" spans="1:13" ht="3" customHeight="1" x14ac:dyDescent="0.3">
      <c r="B46" s="470"/>
      <c r="C46" s="470"/>
      <c r="D46" s="470"/>
      <c r="E46" s="470"/>
      <c r="F46" s="470"/>
      <c r="G46" s="470"/>
      <c r="L46" s="12"/>
      <c r="M46" s="12"/>
    </row>
    <row r="47" spans="1:13" ht="16" customHeight="1" x14ac:dyDescent="0.3">
      <c r="B47" s="471" t="s">
        <v>272</v>
      </c>
      <c r="C47" s="475" t="s">
        <v>252</v>
      </c>
      <c r="D47" s="475" t="s">
        <v>253</v>
      </c>
      <c r="E47" s="475" t="s">
        <v>254</v>
      </c>
      <c r="F47" s="475" t="s">
        <v>255</v>
      </c>
      <c r="G47" s="492" t="s">
        <v>256</v>
      </c>
      <c r="I47" s="359">
        <v>5.1799999999999999E-2</v>
      </c>
      <c r="J47" s="489">
        <v>7.5200000000000003E-2</v>
      </c>
      <c r="L47" s="496">
        <f t="shared" si="2"/>
        <v>5.18</v>
      </c>
      <c r="M47" s="497">
        <f t="shared" si="3"/>
        <v>7.5200000000000005</v>
      </c>
    </row>
    <row r="48" spans="1:13" ht="16" customHeight="1" x14ac:dyDescent="0.3">
      <c r="B48" s="471" t="s">
        <v>273</v>
      </c>
      <c r="C48" s="475" t="s">
        <v>257</v>
      </c>
      <c r="D48" s="475" t="s">
        <v>258</v>
      </c>
      <c r="E48" s="475" t="s">
        <v>259</v>
      </c>
      <c r="F48" s="475" t="s">
        <v>260</v>
      </c>
      <c r="G48" s="493" t="s">
        <v>261</v>
      </c>
      <c r="I48" s="359">
        <v>4.8299999999999996E-2</v>
      </c>
      <c r="J48" s="489">
        <v>4.8299999999999996E-2</v>
      </c>
      <c r="L48" s="498">
        <f t="shared" si="2"/>
        <v>4.8299999999999992</v>
      </c>
      <c r="M48" s="498">
        <f t="shared" si="3"/>
        <v>4.8299999999999992</v>
      </c>
    </row>
    <row r="49" spans="2:13" ht="3" customHeight="1" x14ac:dyDescent="0.3">
      <c r="B49" s="470"/>
      <c r="C49" s="470"/>
      <c r="D49" s="470"/>
      <c r="E49" s="470"/>
      <c r="F49" s="470"/>
      <c r="G49" s="470"/>
      <c r="L49" s="367"/>
      <c r="M49" s="367"/>
    </row>
    <row r="50" spans="2:13" ht="16" customHeight="1" x14ac:dyDescent="0.3">
      <c r="B50" s="471" t="s">
        <v>201</v>
      </c>
      <c r="C50" s="475" t="s">
        <v>262</v>
      </c>
      <c r="D50" s="475" t="s">
        <v>263</v>
      </c>
      <c r="E50" s="475" t="s">
        <v>264</v>
      </c>
      <c r="F50" s="475" t="s">
        <v>265</v>
      </c>
      <c r="G50" s="492" t="s">
        <v>266</v>
      </c>
      <c r="I50" s="359">
        <v>4.2900000000000001E-2</v>
      </c>
      <c r="J50" s="489">
        <v>6.2399999999999997E-2</v>
      </c>
      <c r="L50" s="496">
        <f t="shared" si="2"/>
        <v>4.29</v>
      </c>
      <c r="M50" s="497">
        <f t="shared" si="3"/>
        <v>6.2399999999999993</v>
      </c>
    </row>
    <row r="51" spans="2:13" ht="16" customHeight="1" x14ac:dyDescent="0.3">
      <c r="B51" s="471" t="s">
        <v>202</v>
      </c>
      <c r="C51" s="475" t="s">
        <v>267</v>
      </c>
      <c r="D51" s="475" t="s">
        <v>268</v>
      </c>
      <c r="E51" s="475" t="s">
        <v>269</v>
      </c>
      <c r="F51" s="475" t="s">
        <v>270</v>
      </c>
      <c r="G51" s="492" t="s">
        <v>271</v>
      </c>
      <c r="I51" s="359">
        <v>5.1499999999999997E-2</v>
      </c>
      <c r="J51" s="489">
        <v>7.3700000000000002E-2</v>
      </c>
      <c r="L51" s="496">
        <f t="shared" si="2"/>
        <v>5.1499999999999995</v>
      </c>
      <c r="M51" s="497">
        <f t="shared" si="3"/>
        <v>7.37</v>
      </c>
    </row>
    <row r="52" spans="2:13" ht="10" customHeight="1" x14ac:dyDescent="0.3">
      <c r="B52" s="470"/>
      <c r="C52" s="470"/>
      <c r="D52" s="470"/>
      <c r="E52" s="470"/>
      <c r="F52" s="470"/>
      <c r="G52" s="470"/>
      <c r="L52" s="367"/>
      <c r="M52" s="367"/>
    </row>
    <row r="53" spans="2:13" ht="29" customHeight="1" x14ac:dyDescent="0.3">
      <c r="B53" s="472" t="s">
        <v>203</v>
      </c>
      <c r="C53" s="382" t="s">
        <v>216</v>
      </c>
      <c r="D53" s="521">
        <v>3.7199999999999997E-2</v>
      </c>
      <c r="E53" s="368" t="s">
        <v>217</v>
      </c>
      <c r="F53" s="368" t="s">
        <v>218</v>
      </c>
      <c r="G53" s="382" t="s">
        <v>219</v>
      </c>
      <c r="I53" s="359">
        <v>3.3700000000000001E-2</v>
      </c>
      <c r="J53" s="489">
        <v>3.3700000000000001E-2</v>
      </c>
      <c r="L53" s="499">
        <f t="shared" si="2"/>
        <v>3.37</v>
      </c>
      <c r="M53" s="499">
        <f t="shared" si="3"/>
        <v>3.37</v>
      </c>
    </row>
    <row r="54" spans="2:13" ht="29" x14ac:dyDescent="0.3">
      <c r="B54" s="472" t="s">
        <v>204</v>
      </c>
      <c r="C54" s="503" t="s">
        <v>237</v>
      </c>
      <c r="D54" s="369">
        <v>2.8E-3</v>
      </c>
      <c r="E54" s="504" t="s">
        <v>236</v>
      </c>
      <c r="F54" s="368" t="s">
        <v>234</v>
      </c>
      <c r="G54" s="382" t="s">
        <v>235</v>
      </c>
      <c r="I54" s="359"/>
      <c r="J54" s="489"/>
      <c r="L54" s="500">
        <v>0.18587360594795538</v>
      </c>
      <c r="M54" s="500">
        <v>0.18587360594795538</v>
      </c>
    </row>
    <row r="55" spans="2:13" ht="10" customHeight="1" x14ac:dyDescent="0.3">
      <c r="B55" s="470"/>
      <c r="C55" s="470"/>
      <c r="D55" s="470"/>
      <c r="E55" s="470"/>
      <c r="F55" s="470"/>
      <c r="G55" s="470"/>
      <c r="L55" s="367"/>
      <c r="M55" s="367"/>
    </row>
    <row r="56" spans="2:13" ht="21" x14ac:dyDescent="0.3">
      <c r="B56" s="473" t="s">
        <v>205</v>
      </c>
      <c r="C56" s="382" t="s">
        <v>224</v>
      </c>
      <c r="D56" s="521">
        <v>9.3399999999999997E-2</v>
      </c>
      <c r="E56" s="368" t="s">
        <v>225</v>
      </c>
      <c r="F56" s="368" t="s">
        <v>226</v>
      </c>
      <c r="G56" s="465" t="s">
        <v>227</v>
      </c>
      <c r="I56" s="359">
        <v>5.0599999999999999E-2</v>
      </c>
      <c r="J56" s="489">
        <v>9.3399999999999997E-2</v>
      </c>
      <c r="L56" s="371">
        <f t="shared" si="2"/>
        <v>5.0599999999999996</v>
      </c>
      <c r="M56" s="366">
        <f t="shared" si="3"/>
        <v>9.34</v>
      </c>
    </row>
    <row r="57" spans="2:13" ht="21" x14ac:dyDescent="0.3">
      <c r="B57" s="469" t="s">
        <v>206</v>
      </c>
      <c r="C57" s="382" t="s">
        <v>220</v>
      </c>
      <c r="D57" s="521">
        <v>5.5800000000000002E-2</v>
      </c>
      <c r="E57" s="368" t="s">
        <v>221</v>
      </c>
      <c r="F57" s="368" t="s">
        <v>222</v>
      </c>
      <c r="G57" s="465" t="s">
        <v>223</v>
      </c>
      <c r="I57" s="359">
        <v>3.7699999999999997E-2</v>
      </c>
      <c r="J57" s="489">
        <v>5.5800000000000002E-2</v>
      </c>
      <c r="L57" s="371">
        <f t="shared" si="2"/>
        <v>3.7699999999999996</v>
      </c>
      <c r="M57" s="366">
        <f t="shared" si="3"/>
        <v>5.58</v>
      </c>
    </row>
    <row r="58" spans="2:13" ht="21" x14ac:dyDescent="0.3">
      <c r="B58" s="469" t="s">
        <v>207</v>
      </c>
      <c r="C58" s="382" t="s">
        <v>228</v>
      </c>
      <c r="D58" s="521">
        <v>4.5999999999999999E-2</v>
      </c>
      <c r="E58" s="368" t="s">
        <v>229</v>
      </c>
      <c r="F58" s="368" t="s">
        <v>230</v>
      </c>
      <c r="G58" s="465" t="s">
        <v>231</v>
      </c>
      <c r="I58" s="359">
        <v>3.0599999999999999E-2</v>
      </c>
      <c r="J58" s="489">
        <v>4.5999999999999999E-2</v>
      </c>
      <c r="L58" s="371">
        <f t="shared" si="2"/>
        <v>3.06</v>
      </c>
      <c r="M58" s="366">
        <f t="shared" si="3"/>
        <v>4.5999999999999996</v>
      </c>
    </row>
    <row r="59" spans="2:13" ht="29" x14ac:dyDescent="0.3">
      <c r="B59" s="472" t="s">
        <v>208</v>
      </c>
      <c r="C59" s="503" t="s">
        <v>238</v>
      </c>
      <c r="D59" s="369">
        <v>3.7000000000000002E-3</v>
      </c>
      <c r="E59" s="504" t="s">
        <v>239</v>
      </c>
      <c r="F59" s="368" t="s">
        <v>232</v>
      </c>
      <c r="G59" s="382" t="s">
        <v>233</v>
      </c>
      <c r="I59" s="359"/>
      <c r="J59" s="489"/>
      <c r="L59" s="500">
        <v>0.25557620817843868</v>
      </c>
      <c r="M59" s="500">
        <v>0.25557620817843868</v>
      </c>
    </row>
    <row r="60" spans="2:13" ht="18" customHeight="1" x14ac:dyDescent="0.35">
      <c r="B60" s="468" t="s">
        <v>209</v>
      </c>
      <c r="C60" s="490"/>
      <c r="D60" s="490"/>
      <c r="E60" s="491"/>
      <c r="F60" s="491"/>
      <c r="G60" s="491"/>
    </row>
    <row r="61" spans="2:13" ht="49.5" x14ac:dyDescent="0.3">
      <c r="B61" s="474" t="s">
        <v>210</v>
      </c>
      <c r="C61" s="494" t="s">
        <v>240</v>
      </c>
      <c r="D61" s="522">
        <v>0.14499999999999999</v>
      </c>
      <c r="E61" s="494" t="s">
        <v>241</v>
      </c>
      <c r="F61" s="494" t="s">
        <v>242</v>
      </c>
      <c r="G61" s="495" t="s">
        <v>243</v>
      </c>
      <c r="H61" s="120"/>
      <c r="I61" s="359">
        <v>9.11E-2</v>
      </c>
      <c r="J61" s="489">
        <v>0.14499999999999999</v>
      </c>
      <c r="L61" s="501">
        <f t="shared" si="2"/>
        <v>9.11</v>
      </c>
      <c r="M61" s="502">
        <f t="shared" si="3"/>
        <v>14.499999999999998</v>
      </c>
    </row>
    <row r="62" spans="2:13" ht="4" customHeight="1" x14ac:dyDescent="0.3"/>
    <row r="63" spans="2:13" ht="48.5" customHeight="1" x14ac:dyDescent="0.3">
      <c r="B63" s="523" t="s">
        <v>211</v>
      </c>
      <c r="C63" s="523"/>
      <c r="D63" s="523"/>
      <c r="E63" s="523"/>
      <c r="F63" s="523"/>
      <c r="G63" s="523"/>
    </row>
  </sheetData>
  <mergeCells count="11">
    <mergeCell ref="B63:G63"/>
    <mergeCell ref="B2:G2"/>
    <mergeCell ref="L38:M38"/>
    <mergeCell ref="L39:M39"/>
    <mergeCell ref="I38:J38"/>
    <mergeCell ref="I39:J39"/>
    <mergeCell ref="D7:F7"/>
    <mergeCell ref="B39:B40"/>
    <mergeCell ref="E39:G39"/>
    <mergeCell ref="B38:G38"/>
    <mergeCell ref="B3:G3"/>
  </mergeCells>
  <pageMargins left="0.7" right="0.7" top="0.75" bottom="0.75" header="0.3" footer="0.3"/>
  <pageSetup paperSize="9" orientation="portrait" horizontalDpi="300" verticalDpi="300" r:id="rId1"/>
  <ignoredErrors>
    <ignoredError sqref="D47:D5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80"/>
  <sheetViews>
    <sheetView zoomScale="85" zoomScaleNormal="85" workbookViewId="0">
      <selection activeCell="E67" sqref="E67:H67"/>
    </sheetView>
  </sheetViews>
  <sheetFormatPr baseColWidth="10" defaultColWidth="11.453125" defaultRowHeight="13" x14ac:dyDescent="0.3"/>
  <cols>
    <col min="1" max="1" width="1" style="5" customWidth="1"/>
    <col min="2" max="2" width="37.08984375" style="5" customWidth="1"/>
    <col min="3" max="3" width="19" style="5" customWidth="1"/>
    <col min="4" max="4" width="18.453125" style="5" customWidth="1"/>
    <col min="5" max="5" width="15.54296875" style="5" customWidth="1"/>
    <col min="6" max="6" width="22.1796875" style="5" customWidth="1"/>
    <col min="7" max="7" width="17.81640625" style="5" customWidth="1"/>
    <col min="8" max="8" width="8.08984375" style="5" customWidth="1"/>
    <col min="9" max="9" width="4.26953125" style="5" customWidth="1"/>
    <col min="10" max="10" width="13.81640625" style="5" hidden="1" customWidth="1"/>
    <col min="11" max="11" width="2.453125" style="5" hidden="1" customWidth="1"/>
    <col min="12" max="12" width="14.26953125" style="5" hidden="1" customWidth="1"/>
    <col min="13" max="13" width="2.26953125" style="5" hidden="1" customWidth="1"/>
    <col min="14" max="14" width="2.453125" style="5" hidden="1" customWidth="1"/>
    <col min="15" max="15" width="11.81640625" style="12" customWidth="1"/>
    <col min="16" max="16" width="12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2:30" s="4" customFormat="1" ht="8.25" customHeight="1" thickBot="1" x14ac:dyDescent="0.35">
      <c r="B1" s="130"/>
      <c r="C1" s="131"/>
      <c r="D1" s="130"/>
      <c r="E1" s="132"/>
      <c r="F1" s="5"/>
      <c r="G1" s="5"/>
      <c r="H1" s="133"/>
      <c r="I1" s="133"/>
      <c r="J1" s="133"/>
      <c r="K1" s="133"/>
      <c r="L1" s="8"/>
      <c r="M1" s="13"/>
      <c r="N1" s="13"/>
      <c r="O1" s="2"/>
      <c r="P1" s="2"/>
      <c r="Q1" s="3"/>
      <c r="R1" s="2"/>
      <c r="S1" s="2"/>
      <c r="T1" s="2"/>
      <c r="U1" s="134"/>
      <c r="V1" s="134"/>
      <c r="W1" s="134"/>
      <c r="X1" s="134"/>
      <c r="Y1" s="134"/>
      <c r="Z1" s="134"/>
      <c r="AA1" s="134"/>
      <c r="AB1" s="134"/>
      <c r="AC1" s="134"/>
    </row>
    <row r="2" spans="2:30" ht="24.75" customHeight="1" thickBot="1" x14ac:dyDescent="0.35">
      <c r="B2" s="547" t="s">
        <v>84</v>
      </c>
      <c r="C2" s="548"/>
      <c r="D2" s="548"/>
      <c r="E2" s="548"/>
      <c r="F2" s="549"/>
      <c r="G2" s="135"/>
      <c r="H2" s="136" t="s">
        <v>93</v>
      </c>
      <c r="I2" s="137">
        <v>0.95</v>
      </c>
      <c r="J2" s="135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2:30" ht="28.5" customHeight="1" x14ac:dyDescent="0.3">
      <c r="B3" s="550" t="s">
        <v>138</v>
      </c>
      <c r="C3" s="551"/>
      <c r="D3" s="551"/>
      <c r="E3" s="551"/>
      <c r="F3" s="552"/>
      <c r="G3" s="138"/>
      <c r="H3" s="138"/>
      <c r="I3" s="138"/>
      <c r="J3" s="138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2:30" ht="12.75" customHeight="1" x14ac:dyDescent="0.7">
      <c r="B4" s="99"/>
      <c r="C4" s="14"/>
      <c r="D4" s="13"/>
      <c r="E4" s="13"/>
      <c r="F4" s="6"/>
      <c r="G4" s="15"/>
      <c r="J4" s="138"/>
      <c r="K4" s="100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2:30" x14ac:dyDescent="0.3">
      <c r="B5" s="139" t="s">
        <v>73</v>
      </c>
      <c r="C5" s="140"/>
      <c r="D5" s="141" t="s">
        <v>20</v>
      </c>
      <c r="E5" s="141" t="s">
        <v>21</v>
      </c>
      <c r="F5" s="142"/>
      <c r="I5" s="143"/>
      <c r="J5" s="138"/>
      <c r="K5" s="143"/>
      <c r="L5" s="144"/>
      <c r="M5" s="144"/>
      <c r="N5" s="144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2:30" x14ac:dyDescent="0.3">
      <c r="B6" s="113"/>
      <c r="C6" s="145"/>
      <c r="D6" s="146" t="s">
        <v>3</v>
      </c>
      <c r="E6" s="146" t="s">
        <v>2</v>
      </c>
      <c r="F6" s="147" t="s">
        <v>22</v>
      </c>
      <c r="I6" s="143"/>
      <c r="J6" s="138"/>
      <c r="K6" s="143"/>
      <c r="L6" s="144"/>
      <c r="M6" s="144"/>
      <c r="N6" s="144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2:30" ht="12.75" customHeight="1" x14ac:dyDescent="0.3">
      <c r="B7" s="113"/>
      <c r="C7" s="148" t="s">
        <v>94</v>
      </c>
      <c r="D7" s="149">
        <v>16</v>
      </c>
      <c r="E7" s="150">
        <f>F7-D7</f>
        <v>2980</v>
      </c>
      <c r="F7" s="151">
        <v>2996</v>
      </c>
      <c r="G7" s="143"/>
      <c r="H7" s="143"/>
      <c r="I7" s="143"/>
      <c r="J7" s="138"/>
      <c r="K7" s="143"/>
      <c r="L7" s="144"/>
      <c r="M7" s="144"/>
      <c r="N7" s="144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2:30" ht="12.75" customHeight="1" x14ac:dyDescent="0.3">
      <c r="B8" s="113"/>
      <c r="C8" s="148" t="s">
        <v>95</v>
      </c>
      <c r="D8" s="149">
        <v>23</v>
      </c>
      <c r="E8" s="150">
        <f>F8-D8</f>
        <v>2966</v>
      </c>
      <c r="F8" s="151">
        <v>2989</v>
      </c>
      <c r="G8" s="143"/>
      <c r="H8" s="143"/>
      <c r="I8" s="143"/>
      <c r="J8" s="138"/>
      <c r="K8" s="143"/>
      <c r="L8" s="144"/>
      <c r="M8" s="152"/>
      <c r="N8" s="144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2:30" x14ac:dyDescent="0.3">
      <c r="B9" s="113"/>
      <c r="C9" s="153" t="s">
        <v>22</v>
      </c>
      <c r="D9" s="154">
        <f>SUM(D7:D8)</f>
        <v>39</v>
      </c>
      <c r="E9" s="155">
        <f>SUM(E7:E8)</f>
        <v>5946</v>
      </c>
      <c r="F9" s="156">
        <f>SUM(F7:F8)</f>
        <v>5985</v>
      </c>
      <c r="G9" s="143"/>
      <c r="H9" s="143"/>
      <c r="I9" s="143"/>
      <c r="J9" s="138"/>
      <c r="K9" s="143"/>
      <c r="L9" s="144"/>
      <c r="M9" s="152"/>
      <c r="N9" s="144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2:30" ht="12.75" hidden="1" customHeight="1" x14ac:dyDescent="0.3">
      <c r="B10" s="113"/>
      <c r="C10" s="25"/>
      <c r="D10" s="26"/>
      <c r="E10" s="22"/>
      <c r="F10" s="22"/>
      <c r="G10" s="144"/>
      <c r="H10" s="144"/>
      <c r="I10" s="143"/>
      <c r="J10" s="143"/>
      <c r="K10" s="143"/>
      <c r="L10" s="144"/>
      <c r="M10" s="152"/>
      <c r="N10" s="144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2:30" s="4" customFormat="1" ht="14.25" hidden="1" customHeight="1" x14ac:dyDescent="0.3">
      <c r="B11" s="157" t="s">
        <v>96</v>
      </c>
      <c r="C11" s="28"/>
      <c r="D11" s="29"/>
      <c r="E11" s="2"/>
      <c r="F11" s="21"/>
      <c r="G11" s="158"/>
      <c r="H11" s="152"/>
      <c r="I11" s="158"/>
      <c r="J11" s="152"/>
      <c r="K11" s="159"/>
      <c r="L11" s="159"/>
      <c r="M11" s="158"/>
      <c r="N11" s="159"/>
      <c r="P11" s="2"/>
      <c r="Q11" s="31"/>
      <c r="R11" s="31"/>
      <c r="S11" s="31"/>
      <c r="T11" s="2"/>
      <c r="U11" s="2"/>
      <c r="V11" s="2"/>
      <c r="W11" s="2"/>
    </row>
    <row r="12" spans="2:30" s="4" customFormat="1" ht="12.75" hidden="1" customHeight="1" x14ac:dyDescent="0.3">
      <c r="B12" s="113" t="s">
        <v>89</v>
      </c>
      <c r="C12" s="28"/>
      <c r="D12" s="29"/>
      <c r="E12" s="2"/>
      <c r="F12" s="21"/>
      <c r="G12" s="158"/>
      <c r="H12" s="152"/>
      <c r="I12" s="158"/>
      <c r="J12" s="152"/>
      <c r="K12" s="160"/>
      <c r="L12" s="159"/>
      <c r="M12" s="159"/>
      <c r="N12" s="159"/>
      <c r="P12" s="2"/>
      <c r="Q12" s="3"/>
      <c r="R12" s="3"/>
      <c r="S12" s="3"/>
      <c r="T12" s="2"/>
      <c r="U12" s="2"/>
      <c r="V12" s="2"/>
      <c r="W12" s="2"/>
    </row>
    <row r="13" spans="2:30" s="4" customFormat="1" ht="45" hidden="1" customHeight="1" x14ac:dyDescent="0.3">
      <c r="B13" s="121" t="s">
        <v>25</v>
      </c>
      <c r="C13" s="121" t="s">
        <v>90</v>
      </c>
      <c r="D13" s="121" t="s">
        <v>97</v>
      </c>
      <c r="E13" s="121" t="s">
        <v>91</v>
      </c>
      <c r="F13" s="121" t="s">
        <v>92</v>
      </c>
      <c r="G13" s="121" t="s">
        <v>4</v>
      </c>
      <c r="H13" s="121" t="s">
        <v>98</v>
      </c>
      <c r="I13" s="121" t="s">
        <v>99</v>
      </c>
      <c r="J13" s="152"/>
      <c r="K13" s="161" t="s">
        <v>45</v>
      </c>
      <c r="L13" s="162" t="s">
        <v>0</v>
      </c>
      <c r="M13" s="162" t="s">
        <v>1</v>
      </c>
      <c r="N13" s="159"/>
      <c r="P13" s="2"/>
      <c r="Q13" s="2"/>
      <c r="R13" s="2"/>
      <c r="S13" s="2"/>
      <c r="T13" s="2"/>
      <c r="U13" s="2"/>
      <c r="V13" s="2"/>
      <c r="W13" s="2"/>
    </row>
    <row r="14" spans="2:30" s="4" customFormat="1" ht="12.75" hidden="1" customHeight="1" x14ac:dyDescent="0.3">
      <c r="B14" s="122">
        <f>LN((D7/F7)/(D8/F8))</f>
        <v>-0.36524467604254068</v>
      </c>
      <c r="C14" s="122">
        <f>SQRT((E7/(D7*F7)+(E8/(D8*F8))))</f>
        <v>0.32451490327082677</v>
      </c>
      <c r="D14" s="163">
        <f>-NORMSINV((1-I2)/2)</f>
        <v>1.9599639845400536</v>
      </c>
      <c r="E14" s="123">
        <f>B14-(D14*C14)</f>
        <v>-1.0012821988998604</v>
      </c>
      <c r="F14" s="124">
        <f>B14+(D14*C14)</f>
        <v>0.27079284681477905</v>
      </c>
      <c r="G14" s="164">
        <f>(D7/F7)/(D8/F8)</f>
        <v>0.69402681836651769</v>
      </c>
      <c r="H14" s="164">
        <f>EXP(E14)</f>
        <v>0.36740804883064354</v>
      </c>
      <c r="I14" s="164">
        <f>EXP(F14)</f>
        <v>1.3110034637101222</v>
      </c>
      <c r="J14" s="152"/>
      <c r="K14" s="165">
        <f>1-G14</f>
        <v>0.30597318163348231</v>
      </c>
      <c r="L14" s="164">
        <f>1-H14</f>
        <v>0.63259195116935651</v>
      </c>
      <c r="M14" s="164">
        <f>1-I14</f>
        <v>-0.31100346371012222</v>
      </c>
      <c r="N14" s="166"/>
      <c r="P14" s="2"/>
      <c r="Q14" s="2"/>
      <c r="R14" s="2"/>
      <c r="S14" s="2"/>
      <c r="T14" s="2"/>
      <c r="U14" s="2"/>
      <c r="V14" s="2"/>
      <c r="W14" s="2"/>
    </row>
    <row r="15" spans="2:30" s="4" customFormat="1" ht="12.75" hidden="1" customHeight="1" x14ac:dyDescent="0.3">
      <c r="B15" s="167"/>
      <c r="C15" s="28"/>
      <c r="D15" s="28"/>
      <c r="E15" s="28"/>
      <c r="F15" s="32"/>
      <c r="G15" s="168"/>
      <c r="H15" s="152"/>
      <c r="I15" s="158"/>
      <c r="J15" s="152"/>
      <c r="K15" s="158"/>
      <c r="L15" s="158"/>
      <c r="M15" s="158"/>
      <c r="N15" s="159"/>
      <c r="P15" s="2"/>
      <c r="Q15" s="2"/>
      <c r="R15" s="2"/>
      <c r="S15" s="2"/>
      <c r="T15" s="2"/>
      <c r="U15" s="2"/>
      <c r="V15" s="2"/>
      <c r="W15" s="2"/>
    </row>
    <row r="16" spans="2:30" s="12" customFormat="1" ht="12.75" hidden="1" customHeight="1" x14ac:dyDescent="0.3">
      <c r="B16" s="106"/>
      <c r="C16" s="33"/>
      <c r="D16" s="34"/>
      <c r="E16" s="35"/>
      <c r="F16" s="36"/>
      <c r="G16" s="169"/>
      <c r="H16" s="170"/>
      <c r="I16" s="171"/>
      <c r="J16" s="171"/>
      <c r="K16" s="172"/>
      <c r="L16" s="172"/>
      <c r="M16" s="173"/>
      <c r="N16" s="173"/>
    </row>
    <row r="17" spans="2:30" ht="15.75" hidden="1" customHeight="1" x14ac:dyDescent="0.3">
      <c r="B17" s="40" t="s">
        <v>100</v>
      </c>
      <c r="C17" s="2"/>
      <c r="D17" s="174"/>
      <c r="E17" s="174"/>
      <c r="F17" s="13"/>
      <c r="G17" s="13"/>
      <c r="H17" s="175"/>
      <c r="I17" s="41"/>
      <c r="J17" s="176"/>
      <c r="K17" s="176"/>
      <c r="L17" s="4"/>
      <c r="M17" s="159"/>
      <c r="N17" s="152"/>
      <c r="O17" s="41"/>
      <c r="P17" s="2"/>
      <c r="Q17" s="2"/>
      <c r="R17" s="42"/>
      <c r="S17" s="41"/>
      <c r="T17" s="43"/>
      <c r="U17" s="43"/>
      <c r="V17" s="43"/>
      <c r="W17" s="12"/>
      <c r="X17" s="12"/>
      <c r="Y17" s="12"/>
      <c r="Z17" s="12"/>
      <c r="AA17" s="12"/>
      <c r="AB17" s="12"/>
      <c r="AC17" s="12"/>
    </row>
    <row r="18" spans="2:30" ht="12.75" hidden="1" customHeight="1" x14ac:dyDescent="0.3">
      <c r="B18" s="47" t="s">
        <v>101</v>
      </c>
      <c r="C18" s="2"/>
      <c r="D18" s="41"/>
      <c r="E18" s="41"/>
      <c r="F18" s="2"/>
      <c r="G18" s="2"/>
      <c r="H18" s="42"/>
      <c r="I18" s="41"/>
      <c r="J18" s="43"/>
      <c r="K18" s="43"/>
      <c r="L18" s="43"/>
      <c r="M18" s="159"/>
      <c r="N18" s="152"/>
      <c r="O18" s="2"/>
      <c r="P18" s="2"/>
      <c r="Q18" s="42"/>
      <c r="R18" s="41"/>
      <c r="S18" s="43"/>
      <c r="T18" s="43"/>
      <c r="U18" s="43"/>
      <c r="W18" s="12" t="s">
        <v>27</v>
      </c>
      <c r="X18" s="12"/>
      <c r="Y18" s="12"/>
      <c r="Z18" s="12"/>
      <c r="AA18" s="12"/>
      <c r="AB18" s="12"/>
    </row>
    <row r="19" spans="2:30" ht="25.5" hidden="1" customHeight="1" thickBot="1" x14ac:dyDescent="0.35">
      <c r="B19" s="177" t="s">
        <v>102</v>
      </c>
      <c r="C19" s="5" t="s">
        <v>9</v>
      </c>
      <c r="D19" s="4"/>
      <c r="E19" s="5" t="s">
        <v>103</v>
      </c>
      <c r="G19" s="5" t="s">
        <v>7</v>
      </c>
      <c r="I19" s="5" t="s">
        <v>8</v>
      </c>
      <c r="J19" s="43"/>
      <c r="K19" s="43"/>
      <c r="L19" s="43"/>
      <c r="M19" s="159"/>
      <c r="N19" s="172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2:30" ht="38.25" hidden="1" customHeight="1" x14ac:dyDescent="0.4">
      <c r="B20" s="121" t="s">
        <v>104</v>
      </c>
      <c r="C20" s="121" t="s">
        <v>26</v>
      </c>
      <c r="D20" s="178" t="s">
        <v>10</v>
      </c>
      <c r="E20" s="178" t="s">
        <v>9</v>
      </c>
      <c r="F20" s="178" t="s">
        <v>105</v>
      </c>
      <c r="G20" s="178" t="s">
        <v>7</v>
      </c>
      <c r="H20" s="178" t="s">
        <v>8</v>
      </c>
      <c r="I20" s="179" t="s">
        <v>5</v>
      </c>
      <c r="J20" s="178" t="s">
        <v>106</v>
      </c>
      <c r="K20" s="178" t="s">
        <v>0</v>
      </c>
      <c r="L20" s="178" t="s">
        <v>1</v>
      </c>
      <c r="M20" s="180"/>
      <c r="N20" s="181"/>
      <c r="O20" s="182" t="s">
        <v>13</v>
      </c>
      <c r="P20" s="183" t="s">
        <v>78</v>
      </c>
      <c r="Q20" s="184"/>
      <c r="R20" s="185"/>
      <c r="S20" s="186"/>
      <c r="T20" s="186"/>
      <c r="U20" s="187"/>
      <c r="W20" s="188"/>
      <c r="X20" s="182" t="s">
        <v>79</v>
      </c>
      <c r="Y20" s="183" t="s">
        <v>107</v>
      </c>
      <c r="Z20" s="126"/>
      <c r="AA20" s="126"/>
      <c r="AB20" s="126" t="s">
        <v>108</v>
      </c>
      <c r="AC20" s="126"/>
      <c r="AD20" s="105"/>
    </row>
    <row r="21" spans="2:30" ht="12.75" hidden="1" customHeight="1" x14ac:dyDescent="0.3">
      <c r="B21" s="189">
        <f>D7</f>
        <v>16</v>
      </c>
      <c r="C21" s="190">
        <f>F7</f>
        <v>2996</v>
      </c>
      <c r="D21" s="191">
        <f>B21/C21</f>
        <v>5.3404539385847796E-3</v>
      </c>
      <c r="E21" s="192">
        <f>2*B21+I21^2</f>
        <v>35.841458820694122</v>
      </c>
      <c r="F21" s="192">
        <f>I21*SQRT((I21^2)+(4*B21*(1-D21)))</f>
        <v>16.102707903536714</v>
      </c>
      <c r="G21" s="193">
        <f>2*(C21+I21^2)</f>
        <v>5999.6829176413885</v>
      </c>
      <c r="H21" s="194" t="s">
        <v>11</v>
      </c>
      <c r="I21" s="163">
        <f>-NORMSINV((1-I2)/2)</f>
        <v>1.9599639845400536</v>
      </c>
      <c r="J21" s="195">
        <f>D21</f>
        <v>5.3404539385847796E-3</v>
      </c>
      <c r="K21" s="195">
        <f>(E21-F21)/G21</f>
        <v>3.2899656845394019E-3</v>
      </c>
      <c r="L21" s="195">
        <f>(E21+F21)/G21</f>
        <v>8.6578186609653808E-3</v>
      </c>
      <c r="M21" s="180"/>
      <c r="N21" s="196">
        <f>F9/2</f>
        <v>2992.5</v>
      </c>
      <c r="O21" s="20" t="s">
        <v>14</v>
      </c>
      <c r="P21" s="2"/>
      <c r="Q21" s="42"/>
      <c r="R21" s="41"/>
      <c r="S21" s="43"/>
      <c r="T21" s="43"/>
      <c r="U21" s="197"/>
      <c r="W21" s="198">
        <f>ABS(D21-D22)</f>
        <v>2.3544272925962173E-3</v>
      </c>
      <c r="X21" s="20" t="s">
        <v>109</v>
      </c>
      <c r="Y21" s="2"/>
      <c r="Z21" s="20"/>
      <c r="AA21" s="20"/>
      <c r="AB21" s="20" t="s">
        <v>110</v>
      </c>
      <c r="AC21" s="20"/>
      <c r="AD21" s="199"/>
    </row>
    <row r="22" spans="2:30" ht="14.25" hidden="1" customHeight="1" x14ac:dyDescent="0.4">
      <c r="B22" s="189">
        <f>D8</f>
        <v>23</v>
      </c>
      <c r="C22" s="190">
        <f>F8</f>
        <v>2989</v>
      </c>
      <c r="D22" s="191">
        <f>B22/C22</f>
        <v>7.6948812311809969E-3</v>
      </c>
      <c r="E22" s="192">
        <f>2*B22+I22^2</f>
        <v>49.841458820694122</v>
      </c>
      <c r="F22" s="192">
        <f>I22*SQRT((I22^2)+(4*B22*(1-D22)))</f>
        <v>19.116786785231831</v>
      </c>
      <c r="G22" s="193">
        <f>2*(C22+I22^2)</f>
        <v>5985.6829176413885</v>
      </c>
      <c r="H22" s="194" t="s">
        <v>11</v>
      </c>
      <c r="I22" s="163">
        <f>-NORMSINV((1-I2)/2)</f>
        <v>1.9599639845400536</v>
      </c>
      <c r="J22" s="195">
        <f>D22</f>
        <v>7.6948812311809969E-3</v>
      </c>
      <c r="K22" s="195">
        <f>(E22-F22)/G22</f>
        <v>5.1330270009640119E-3</v>
      </c>
      <c r="L22" s="195">
        <f>(E22+F22)/G22</f>
        <v>1.1520530999510146E-2</v>
      </c>
      <c r="M22" s="180"/>
      <c r="N22" s="200">
        <f>J26</f>
        <v>2.3544272925962173E-3</v>
      </c>
      <c r="O22" s="20" t="s">
        <v>15</v>
      </c>
      <c r="P22" s="20"/>
      <c r="Q22" s="20"/>
      <c r="R22" s="20"/>
      <c r="S22" s="20"/>
      <c r="T22" s="20"/>
      <c r="U22" s="128"/>
      <c r="W22" s="201">
        <f>SQRT((D23*(1-D23)/C21)+(D23*(1-D23)/C22))</f>
        <v>2.0800741484464855E-3</v>
      </c>
      <c r="X22" s="47" t="s">
        <v>111</v>
      </c>
      <c r="Y22" s="20"/>
      <c r="Z22" s="20"/>
      <c r="AA22" s="20"/>
      <c r="AB22" s="20"/>
      <c r="AC22" s="20"/>
      <c r="AD22" s="199"/>
    </row>
    <row r="23" spans="2:30" ht="12.75" hidden="1" customHeight="1" x14ac:dyDescent="0.3">
      <c r="B23" s="189">
        <f>D9</f>
        <v>39</v>
      </c>
      <c r="C23" s="190">
        <f>F9</f>
        <v>5985</v>
      </c>
      <c r="D23" s="191">
        <f>B23/C23</f>
        <v>6.5162907268170424E-3</v>
      </c>
      <c r="E23" s="192">
        <f>2*B23+I23^2</f>
        <v>81.841458820694129</v>
      </c>
      <c r="F23" s="192">
        <f>I23*SQRT((I23^2)+(4*B23*(1-D23)))</f>
        <v>24.700594732735013</v>
      </c>
      <c r="G23" s="193">
        <f>2*(C23+I23^2)</f>
        <v>11977.682917641388</v>
      </c>
      <c r="H23" s="194" t="s">
        <v>11</v>
      </c>
      <c r="I23" s="163">
        <f>-NORMSINV((1-I2)/2)</f>
        <v>1.9599639845400536</v>
      </c>
      <c r="J23" s="195">
        <f>D23</f>
        <v>6.5162907268170424E-3</v>
      </c>
      <c r="K23" s="195">
        <f>(E23-F23)/G23</f>
        <v>4.7706108502671178E-3</v>
      </c>
      <c r="L23" s="195">
        <f>(E23+F23)/G23</f>
        <v>8.8950470876556741E-3</v>
      </c>
      <c r="M23" s="180"/>
      <c r="N23" s="202">
        <f>(B21+B22)/(C21+C22)</f>
        <v>6.5162907268170424E-3</v>
      </c>
      <c r="O23" s="20" t="s">
        <v>6</v>
      </c>
      <c r="P23" s="2"/>
      <c r="Q23" s="42"/>
      <c r="R23" s="41"/>
      <c r="S23" s="43"/>
      <c r="T23" s="43"/>
      <c r="U23" s="199"/>
      <c r="W23" s="203">
        <f>W21/W22</f>
        <v>1.1318958482103314</v>
      </c>
      <c r="X23" s="20" t="s">
        <v>44</v>
      </c>
      <c r="Y23" s="2"/>
      <c r="Z23" s="20"/>
      <c r="AA23" s="20"/>
      <c r="AB23" s="20"/>
      <c r="AC23" s="20"/>
      <c r="AD23" s="199"/>
    </row>
    <row r="24" spans="2:30" ht="15" hidden="1" customHeight="1" x14ac:dyDescent="0.3">
      <c r="B24" s="113"/>
      <c r="C24" s="204" t="s">
        <v>12</v>
      </c>
      <c r="F24" s="37"/>
      <c r="G24" s="171"/>
      <c r="H24" s="171"/>
      <c r="I24" s="171"/>
      <c r="J24" s="171"/>
      <c r="K24" s="172"/>
      <c r="L24" s="144"/>
      <c r="M24" s="180"/>
      <c r="N24" s="205">
        <f>SQRT(N21*N22^2/(2*N23*(1-N23)))-I21</f>
        <v>-0.82806736214483845</v>
      </c>
      <c r="O24" s="20" t="s">
        <v>112</v>
      </c>
      <c r="P24" s="20"/>
      <c r="Q24" s="20"/>
      <c r="R24" s="20"/>
      <c r="S24" s="20"/>
      <c r="T24" s="4"/>
      <c r="U24" s="197"/>
      <c r="W24" s="206">
        <f>NORMSDIST(-W23)</f>
        <v>0.12883911219615005</v>
      </c>
      <c r="X24" s="40" t="s">
        <v>113</v>
      </c>
      <c r="Y24" s="20"/>
      <c r="Z24" s="4"/>
      <c r="AA24" s="4"/>
      <c r="AB24" s="4"/>
      <c r="AC24" s="4"/>
      <c r="AD24" s="128"/>
    </row>
    <row r="25" spans="2:30" ht="13.5" hidden="1" customHeight="1" thickBot="1" x14ac:dyDescent="0.35">
      <c r="B25" s="113"/>
      <c r="C25" s="204" t="s">
        <v>114</v>
      </c>
      <c r="D25" s="27"/>
      <c r="E25" s="39"/>
      <c r="F25" s="37"/>
      <c r="G25" s="171"/>
      <c r="H25" s="144"/>
      <c r="I25" s="144"/>
      <c r="J25" s="207"/>
      <c r="K25" s="207"/>
      <c r="L25" s="207"/>
      <c r="M25" s="180"/>
      <c r="N25" s="208">
        <f>NORMSDIST(N24)</f>
        <v>0.20381617597337451</v>
      </c>
      <c r="O25" s="40" t="s">
        <v>16</v>
      </c>
      <c r="P25" s="48"/>
      <c r="Q25" s="20"/>
      <c r="R25" s="20"/>
      <c r="S25" s="20"/>
      <c r="T25" s="20"/>
      <c r="U25" s="199"/>
      <c r="W25" s="209">
        <f>1-W24</f>
        <v>0.87116088780384993</v>
      </c>
      <c r="X25" s="49" t="s">
        <v>115</v>
      </c>
      <c r="Y25" s="48"/>
      <c r="Z25" s="4"/>
      <c r="AA25" s="4"/>
      <c r="AB25" s="4"/>
      <c r="AC25" s="4"/>
      <c r="AD25" s="128"/>
    </row>
    <row r="26" spans="2:30" ht="15" hidden="1" customHeight="1" thickBot="1" x14ac:dyDescent="0.4">
      <c r="F26" s="50"/>
      <c r="G26" s="144"/>
      <c r="H26" s="144"/>
      <c r="I26" s="136" t="s">
        <v>23</v>
      </c>
      <c r="J26" s="210">
        <f>D22-D21</f>
        <v>2.3544272925962173E-3</v>
      </c>
      <c r="K26" s="211">
        <f>J26+SQRT((D22-K22)^2+(L21-D21)^2)</f>
        <v>6.5458477914457401E-3</v>
      </c>
      <c r="L26" s="212">
        <f>J26-SQRT((D21-K21)^2+(L22-D22)^2)</f>
        <v>-1.9860909057177736E-3</v>
      </c>
      <c r="M26" s="143"/>
      <c r="N26" s="213">
        <f>1-N25</f>
        <v>0.79618382402662546</v>
      </c>
      <c r="O26" s="214" t="s">
        <v>116</v>
      </c>
      <c r="P26" s="215"/>
      <c r="Q26" s="216"/>
      <c r="R26" s="215"/>
      <c r="S26" s="215"/>
      <c r="T26" s="215"/>
      <c r="U26" s="217"/>
      <c r="W26" s="218"/>
      <c r="X26" s="219"/>
      <c r="Y26" s="215"/>
      <c r="Z26" s="219"/>
      <c r="AA26" s="219"/>
      <c r="AB26" s="219"/>
      <c r="AC26" s="219"/>
      <c r="AD26" s="220"/>
    </row>
    <row r="27" spans="2:30" ht="13.5" hidden="1" customHeight="1" thickBot="1" x14ac:dyDescent="0.35">
      <c r="F27" s="52"/>
      <c r="G27" s="144"/>
      <c r="H27" s="144"/>
      <c r="I27" s="136" t="s">
        <v>24</v>
      </c>
      <c r="J27" s="221">
        <f>1/J26</f>
        <v>424.73173970783535</v>
      </c>
      <c r="K27" s="222">
        <f>1/K26</f>
        <v>152.76859955509846</v>
      </c>
      <c r="L27" s="223">
        <f>1/L26</f>
        <v>-503.50162579219898</v>
      </c>
      <c r="M27" s="143"/>
      <c r="N27" s="144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2:30" ht="14.25" hidden="1" customHeight="1" x14ac:dyDescent="0.4">
      <c r="G28" s="144"/>
      <c r="H28" s="144"/>
      <c r="K28" s="224"/>
      <c r="L28" s="224"/>
      <c r="M28" s="225"/>
      <c r="N28" s="181"/>
      <c r="O28" s="226"/>
      <c r="P28" s="226" t="s">
        <v>111</v>
      </c>
      <c r="Q28" s="227">
        <f>SQRT((D23*(1-D23)/C21)+(D23*(1-D23)/C22))</f>
        <v>2.0800741484464855E-3</v>
      </c>
      <c r="R28" s="228"/>
      <c r="S28" s="228"/>
      <c r="T28" s="228"/>
      <c r="U28" s="105"/>
      <c r="V28" s="5"/>
    </row>
    <row r="29" spans="2:30" ht="31.5" hidden="1" customHeight="1" x14ac:dyDescent="0.35">
      <c r="F29" s="229"/>
      <c r="G29" s="230"/>
      <c r="H29" s="231" t="s">
        <v>64</v>
      </c>
      <c r="I29" s="232" t="s">
        <v>56</v>
      </c>
      <c r="J29" s="233">
        <f>J27</f>
        <v>424.73173970783535</v>
      </c>
      <c r="K29" s="233">
        <f>K27</f>
        <v>152.76859955509846</v>
      </c>
      <c r="L29" s="233">
        <f>L27</f>
        <v>-503.50162579219898</v>
      </c>
      <c r="M29" s="144"/>
      <c r="N29" s="234" t="s">
        <v>117</v>
      </c>
      <c r="O29" s="235"/>
      <c r="P29" s="20" t="s">
        <v>118</v>
      </c>
      <c r="Q29" s="20"/>
      <c r="R29" s="42"/>
      <c r="S29" s="236" t="s">
        <v>119</v>
      </c>
      <c r="T29" s="20"/>
      <c r="U29" s="199"/>
      <c r="V29" s="5"/>
    </row>
    <row r="30" spans="2:30" s="4" customFormat="1" ht="14.25" hidden="1" customHeight="1" x14ac:dyDescent="0.4">
      <c r="F30" s="55"/>
      <c r="G30" s="237"/>
      <c r="H30" s="238"/>
      <c r="I30" s="239" t="s">
        <v>68</v>
      </c>
      <c r="J30" s="240">
        <f>(1-D22)*J27</f>
        <v>421.46347941567069</v>
      </c>
      <c r="K30" s="240">
        <f>(1-D22)*K27</f>
        <v>151.59306332566814</v>
      </c>
      <c r="L30" s="240">
        <f>(1-D22)*L27</f>
        <v>-499.62724058202144</v>
      </c>
      <c r="M30" s="144"/>
      <c r="N30" s="241"/>
      <c r="O30" s="83" t="s">
        <v>120</v>
      </c>
      <c r="Q30" s="242" t="s">
        <v>121</v>
      </c>
      <c r="R30" s="83" t="s">
        <v>122</v>
      </c>
      <c r="S30" s="20"/>
      <c r="T30" s="20"/>
      <c r="U30" s="128"/>
    </row>
    <row r="31" spans="2:30" s="4" customFormat="1" ht="14.25" hidden="1" customHeight="1" x14ac:dyDescent="0.4">
      <c r="F31" s="56"/>
      <c r="G31" s="243"/>
      <c r="H31" s="244"/>
      <c r="I31" s="245" t="s">
        <v>71</v>
      </c>
      <c r="J31" s="246">
        <f>J27*J26</f>
        <v>1</v>
      </c>
      <c r="K31" s="246">
        <f>K27*K26</f>
        <v>0.99999999999999989</v>
      </c>
      <c r="L31" s="246">
        <f>L27*L26</f>
        <v>1</v>
      </c>
      <c r="M31" s="159"/>
      <c r="N31" s="205">
        <f>ABS((J26/Q28))-I21</f>
        <v>-0.8280681363297222</v>
      </c>
      <c r="O31" s="83" t="s">
        <v>123</v>
      </c>
      <c r="P31" s="20"/>
      <c r="Q31" s="20"/>
      <c r="R31" s="41"/>
      <c r="S31" s="43"/>
      <c r="T31" s="43"/>
      <c r="U31" s="197"/>
    </row>
    <row r="32" spans="2:30" s="4" customFormat="1" ht="12.75" hidden="1" customHeight="1" x14ac:dyDescent="0.3">
      <c r="B32" s="247"/>
      <c r="C32" s="57"/>
      <c r="E32" s="30"/>
      <c r="G32" s="248"/>
      <c r="H32" s="249"/>
      <c r="I32" s="250" t="s">
        <v>72</v>
      </c>
      <c r="J32" s="251">
        <f>(D22-J26)*J27</f>
        <v>2.2682602921646748</v>
      </c>
      <c r="K32" s="251">
        <f>(D22-K26)*K27</f>
        <v>0.17553622943033279</v>
      </c>
      <c r="L32" s="251">
        <f>(D22-L26)*L27</f>
        <v>-4.8743852101775094</v>
      </c>
      <c r="M32" s="159"/>
      <c r="N32" s="208">
        <f>NORMSDIST(N31)</f>
        <v>0.20381595676471023</v>
      </c>
      <c r="O32" s="47" t="s">
        <v>124</v>
      </c>
      <c r="P32" s="48"/>
      <c r="Q32" s="20"/>
      <c r="R32" s="20"/>
      <c r="S32" s="20"/>
      <c r="T32" s="20"/>
      <c r="U32" s="128"/>
    </row>
    <row r="33" spans="2:22" s="4" customFormat="1" ht="12.75" hidden="1" customHeight="1" x14ac:dyDescent="0.3">
      <c r="B33" s="247"/>
      <c r="G33" s="252"/>
      <c r="H33" s="253"/>
      <c r="I33" s="253"/>
      <c r="J33" s="254"/>
      <c r="K33" s="254"/>
      <c r="L33" s="254"/>
      <c r="M33" s="159"/>
      <c r="N33" s="213">
        <f>1-N32</f>
        <v>0.7961840432352898</v>
      </c>
      <c r="O33" s="215" t="s">
        <v>125</v>
      </c>
      <c r="P33" s="215"/>
      <c r="Q33" s="216"/>
      <c r="R33" s="255"/>
      <c r="S33" s="256"/>
      <c r="T33" s="256"/>
      <c r="U33" s="217"/>
    </row>
    <row r="34" spans="2:22" s="4" customFormat="1" ht="31.5" hidden="1" customHeight="1" x14ac:dyDescent="0.3">
      <c r="B34" s="167"/>
      <c r="F34" s="29"/>
      <c r="G34" s="257"/>
      <c r="H34" s="231" t="s">
        <v>66</v>
      </c>
      <c r="I34" s="258" t="s">
        <v>126</v>
      </c>
      <c r="J34" s="259">
        <f>ABS(J27)</f>
        <v>424.73173970783535</v>
      </c>
      <c r="K34" s="259">
        <f>ABS(L27)</f>
        <v>503.50162579219898</v>
      </c>
      <c r="L34" s="259">
        <f>ABS(K27)</f>
        <v>152.76859955509846</v>
      </c>
      <c r="M34" s="159"/>
      <c r="N34" s="143"/>
      <c r="O34" s="20"/>
      <c r="P34" s="20"/>
      <c r="Q34" s="20"/>
      <c r="R34" s="20"/>
      <c r="S34" s="20"/>
      <c r="T34" s="20"/>
      <c r="U34" s="20"/>
      <c r="V34" s="20"/>
    </row>
    <row r="35" spans="2:22" s="4" customFormat="1" ht="13.5" hidden="1" customHeight="1" x14ac:dyDescent="0.3">
      <c r="B35" s="167"/>
      <c r="G35" s="237"/>
      <c r="H35" s="238"/>
      <c r="I35" s="239" t="s">
        <v>68</v>
      </c>
      <c r="J35" s="240">
        <f>ABS((1-(D22-J26))*J27)</f>
        <v>422.46347941567069</v>
      </c>
      <c r="K35" s="240">
        <f>ABS((1-(D22-L26))*L27)</f>
        <v>498.62724058202144</v>
      </c>
      <c r="L35" s="240">
        <f>ABS((1-(D22-K26))*K27)</f>
        <v>152.59306332566814</v>
      </c>
      <c r="M35" s="159"/>
      <c r="N35" s="143"/>
      <c r="O35" s="20"/>
      <c r="P35" s="20"/>
      <c r="Q35" s="20"/>
      <c r="R35" s="20"/>
      <c r="S35" s="20"/>
      <c r="T35" s="20"/>
      <c r="U35" s="20"/>
      <c r="V35" s="20"/>
    </row>
    <row r="36" spans="2:22" s="4" customFormat="1" ht="12.75" hidden="1" customHeight="1" x14ac:dyDescent="0.3">
      <c r="B36" s="167"/>
      <c r="F36" s="62"/>
      <c r="G36" s="260"/>
      <c r="H36" s="261"/>
      <c r="I36" s="262" t="s">
        <v>69</v>
      </c>
      <c r="J36" s="263">
        <f>J27*J26</f>
        <v>1</v>
      </c>
      <c r="K36" s="263">
        <f>L27*L26</f>
        <v>1</v>
      </c>
      <c r="L36" s="263">
        <f>K27*K26</f>
        <v>0.99999999999999989</v>
      </c>
      <c r="M36" s="159"/>
      <c r="N36" s="143"/>
      <c r="O36" s="20"/>
      <c r="P36" s="20"/>
      <c r="Q36" s="20"/>
      <c r="R36" s="20"/>
      <c r="S36" s="20"/>
      <c r="T36" s="20"/>
      <c r="U36" s="20"/>
      <c r="V36" s="20"/>
    </row>
    <row r="37" spans="2:22" ht="15.75" hidden="1" customHeight="1" x14ac:dyDescent="0.35">
      <c r="B37" s="264" t="s">
        <v>127</v>
      </c>
      <c r="C37" s="63"/>
      <c r="D37" s="63"/>
      <c r="E37" s="63"/>
      <c r="F37" s="58"/>
      <c r="G37" s="248"/>
      <c r="H37" s="249"/>
      <c r="I37" s="250" t="s">
        <v>70</v>
      </c>
      <c r="J37" s="251">
        <f>ABS(D22*J27)</f>
        <v>3.2682602921646748</v>
      </c>
      <c r="K37" s="251">
        <f>ABS(D22*L27)</f>
        <v>3.8743852101775098</v>
      </c>
      <c r="L37" s="251">
        <f>ABS(D22*K27)</f>
        <v>1.1755362294303326</v>
      </c>
      <c r="M37" s="144"/>
      <c r="N37" s="143"/>
      <c r="O37" s="20"/>
      <c r="P37" s="20"/>
      <c r="Q37" s="20"/>
      <c r="R37" s="20"/>
      <c r="S37" s="20"/>
      <c r="T37" s="20"/>
      <c r="U37" s="20"/>
      <c r="V37" s="20"/>
    </row>
    <row r="38" spans="2:22" s="12" customFormat="1" ht="12.75" hidden="1" customHeight="1" x14ac:dyDescent="0.3">
      <c r="B38" s="113"/>
      <c r="C38" s="64" t="s">
        <v>20</v>
      </c>
      <c r="D38" s="65" t="s">
        <v>21</v>
      </c>
      <c r="E38" s="20"/>
      <c r="F38" s="58"/>
      <c r="G38" s="265"/>
      <c r="H38" s="266"/>
      <c r="I38" s="267"/>
      <c r="J38" s="268"/>
      <c r="K38" s="268"/>
      <c r="L38" s="268"/>
      <c r="M38" s="172"/>
      <c r="N38" s="159"/>
      <c r="O38" s="4"/>
      <c r="P38" s="4"/>
      <c r="Q38" s="4"/>
      <c r="R38" s="4"/>
    </row>
    <row r="39" spans="2:22" ht="12.75" hidden="1" customHeight="1" x14ac:dyDescent="0.3">
      <c r="B39" s="269" t="s">
        <v>32</v>
      </c>
      <c r="C39" s="69" t="s">
        <v>3</v>
      </c>
      <c r="D39" s="70" t="s">
        <v>2</v>
      </c>
      <c r="E39" s="71" t="s">
        <v>22</v>
      </c>
      <c r="G39" s="144"/>
      <c r="H39" s="144"/>
      <c r="I39" s="144"/>
      <c r="J39" s="144"/>
      <c r="K39" s="144"/>
      <c r="L39" s="144"/>
      <c r="M39" s="144"/>
      <c r="N39" s="159"/>
      <c r="O39" s="4"/>
      <c r="P39" s="4"/>
      <c r="Q39" s="4"/>
      <c r="R39" s="4"/>
      <c r="U39" s="5"/>
      <c r="V39" s="5"/>
    </row>
    <row r="40" spans="2:22" ht="12.75" hidden="1" customHeight="1" x14ac:dyDescent="0.3">
      <c r="B40" s="270" t="s">
        <v>17</v>
      </c>
      <c r="C40" s="72">
        <f>F7*D9/F9</f>
        <v>19.522807017543858</v>
      </c>
      <c r="D40" s="72">
        <f>F7*E9/F9</f>
        <v>2976.477192982456</v>
      </c>
      <c r="E40" s="72">
        <f>F7</f>
        <v>2996</v>
      </c>
      <c r="G40" s="271"/>
      <c r="H40" s="272" t="s">
        <v>30</v>
      </c>
      <c r="I40" s="273">
        <f>CHIINV(0.05,K41)</f>
        <v>3.8414588206941236</v>
      </c>
      <c r="J40" s="144"/>
      <c r="K40" s="144"/>
      <c r="L40" s="144"/>
      <c r="M40" s="144"/>
      <c r="N40" s="159"/>
      <c r="O40" s="59"/>
      <c r="P40" s="59"/>
      <c r="Q40" s="59"/>
      <c r="R40" s="4"/>
      <c r="U40" s="5"/>
      <c r="V40" s="5"/>
    </row>
    <row r="41" spans="2:22" ht="12.75" hidden="1" customHeight="1" x14ac:dyDescent="0.3">
      <c r="B41" s="274" t="s">
        <v>18</v>
      </c>
      <c r="C41" s="72">
        <f>F8*D9/F9</f>
        <v>19.477192982456142</v>
      </c>
      <c r="D41" s="72">
        <f>F8*E9/F9</f>
        <v>2969.522807017544</v>
      </c>
      <c r="E41" s="72">
        <f>F8</f>
        <v>2989</v>
      </c>
      <c r="F41" s="12"/>
      <c r="G41" s="275"/>
      <c r="H41" s="275"/>
      <c r="I41" s="276"/>
      <c r="J41" s="277" t="s">
        <v>31</v>
      </c>
      <c r="K41" s="278">
        <f>(COUNT(C40:D40)-1)*(COUNT(C40:C41)-1)</f>
        <v>1</v>
      </c>
      <c r="L41" s="144"/>
      <c r="M41" s="144"/>
      <c r="N41" s="144"/>
      <c r="O41" s="59"/>
      <c r="P41" s="59"/>
      <c r="Q41" s="59"/>
      <c r="R41" s="4"/>
      <c r="U41" s="5"/>
      <c r="V41" s="5"/>
    </row>
    <row r="42" spans="2:22" ht="12.75" hidden="1" customHeight="1" x14ac:dyDescent="0.3">
      <c r="B42" s="279" t="s">
        <v>29</v>
      </c>
      <c r="C42" s="72">
        <f>SUM(C40:C41)</f>
        <v>39</v>
      </c>
      <c r="D42" s="72">
        <f>SUM(D40:D41)</f>
        <v>5946</v>
      </c>
      <c r="E42" s="73">
        <f>SUM(E40:E41)</f>
        <v>5985</v>
      </c>
      <c r="F42" s="12"/>
      <c r="G42" s="172"/>
      <c r="H42" s="280" t="s">
        <v>33</v>
      </c>
      <c r="I42" s="98" t="s">
        <v>34</v>
      </c>
      <c r="J42" s="144"/>
      <c r="K42" s="144"/>
      <c r="L42" s="144"/>
      <c r="M42" s="144"/>
      <c r="N42" s="144"/>
      <c r="O42" s="59"/>
      <c r="P42" s="60"/>
      <c r="Q42" s="59"/>
      <c r="R42" s="4"/>
      <c r="U42" s="5"/>
      <c r="V42" s="5"/>
    </row>
    <row r="43" spans="2:22" ht="12.75" hidden="1" customHeight="1" x14ac:dyDescent="0.3">
      <c r="B43" s="279"/>
      <c r="C43" s="74"/>
      <c r="D43" s="74"/>
      <c r="E43" s="75"/>
      <c r="F43" s="12"/>
      <c r="G43" s="172"/>
      <c r="H43" s="280" t="s">
        <v>35</v>
      </c>
      <c r="I43" s="98" t="s">
        <v>36</v>
      </c>
      <c r="J43" s="144"/>
      <c r="K43" s="144"/>
      <c r="L43" s="144"/>
      <c r="M43" s="144"/>
      <c r="N43" s="144"/>
      <c r="O43" s="61"/>
      <c r="P43" s="61"/>
      <c r="Q43" s="61"/>
      <c r="R43" s="4"/>
      <c r="U43" s="5"/>
      <c r="V43" s="5"/>
    </row>
    <row r="44" spans="2:22" ht="26.25" hidden="1" customHeight="1" x14ac:dyDescent="0.3">
      <c r="B44" s="281"/>
      <c r="C44" s="553" t="s">
        <v>128</v>
      </c>
      <c r="D44" s="554"/>
      <c r="G44" s="144"/>
      <c r="H44" s="282"/>
      <c r="I44" s="144"/>
      <c r="J44" s="144"/>
      <c r="K44" s="144"/>
      <c r="L44" s="144"/>
      <c r="M44" s="144"/>
      <c r="N44" s="144"/>
      <c r="O44" s="5"/>
      <c r="P44" s="5"/>
      <c r="U44" s="5"/>
      <c r="V44" s="5"/>
    </row>
    <row r="45" spans="2:22" ht="12.75" hidden="1" customHeight="1" x14ac:dyDescent="0.3">
      <c r="B45" s="281"/>
      <c r="C45" s="76">
        <f>(D7-C40)^2/C40</f>
        <v>0.6356754575151029</v>
      </c>
      <c r="D45" s="76">
        <f>(E7-D40)^2/D40</f>
        <v>4.1694152107451671E-3</v>
      </c>
      <c r="F45" s="68"/>
      <c r="G45" s="283"/>
      <c r="H45" s="144"/>
      <c r="I45" s="144"/>
      <c r="J45" s="159"/>
      <c r="K45" s="159"/>
      <c r="L45" s="284"/>
      <c r="M45" s="144"/>
      <c r="N45" s="144"/>
      <c r="O45" s="5"/>
      <c r="P45" s="5"/>
      <c r="U45" s="5"/>
      <c r="V45" s="5"/>
    </row>
    <row r="46" spans="2:22" ht="12.75" hidden="1" customHeight="1" x14ac:dyDescent="0.3">
      <c r="B46" s="281"/>
      <c r="C46" s="76">
        <f>(D8-C41)^2/C41</f>
        <v>0.63716415882075883</v>
      </c>
      <c r="D46" s="76">
        <f>(E8-D41)^2/D41</f>
        <v>4.1791796491778251E-3</v>
      </c>
      <c r="E46" s="16"/>
      <c r="F46" s="77" t="s">
        <v>37</v>
      </c>
      <c r="G46" s="285">
        <f>C48-I40</f>
        <v>-2.560270609498339</v>
      </c>
      <c r="H46" s="144"/>
      <c r="I46" s="144"/>
      <c r="J46" s="159"/>
      <c r="K46" s="159"/>
      <c r="L46" s="144"/>
      <c r="M46" s="144"/>
      <c r="N46" s="144"/>
      <c r="O46" s="5"/>
      <c r="P46" s="5"/>
      <c r="U46" s="5"/>
      <c r="V46" s="5"/>
    </row>
    <row r="47" spans="2:22" ht="12.75" hidden="1" customHeight="1" thickBot="1" x14ac:dyDescent="0.35">
      <c r="B47" s="98" t="s">
        <v>39</v>
      </c>
      <c r="D47" s="78"/>
      <c r="G47" s="120" t="s">
        <v>40</v>
      </c>
      <c r="H47" s="144"/>
      <c r="I47" s="144"/>
      <c r="J47" s="159"/>
      <c r="K47" s="159"/>
      <c r="L47" s="144"/>
      <c r="M47" s="144"/>
      <c r="N47" s="144"/>
      <c r="O47" s="5"/>
      <c r="P47" s="5"/>
      <c r="U47" s="5"/>
      <c r="V47" s="5"/>
    </row>
    <row r="48" spans="2:22" ht="13.5" hidden="1" customHeight="1" thickBot="1" x14ac:dyDescent="0.35">
      <c r="B48" s="129" t="s">
        <v>38</v>
      </c>
      <c r="C48" s="286">
        <f>SUM(C45:D46)</f>
        <v>1.2811882111957849</v>
      </c>
      <c r="D48" s="20"/>
      <c r="G48" s="120" t="s">
        <v>41</v>
      </c>
      <c r="H48" s="144"/>
      <c r="I48" s="287"/>
      <c r="J48" s="159"/>
      <c r="K48" s="159"/>
      <c r="L48" s="288"/>
      <c r="M48" s="144"/>
      <c r="N48" s="144"/>
      <c r="O48" s="5"/>
      <c r="P48" s="5"/>
      <c r="U48" s="5"/>
      <c r="V48" s="5"/>
    </row>
    <row r="49" spans="2:22" ht="12.75" hidden="1" customHeight="1" thickBot="1" x14ac:dyDescent="0.35">
      <c r="B49" s="289" t="s">
        <v>80</v>
      </c>
      <c r="C49" s="290">
        <f>CHIDIST(C48,1)</f>
        <v>0.25767822439230031</v>
      </c>
      <c r="E49" s="20"/>
      <c r="F49" s="20"/>
      <c r="G49" s="143"/>
      <c r="H49" s="291"/>
      <c r="I49" s="143"/>
      <c r="J49" s="159"/>
      <c r="K49" s="159"/>
      <c r="L49" s="143"/>
      <c r="M49" s="144"/>
      <c r="N49" s="144"/>
      <c r="O49" s="5"/>
      <c r="P49" s="5"/>
      <c r="U49" s="5"/>
      <c r="V49" s="5"/>
    </row>
    <row r="50" spans="2:22" s="4" customFormat="1" ht="12.75" hidden="1" customHeight="1" x14ac:dyDescent="0.3">
      <c r="B50" s="167"/>
      <c r="E50" s="79"/>
      <c r="F50" s="79"/>
      <c r="G50" s="159"/>
      <c r="H50" s="159"/>
      <c r="I50" s="292"/>
      <c r="J50" s="159"/>
      <c r="K50" s="159"/>
      <c r="L50" s="159"/>
      <c r="M50" s="159"/>
      <c r="N50" s="159"/>
    </row>
    <row r="51" spans="2:22" ht="13.5" hidden="1" customHeight="1" x14ac:dyDescent="0.3">
      <c r="B51" s="113"/>
      <c r="G51" s="144"/>
      <c r="H51" s="144"/>
      <c r="I51" s="144"/>
      <c r="J51" s="159"/>
      <c r="K51" s="159"/>
      <c r="L51" s="144"/>
      <c r="M51" s="144"/>
      <c r="N51" s="144"/>
      <c r="O51" s="5"/>
      <c r="P51" s="5"/>
      <c r="U51" s="5"/>
      <c r="V51" s="5"/>
    </row>
    <row r="52" spans="2:22" ht="12.75" hidden="1" customHeight="1" thickBot="1" x14ac:dyDescent="0.35">
      <c r="B52" s="293" t="s">
        <v>129</v>
      </c>
      <c r="C52" s="127"/>
      <c r="D52" s="127"/>
      <c r="E52" s="127"/>
      <c r="F52" s="127"/>
      <c r="G52" s="127"/>
      <c r="H52" s="294"/>
      <c r="I52" s="144"/>
      <c r="J52" s="295" t="s">
        <v>130</v>
      </c>
      <c r="K52" s="296"/>
      <c r="L52" s="297"/>
      <c r="M52" s="297"/>
      <c r="N52" s="297"/>
      <c r="O52" s="105"/>
      <c r="P52" s="5"/>
      <c r="U52" s="5"/>
      <c r="V52" s="5"/>
    </row>
    <row r="53" spans="2:22" ht="12.75" hidden="1" customHeight="1" thickBot="1" x14ac:dyDescent="0.35">
      <c r="B53" s="298">
        <f>I2*100</f>
        <v>95</v>
      </c>
      <c r="C53" s="58"/>
      <c r="D53" s="58"/>
      <c r="E53" s="4"/>
      <c r="F53" s="4"/>
      <c r="G53" s="4"/>
      <c r="H53" s="128"/>
      <c r="I53" s="144"/>
      <c r="J53" s="299"/>
      <c r="K53" s="159"/>
      <c r="L53" s="143"/>
      <c r="M53" s="143"/>
      <c r="N53" s="143"/>
      <c r="O53" s="199"/>
      <c r="P53" s="5"/>
      <c r="U53" s="5"/>
      <c r="V53" s="5"/>
    </row>
    <row r="54" spans="2:22" ht="12.75" hidden="1" customHeight="1" x14ac:dyDescent="0.3">
      <c r="B54" s="300" t="s">
        <v>49</v>
      </c>
      <c r="C54" s="301"/>
      <c r="D54" s="301"/>
      <c r="E54" s="1">
        <f>ROUND(G14,2)</f>
        <v>0.69</v>
      </c>
      <c r="F54" s="53">
        <f>ROUND(J26,4)</f>
        <v>2.3999999999999998E-3</v>
      </c>
      <c r="G54" s="302">
        <f>ROUND(J27,0)</f>
        <v>425</v>
      </c>
      <c r="H54" s="303"/>
      <c r="I54" s="144"/>
      <c r="J54" s="304" t="s">
        <v>49</v>
      </c>
      <c r="K54" s="4"/>
      <c r="L54" s="4"/>
      <c r="M54" s="4"/>
      <c r="N54" s="143"/>
      <c r="O54" s="199"/>
      <c r="P54" s="5"/>
      <c r="U54" s="5"/>
      <c r="V54" s="5"/>
    </row>
    <row r="55" spans="2:22" ht="12.75" hidden="1" customHeight="1" x14ac:dyDescent="0.3">
      <c r="B55" s="300" t="s">
        <v>51</v>
      </c>
      <c r="C55" s="20"/>
      <c r="D55" s="20"/>
      <c r="E55" s="1">
        <f>ROUND(H14,2)</f>
        <v>0.37</v>
      </c>
      <c r="F55" s="53">
        <f>ROUND(L26,4)</f>
        <v>-2E-3</v>
      </c>
      <c r="G55" s="302">
        <f>ROUND(L27,0)</f>
        <v>-504</v>
      </c>
      <c r="H55" s="303"/>
      <c r="I55" s="144"/>
      <c r="J55" s="304" t="s">
        <v>51</v>
      </c>
      <c r="K55" s="305" t="str">
        <f>ROUND(J21,4)*100&amp;J57</f>
        <v>0,53%</v>
      </c>
      <c r="L55" s="305" t="str">
        <f>ROUND(K21,4)*100&amp;J57</f>
        <v>0,33%</v>
      </c>
      <c r="M55" s="305" t="str">
        <f>ROUND(L21,4)*100&amp;J57</f>
        <v>0,87%</v>
      </c>
      <c r="N55" s="116" t="str">
        <f>CONCATENATE(K55," ",J54,L55," ",J58," ",M55,J56)</f>
        <v>0,53% (0,33% a 0,87%)</v>
      </c>
      <c r="O55" s="199"/>
      <c r="P55" s="5"/>
      <c r="U55" s="5"/>
      <c r="V55" s="5"/>
    </row>
    <row r="56" spans="2:22" s="12" customFormat="1" ht="12.75" hidden="1" customHeight="1" x14ac:dyDescent="0.3">
      <c r="B56" s="300" t="s">
        <v>50</v>
      </c>
      <c r="C56" s="301">
        <f>ROUND(D7,0)</f>
        <v>16</v>
      </c>
      <c r="D56" s="301">
        <f>ROUND(D8,0)</f>
        <v>23</v>
      </c>
      <c r="E56" s="1">
        <f>ROUND(I14,2)</f>
        <v>1.31</v>
      </c>
      <c r="F56" s="53">
        <f>ROUND(K26,4)</f>
        <v>6.4999999999999997E-3</v>
      </c>
      <c r="G56" s="302">
        <f>ROUND(K27,0)</f>
        <v>153</v>
      </c>
      <c r="H56" s="306">
        <f>ROUND(N32,4)</f>
        <v>0.20380000000000001</v>
      </c>
      <c r="I56" s="172"/>
      <c r="J56" s="304" t="s">
        <v>50</v>
      </c>
      <c r="K56" s="81" t="str">
        <f>ROUND(J22,4)*100&amp;J57</f>
        <v>0,77%</v>
      </c>
      <c r="L56" s="81" t="str">
        <f>ROUND(K22,4)*100&amp;J57</f>
        <v>0,51%</v>
      </c>
      <c r="M56" s="81" t="str">
        <f>ROUND(L22,4)*100&amp;J57</f>
        <v>1,15%</v>
      </c>
      <c r="N56" s="116" t="str">
        <f>CONCATENATE(K56," ",J54,L56," ",J58," ",M56,J56)</f>
        <v>0,77% (0,51% a 1,15%)</v>
      </c>
      <c r="O56" s="128"/>
    </row>
    <row r="57" spans="2:22" ht="12.75" hidden="1" customHeight="1" x14ac:dyDescent="0.3">
      <c r="B57" s="300" t="s">
        <v>52</v>
      </c>
      <c r="C57" s="307" t="s">
        <v>74</v>
      </c>
      <c r="D57" s="307" t="s">
        <v>75</v>
      </c>
      <c r="E57" s="307" t="s">
        <v>4</v>
      </c>
      <c r="F57" s="307" t="s">
        <v>58</v>
      </c>
      <c r="G57" s="308" t="s">
        <v>56</v>
      </c>
      <c r="H57" s="271" t="s">
        <v>59</v>
      </c>
      <c r="I57" s="144"/>
      <c r="J57" s="304" t="s">
        <v>52</v>
      </c>
      <c r="K57" s="81" t="str">
        <f>ROUND(J23,4)*100&amp;J57</f>
        <v>0,65%</v>
      </c>
      <c r="L57" s="81" t="str">
        <f>ROUND(K23,4)*100&amp;J57</f>
        <v>0,48%</v>
      </c>
      <c r="M57" s="81" t="str">
        <f>ROUND(L23,4)*100&amp;J57</f>
        <v>0,89%</v>
      </c>
      <c r="N57" s="116" t="str">
        <f>CONCATENATE(K57," ",J54,L57," ",J58," ",M57,J56)</f>
        <v>0,65% (0,48% a 0,89%)</v>
      </c>
      <c r="O57" s="128"/>
    </row>
    <row r="58" spans="2:22" ht="12.75" hidden="1" customHeight="1" x14ac:dyDescent="0.3">
      <c r="B58" s="309" t="s">
        <v>19</v>
      </c>
      <c r="C58" s="310" t="str">
        <f>CONCATENATE(C56,B59,C21," ",B54,K55,B56)</f>
        <v>16/2996 (0,53%)</v>
      </c>
      <c r="D58" s="136" t="str">
        <f>CONCATENATE(D56,B59,C22," ",B54,K56,B56)</f>
        <v>23/2989 (0,77%)</v>
      </c>
      <c r="E58" s="310" t="str">
        <f>CONCATENATE(E54," ",B54,E55,B55,E56,B56)</f>
        <v>0,69 (0,37-1,31)</v>
      </c>
      <c r="F58" s="310" t="str">
        <f>CONCATENATE(F54*100,B57," ",B54,F55*100,B57," ",B58," ",F56*100,B57,B56)</f>
        <v>0,24% (-0,2% a 0,65%)</v>
      </c>
      <c r="G58" s="271" t="str">
        <f>CONCATENATE(G54," ",B54,G56," ",B58," ",G55,B56)</f>
        <v>425 (153 a -504)</v>
      </c>
      <c r="H58" s="271" t="str">
        <f>CONCATENATE(H56*100,B57)</f>
        <v>20,38%</v>
      </c>
      <c r="I58" s="144"/>
      <c r="J58" s="311" t="s">
        <v>19</v>
      </c>
      <c r="K58" s="20"/>
      <c r="L58" s="20"/>
      <c r="M58" s="20"/>
      <c r="N58" s="143"/>
      <c r="O58" s="199"/>
      <c r="P58" s="5"/>
      <c r="U58" s="5"/>
      <c r="V58" s="5"/>
    </row>
    <row r="59" spans="2:22" ht="13.5" hidden="1" customHeight="1" thickBot="1" x14ac:dyDescent="0.35">
      <c r="B59" s="312" t="s">
        <v>57</v>
      </c>
      <c r="C59" s="219"/>
      <c r="D59" s="219"/>
      <c r="E59" s="219"/>
      <c r="F59" s="219"/>
      <c r="G59" s="313"/>
      <c r="H59" s="314"/>
      <c r="I59" s="144"/>
      <c r="J59" s="315" t="s">
        <v>57</v>
      </c>
      <c r="K59" s="219"/>
      <c r="L59" s="219"/>
      <c r="M59" s="219"/>
      <c r="N59" s="316"/>
      <c r="O59" s="217"/>
      <c r="P59" s="5"/>
      <c r="U59" s="5"/>
      <c r="V59" s="5"/>
    </row>
    <row r="60" spans="2:22" x14ac:dyDescent="0.3">
      <c r="B60" s="113"/>
      <c r="G60" s="144"/>
      <c r="H60" s="144"/>
      <c r="I60" s="144"/>
      <c r="J60" s="144"/>
      <c r="K60" s="144"/>
      <c r="L60" s="159"/>
      <c r="M60" s="144"/>
      <c r="N60" s="144"/>
      <c r="O60" s="5"/>
      <c r="P60" s="5"/>
      <c r="U60" s="5"/>
      <c r="V60" s="5"/>
    </row>
    <row r="61" spans="2:22" ht="27" customHeight="1" x14ac:dyDescent="0.3">
      <c r="B61" s="113"/>
      <c r="C61" s="317" t="s">
        <v>74</v>
      </c>
      <c r="D61" s="317" t="s">
        <v>75</v>
      </c>
      <c r="E61" s="318" t="str">
        <f>CONCATENATE(E57," ",B54,H2," ",B53,B57,B56)</f>
        <v>RR (IC 95%)</v>
      </c>
      <c r="F61" s="318" t="str">
        <f>CONCATENATE(F57," ",B54,H2," ",B53,B57,B56)</f>
        <v>RAR (IC 95%)</v>
      </c>
      <c r="G61" s="318" t="str">
        <f>CONCATENATE(G57," ",B54,H2," ",B53,B57,B56)</f>
        <v>NNT (IC 95%)</v>
      </c>
      <c r="H61" s="318" t="s">
        <v>60</v>
      </c>
      <c r="I61" s="319"/>
      <c r="J61" s="318" t="s">
        <v>81</v>
      </c>
      <c r="L61" s="320" t="s">
        <v>131</v>
      </c>
      <c r="M61" s="320" t="s">
        <v>132</v>
      </c>
      <c r="O61" s="5"/>
      <c r="P61" s="5"/>
      <c r="U61" s="5"/>
      <c r="V61" s="5"/>
    </row>
    <row r="62" spans="2:22" ht="21" customHeight="1" x14ac:dyDescent="0.3">
      <c r="B62" s="113"/>
      <c r="C62" s="136" t="str">
        <f t="shared" ref="C62:H62" si="0">C58</f>
        <v>16/2996 (0,53%)</v>
      </c>
      <c r="D62" s="136" t="str">
        <f t="shared" si="0"/>
        <v>23/2989 (0,77%)</v>
      </c>
      <c r="E62" s="136" t="str">
        <f t="shared" si="0"/>
        <v>0,69 (0,37-1,31)</v>
      </c>
      <c r="F62" s="136" t="str">
        <f t="shared" si="0"/>
        <v>0,24% (-0,2% a 0,65%)</v>
      </c>
      <c r="G62" s="136" t="str">
        <f t="shared" si="0"/>
        <v>425 (153 a -504)</v>
      </c>
      <c r="H62" s="136" t="str">
        <f t="shared" si="0"/>
        <v>20,38%</v>
      </c>
      <c r="I62" s="321"/>
      <c r="J62" s="322">
        <f>C49</f>
        <v>0.25767822439230031</v>
      </c>
      <c r="L62" s="323">
        <f>IF((K26*L26&lt;0),J23,J21)</f>
        <v>6.5162907268170424E-3</v>
      </c>
      <c r="M62" s="323">
        <f>IF((K26*L26&lt;0),J23,J22)</f>
        <v>6.5162907268170424E-3</v>
      </c>
      <c r="O62" s="5"/>
      <c r="P62" s="5"/>
      <c r="U62" s="5"/>
      <c r="V62" s="5"/>
    </row>
    <row r="63" spans="2:22" x14ac:dyDescent="0.3">
      <c r="L63" s="4"/>
    </row>
    <row r="64" spans="2:22" x14ac:dyDescent="0.3">
      <c r="B64" s="360" t="s">
        <v>195</v>
      </c>
      <c r="L64" s="4"/>
    </row>
    <row r="65" spans="2:16" ht="16" thickBot="1" x14ac:dyDescent="0.4">
      <c r="B65" s="361" t="s">
        <v>196</v>
      </c>
      <c r="C65" s="4"/>
      <c r="D65" s="4"/>
      <c r="E65" s="4"/>
      <c r="F65" s="4"/>
      <c r="G65" s="4"/>
      <c r="H65" s="4"/>
      <c r="I65" s="4"/>
      <c r="J65" s="4"/>
      <c r="K65" s="82"/>
      <c r="L65" s="4"/>
      <c r="M65" s="4"/>
      <c r="N65" s="4"/>
      <c r="O65" s="4"/>
    </row>
    <row r="66" spans="2:16" ht="32.5" customHeight="1" thickBot="1" x14ac:dyDescent="0.35">
      <c r="B66" s="505" t="s">
        <v>274</v>
      </c>
      <c r="C66" s="506"/>
      <c r="D66" s="506"/>
      <c r="E66" s="506"/>
      <c r="F66" s="506"/>
      <c r="G66" s="506"/>
      <c r="H66" s="507"/>
      <c r="I66" s="362"/>
      <c r="J66" s="362"/>
      <c r="K66" s="362"/>
      <c r="L66" s="362"/>
      <c r="M66" s="362"/>
      <c r="N66" s="362"/>
      <c r="O66" s="556" t="s">
        <v>146</v>
      </c>
      <c r="P66" s="557"/>
    </row>
    <row r="67" spans="2:16" ht="41.5" customHeight="1" thickBot="1" x14ac:dyDescent="0.35">
      <c r="B67" s="536" t="s">
        <v>190</v>
      </c>
      <c r="C67" s="372" t="s">
        <v>275</v>
      </c>
      <c r="D67" s="373" t="s">
        <v>276</v>
      </c>
      <c r="E67" s="558" t="s">
        <v>148</v>
      </c>
      <c r="F67" s="559"/>
      <c r="G67" s="559"/>
      <c r="H67" s="560"/>
      <c r="I67" s="362"/>
      <c r="J67" s="362"/>
      <c r="K67" s="362"/>
      <c r="L67" s="362"/>
      <c r="M67" s="362"/>
      <c r="N67" s="362"/>
      <c r="O67" s="529" t="s">
        <v>277</v>
      </c>
      <c r="P67" s="530"/>
    </row>
    <row r="68" spans="2:16" ht="26.5" customHeight="1" thickBot="1" x14ac:dyDescent="0.35">
      <c r="B68" s="537"/>
      <c r="C68" s="374" t="s">
        <v>142</v>
      </c>
      <c r="D68" s="375" t="s">
        <v>142</v>
      </c>
      <c r="E68" s="376" t="s">
        <v>53</v>
      </c>
      <c r="F68" s="377" t="s">
        <v>47</v>
      </c>
      <c r="G68" s="377" t="s">
        <v>278</v>
      </c>
      <c r="H68" s="378" t="s">
        <v>60</v>
      </c>
      <c r="I68" s="362"/>
      <c r="J68" s="379" t="s">
        <v>149</v>
      </c>
      <c r="L68" s="178" t="s">
        <v>131</v>
      </c>
      <c r="M68" s="178" t="s">
        <v>132</v>
      </c>
      <c r="N68" s="362"/>
      <c r="O68" s="380" t="s">
        <v>194</v>
      </c>
      <c r="P68" s="381" t="s">
        <v>141</v>
      </c>
    </row>
    <row r="69" spans="2:16" ht="22.5" customHeight="1" x14ac:dyDescent="0.3">
      <c r="B69" s="508" t="s">
        <v>279</v>
      </c>
      <c r="C69" s="367"/>
      <c r="D69" s="367"/>
      <c r="E69" s="367"/>
      <c r="F69" s="367"/>
      <c r="G69" s="509"/>
      <c r="H69" s="510"/>
      <c r="I69" s="383"/>
      <c r="J69" s="511"/>
      <c r="K69" s="367"/>
      <c r="L69" s="384"/>
      <c r="M69" s="384"/>
      <c r="N69" s="367"/>
      <c r="O69" s="512"/>
      <c r="P69" s="513"/>
    </row>
    <row r="70" spans="2:16" ht="26" customHeight="1" x14ac:dyDescent="0.3">
      <c r="B70" s="467" t="s">
        <v>280</v>
      </c>
      <c r="C70" s="368" t="s">
        <v>281</v>
      </c>
      <c r="D70" s="368" t="s">
        <v>282</v>
      </c>
      <c r="E70" s="368" t="s">
        <v>283</v>
      </c>
      <c r="F70" s="368" t="s">
        <v>284</v>
      </c>
      <c r="G70" s="465" t="s">
        <v>285</v>
      </c>
      <c r="H70" s="369">
        <v>0.88249999999999995</v>
      </c>
      <c r="I70" s="383"/>
      <c r="J70" s="370">
        <v>1.6478694914420142E-3</v>
      </c>
      <c r="K70" s="367"/>
      <c r="L70" s="384">
        <v>0.29455560725919033</v>
      </c>
      <c r="M70" s="384">
        <v>0.33922754769660307</v>
      </c>
      <c r="N70" s="367"/>
      <c r="O70" s="514">
        <v>29.455560725919032</v>
      </c>
      <c r="P70" s="515">
        <v>33.922754769660308</v>
      </c>
    </row>
    <row r="71" spans="2:16" ht="26" customHeight="1" x14ac:dyDescent="0.3">
      <c r="B71" s="467" t="s">
        <v>286</v>
      </c>
      <c r="C71" s="368" t="s">
        <v>287</v>
      </c>
      <c r="D71" s="368" t="s">
        <v>288</v>
      </c>
      <c r="E71" s="368" t="s">
        <v>289</v>
      </c>
      <c r="F71" s="368" t="s">
        <v>290</v>
      </c>
      <c r="G71" s="382" t="s">
        <v>291</v>
      </c>
      <c r="H71" s="369">
        <v>5.1700000000000003E-2</v>
      </c>
      <c r="I71" s="383"/>
      <c r="J71" s="370">
        <v>0.74026185330541616</v>
      </c>
      <c r="K71" s="367"/>
      <c r="L71" s="384">
        <v>5.6072591903210796E-2</v>
      </c>
      <c r="M71" s="384">
        <v>5.6072591903210796E-2</v>
      </c>
      <c r="N71" s="367"/>
      <c r="O71" s="516">
        <v>5.6072591903210798</v>
      </c>
      <c r="P71" s="516">
        <v>5.6072591903210798</v>
      </c>
    </row>
    <row r="72" spans="2:16" ht="26" customHeight="1" x14ac:dyDescent="0.3">
      <c r="B72" s="467" t="s">
        <v>292</v>
      </c>
      <c r="C72" s="368" t="s">
        <v>293</v>
      </c>
      <c r="D72" s="368" t="s">
        <v>294</v>
      </c>
      <c r="E72" s="368" t="s">
        <v>295</v>
      </c>
      <c r="F72" s="368" t="s">
        <v>296</v>
      </c>
      <c r="G72" s="465" t="s">
        <v>297</v>
      </c>
      <c r="H72" s="369">
        <v>0.58350000000000002</v>
      </c>
      <c r="I72" s="383"/>
      <c r="J72" s="370">
        <v>2.9940256310654691E-2</v>
      </c>
      <c r="K72" s="367"/>
      <c r="L72" s="384">
        <v>6.5146579804560263E-3</v>
      </c>
      <c r="M72" s="384">
        <v>1.3029315960912053E-2</v>
      </c>
      <c r="N72" s="367"/>
      <c r="O72" s="517">
        <v>0.65146579804560267</v>
      </c>
      <c r="P72" s="518">
        <v>1.3029315960912053</v>
      </c>
    </row>
    <row r="73" spans="2:16" ht="26" customHeight="1" x14ac:dyDescent="0.3">
      <c r="B73" s="467" t="s">
        <v>298</v>
      </c>
      <c r="C73" s="368" t="s">
        <v>299</v>
      </c>
      <c r="D73" s="368" t="s">
        <v>300</v>
      </c>
      <c r="E73" s="519" t="s">
        <v>301</v>
      </c>
      <c r="F73" s="368" t="s">
        <v>302</v>
      </c>
      <c r="G73" s="382" t="s">
        <v>303</v>
      </c>
      <c r="H73" s="369">
        <v>0.29270000000000002</v>
      </c>
      <c r="I73" s="383"/>
      <c r="J73" s="370">
        <v>0.1572026142665616</v>
      </c>
      <c r="K73" s="367"/>
      <c r="L73" s="384">
        <v>4.6533271288971617E-4</v>
      </c>
      <c r="M73" s="384">
        <v>4.6533271288971617E-4</v>
      </c>
      <c r="N73" s="367"/>
      <c r="O73" s="516">
        <v>4.6533271288971619E-2</v>
      </c>
      <c r="P73" s="520">
        <v>4.6533271288971619E-2</v>
      </c>
    </row>
    <row r="74" spans="2:16" ht="26" customHeight="1" x14ac:dyDescent="0.3">
      <c r="B74" s="467" t="s">
        <v>304</v>
      </c>
      <c r="C74" s="368" t="s">
        <v>305</v>
      </c>
      <c r="D74" s="368" t="s">
        <v>306</v>
      </c>
      <c r="E74" s="368" t="s">
        <v>307</v>
      </c>
      <c r="F74" s="368" t="s">
        <v>308</v>
      </c>
      <c r="G74" s="466" t="s">
        <v>309</v>
      </c>
      <c r="H74" s="369">
        <v>0.73160000000000003</v>
      </c>
      <c r="I74" s="383"/>
      <c r="J74" s="370">
        <v>9.9478424885550646E-3</v>
      </c>
      <c r="K74" s="367"/>
      <c r="L74" s="384">
        <v>5.9097254536993951E-2</v>
      </c>
      <c r="M74" s="384">
        <v>4.1879944160074456E-2</v>
      </c>
      <c r="N74" s="367"/>
      <c r="O74" s="515">
        <v>5.9097254536993953</v>
      </c>
      <c r="P74" s="514">
        <v>4.1879944160074452</v>
      </c>
    </row>
    <row r="75" spans="2:16" ht="26" customHeight="1" x14ac:dyDescent="0.3">
      <c r="B75" s="467" t="s">
        <v>147</v>
      </c>
      <c r="C75" s="368" t="s">
        <v>310</v>
      </c>
      <c r="D75" s="368" t="s">
        <v>311</v>
      </c>
      <c r="E75" s="368" t="s">
        <v>312</v>
      </c>
      <c r="F75" s="368" t="s">
        <v>313</v>
      </c>
      <c r="G75" s="382" t="s">
        <v>314</v>
      </c>
      <c r="H75" s="369">
        <v>0.25879999999999997</v>
      </c>
      <c r="I75" s="383"/>
      <c r="J75" s="370">
        <v>0.18916437841296757</v>
      </c>
      <c r="K75" s="367"/>
      <c r="L75" s="384">
        <v>3.5830618892508145E-2</v>
      </c>
      <c r="M75" s="384">
        <v>3.5830618892508145E-2</v>
      </c>
      <c r="N75" s="367"/>
      <c r="O75" s="516">
        <v>3.5830618892508146</v>
      </c>
      <c r="P75" s="516">
        <v>3.5830618892508146</v>
      </c>
    </row>
    <row r="76" spans="2:16" ht="26" customHeight="1" x14ac:dyDescent="0.3">
      <c r="B76" s="467" t="s">
        <v>315</v>
      </c>
      <c r="C76" s="368" t="s">
        <v>316</v>
      </c>
      <c r="D76" s="368" t="s">
        <v>317</v>
      </c>
      <c r="E76" s="368" t="s">
        <v>318</v>
      </c>
      <c r="F76" s="368" t="s">
        <v>319</v>
      </c>
      <c r="G76" s="382" t="s">
        <v>320</v>
      </c>
      <c r="H76" s="369">
        <v>6.8000000000000005E-2</v>
      </c>
      <c r="I76" s="383"/>
      <c r="J76" s="370">
        <v>0.63903679820183124</v>
      </c>
      <c r="K76" s="367"/>
      <c r="L76" s="384">
        <v>1.7217310376919499E-2</v>
      </c>
      <c r="M76" s="384">
        <v>1.7217310376919499E-2</v>
      </c>
      <c r="N76" s="367"/>
      <c r="O76" s="516">
        <v>1.7217310376919499</v>
      </c>
      <c r="P76" s="516">
        <v>1.7217310376919499</v>
      </c>
    </row>
    <row r="77" spans="2:16" ht="26" customHeight="1" x14ac:dyDescent="0.3">
      <c r="B77" s="467" t="s">
        <v>321</v>
      </c>
      <c r="C77" s="368" t="s">
        <v>322</v>
      </c>
      <c r="D77" s="368" t="s">
        <v>323</v>
      </c>
      <c r="E77" s="368" t="s">
        <v>324</v>
      </c>
      <c r="F77" s="368" t="s">
        <v>325</v>
      </c>
      <c r="G77" s="382" t="s">
        <v>326</v>
      </c>
      <c r="H77" s="369">
        <v>0.4592</v>
      </c>
      <c r="I77" s="383"/>
      <c r="J77" s="370">
        <v>6.3241255474874192E-2</v>
      </c>
      <c r="K77" s="367"/>
      <c r="L77" s="384">
        <v>7.9804560260586313E-2</v>
      </c>
      <c r="M77" s="384">
        <v>7.9804560260586313E-2</v>
      </c>
      <c r="N77" s="367"/>
      <c r="O77" s="516">
        <v>7.980456026058631</v>
      </c>
      <c r="P77" s="516">
        <v>7.980456026058631</v>
      </c>
    </row>
    <row r="78" spans="2:16" ht="7.5" customHeight="1" x14ac:dyDescent="0.3"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</row>
    <row r="79" spans="2:16" ht="48.5" customHeight="1" x14ac:dyDescent="0.3">
      <c r="B79" s="561" t="s">
        <v>327</v>
      </c>
      <c r="C79" s="562"/>
      <c r="D79" s="562"/>
      <c r="E79" s="562"/>
      <c r="F79" s="562"/>
      <c r="G79" s="562"/>
      <c r="H79" s="563"/>
      <c r="I79" s="362"/>
      <c r="J79" s="362"/>
      <c r="K79" s="362"/>
      <c r="L79" s="362"/>
      <c r="M79" s="362"/>
      <c r="N79" s="362"/>
      <c r="O79" s="362"/>
      <c r="P79" s="362"/>
    </row>
    <row r="80" spans="2:16" ht="28.5" customHeight="1" x14ac:dyDescent="0.3">
      <c r="B80" s="555" t="s">
        <v>328</v>
      </c>
      <c r="C80" s="555"/>
      <c r="D80" s="555"/>
      <c r="E80" s="555"/>
      <c r="F80" s="555"/>
      <c r="G80" s="555"/>
      <c r="H80" s="555"/>
      <c r="I80" s="362"/>
      <c r="J80" s="362"/>
      <c r="K80" s="362"/>
      <c r="L80" s="362"/>
      <c r="M80" s="362"/>
      <c r="N80" s="362"/>
      <c r="O80" s="362"/>
      <c r="P80" s="362"/>
    </row>
  </sheetData>
  <mergeCells count="9">
    <mergeCell ref="B2:F2"/>
    <mergeCell ref="B3:F3"/>
    <mergeCell ref="C44:D44"/>
    <mergeCell ref="B80:H80"/>
    <mergeCell ref="O66:P66"/>
    <mergeCell ref="B67:B68"/>
    <mergeCell ref="E67:H67"/>
    <mergeCell ref="O67:P67"/>
    <mergeCell ref="B79:H79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34F1-1082-430F-9955-60492DE4407A}">
  <dimension ref="B1:Q33"/>
  <sheetViews>
    <sheetView zoomScale="85" zoomScaleNormal="85" workbookViewId="0">
      <selection activeCell="J9" sqref="J9"/>
    </sheetView>
  </sheetViews>
  <sheetFormatPr baseColWidth="10" defaultColWidth="25.26953125" defaultRowHeight="12.5" x14ac:dyDescent="0.25"/>
  <cols>
    <col min="1" max="1" width="1.7265625" customWidth="1"/>
    <col min="2" max="2" width="28.54296875" customWidth="1"/>
    <col min="3" max="3" width="19.7265625" customWidth="1"/>
    <col min="4" max="4" width="10.7265625" customWidth="1"/>
    <col min="5" max="5" width="10.26953125" customWidth="1"/>
    <col min="6" max="6" width="5.453125" customWidth="1"/>
    <col min="7" max="7" width="12.36328125" customWidth="1"/>
    <col min="8" max="8" width="11.453125" customWidth="1"/>
    <col min="9" max="9" width="12" customWidth="1"/>
    <col min="10" max="10" width="20.36328125" customWidth="1"/>
    <col min="11" max="11" width="1" customWidth="1"/>
    <col min="12" max="12" width="5.1796875" customWidth="1"/>
    <col min="13" max="255" width="11.453125" customWidth="1"/>
    <col min="257" max="257" width="1.7265625" customWidth="1"/>
    <col min="258" max="258" width="28.54296875" customWidth="1"/>
    <col min="259" max="259" width="19.7265625" customWidth="1"/>
    <col min="260" max="260" width="10.7265625" customWidth="1"/>
    <col min="261" max="261" width="10.26953125" customWidth="1"/>
    <col min="262" max="262" width="5.453125" customWidth="1"/>
    <col min="263" max="263" width="13.26953125" customWidth="1"/>
    <col min="264" max="264" width="11.453125" customWidth="1"/>
    <col min="265" max="265" width="12" customWidth="1"/>
    <col min="266" max="266" width="23.453125" customWidth="1"/>
    <col min="267" max="267" width="1" customWidth="1"/>
    <col min="268" max="268" width="5.1796875" customWidth="1"/>
    <col min="269" max="511" width="11.453125" customWidth="1"/>
    <col min="513" max="513" width="1.7265625" customWidth="1"/>
    <col min="514" max="514" width="28.54296875" customWidth="1"/>
    <col min="515" max="515" width="19.7265625" customWidth="1"/>
    <col min="516" max="516" width="10.7265625" customWidth="1"/>
    <col min="517" max="517" width="10.26953125" customWidth="1"/>
    <col min="518" max="518" width="5.453125" customWidth="1"/>
    <col min="519" max="519" width="13.26953125" customWidth="1"/>
    <col min="520" max="520" width="11.453125" customWidth="1"/>
    <col min="521" max="521" width="12" customWidth="1"/>
    <col min="522" max="522" width="23.453125" customWidth="1"/>
    <col min="523" max="523" width="1" customWidth="1"/>
    <col min="524" max="524" width="5.1796875" customWidth="1"/>
    <col min="525" max="767" width="11.453125" customWidth="1"/>
    <col min="769" max="769" width="1.7265625" customWidth="1"/>
    <col min="770" max="770" width="28.54296875" customWidth="1"/>
    <col min="771" max="771" width="19.7265625" customWidth="1"/>
    <col min="772" max="772" width="10.7265625" customWidth="1"/>
    <col min="773" max="773" width="10.26953125" customWidth="1"/>
    <col min="774" max="774" width="5.453125" customWidth="1"/>
    <col min="775" max="775" width="13.26953125" customWidth="1"/>
    <col min="776" max="776" width="11.453125" customWidth="1"/>
    <col min="777" max="777" width="12" customWidth="1"/>
    <col min="778" max="778" width="23.453125" customWidth="1"/>
    <col min="779" max="779" width="1" customWidth="1"/>
    <col min="780" max="780" width="5.1796875" customWidth="1"/>
    <col min="781" max="1023" width="11.453125" customWidth="1"/>
    <col min="1025" max="1025" width="1.7265625" customWidth="1"/>
    <col min="1026" max="1026" width="28.54296875" customWidth="1"/>
    <col min="1027" max="1027" width="19.7265625" customWidth="1"/>
    <col min="1028" max="1028" width="10.7265625" customWidth="1"/>
    <col min="1029" max="1029" width="10.26953125" customWidth="1"/>
    <col min="1030" max="1030" width="5.453125" customWidth="1"/>
    <col min="1031" max="1031" width="13.26953125" customWidth="1"/>
    <col min="1032" max="1032" width="11.453125" customWidth="1"/>
    <col min="1033" max="1033" width="12" customWidth="1"/>
    <col min="1034" max="1034" width="23.453125" customWidth="1"/>
    <col min="1035" max="1035" width="1" customWidth="1"/>
    <col min="1036" max="1036" width="5.1796875" customWidth="1"/>
    <col min="1037" max="1279" width="11.453125" customWidth="1"/>
    <col min="1281" max="1281" width="1.7265625" customWidth="1"/>
    <col min="1282" max="1282" width="28.54296875" customWidth="1"/>
    <col min="1283" max="1283" width="19.7265625" customWidth="1"/>
    <col min="1284" max="1284" width="10.7265625" customWidth="1"/>
    <col min="1285" max="1285" width="10.26953125" customWidth="1"/>
    <col min="1286" max="1286" width="5.453125" customWidth="1"/>
    <col min="1287" max="1287" width="13.26953125" customWidth="1"/>
    <col min="1288" max="1288" width="11.453125" customWidth="1"/>
    <col min="1289" max="1289" width="12" customWidth="1"/>
    <col min="1290" max="1290" width="23.453125" customWidth="1"/>
    <col min="1291" max="1291" width="1" customWidth="1"/>
    <col min="1292" max="1292" width="5.1796875" customWidth="1"/>
    <col min="1293" max="1535" width="11.453125" customWidth="1"/>
    <col min="1537" max="1537" width="1.7265625" customWidth="1"/>
    <col min="1538" max="1538" width="28.54296875" customWidth="1"/>
    <col min="1539" max="1539" width="19.7265625" customWidth="1"/>
    <col min="1540" max="1540" width="10.7265625" customWidth="1"/>
    <col min="1541" max="1541" width="10.26953125" customWidth="1"/>
    <col min="1542" max="1542" width="5.453125" customWidth="1"/>
    <col min="1543" max="1543" width="13.26953125" customWidth="1"/>
    <col min="1544" max="1544" width="11.453125" customWidth="1"/>
    <col min="1545" max="1545" width="12" customWidth="1"/>
    <col min="1546" max="1546" width="23.453125" customWidth="1"/>
    <col min="1547" max="1547" width="1" customWidth="1"/>
    <col min="1548" max="1548" width="5.1796875" customWidth="1"/>
    <col min="1549" max="1791" width="11.453125" customWidth="1"/>
    <col min="1793" max="1793" width="1.7265625" customWidth="1"/>
    <col min="1794" max="1794" width="28.54296875" customWidth="1"/>
    <col min="1795" max="1795" width="19.7265625" customWidth="1"/>
    <col min="1796" max="1796" width="10.7265625" customWidth="1"/>
    <col min="1797" max="1797" width="10.26953125" customWidth="1"/>
    <col min="1798" max="1798" width="5.453125" customWidth="1"/>
    <col min="1799" max="1799" width="13.26953125" customWidth="1"/>
    <col min="1800" max="1800" width="11.453125" customWidth="1"/>
    <col min="1801" max="1801" width="12" customWidth="1"/>
    <col min="1802" max="1802" width="23.453125" customWidth="1"/>
    <col min="1803" max="1803" width="1" customWidth="1"/>
    <col min="1804" max="1804" width="5.1796875" customWidth="1"/>
    <col min="1805" max="2047" width="11.453125" customWidth="1"/>
    <col min="2049" max="2049" width="1.7265625" customWidth="1"/>
    <col min="2050" max="2050" width="28.54296875" customWidth="1"/>
    <col min="2051" max="2051" width="19.7265625" customWidth="1"/>
    <col min="2052" max="2052" width="10.7265625" customWidth="1"/>
    <col min="2053" max="2053" width="10.26953125" customWidth="1"/>
    <col min="2054" max="2054" width="5.453125" customWidth="1"/>
    <col min="2055" max="2055" width="13.26953125" customWidth="1"/>
    <col min="2056" max="2056" width="11.453125" customWidth="1"/>
    <col min="2057" max="2057" width="12" customWidth="1"/>
    <col min="2058" max="2058" width="23.453125" customWidth="1"/>
    <col min="2059" max="2059" width="1" customWidth="1"/>
    <col min="2060" max="2060" width="5.1796875" customWidth="1"/>
    <col min="2061" max="2303" width="11.453125" customWidth="1"/>
    <col min="2305" max="2305" width="1.7265625" customWidth="1"/>
    <col min="2306" max="2306" width="28.54296875" customWidth="1"/>
    <col min="2307" max="2307" width="19.7265625" customWidth="1"/>
    <col min="2308" max="2308" width="10.7265625" customWidth="1"/>
    <col min="2309" max="2309" width="10.26953125" customWidth="1"/>
    <col min="2310" max="2310" width="5.453125" customWidth="1"/>
    <col min="2311" max="2311" width="13.26953125" customWidth="1"/>
    <col min="2312" max="2312" width="11.453125" customWidth="1"/>
    <col min="2313" max="2313" width="12" customWidth="1"/>
    <col min="2314" max="2314" width="23.453125" customWidth="1"/>
    <col min="2315" max="2315" width="1" customWidth="1"/>
    <col min="2316" max="2316" width="5.1796875" customWidth="1"/>
    <col min="2317" max="2559" width="11.453125" customWidth="1"/>
    <col min="2561" max="2561" width="1.7265625" customWidth="1"/>
    <col min="2562" max="2562" width="28.54296875" customWidth="1"/>
    <col min="2563" max="2563" width="19.7265625" customWidth="1"/>
    <col min="2564" max="2564" width="10.7265625" customWidth="1"/>
    <col min="2565" max="2565" width="10.26953125" customWidth="1"/>
    <col min="2566" max="2566" width="5.453125" customWidth="1"/>
    <col min="2567" max="2567" width="13.26953125" customWidth="1"/>
    <col min="2568" max="2568" width="11.453125" customWidth="1"/>
    <col min="2569" max="2569" width="12" customWidth="1"/>
    <col min="2570" max="2570" width="23.453125" customWidth="1"/>
    <col min="2571" max="2571" width="1" customWidth="1"/>
    <col min="2572" max="2572" width="5.1796875" customWidth="1"/>
    <col min="2573" max="2815" width="11.453125" customWidth="1"/>
    <col min="2817" max="2817" width="1.7265625" customWidth="1"/>
    <col min="2818" max="2818" width="28.54296875" customWidth="1"/>
    <col min="2819" max="2819" width="19.7265625" customWidth="1"/>
    <col min="2820" max="2820" width="10.7265625" customWidth="1"/>
    <col min="2821" max="2821" width="10.26953125" customWidth="1"/>
    <col min="2822" max="2822" width="5.453125" customWidth="1"/>
    <col min="2823" max="2823" width="13.26953125" customWidth="1"/>
    <col min="2824" max="2824" width="11.453125" customWidth="1"/>
    <col min="2825" max="2825" width="12" customWidth="1"/>
    <col min="2826" max="2826" width="23.453125" customWidth="1"/>
    <col min="2827" max="2827" width="1" customWidth="1"/>
    <col min="2828" max="2828" width="5.1796875" customWidth="1"/>
    <col min="2829" max="3071" width="11.453125" customWidth="1"/>
    <col min="3073" max="3073" width="1.7265625" customWidth="1"/>
    <col min="3074" max="3074" width="28.54296875" customWidth="1"/>
    <col min="3075" max="3075" width="19.7265625" customWidth="1"/>
    <col min="3076" max="3076" width="10.7265625" customWidth="1"/>
    <col min="3077" max="3077" width="10.26953125" customWidth="1"/>
    <col min="3078" max="3078" width="5.453125" customWidth="1"/>
    <col min="3079" max="3079" width="13.26953125" customWidth="1"/>
    <col min="3080" max="3080" width="11.453125" customWidth="1"/>
    <col min="3081" max="3081" width="12" customWidth="1"/>
    <col min="3082" max="3082" width="23.453125" customWidth="1"/>
    <col min="3083" max="3083" width="1" customWidth="1"/>
    <col min="3084" max="3084" width="5.1796875" customWidth="1"/>
    <col min="3085" max="3327" width="11.453125" customWidth="1"/>
    <col min="3329" max="3329" width="1.7265625" customWidth="1"/>
    <col min="3330" max="3330" width="28.54296875" customWidth="1"/>
    <col min="3331" max="3331" width="19.7265625" customWidth="1"/>
    <col min="3332" max="3332" width="10.7265625" customWidth="1"/>
    <col min="3333" max="3333" width="10.26953125" customWidth="1"/>
    <col min="3334" max="3334" width="5.453125" customWidth="1"/>
    <col min="3335" max="3335" width="13.26953125" customWidth="1"/>
    <col min="3336" max="3336" width="11.453125" customWidth="1"/>
    <col min="3337" max="3337" width="12" customWidth="1"/>
    <col min="3338" max="3338" width="23.453125" customWidth="1"/>
    <col min="3339" max="3339" width="1" customWidth="1"/>
    <col min="3340" max="3340" width="5.1796875" customWidth="1"/>
    <col min="3341" max="3583" width="11.453125" customWidth="1"/>
    <col min="3585" max="3585" width="1.7265625" customWidth="1"/>
    <col min="3586" max="3586" width="28.54296875" customWidth="1"/>
    <col min="3587" max="3587" width="19.7265625" customWidth="1"/>
    <col min="3588" max="3588" width="10.7265625" customWidth="1"/>
    <col min="3589" max="3589" width="10.26953125" customWidth="1"/>
    <col min="3590" max="3590" width="5.453125" customWidth="1"/>
    <col min="3591" max="3591" width="13.26953125" customWidth="1"/>
    <col min="3592" max="3592" width="11.453125" customWidth="1"/>
    <col min="3593" max="3593" width="12" customWidth="1"/>
    <col min="3594" max="3594" width="23.453125" customWidth="1"/>
    <col min="3595" max="3595" width="1" customWidth="1"/>
    <col min="3596" max="3596" width="5.1796875" customWidth="1"/>
    <col min="3597" max="3839" width="11.453125" customWidth="1"/>
    <col min="3841" max="3841" width="1.7265625" customWidth="1"/>
    <col min="3842" max="3842" width="28.54296875" customWidth="1"/>
    <col min="3843" max="3843" width="19.7265625" customWidth="1"/>
    <col min="3844" max="3844" width="10.7265625" customWidth="1"/>
    <col min="3845" max="3845" width="10.26953125" customWidth="1"/>
    <col min="3846" max="3846" width="5.453125" customWidth="1"/>
    <col min="3847" max="3847" width="13.26953125" customWidth="1"/>
    <col min="3848" max="3848" width="11.453125" customWidth="1"/>
    <col min="3849" max="3849" width="12" customWidth="1"/>
    <col min="3850" max="3850" width="23.453125" customWidth="1"/>
    <col min="3851" max="3851" width="1" customWidth="1"/>
    <col min="3852" max="3852" width="5.1796875" customWidth="1"/>
    <col min="3853" max="4095" width="11.453125" customWidth="1"/>
    <col min="4097" max="4097" width="1.7265625" customWidth="1"/>
    <col min="4098" max="4098" width="28.54296875" customWidth="1"/>
    <col min="4099" max="4099" width="19.7265625" customWidth="1"/>
    <col min="4100" max="4100" width="10.7265625" customWidth="1"/>
    <col min="4101" max="4101" width="10.26953125" customWidth="1"/>
    <col min="4102" max="4102" width="5.453125" customWidth="1"/>
    <col min="4103" max="4103" width="13.26953125" customWidth="1"/>
    <col min="4104" max="4104" width="11.453125" customWidth="1"/>
    <col min="4105" max="4105" width="12" customWidth="1"/>
    <col min="4106" max="4106" width="23.453125" customWidth="1"/>
    <col min="4107" max="4107" width="1" customWidth="1"/>
    <col min="4108" max="4108" width="5.1796875" customWidth="1"/>
    <col min="4109" max="4351" width="11.453125" customWidth="1"/>
    <col min="4353" max="4353" width="1.7265625" customWidth="1"/>
    <col min="4354" max="4354" width="28.54296875" customWidth="1"/>
    <col min="4355" max="4355" width="19.7265625" customWidth="1"/>
    <col min="4356" max="4356" width="10.7265625" customWidth="1"/>
    <col min="4357" max="4357" width="10.26953125" customWidth="1"/>
    <col min="4358" max="4358" width="5.453125" customWidth="1"/>
    <col min="4359" max="4359" width="13.26953125" customWidth="1"/>
    <col min="4360" max="4360" width="11.453125" customWidth="1"/>
    <col min="4361" max="4361" width="12" customWidth="1"/>
    <col min="4362" max="4362" width="23.453125" customWidth="1"/>
    <col min="4363" max="4363" width="1" customWidth="1"/>
    <col min="4364" max="4364" width="5.1796875" customWidth="1"/>
    <col min="4365" max="4607" width="11.453125" customWidth="1"/>
    <col min="4609" max="4609" width="1.7265625" customWidth="1"/>
    <col min="4610" max="4610" width="28.54296875" customWidth="1"/>
    <col min="4611" max="4611" width="19.7265625" customWidth="1"/>
    <col min="4612" max="4612" width="10.7265625" customWidth="1"/>
    <col min="4613" max="4613" width="10.26953125" customWidth="1"/>
    <col min="4614" max="4614" width="5.453125" customWidth="1"/>
    <col min="4615" max="4615" width="13.26953125" customWidth="1"/>
    <col min="4616" max="4616" width="11.453125" customWidth="1"/>
    <col min="4617" max="4617" width="12" customWidth="1"/>
    <col min="4618" max="4618" width="23.453125" customWidth="1"/>
    <col min="4619" max="4619" width="1" customWidth="1"/>
    <col min="4620" max="4620" width="5.1796875" customWidth="1"/>
    <col min="4621" max="4863" width="11.453125" customWidth="1"/>
    <col min="4865" max="4865" width="1.7265625" customWidth="1"/>
    <col min="4866" max="4866" width="28.54296875" customWidth="1"/>
    <col min="4867" max="4867" width="19.7265625" customWidth="1"/>
    <col min="4868" max="4868" width="10.7265625" customWidth="1"/>
    <col min="4869" max="4869" width="10.26953125" customWidth="1"/>
    <col min="4870" max="4870" width="5.453125" customWidth="1"/>
    <col min="4871" max="4871" width="13.26953125" customWidth="1"/>
    <col min="4872" max="4872" width="11.453125" customWidth="1"/>
    <col min="4873" max="4873" width="12" customWidth="1"/>
    <col min="4874" max="4874" width="23.453125" customWidth="1"/>
    <col min="4875" max="4875" width="1" customWidth="1"/>
    <col min="4876" max="4876" width="5.1796875" customWidth="1"/>
    <col min="4877" max="5119" width="11.453125" customWidth="1"/>
    <col min="5121" max="5121" width="1.7265625" customWidth="1"/>
    <col min="5122" max="5122" width="28.54296875" customWidth="1"/>
    <col min="5123" max="5123" width="19.7265625" customWidth="1"/>
    <col min="5124" max="5124" width="10.7265625" customWidth="1"/>
    <col min="5125" max="5125" width="10.26953125" customWidth="1"/>
    <col min="5126" max="5126" width="5.453125" customWidth="1"/>
    <col min="5127" max="5127" width="13.26953125" customWidth="1"/>
    <col min="5128" max="5128" width="11.453125" customWidth="1"/>
    <col min="5129" max="5129" width="12" customWidth="1"/>
    <col min="5130" max="5130" width="23.453125" customWidth="1"/>
    <col min="5131" max="5131" width="1" customWidth="1"/>
    <col min="5132" max="5132" width="5.1796875" customWidth="1"/>
    <col min="5133" max="5375" width="11.453125" customWidth="1"/>
    <col min="5377" max="5377" width="1.7265625" customWidth="1"/>
    <col min="5378" max="5378" width="28.54296875" customWidth="1"/>
    <col min="5379" max="5379" width="19.7265625" customWidth="1"/>
    <col min="5380" max="5380" width="10.7265625" customWidth="1"/>
    <col min="5381" max="5381" width="10.26953125" customWidth="1"/>
    <col min="5382" max="5382" width="5.453125" customWidth="1"/>
    <col min="5383" max="5383" width="13.26953125" customWidth="1"/>
    <col min="5384" max="5384" width="11.453125" customWidth="1"/>
    <col min="5385" max="5385" width="12" customWidth="1"/>
    <col min="5386" max="5386" width="23.453125" customWidth="1"/>
    <col min="5387" max="5387" width="1" customWidth="1"/>
    <col min="5388" max="5388" width="5.1796875" customWidth="1"/>
    <col min="5389" max="5631" width="11.453125" customWidth="1"/>
    <col min="5633" max="5633" width="1.7265625" customWidth="1"/>
    <col min="5634" max="5634" width="28.54296875" customWidth="1"/>
    <col min="5635" max="5635" width="19.7265625" customWidth="1"/>
    <col min="5636" max="5636" width="10.7265625" customWidth="1"/>
    <col min="5637" max="5637" width="10.26953125" customWidth="1"/>
    <col min="5638" max="5638" width="5.453125" customWidth="1"/>
    <col min="5639" max="5639" width="13.26953125" customWidth="1"/>
    <col min="5640" max="5640" width="11.453125" customWidth="1"/>
    <col min="5641" max="5641" width="12" customWidth="1"/>
    <col min="5642" max="5642" width="23.453125" customWidth="1"/>
    <col min="5643" max="5643" width="1" customWidth="1"/>
    <col min="5644" max="5644" width="5.1796875" customWidth="1"/>
    <col min="5645" max="5887" width="11.453125" customWidth="1"/>
    <col min="5889" max="5889" width="1.7265625" customWidth="1"/>
    <col min="5890" max="5890" width="28.54296875" customWidth="1"/>
    <col min="5891" max="5891" width="19.7265625" customWidth="1"/>
    <col min="5892" max="5892" width="10.7265625" customWidth="1"/>
    <col min="5893" max="5893" width="10.26953125" customWidth="1"/>
    <col min="5894" max="5894" width="5.453125" customWidth="1"/>
    <col min="5895" max="5895" width="13.26953125" customWidth="1"/>
    <col min="5896" max="5896" width="11.453125" customWidth="1"/>
    <col min="5897" max="5897" width="12" customWidth="1"/>
    <col min="5898" max="5898" width="23.453125" customWidth="1"/>
    <col min="5899" max="5899" width="1" customWidth="1"/>
    <col min="5900" max="5900" width="5.1796875" customWidth="1"/>
    <col min="5901" max="6143" width="11.453125" customWidth="1"/>
    <col min="6145" max="6145" width="1.7265625" customWidth="1"/>
    <col min="6146" max="6146" width="28.54296875" customWidth="1"/>
    <col min="6147" max="6147" width="19.7265625" customWidth="1"/>
    <col min="6148" max="6148" width="10.7265625" customWidth="1"/>
    <col min="6149" max="6149" width="10.26953125" customWidth="1"/>
    <col min="6150" max="6150" width="5.453125" customWidth="1"/>
    <col min="6151" max="6151" width="13.26953125" customWidth="1"/>
    <col min="6152" max="6152" width="11.453125" customWidth="1"/>
    <col min="6153" max="6153" width="12" customWidth="1"/>
    <col min="6154" max="6154" width="23.453125" customWidth="1"/>
    <col min="6155" max="6155" width="1" customWidth="1"/>
    <col min="6156" max="6156" width="5.1796875" customWidth="1"/>
    <col min="6157" max="6399" width="11.453125" customWidth="1"/>
    <col min="6401" max="6401" width="1.7265625" customWidth="1"/>
    <col min="6402" max="6402" width="28.54296875" customWidth="1"/>
    <col min="6403" max="6403" width="19.7265625" customWidth="1"/>
    <col min="6404" max="6404" width="10.7265625" customWidth="1"/>
    <col min="6405" max="6405" width="10.26953125" customWidth="1"/>
    <col min="6406" max="6406" width="5.453125" customWidth="1"/>
    <col min="6407" max="6407" width="13.26953125" customWidth="1"/>
    <col min="6408" max="6408" width="11.453125" customWidth="1"/>
    <col min="6409" max="6409" width="12" customWidth="1"/>
    <col min="6410" max="6410" width="23.453125" customWidth="1"/>
    <col min="6411" max="6411" width="1" customWidth="1"/>
    <col min="6412" max="6412" width="5.1796875" customWidth="1"/>
    <col min="6413" max="6655" width="11.453125" customWidth="1"/>
    <col min="6657" max="6657" width="1.7265625" customWidth="1"/>
    <col min="6658" max="6658" width="28.54296875" customWidth="1"/>
    <col min="6659" max="6659" width="19.7265625" customWidth="1"/>
    <col min="6660" max="6660" width="10.7265625" customWidth="1"/>
    <col min="6661" max="6661" width="10.26953125" customWidth="1"/>
    <col min="6662" max="6662" width="5.453125" customWidth="1"/>
    <col min="6663" max="6663" width="13.26953125" customWidth="1"/>
    <col min="6664" max="6664" width="11.453125" customWidth="1"/>
    <col min="6665" max="6665" width="12" customWidth="1"/>
    <col min="6666" max="6666" width="23.453125" customWidth="1"/>
    <col min="6667" max="6667" width="1" customWidth="1"/>
    <col min="6668" max="6668" width="5.1796875" customWidth="1"/>
    <col min="6669" max="6911" width="11.453125" customWidth="1"/>
    <col min="6913" max="6913" width="1.7265625" customWidth="1"/>
    <col min="6914" max="6914" width="28.54296875" customWidth="1"/>
    <col min="6915" max="6915" width="19.7265625" customWidth="1"/>
    <col min="6916" max="6916" width="10.7265625" customWidth="1"/>
    <col min="6917" max="6917" width="10.26953125" customWidth="1"/>
    <col min="6918" max="6918" width="5.453125" customWidth="1"/>
    <col min="6919" max="6919" width="13.26953125" customWidth="1"/>
    <col min="6920" max="6920" width="11.453125" customWidth="1"/>
    <col min="6921" max="6921" width="12" customWidth="1"/>
    <col min="6922" max="6922" width="23.453125" customWidth="1"/>
    <col min="6923" max="6923" width="1" customWidth="1"/>
    <col min="6924" max="6924" width="5.1796875" customWidth="1"/>
    <col min="6925" max="7167" width="11.453125" customWidth="1"/>
    <col min="7169" max="7169" width="1.7265625" customWidth="1"/>
    <col min="7170" max="7170" width="28.54296875" customWidth="1"/>
    <col min="7171" max="7171" width="19.7265625" customWidth="1"/>
    <col min="7172" max="7172" width="10.7265625" customWidth="1"/>
    <col min="7173" max="7173" width="10.26953125" customWidth="1"/>
    <col min="7174" max="7174" width="5.453125" customWidth="1"/>
    <col min="7175" max="7175" width="13.26953125" customWidth="1"/>
    <col min="7176" max="7176" width="11.453125" customWidth="1"/>
    <col min="7177" max="7177" width="12" customWidth="1"/>
    <col min="7178" max="7178" width="23.453125" customWidth="1"/>
    <col min="7179" max="7179" width="1" customWidth="1"/>
    <col min="7180" max="7180" width="5.1796875" customWidth="1"/>
    <col min="7181" max="7423" width="11.453125" customWidth="1"/>
    <col min="7425" max="7425" width="1.7265625" customWidth="1"/>
    <col min="7426" max="7426" width="28.54296875" customWidth="1"/>
    <col min="7427" max="7427" width="19.7265625" customWidth="1"/>
    <col min="7428" max="7428" width="10.7265625" customWidth="1"/>
    <col min="7429" max="7429" width="10.26953125" customWidth="1"/>
    <col min="7430" max="7430" width="5.453125" customWidth="1"/>
    <col min="7431" max="7431" width="13.26953125" customWidth="1"/>
    <col min="7432" max="7432" width="11.453125" customWidth="1"/>
    <col min="7433" max="7433" width="12" customWidth="1"/>
    <col min="7434" max="7434" width="23.453125" customWidth="1"/>
    <col min="7435" max="7435" width="1" customWidth="1"/>
    <col min="7436" max="7436" width="5.1796875" customWidth="1"/>
    <col min="7437" max="7679" width="11.453125" customWidth="1"/>
    <col min="7681" max="7681" width="1.7265625" customWidth="1"/>
    <col min="7682" max="7682" width="28.54296875" customWidth="1"/>
    <col min="7683" max="7683" width="19.7265625" customWidth="1"/>
    <col min="7684" max="7684" width="10.7265625" customWidth="1"/>
    <col min="7685" max="7685" width="10.26953125" customWidth="1"/>
    <col min="7686" max="7686" width="5.453125" customWidth="1"/>
    <col min="7687" max="7687" width="13.26953125" customWidth="1"/>
    <col min="7688" max="7688" width="11.453125" customWidth="1"/>
    <col min="7689" max="7689" width="12" customWidth="1"/>
    <col min="7690" max="7690" width="23.453125" customWidth="1"/>
    <col min="7691" max="7691" width="1" customWidth="1"/>
    <col min="7692" max="7692" width="5.1796875" customWidth="1"/>
    <col min="7693" max="7935" width="11.453125" customWidth="1"/>
    <col min="7937" max="7937" width="1.7265625" customWidth="1"/>
    <col min="7938" max="7938" width="28.54296875" customWidth="1"/>
    <col min="7939" max="7939" width="19.7265625" customWidth="1"/>
    <col min="7940" max="7940" width="10.7265625" customWidth="1"/>
    <col min="7941" max="7941" width="10.26953125" customWidth="1"/>
    <col min="7942" max="7942" width="5.453125" customWidth="1"/>
    <col min="7943" max="7943" width="13.26953125" customWidth="1"/>
    <col min="7944" max="7944" width="11.453125" customWidth="1"/>
    <col min="7945" max="7945" width="12" customWidth="1"/>
    <col min="7946" max="7946" width="23.453125" customWidth="1"/>
    <col min="7947" max="7947" width="1" customWidth="1"/>
    <col min="7948" max="7948" width="5.1796875" customWidth="1"/>
    <col min="7949" max="8191" width="11.453125" customWidth="1"/>
    <col min="8193" max="8193" width="1.7265625" customWidth="1"/>
    <col min="8194" max="8194" width="28.54296875" customWidth="1"/>
    <col min="8195" max="8195" width="19.7265625" customWidth="1"/>
    <col min="8196" max="8196" width="10.7265625" customWidth="1"/>
    <col min="8197" max="8197" width="10.26953125" customWidth="1"/>
    <col min="8198" max="8198" width="5.453125" customWidth="1"/>
    <col min="8199" max="8199" width="13.26953125" customWidth="1"/>
    <col min="8200" max="8200" width="11.453125" customWidth="1"/>
    <col min="8201" max="8201" width="12" customWidth="1"/>
    <col min="8202" max="8202" width="23.453125" customWidth="1"/>
    <col min="8203" max="8203" width="1" customWidth="1"/>
    <col min="8204" max="8204" width="5.1796875" customWidth="1"/>
    <col min="8205" max="8447" width="11.453125" customWidth="1"/>
    <col min="8449" max="8449" width="1.7265625" customWidth="1"/>
    <col min="8450" max="8450" width="28.54296875" customWidth="1"/>
    <col min="8451" max="8451" width="19.7265625" customWidth="1"/>
    <col min="8452" max="8452" width="10.7265625" customWidth="1"/>
    <col min="8453" max="8453" width="10.26953125" customWidth="1"/>
    <col min="8454" max="8454" width="5.453125" customWidth="1"/>
    <col min="8455" max="8455" width="13.26953125" customWidth="1"/>
    <col min="8456" max="8456" width="11.453125" customWidth="1"/>
    <col min="8457" max="8457" width="12" customWidth="1"/>
    <col min="8458" max="8458" width="23.453125" customWidth="1"/>
    <col min="8459" max="8459" width="1" customWidth="1"/>
    <col min="8460" max="8460" width="5.1796875" customWidth="1"/>
    <col min="8461" max="8703" width="11.453125" customWidth="1"/>
    <col min="8705" max="8705" width="1.7265625" customWidth="1"/>
    <col min="8706" max="8706" width="28.54296875" customWidth="1"/>
    <col min="8707" max="8707" width="19.7265625" customWidth="1"/>
    <col min="8708" max="8708" width="10.7265625" customWidth="1"/>
    <col min="8709" max="8709" width="10.26953125" customWidth="1"/>
    <col min="8710" max="8710" width="5.453125" customWidth="1"/>
    <col min="8711" max="8711" width="13.26953125" customWidth="1"/>
    <col min="8712" max="8712" width="11.453125" customWidth="1"/>
    <col min="8713" max="8713" width="12" customWidth="1"/>
    <col min="8714" max="8714" width="23.453125" customWidth="1"/>
    <col min="8715" max="8715" width="1" customWidth="1"/>
    <col min="8716" max="8716" width="5.1796875" customWidth="1"/>
    <col min="8717" max="8959" width="11.453125" customWidth="1"/>
    <col min="8961" max="8961" width="1.7265625" customWidth="1"/>
    <col min="8962" max="8962" width="28.54296875" customWidth="1"/>
    <col min="8963" max="8963" width="19.7265625" customWidth="1"/>
    <col min="8964" max="8964" width="10.7265625" customWidth="1"/>
    <col min="8965" max="8965" width="10.26953125" customWidth="1"/>
    <col min="8966" max="8966" width="5.453125" customWidth="1"/>
    <col min="8967" max="8967" width="13.26953125" customWidth="1"/>
    <col min="8968" max="8968" width="11.453125" customWidth="1"/>
    <col min="8969" max="8969" width="12" customWidth="1"/>
    <col min="8970" max="8970" width="23.453125" customWidth="1"/>
    <col min="8971" max="8971" width="1" customWidth="1"/>
    <col min="8972" max="8972" width="5.1796875" customWidth="1"/>
    <col min="8973" max="9215" width="11.453125" customWidth="1"/>
    <col min="9217" max="9217" width="1.7265625" customWidth="1"/>
    <col min="9218" max="9218" width="28.54296875" customWidth="1"/>
    <col min="9219" max="9219" width="19.7265625" customWidth="1"/>
    <col min="9220" max="9220" width="10.7265625" customWidth="1"/>
    <col min="9221" max="9221" width="10.26953125" customWidth="1"/>
    <col min="9222" max="9222" width="5.453125" customWidth="1"/>
    <col min="9223" max="9223" width="13.26953125" customWidth="1"/>
    <col min="9224" max="9224" width="11.453125" customWidth="1"/>
    <col min="9225" max="9225" width="12" customWidth="1"/>
    <col min="9226" max="9226" width="23.453125" customWidth="1"/>
    <col min="9227" max="9227" width="1" customWidth="1"/>
    <col min="9228" max="9228" width="5.1796875" customWidth="1"/>
    <col min="9229" max="9471" width="11.453125" customWidth="1"/>
    <col min="9473" max="9473" width="1.7265625" customWidth="1"/>
    <col min="9474" max="9474" width="28.54296875" customWidth="1"/>
    <col min="9475" max="9475" width="19.7265625" customWidth="1"/>
    <col min="9476" max="9476" width="10.7265625" customWidth="1"/>
    <col min="9477" max="9477" width="10.26953125" customWidth="1"/>
    <col min="9478" max="9478" width="5.453125" customWidth="1"/>
    <col min="9479" max="9479" width="13.26953125" customWidth="1"/>
    <col min="9480" max="9480" width="11.453125" customWidth="1"/>
    <col min="9481" max="9481" width="12" customWidth="1"/>
    <col min="9482" max="9482" width="23.453125" customWidth="1"/>
    <col min="9483" max="9483" width="1" customWidth="1"/>
    <col min="9484" max="9484" width="5.1796875" customWidth="1"/>
    <col min="9485" max="9727" width="11.453125" customWidth="1"/>
    <col min="9729" max="9729" width="1.7265625" customWidth="1"/>
    <col min="9730" max="9730" width="28.54296875" customWidth="1"/>
    <col min="9731" max="9731" width="19.7265625" customWidth="1"/>
    <col min="9732" max="9732" width="10.7265625" customWidth="1"/>
    <col min="9733" max="9733" width="10.26953125" customWidth="1"/>
    <col min="9734" max="9734" width="5.453125" customWidth="1"/>
    <col min="9735" max="9735" width="13.26953125" customWidth="1"/>
    <col min="9736" max="9736" width="11.453125" customWidth="1"/>
    <col min="9737" max="9737" width="12" customWidth="1"/>
    <col min="9738" max="9738" width="23.453125" customWidth="1"/>
    <col min="9739" max="9739" width="1" customWidth="1"/>
    <col min="9740" max="9740" width="5.1796875" customWidth="1"/>
    <col min="9741" max="9983" width="11.453125" customWidth="1"/>
    <col min="9985" max="9985" width="1.7265625" customWidth="1"/>
    <col min="9986" max="9986" width="28.54296875" customWidth="1"/>
    <col min="9987" max="9987" width="19.7265625" customWidth="1"/>
    <col min="9988" max="9988" width="10.7265625" customWidth="1"/>
    <col min="9989" max="9989" width="10.26953125" customWidth="1"/>
    <col min="9990" max="9990" width="5.453125" customWidth="1"/>
    <col min="9991" max="9991" width="13.26953125" customWidth="1"/>
    <col min="9992" max="9992" width="11.453125" customWidth="1"/>
    <col min="9993" max="9993" width="12" customWidth="1"/>
    <col min="9994" max="9994" width="23.453125" customWidth="1"/>
    <col min="9995" max="9995" width="1" customWidth="1"/>
    <col min="9996" max="9996" width="5.1796875" customWidth="1"/>
    <col min="9997" max="10239" width="11.453125" customWidth="1"/>
    <col min="10241" max="10241" width="1.7265625" customWidth="1"/>
    <col min="10242" max="10242" width="28.54296875" customWidth="1"/>
    <col min="10243" max="10243" width="19.7265625" customWidth="1"/>
    <col min="10244" max="10244" width="10.7265625" customWidth="1"/>
    <col min="10245" max="10245" width="10.26953125" customWidth="1"/>
    <col min="10246" max="10246" width="5.453125" customWidth="1"/>
    <col min="10247" max="10247" width="13.26953125" customWidth="1"/>
    <col min="10248" max="10248" width="11.453125" customWidth="1"/>
    <col min="10249" max="10249" width="12" customWidth="1"/>
    <col min="10250" max="10250" width="23.453125" customWidth="1"/>
    <col min="10251" max="10251" width="1" customWidth="1"/>
    <col min="10252" max="10252" width="5.1796875" customWidth="1"/>
    <col min="10253" max="10495" width="11.453125" customWidth="1"/>
    <col min="10497" max="10497" width="1.7265625" customWidth="1"/>
    <col min="10498" max="10498" width="28.54296875" customWidth="1"/>
    <col min="10499" max="10499" width="19.7265625" customWidth="1"/>
    <col min="10500" max="10500" width="10.7265625" customWidth="1"/>
    <col min="10501" max="10501" width="10.26953125" customWidth="1"/>
    <col min="10502" max="10502" width="5.453125" customWidth="1"/>
    <col min="10503" max="10503" width="13.26953125" customWidth="1"/>
    <col min="10504" max="10504" width="11.453125" customWidth="1"/>
    <col min="10505" max="10505" width="12" customWidth="1"/>
    <col min="10506" max="10506" width="23.453125" customWidth="1"/>
    <col min="10507" max="10507" width="1" customWidth="1"/>
    <col min="10508" max="10508" width="5.1796875" customWidth="1"/>
    <col min="10509" max="10751" width="11.453125" customWidth="1"/>
    <col min="10753" max="10753" width="1.7265625" customWidth="1"/>
    <col min="10754" max="10754" width="28.54296875" customWidth="1"/>
    <col min="10755" max="10755" width="19.7265625" customWidth="1"/>
    <col min="10756" max="10756" width="10.7265625" customWidth="1"/>
    <col min="10757" max="10757" width="10.26953125" customWidth="1"/>
    <col min="10758" max="10758" width="5.453125" customWidth="1"/>
    <col min="10759" max="10759" width="13.26953125" customWidth="1"/>
    <col min="10760" max="10760" width="11.453125" customWidth="1"/>
    <col min="10761" max="10761" width="12" customWidth="1"/>
    <col min="10762" max="10762" width="23.453125" customWidth="1"/>
    <col min="10763" max="10763" width="1" customWidth="1"/>
    <col min="10764" max="10764" width="5.1796875" customWidth="1"/>
    <col min="10765" max="11007" width="11.453125" customWidth="1"/>
    <col min="11009" max="11009" width="1.7265625" customWidth="1"/>
    <col min="11010" max="11010" width="28.54296875" customWidth="1"/>
    <col min="11011" max="11011" width="19.7265625" customWidth="1"/>
    <col min="11012" max="11012" width="10.7265625" customWidth="1"/>
    <col min="11013" max="11013" width="10.26953125" customWidth="1"/>
    <col min="11014" max="11014" width="5.453125" customWidth="1"/>
    <col min="11015" max="11015" width="13.26953125" customWidth="1"/>
    <col min="11016" max="11016" width="11.453125" customWidth="1"/>
    <col min="11017" max="11017" width="12" customWidth="1"/>
    <col min="11018" max="11018" width="23.453125" customWidth="1"/>
    <col min="11019" max="11019" width="1" customWidth="1"/>
    <col min="11020" max="11020" width="5.1796875" customWidth="1"/>
    <col min="11021" max="11263" width="11.453125" customWidth="1"/>
    <col min="11265" max="11265" width="1.7265625" customWidth="1"/>
    <col min="11266" max="11266" width="28.54296875" customWidth="1"/>
    <col min="11267" max="11267" width="19.7265625" customWidth="1"/>
    <col min="11268" max="11268" width="10.7265625" customWidth="1"/>
    <col min="11269" max="11269" width="10.26953125" customWidth="1"/>
    <col min="11270" max="11270" width="5.453125" customWidth="1"/>
    <col min="11271" max="11271" width="13.26953125" customWidth="1"/>
    <col min="11272" max="11272" width="11.453125" customWidth="1"/>
    <col min="11273" max="11273" width="12" customWidth="1"/>
    <col min="11274" max="11274" width="23.453125" customWidth="1"/>
    <col min="11275" max="11275" width="1" customWidth="1"/>
    <col min="11276" max="11276" width="5.1796875" customWidth="1"/>
    <col min="11277" max="11519" width="11.453125" customWidth="1"/>
    <col min="11521" max="11521" width="1.7265625" customWidth="1"/>
    <col min="11522" max="11522" width="28.54296875" customWidth="1"/>
    <col min="11523" max="11523" width="19.7265625" customWidth="1"/>
    <col min="11524" max="11524" width="10.7265625" customWidth="1"/>
    <col min="11525" max="11525" width="10.26953125" customWidth="1"/>
    <col min="11526" max="11526" width="5.453125" customWidth="1"/>
    <col min="11527" max="11527" width="13.26953125" customWidth="1"/>
    <col min="11528" max="11528" width="11.453125" customWidth="1"/>
    <col min="11529" max="11529" width="12" customWidth="1"/>
    <col min="11530" max="11530" width="23.453125" customWidth="1"/>
    <col min="11531" max="11531" width="1" customWidth="1"/>
    <col min="11532" max="11532" width="5.1796875" customWidth="1"/>
    <col min="11533" max="11775" width="11.453125" customWidth="1"/>
    <col min="11777" max="11777" width="1.7265625" customWidth="1"/>
    <col min="11778" max="11778" width="28.54296875" customWidth="1"/>
    <col min="11779" max="11779" width="19.7265625" customWidth="1"/>
    <col min="11780" max="11780" width="10.7265625" customWidth="1"/>
    <col min="11781" max="11781" width="10.26953125" customWidth="1"/>
    <col min="11782" max="11782" width="5.453125" customWidth="1"/>
    <col min="11783" max="11783" width="13.26953125" customWidth="1"/>
    <col min="11784" max="11784" width="11.453125" customWidth="1"/>
    <col min="11785" max="11785" width="12" customWidth="1"/>
    <col min="11786" max="11786" width="23.453125" customWidth="1"/>
    <col min="11787" max="11787" width="1" customWidth="1"/>
    <col min="11788" max="11788" width="5.1796875" customWidth="1"/>
    <col min="11789" max="12031" width="11.453125" customWidth="1"/>
    <col min="12033" max="12033" width="1.7265625" customWidth="1"/>
    <col min="12034" max="12034" width="28.54296875" customWidth="1"/>
    <col min="12035" max="12035" width="19.7265625" customWidth="1"/>
    <col min="12036" max="12036" width="10.7265625" customWidth="1"/>
    <col min="12037" max="12037" width="10.26953125" customWidth="1"/>
    <col min="12038" max="12038" width="5.453125" customWidth="1"/>
    <col min="12039" max="12039" width="13.26953125" customWidth="1"/>
    <col min="12040" max="12040" width="11.453125" customWidth="1"/>
    <col min="12041" max="12041" width="12" customWidth="1"/>
    <col min="12042" max="12042" width="23.453125" customWidth="1"/>
    <col min="12043" max="12043" width="1" customWidth="1"/>
    <col min="12044" max="12044" width="5.1796875" customWidth="1"/>
    <col min="12045" max="12287" width="11.453125" customWidth="1"/>
    <col min="12289" max="12289" width="1.7265625" customWidth="1"/>
    <col min="12290" max="12290" width="28.54296875" customWidth="1"/>
    <col min="12291" max="12291" width="19.7265625" customWidth="1"/>
    <col min="12292" max="12292" width="10.7265625" customWidth="1"/>
    <col min="12293" max="12293" width="10.26953125" customWidth="1"/>
    <col min="12294" max="12294" width="5.453125" customWidth="1"/>
    <col min="12295" max="12295" width="13.26953125" customWidth="1"/>
    <col min="12296" max="12296" width="11.453125" customWidth="1"/>
    <col min="12297" max="12297" width="12" customWidth="1"/>
    <col min="12298" max="12298" width="23.453125" customWidth="1"/>
    <col min="12299" max="12299" width="1" customWidth="1"/>
    <col min="12300" max="12300" width="5.1796875" customWidth="1"/>
    <col min="12301" max="12543" width="11.453125" customWidth="1"/>
    <col min="12545" max="12545" width="1.7265625" customWidth="1"/>
    <col min="12546" max="12546" width="28.54296875" customWidth="1"/>
    <col min="12547" max="12547" width="19.7265625" customWidth="1"/>
    <col min="12548" max="12548" width="10.7265625" customWidth="1"/>
    <col min="12549" max="12549" width="10.26953125" customWidth="1"/>
    <col min="12550" max="12550" width="5.453125" customWidth="1"/>
    <col min="12551" max="12551" width="13.26953125" customWidth="1"/>
    <col min="12552" max="12552" width="11.453125" customWidth="1"/>
    <col min="12553" max="12553" width="12" customWidth="1"/>
    <col min="12554" max="12554" width="23.453125" customWidth="1"/>
    <col min="12555" max="12555" width="1" customWidth="1"/>
    <col min="12556" max="12556" width="5.1796875" customWidth="1"/>
    <col min="12557" max="12799" width="11.453125" customWidth="1"/>
    <col min="12801" max="12801" width="1.7265625" customWidth="1"/>
    <col min="12802" max="12802" width="28.54296875" customWidth="1"/>
    <col min="12803" max="12803" width="19.7265625" customWidth="1"/>
    <col min="12804" max="12804" width="10.7265625" customWidth="1"/>
    <col min="12805" max="12805" width="10.26953125" customWidth="1"/>
    <col min="12806" max="12806" width="5.453125" customWidth="1"/>
    <col min="12807" max="12807" width="13.26953125" customWidth="1"/>
    <col min="12808" max="12808" width="11.453125" customWidth="1"/>
    <col min="12809" max="12809" width="12" customWidth="1"/>
    <col min="12810" max="12810" width="23.453125" customWidth="1"/>
    <col min="12811" max="12811" width="1" customWidth="1"/>
    <col min="12812" max="12812" width="5.1796875" customWidth="1"/>
    <col min="12813" max="13055" width="11.453125" customWidth="1"/>
    <col min="13057" max="13057" width="1.7265625" customWidth="1"/>
    <col min="13058" max="13058" width="28.54296875" customWidth="1"/>
    <col min="13059" max="13059" width="19.7265625" customWidth="1"/>
    <col min="13060" max="13060" width="10.7265625" customWidth="1"/>
    <col min="13061" max="13061" width="10.26953125" customWidth="1"/>
    <col min="13062" max="13062" width="5.453125" customWidth="1"/>
    <col min="13063" max="13063" width="13.26953125" customWidth="1"/>
    <col min="13064" max="13064" width="11.453125" customWidth="1"/>
    <col min="13065" max="13065" width="12" customWidth="1"/>
    <col min="13066" max="13066" width="23.453125" customWidth="1"/>
    <col min="13067" max="13067" width="1" customWidth="1"/>
    <col min="13068" max="13068" width="5.1796875" customWidth="1"/>
    <col min="13069" max="13311" width="11.453125" customWidth="1"/>
    <col min="13313" max="13313" width="1.7265625" customWidth="1"/>
    <col min="13314" max="13314" width="28.54296875" customWidth="1"/>
    <col min="13315" max="13315" width="19.7265625" customWidth="1"/>
    <col min="13316" max="13316" width="10.7265625" customWidth="1"/>
    <col min="13317" max="13317" width="10.26953125" customWidth="1"/>
    <col min="13318" max="13318" width="5.453125" customWidth="1"/>
    <col min="13319" max="13319" width="13.26953125" customWidth="1"/>
    <col min="13320" max="13320" width="11.453125" customWidth="1"/>
    <col min="13321" max="13321" width="12" customWidth="1"/>
    <col min="13322" max="13322" width="23.453125" customWidth="1"/>
    <col min="13323" max="13323" width="1" customWidth="1"/>
    <col min="13324" max="13324" width="5.1796875" customWidth="1"/>
    <col min="13325" max="13567" width="11.453125" customWidth="1"/>
    <col min="13569" max="13569" width="1.7265625" customWidth="1"/>
    <col min="13570" max="13570" width="28.54296875" customWidth="1"/>
    <col min="13571" max="13571" width="19.7265625" customWidth="1"/>
    <col min="13572" max="13572" width="10.7265625" customWidth="1"/>
    <col min="13573" max="13573" width="10.26953125" customWidth="1"/>
    <col min="13574" max="13574" width="5.453125" customWidth="1"/>
    <col min="13575" max="13575" width="13.26953125" customWidth="1"/>
    <col min="13576" max="13576" width="11.453125" customWidth="1"/>
    <col min="13577" max="13577" width="12" customWidth="1"/>
    <col min="13578" max="13578" width="23.453125" customWidth="1"/>
    <col min="13579" max="13579" width="1" customWidth="1"/>
    <col min="13580" max="13580" width="5.1796875" customWidth="1"/>
    <col min="13581" max="13823" width="11.453125" customWidth="1"/>
    <col min="13825" max="13825" width="1.7265625" customWidth="1"/>
    <col min="13826" max="13826" width="28.54296875" customWidth="1"/>
    <col min="13827" max="13827" width="19.7265625" customWidth="1"/>
    <col min="13828" max="13828" width="10.7265625" customWidth="1"/>
    <col min="13829" max="13829" width="10.26953125" customWidth="1"/>
    <col min="13830" max="13830" width="5.453125" customWidth="1"/>
    <col min="13831" max="13831" width="13.26953125" customWidth="1"/>
    <col min="13832" max="13832" width="11.453125" customWidth="1"/>
    <col min="13833" max="13833" width="12" customWidth="1"/>
    <col min="13834" max="13834" width="23.453125" customWidth="1"/>
    <col min="13835" max="13835" width="1" customWidth="1"/>
    <col min="13836" max="13836" width="5.1796875" customWidth="1"/>
    <col min="13837" max="14079" width="11.453125" customWidth="1"/>
    <col min="14081" max="14081" width="1.7265625" customWidth="1"/>
    <col min="14082" max="14082" width="28.54296875" customWidth="1"/>
    <col min="14083" max="14083" width="19.7265625" customWidth="1"/>
    <col min="14084" max="14084" width="10.7265625" customWidth="1"/>
    <col min="14085" max="14085" width="10.26953125" customWidth="1"/>
    <col min="14086" max="14086" width="5.453125" customWidth="1"/>
    <col min="14087" max="14087" width="13.26953125" customWidth="1"/>
    <col min="14088" max="14088" width="11.453125" customWidth="1"/>
    <col min="14089" max="14089" width="12" customWidth="1"/>
    <col min="14090" max="14090" width="23.453125" customWidth="1"/>
    <col min="14091" max="14091" width="1" customWidth="1"/>
    <col min="14092" max="14092" width="5.1796875" customWidth="1"/>
    <col min="14093" max="14335" width="11.453125" customWidth="1"/>
    <col min="14337" max="14337" width="1.7265625" customWidth="1"/>
    <col min="14338" max="14338" width="28.54296875" customWidth="1"/>
    <col min="14339" max="14339" width="19.7265625" customWidth="1"/>
    <col min="14340" max="14340" width="10.7265625" customWidth="1"/>
    <col min="14341" max="14341" width="10.26953125" customWidth="1"/>
    <col min="14342" max="14342" width="5.453125" customWidth="1"/>
    <col min="14343" max="14343" width="13.26953125" customWidth="1"/>
    <col min="14344" max="14344" width="11.453125" customWidth="1"/>
    <col min="14345" max="14345" width="12" customWidth="1"/>
    <col min="14346" max="14346" width="23.453125" customWidth="1"/>
    <col min="14347" max="14347" width="1" customWidth="1"/>
    <col min="14348" max="14348" width="5.1796875" customWidth="1"/>
    <col min="14349" max="14591" width="11.453125" customWidth="1"/>
    <col min="14593" max="14593" width="1.7265625" customWidth="1"/>
    <col min="14594" max="14594" width="28.54296875" customWidth="1"/>
    <col min="14595" max="14595" width="19.7265625" customWidth="1"/>
    <col min="14596" max="14596" width="10.7265625" customWidth="1"/>
    <col min="14597" max="14597" width="10.26953125" customWidth="1"/>
    <col min="14598" max="14598" width="5.453125" customWidth="1"/>
    <col min="14599" max="14599" width="13.26953125" customWidth="1"/>
    <col min="14600" max="14600" width="11.453125" customWidth="1"/>
    <col min="14601" max="14601" width="12" customWidth="1"/>
    <col min="14602" max="14602" width="23.453125" customWidth="1"/>
    <col min="14603" max="14603" width="1" customWidth="1"/>
    <col min="14604" max="14604" width="5.1796875" customWidth="1"/>
    <col min="14605" max="14847" width="11.453125" customWidth="1"/>
    <col min="14849" max="14849" width="1.7265625" customWidth="1"/>
    <col min="14850" max="14850" width="28.54296875" customWidth="1"/>
    <col min="14851" max="14851" width="19.7265625" customWidth="1"/>
    <col min="14852" max="14852" width="10.7265625" customWidth="1"/>
    <col min="14853" max="14853" width="10.26953125" customWidth="1"/>
    <col min="14854" max="14854" width="5.453125" customWidth="1"/>
    <col min="14855" max="14855" width="13.26953125" customWidth="1"/>
    <col min="14856" max="14856" width="11.453125" customWidth="1"/>
    <col min="14857" max="14857" width="12" customWidth="1"/>
    <col min="14858" max="14858" width="23.453125" customWidth="1"/>
    <col min="14859" max="14859" width="1" customWidth="1"/>
    <col min="14860" max="14860" width="5.1796875" customWidth="1"/>
    <col min="14861" max="15103" width="11.453125" customWidth="1"/>
    <col min="15105" max="15105" width="1.7265625" customWidth="1"/>
    <col min="15106" max="15106" width="28.54296875" customWidth="1"/>
    <col min="15107" max="15107" width="19.7265625" customWidth="1"/>
    <col min="15108" max="15108" width="10.7265625" customWidth="1"/>
    <col min="15109" max="15109" width="10.26953125" customWidth="1"/>
    <col min="15110" max="15110" width="5.453125" customWidth="1"/>
    <col min="15111" max="15111" width="13.26953125" customWidth="1"/>
    <col min="15112" max="15112" width="11.453125" customWidth="1"/>
    <col min="15113" max="15113" width="12" customWidth="1"/>
    <col min="15114" max="15114" width="23.453125" customWidth="1"/>
    <col min="15115" max="15115" width="1" customWidth="1"/>
    <col min="15116" max="15116" width="5.1796875" customWidth="1"/>
    <col min="15117" max="15359" width="11.453125" customWidth="1"/>
    <col min="15361" max="15361" width="1.7265625" customWidth="1"/>
    <col min="15362" max="15362" width="28.54296875" customWidth="1"/>
    <col min="15363" max="15363" width="19.7265625" customWidth="1"/>
    <col min="15364" max="15364" width="10.7265625" customWidth="1"/>
    <col min="15365" max="15365" width="10.26953125" customWidth="1"/>
    <col min="15366" max="15366" width="5.453125" customWidth="1"/>
    <col min="15367" max="15367" width="13.26953125" customWidth="1"/>
    <col min="15368" max="15368" width="11.453125" customWidth="1"/>
    <col min="15369" max="15369" width="12" customWidth="1"/>
    <col min="15370" max="15370" width="23.453125" customWidth="1"/>
    <col min="15371" max="15371" width="1" customWidth="1"/>
    <col min="15372" max="15372" width="5.1796875" customWidth="1"/>
    <col min="15373" max="15615" width="11.453125" customWidth="1"/>
    <col min="15617" max="15617" width="1.7265625" customWidth="1"/>
    <col min="15618" max="15618" width="28.54296875" customWidth="1"/>
    <col min="15619" max="15619" width="19.7265625" customWidth="1"/>
    <col min="15620" max="15620" width="10.7265625" customWidth="1"/>
    <col min="15621" max="15621" width="10.26953125" customWidth="1"/>
    <col min="15622" max="15622" width="5.453125" customWidth="1"/>
    <col min="15623" max="15623" width="13.26953125" customWidth="1"/>
    <col min="15624" max="15624" width="11.453125" customWidth="1"/>
    <col min="15625" max="15625" width="12" customWidth="1"/>
    <col min="15626" max="15626" width="23.453125" customWidth="1"/>
    <col min="15627" max="15627" width="1" customWidth="1"/>
    <col min="15628" max="15628" width="5.1796875" customWidth="1"/>
    <col min="15629" max="15871" width="11.453125" customWidth="1"/>
    <col min="15873" max="15873" width="1.7265625" customWidth="1"/>
    <col min="15874" max="15874" width="28.54296875" customWidth="1"/>
    <col min="15875" max="15875" width="19.7265625" customWidth="1"/>
    <col min="15876" max="15876" width="10.7265625" customWidth="1"/>
    <col min="15877" max="15877" width="10.26953125" customWidth="1"/>
    <col min="15878" max="15878" width="5.453125" customWidth="1"/>
    <col min="15879" max="15879" width="13.26953125" customWidth="1"/>
    <col min="15880" max="15880" width="11.453125" customWidth="1"/>
    <col min="15881" max="15881" width="12" customWidth="1"/>
    <col min="15882" max="15882" width="23.453125" customWidth="1"/>
    <col min="15883" max="15883" width="1" customWidth="1"/>
    <col min="15884" max="15884" width="5.1796875" customWidth="1"/>
    <col min="15885" max="16127" width="11.453125" customWidth="1"/>
    <col min="16129" max="16129" width="1.7265625" customWidth="1"/>
    <col min="16130" max="16130" width="28.54296875" customWidth="1"/>
    <col min="16131" max="16131" width="19.7265625" customWidth="1"/>
    <col min="16132" max="16132" width="10.7265625" customWidth="1"/>
    <col min="16133" max="16133" width="10.26953125" customWidth="1"/>
    <col min="16134" max="16134" width="5.453125" customWidth="1"/>
    <col min="16135" max="16135" width="13.26953125" customWidth="1"/>
    <col min="16136" max="16136" width="11.453125" customWidth="1"/>
    <col min="16137" max="16137" width="12" customWidth="1"/>
    <col min="16138" max="16138" width="23.453125" customWidth="1"/>
    <col min="16139" max="16139" width="1" customWidth="1"/>
    <col min="16140" max="16140" width="5.1796875" customWidth="1"/>
    <col min="16141" max="16383" width="11.453125" customWidth="1"/>
  </cols>
  <sheetData>
    <row r="1" spans="2:17" ht="13" thickBot="1" x14ac:dyDescent="0.3"/>
    <row r="2" spans="2:17" ht="22.5" customHeight="1" thickBot="1" x14ac:dyDescent="0.3">
      <c r="B2" s="564" t="s">
        <v>150</v>
      </c>
      <c r="C2" s="565"/>
      <c r="D2" s="565"/>
      <c r="E2" s="565"/>
      <c r="F2" s="565"/>
      <c r="G2" s="565"/>
      <c r="H2" s="565"/>
      <c r="I2" s="565"/>
      <c r="J2" s="566"/>
    </row>
    <row r="3" spans="2:17" ht="26.5" customHeight="1" x14ac:dyDescent="0.25">
      <c r="B3" s="567" t="s">
        <v>151</v>
      </c>
      <c r="C3" s="567"/>
      <c r="D3" s="567"/>
      <c r="E3" s="567"/>
      <c r="F3" s="567"/>
      <c r="G3" s="567"/>
      <c r="H3" s="567"/>
      <c r="I3" s="567"/>
      <c r="J3" s="567"/>
    </row>
    <row r="4" spans="2:17" ht="7" customHeight="1" thickBot="1" x14ac:dyDescent="0.3">
      <c r="B4" s="386"/>
      <c r="C4" s="386"/>
      <c r="D4" s="386"/>
      <c r="E4" s="386"/>
      <c r="F4" s="386"/>
      <c r="G4" s="386"/>
      <c r="H4" s="386"/>
      <c r="I4" s="386"/>
    </row>
    <row r="5" spans="2:17" s="391" customFormat="1" ht="17.5" x14ac:dyDescent="0.45">
      <c r="B5" s="387" t="s">
        <v>152</v>
      </c>
      <c r="C5" s="388" t="s">
        <v>153</v>
      </c>
      <c r="D5" s="389" t="s">
        <v>154</v>
      </c>
      <c r="E5" s="388"/>
      <c r="F5" s="388"/>
      <c r="G5" s="388"/>
      <c r="H5" s="388"/>
      <c r="I5" s="390"/>
      <c r="Q5" s="392"/>
    </row>
    <row r="6" spans="2:17" s="391" customFormat="1" ht="16.5" x14ac:dyDescent="0.35">
      <c r="B6" s="393" t="s">
        <v>155</v>
      </c>
      <c r="C6" s="394">
        <v>7.4999999999999997E-2</v>
      </c>
      <c r="D6" s="395" t="s">
        <v>156</v>
      </c>
      <c r="E6" s="396">
        <v>2.5499999999999998</v>
      </c>
      <c r="F6" s="397" t="s">
        <v>157</v>
      </c>
      <c r="G6" s="398"/>
      <c r="H6" s="399" t="s">
        <v>158</v>
      </c>
      <c r="I6" s="400">
        <f>E6*C6</f>
        <v>0.19124999999999998</v>
      </c>
      <c r="Q6" s="392"/>
    </row>
    <row r="7" spans="2:17" s="391" customFormat="1" ht="14.5" x14ac:dyDescent="0.35">
      <c r="B7" s="393" t="s">
        <v>159</v>
      </c>
      <c r="C7" s="401">
        <v>0.78</v>
      </c>
      <c r="D7" s="397"/>
      <c r="E7" s="397"/>
      <c r="F7" s="397"/>
      <c r="G7" s="397"/>
      <c r="H7" s="397"/>
      <c r="I7" s="402"/>
    </row>
    <row r="8" spans="2:17" s="391" customFormat="1" ht="18" thickBot="1" x14ac:dyDescent="0.5">
      <c r="B8" s="403" t="s">
        <v>160</v>
      </c>
      <c r="C8" s="404">
        <f>1-((1-I6)^C7)</f>
        <v>0.15258694746557933</v>
      </c>
      <c r="D8" s="405"/>
      <c r="E8" s="405"/>
      <c r="F8" s="405"/>
      <c r="G8" s="405"/>
      <c r="H8" s="405"/>
      <c r="I8" s="406"/>
    </row>
    <row r="9" spans="2:17" s="391" customFormat="1" ht="8" customHeight="1" thickBot="1" x14ac:dyDescent="0.4"/>
    <row r="10" spans="2:17" s="391" customFormat="1" ht="15" hidden="1" thickBot="1" x14ac:dyDescent="0.4">
      <c r="B10" s="407"/>
      <c r="C10" s="408"/>
      <c r="D10" s="409"/>
      <c r="E10" s="407"/>
    </row>
    <row r="11" spans="2:17" s="391" customFormat="1" ht="15" hidden="1" thickBot="1" x14ac:dyDescent="0.4">
      <c r="B11" s="410" t="s">
        <v>161</v>
      </c>
    </row>
    <row r="12" spans="2:17" s="391" customFormat="1" ht="18" hidden="1" thickBot="1" x14ac:dyDescent="0.5">
      <c r="B12" s="391" t="s">
        <v>162</v>
      </c>
      <c r="D12" s="409" t="s">
        <v>163</v>
      </c>
    </row>
    <row r="13" spans="2:17" s="391" customFormat="1" ht="17" hidden="1" thickBot="1" x14ac:dyDescent="0.4">
      <c r="B13" s="397" t="s">
        <v>164</v>
      </c>
      <c r="D13" s="409"/>
      <c r="G13" s="409" t="s">
        <v>165</v>
      </c>
    </row>
    <row r="14" spans="2:17" s="391" customFormat="1" ht="29" customHeight="1" thickBot="1" x14ac:dyDescent="0.4">
      <c r="B14" s="568" t="s">
        <v>166</v>
      </c>
      <c r="C14" s="569"/>
      <c r="D14" s="569"/>
      <c r="E14" s="570"/>
      <c r="F14" s="395"/>
      <c r="G14" s="411"/>
      <c r="H14" s="412"/>
      <c r="I14" s="412"/>
      <c r="J14" s="412"/>
      <c r="K14" s="5"/>
    </row>
    <row r="15" spans="2:17" s="391" customFormat="1" ht="15.5" x14ac:dyDescent="0.35">
      <c r="B15" s="413" t="s">
        <v>77</v>
      </c>
      <c r="C15" s="414">
        <f>I6</f>
        <v>0.19124999999999998</v>
      </c>
      <c r="D15" s="415" t="s">
        <v>167</v>
      </c>
      <c r="E15" s="416">
        <f>1-C15</f>
        <v>0.80875000000000008</v>
      </c>
      <c r="F15" s="395"/>
      <c r="G15" s="411"/>
      <c r="H15" s="417"/>
      <c r="I15" s="412"/>
      <c r="J15" s="412"/>
      <c r="K15" s="5"/>
    </row>
    <row r="16" spans="2:17" s="391" customFormat="1" ht="15.5" x14ac:dyDescent="0.35">
      <c r="B16" s="418" t="s">
        <v>168</v>
      </c>
      <c r="C16" s="419">
        <f>C8</f>
        <v>0.15258694746557933</v>
      </c>
      <c r="D16" s="420" t="s">
        <v>169</v>
      </c>
      <c r="E16" s="421">
        <f>1-C16</f>
        <v>0.84741305253442067</v>
      </c>
      <c r="F16" s="395"/>
      <c r="G16" s="411"/>
      <c r="H16" s="417"/>
      <c r="I16" s="412"/>
      <c r="J16" s="412"/>
      <c r="K16" s="5"/>
    </row>
    <row r="17" spans="2:16" s="391" customFormat="1" ht="15.5" x14ac:dyDescent="0.35">
      <c r="B17" s="422" t="s">
        <v>170</v>
      </c>
      <c r="C17" s="423">
        <f>(C15+C16)/2</f>
        <v>0.17191847373278965</v>
      </c>
      <c r="D17" s="420" t="s">
        <v>171</v>
      </c>
      <c r="E17" s="421">
        <f>1-C17</f>
        <v>0.82808152626721032</v>
      </c>
      <c r="F17" s="395"/>
      <c r="G17" s="412"/>
      <c r="H17" s="412"/>
      <c r="I17" s="424"/>
      <c r="J17" s="412"/>
      <c r="K17" s="5"/>
    </row>
    <row r="18" spans="2:16" s="391" customFormat="1" ht="15.5" x14ac:dyDescent="0.35">
      <c r="B18" s="422" t="s">
        <v>172</v>
      </c>
      <c r="C18" s="425">
        <v>0.05</v>
      </c>
      <c r="D18" s="426" t="s">
        <v>173</v>
      </c>
      <c r="E18" s="421">
        <f>-NORMSINV((C18*100/2)/100)</f>
        <v>1.9599639845400538</v>
      </c>
      <c r="F18" s="395"/>
      <c r="G18" s="427" t="s">
        <v>174</v>
      </c>
      <c r="H18" s="428"/>
      <c r="I18" s="429"/>
      <c r="J18" s="430"/>
      <c r="K18" s="5"/>
    </row>
    <row r="19" spans="2:16" s="391" customFormat="1" ht="15.5" x14ac:dyDescent="0.35">
      <c r="B19" s="422" t="s">
        <v>175</v>
      </c>
      <c r="C19" s="431">
        <v>0.1</v>
      </c>
      <c r="D19" s="432" t="s">
        <v>176</v>
      </c>
      <c r="E19" s="421">
        <f>-NORMSINV(C19)</f>
        <v>1.2815515655446006</v>
      </c>
      <c r="F19" s="395"/>
      <c r="G19" s="433">
        <f>C22*C15</f>
        <v>382.88249999999994</v>
      </c>
      <c r="H19" s="434" t="s">
        <v>177</v>
      </c>
      <c r="I19" s="435"/>
      <c r="J19" s="430"/>
      <c r="K19" s="5"/>
    </row>
    <row r="20" spans="2:16" s="391" customFormat="1" ht="15.5" x14ac:dyDescent="0.35">
      <c r="B20" s="422" t="s">
        <v>178</v>
      </c>
      <c r="C20" s="436">
        <f>2*C17*E17*(E18+E19)^2</f>
        <v>2.9917262859143805</v>
      </c>
      <c r="D20" s="395"/>
      <c r="E20" s="402"/>
      <c r="F20" s="395"/>
      <c r="G20" s="437">
        <f>C22*C16</f>
        <v>305.47906882608982</v>
      </c>
      <c r="H20" s="438" t="s">
        <v>179</v>
      </c>
      <c r="I20" s="439"/>
      <c r="J20" s="440"/>
      <c r="K20" s="5"/>
    </row>
    <row r="21" spans="2:16" s="391" customFormat="1" ht="15.5" x14ac:dyDescent="0.35">
      <c r="B21" s="422" t="s">
        <v>180</v>
      </c>
      <c r="C21" s="441">
        <f>(C15-C16)^2</f>
        <v>1.4948316312793711E-3</v>
      </c>
      <c r="D21" s="397"/>
      <c r="E21" s="402"/>
      <c r="F21" s="395"/>
      <c r="G21" s="442">
        <f>SUM(G19:G20)</f>
        <v>688.36156882608975</v>
      </c>
      <c r="H21" s="427" t="s">
        <v>181</v>
      </c>
      <c r="I21" s="428"/>
      <c r="J21" s="430"/>
      <c r="K21" s="5"/>
    </row>
    <row r="22" spans="2:16" s="391" customFormat="1" ht="14.5" x14ac:dyDescent="0.35">
      <c r="B22" s="443" t="s">
        <v>182</v>
      </c>
      <c r="C22" s="444">
        <f>ROUNDUP(C20/C21,0)</f>
        <v>2002</v>
      </c>
      <c r="D22" s="445"/>
      <c r="E22" s="402"/>
      <c r="F22" s="395"/>
      <c r="G22" s="395"/>
      <c r="H22" s="395"/>
      <c r="I22" s="395"/>
      <c r="J22" s="395"/>
      <c r="K22" s="5"/>
    </row>
    <row r="23" spans="2:16" s="391" customFormat="1" ht="15" thickBot="1" x14ac:dyDescent="0.4">
      <c r="B23" s="446" t="s">
        <v>183</v>
      </c>
      <c r="C23" s="447">
        <f>C22*2</f>
        <v>4004</v>
      </c>
      <c r="D23" s="448"/>
      <c r="E23" s="406"/>
      <c r="F23" s="395"/>
      <c r="G23" s="395"/>
      <c r="H23" s="395"/>
      <c r="I23" s="449"/>
      <c r="J23" s="395"/>
    </row>
    <row r="24" spans="2:16" s="391" customFormat="1" ht="8.5" customHeight="1" x14ac:dyDescent="0.35">
      <c r="H24" s="450"/>
    </row>
    <row r="25" spans="2:16" s="391" customFormat="1" ht="14.5" x14ac:dyDescent="0.35">
      <c r="B25" s="451" t="s">
        <v>184</v>
      </c>
      <c r="C25" s="452"/>
      <c r="D25" s="451" t="s">
        <v>329</v>
      </c>
    </row>
    <row r="26" spans="2:16" s="391" customFormat="1" ht="7.5" customHeight="1" x14ac:dyDescent="0.35"/>
    <row r="27" spans="2:16" s="391" customFormat="1" ht="14.5" x14ac:dyDescent="0.35">
      <c r="B27" s="399" t="s">
        <v>185</v>
      </c>
      <c r="C27" s="453">
        <v>0</v>
      </c>
      <c r="D27" s="397" t="s">
        <v>186</v>
      </c>
      <c r="E27" s="444">
        <f>C22*1/(1-C27)</f>
        <v>2002</v>
      </c>
      <c r="F27" s="391" t="s">
        <v>187</v>
      </c>
      <c r="G27" s="452"/>
      <c r="H27" s="452"/>
    </row>
    <row r="28" spans="2:16" ht="13" x14ac:dyDescent="0.3">
      <c r="I28" s="5"/>
    </row>
    <row r="29" spans="2:16" ht="14.5" x14ac:dyDescent="0.35">
      <c r="D29" s="454"/>
      <c r="E29" s="454"/>
      <c r="F29" s="454"/>
      <c r="G29" s="454"/>
      <c r="I29" s="5"/>
    </row>
    <row r="30" spans="2:16" ht="14.5" x14ac:dyDescent="0.35">
      <c r="D30" s="454"/>
      <c r="E30" s="455"/>
      <c r="I30" s="5"/>
      <c r="J30" s="5"/>
      <c r="K30" s="5"/>
      <c r="L30" s="5"/>
      <c r="M30" s="5"/>
      <c r="N30" s="5"/>
      <c r="O30" s="5"/>
      <c r="P30" s="5"/>
    </row>
    <row r="31" spans="2:16" ht="13" x14ac:dyDescent="0.25">
      <c r="J31" s="456"/>
      <c r="K31" s="457"/>
      <c r="L31" s="457"/>
      <c r="M31" s="456"/>
      <c r="N31" s="457"/>
      <c r="O31" s="457"/>
      <c r="P31" s="458"/>
    </row>
    <row r="32" spans="2:16" ht="13" x14ac:dyDescent="0.3">
      <c r="E32" s="459"/>
      <c r="J32" s="460"/>
      <c r="K32" s="461"/>
      <c r="L32" s="461"/>
      <c r="M32" s="461"/>
      <c r="N32" s="462"/>
      <c r="O32" s="461"/>
      <c r="P32" s="463"/>
    </row>
    <row r="33" spans="7:9" x14ac:dyDescent="0.25">
      <c r="G33" s="464"/>
      <c r="H33" s="464"/>
      <c r="I33" s="464"/>
    </row>
  </sheetData>
  <mergeCells count="3">
    <mergeCell ref="B2:J2"/>
    <mergeCell ref="B3:J3"/>
    <mergeCell ref="B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NNT desde HR</vt:lpstr>
      <vt:lpstr>Inc Acumul</vt:lpstr>
      <vt:lpstr>Tamaño por HR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2021-10-29T07:03:35Z</dcterms:modified>
</cp:coreProperties>
</file>