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11101-VÑ SCORED\"/>
    </mc:Choice>
  </mc:AlternateContent>
  <xr:revisionPtr revIDLastSave="0" documentId="13_ncr:1_{489B99F2-ECC8-4A7E-B035-78549DEEBFF6}" xr6:coauthVersionLast="36" xr6:coauthVersionMax="36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1.1 InsCar, 3x3" sheetId="11" r:id="rId2"/>
    <sheet name="Gr1.2 MortCV InsCar, 3x3" sheetId="4" r:id="rId3"/>
    <sheet name="Gr1.3 MorCV IM Ict, 3x3" sheetId="1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2" l="1"/>
  <c r="D24" i="4"/>
  <c r="E24" i="4" s="1"/>
  <c r="D24" i="11"/>
  <c r="E24" i="11" s="1"/>
  <c r="C6" i="11"/>
  <c r="B1" i="11"/>
  <c r="E8" i="11" s="1"/>
  <c r="D25" i="12" l="1"/>
  <c r="E24" i="12"/>
  <c r="E25" i="4"/>
  <c r="C25" i="4"/>
  <c r="D25" i="4"/>
  <c r="G15" i="11"/>
  <c r="E25" i="11"/>
  <c r="C25" i="11"/>
  <c r="D10" i="11"/>
  <c r="E9" i="11"/>
  <c r="E12" i="11" s="1"/>
  <c r="D25" i="11"/>
  <c r="F2" i="11"/>
  <c r="H2" i="11" s="1"/>
  <c r="D8" i="11"/>
  <c r="D9" i="11"/>
  <c r="E11" i="11"/>
  <c r="F9" i="6"/>
  <c r="D9" i="6"/>
  <c r="G9" i="6" s="1"/>
  <c r="G8" i="6"/>
  <c r="I8" i="6" s="1"/>
  <c r="O8" i="6" s="1"/>
  <c r="E8" i="6"/>
  <c r="G7" i="6"/>
  <c r="I7" i="6" s="1"/>
  <c r="E7" i="6"/>
  <c r="D12" i="11" l="1"/>
  <c r="C25" i="12"/>
  <c r="E25" i="12"/>
  <c r="E9" i="6"/>
  <c r="I9" i="6"/>
  <c r="O9" i="6" s="1"/>
  <c r="O7" i="6"/>
  <c r="O94" i="6"/>
  <c r="P94" i="6"/>
  <c r="O95" i="6"/>
  <c r="P95" i="6"/>
  <c r="O96" i="6"/>
  <c r="P96" i="6"/>
  <c r="O97" i="6"/>
  <c r="P97" i="6"/>
  <c r="O98" i="6"/>
  <c r="P98" i="6"/>
  <c r="O99" i="6"/>
  <c r="P99" i="6"/>
  <c r="O100" i="6"/>
  <c r="P100" i="6"/>
  <c r="O101" i="6"/>
  <c r="P101" i="6"/>
  <c r="O102" i="6"/>
  <c r="P102" i="6"/>
  <c r="P93" i="6"/>
  <c r="O93" i="6"/>
  <c r="B14" i="6" l="1"/>
  <c r="B21" i="6"/>
  <c r="B22" i="6"/>
  <c r="B53" i="6"/>
  <c r="C6" i="12"/>
  <c r="F2" i="12" s="1"/>
  <c r="H2" i="12" s="1"/>
  <c r="B1" i="12"/>
  <c r="E8" i="12" s="1"/>
  <c r="D10" i="12" l="1"/>
  <c r="D8" i="12"/>
  <c r="D9" i="12"/>
  <c r="E9" i="12"/>
  <c r="E11" i="12"/>
  <c r="G15" i="12"/>
  <c r="D12" i="12" l="1"/>
  <c r="E12" i="12"/>
  <c r="C6" i="4" l="1"/>
  <c r="S5" i="6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D56" i="6"/>
  <c r="G61" i="6"/>
  <c r="E41" i="6"/>
  <c r="E40" i="6"/>
  <c r="I23" i="6"/>
  <c r="I22" i="6"/>
  <c r="C22" i="6"/>
  <c r="I21" i="6"/>
  <c r="C21" i="6"/>
  <c r="G14" i="6"/>
  <c r="E54" i="6" s="1"/>
  <c r="D14" i="6"/>
  <c r="B23" i="6"/>
  <c r="V8" i="6" l="1"/>
  <c r="V9" i="6" s="1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D58" i="6" s="1"/>
  <c r="D62" i="6" s="1"/>
  <c r="C56" i="6"/>
  <c r="E61" i="6"/>
  <c r="K14" i="6"/>
  <c r="F61" i="6"/>
  <c r="C40" i="6"/>
  <c r="T7" i="6" l="1"/>
  <c r="T6" i="6"/>
  <c r="F22" i="6"/>
  <c r="L22" i="6" s="1"/>
  <c r="M56" i="6" s="1"/>
  <c r="C42" i="6"/>
  <c r="E21" i="6"/>
  <c r="N23" i="6"/>
  <c r="D21" i="6"/>
  <c r="F21" i="6" s="1"/>
  <c r="C14" i="6"/>
  <c r="F14" i="6" s="1"/>
  <c r="I14" i="6" s="1"/>
  <c r="C45" i="6"/>
  <c r="E23" i="6"/>
  <c r="D23" i="6"/>
  <c r="F23" i="6" s="1"/>
  <c r="K22" i="6" l="1"/>
  <c r="L56" i="6" s="1"/>
  <c r="N56" i="6" s="1"/>
  <c r="E14" i="6"/>
  <c r="H14" i="6" s="1"/>
  <c r="E55" i="6" s="1"/>
  <c r="M14" i="6"/>
  <c r="E56" i="6"/>
  <c r="Q28" i="6"/>
  <c r="J23" i="6"/>
  <c r="K57" i="6" s="1"/>
  <c r="W22" i="6"/>
  <c r="W21" i="6"/>
  <c r="J21" i="6"/>
  <c r="K55" i="6" s="1"/>
  <c r="J26" i="6"/>
  <c r="L23" i="6"/>
  <c r="M57" i="6" s="1"/>
  <c r="K23" i="6"/>
  <c r="L57" i="6" s="1"/>
  <c r="D41" i="6"/>
  <c r="D46" i="6" s="1"/>
  <c r="D40" i="6"/>
  <c r="L21" i="6"/>
  <c r="M55" i="6" s="1"/>
  <c r="K21" i="6"/>
  <c r="L55" i="6" s="1"/>
  <c r="L14" i="6" l="1"/>
  <c r="E58" i="6"/>
  <c r="E62" i="6" s="1"/>
  <c r="D42" i="6"/>
  <c r="D45" i="6"/>
  <c r="C48" i="6" s="1"/>
  <c r="K41" i="6"/>
  <c r="I40" i="6" s="1"/>
  <c r="F54" i="6"/>
  <c r="N31" i="6"/>
  <c r="N32" i="6" s="1"/>
  <c r="K26" i="6"/>
  <c r="L26" i="6"/>
  <c r="N22" i="6"/>
  <c r="N24" i="6" s="1"/>
  <c r="N25" i="6" s="1"/>
  <c r="N26" i="6" s="1"/>
  <c r="J27" i="6"/>
  <c r="J35" i="6" s="1"/>
  <c r="N57" i="6"/>
  <c r="N55" i="6"/>
  <c r="C58" i="6"/>
  <c r="C62" i="6" s="1"/>
  <c r="W23" i="6"/>
  <c r="W24" i="6" s="1"/>
  <c r="W25" i="6" s="1"/>
  <c r="J32" i="6" l="1"/>
  <c r="T3" i="6" s="1"/>
  <c r="F55" i="6"/>
  <c r="L27" i="6"/>
  <c r="K35" i="6" s="1"/>
  <c r="M62" i="6"/>
  <c r="P62" i="6" s="1"/>
  <c r="F56" i="6"/>
  <c r="L62" i="6"/>
  <c r="O62" i="6" s="1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H56" i="6"/>
  <c r="H58" i="6" s="1"/>
  <c r="H62" i="6" s="1"/>
  <c r="N33" i="6"/>
  <c r="S3" i="6" l="1"/>
  <c r="K32" i="6"/>
  <c r="F58" i="6"/>
  <c r="F62" i="6" s="1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G58" i="6" l="1"/>
  <c r="G62" i="6" s="1"/>
  <c r="F2" i="4"/>
  <c r="H2" i="4" s="1"/>
  <c r="B1" i="4"/>
  <c r="E11" i="4" l="1"/>
  <c r="D8" i="4"/>
  <c r="G15" i="4"/>
  <c r="E8" i="4"/>
  <c r="D9" i="4"/>
  <c r="E9" i="4"/>
  <c r="E12" i="4" s="1"/>
  <c r="D10" i="4"/>
  <c r="D12" i="4" l="1"/>
</calcChain>
</file>

<file path=xl/sharedStrings.xml><?xml version="1.0" encoding="utf-8"?>
<sst xmlns="http://schemas.openxmlformats.org/spreadsheetml/2006/main" count="462" uniqueCount="315">
  <si>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</si>
  <si>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</si>
  <si>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</si>
  <si>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</si>
  <si>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</si>
  <si>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</si>
  <si>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</si>
  <si>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</si>
  <si>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</si>
  <si>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</si>
  <si>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</si>
  <si>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</si>
  <si>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</si>
  <si>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Placebo</t>
  </si>
  <si>
    <t>IC</t>
  </si>
  <si>
    <t xml:space="preserve"> 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</si>
  <si>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</si>
  <si>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</si>
  <si>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</si>
  <si>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</si>
  <si>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</si>
  <si>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</si>
  <si>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</si>
  <si>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</si>
  <si>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</si>
  <si>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</si>
  <si>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</si>
  <si>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</si>
  <si>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</si>
  <si>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</si>
  <si>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</si>
  <si>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</si>
  <si>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</si>
  <si>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</si>
  <si>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</si>
  <si>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</si>
  <si>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</si>
  <si>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</si>
  <si>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</si>
  <si>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</si>
  <si>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</si>
  <si>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</si>
  <si>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</si>
  <si>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</si>
  <si>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</si>
  <si>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</si>
  <si>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</si>
  <si>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</si>
  <si>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</si>
  <si>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</si>
  <si>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</si>
  <si>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</si>
  <si>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</si>
  <si>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</si>
  <si>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</si>
  <si>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</si>
  <si>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</si>
  <si>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</si>
  <si>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</si>
  <si>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</si>
  <si>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</si>
  <si>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</si>
  <si>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</si>
  <si>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</si>
  <si>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</si>
  <si>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</si>
  <si>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</si>
  <si>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</si>
  <si>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</si>
  <si>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</si>
  <si>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</si>
  <si>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</si>
  <si>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</si>
  <si>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</si>
  <si>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</si>
  <si>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</si>
  <si>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</si>
  <si>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</si>
  <si>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</si>
  <si>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</si>
  <si>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</si>
  <si>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</si>
  <si>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</si>
  <si>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</si>
  <si>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</si>
  <si>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</si>
  <si>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</si>
  <si>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</si>
  <si>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</si>
  <si>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</si>
  <si>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</si>
  <si>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</si>
  <si>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</si>
  <si>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</si>
  <si>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</si>
  <si>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</si>
  <si>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</si>
  <si>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</si>
  <si>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</si>
  <si>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</si>
  <si>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</si>
  <si>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</si>
  <si>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</si>
  <si>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</si>
  <si>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</si>
  <si>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</si>
  <si>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</si>
  <si>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</si>
  <si>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</si>
  <si>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</si>
  <si>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</si>
  <si>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</si>
  <si>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</si>
  <si>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</si>
  <si>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</si>
  <si>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</si>
  <si>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</si>
  <si>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</si>
  <si>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</si>
  <si>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</si>
  <si>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</si>
  <si>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</si>
  <si>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</si>
  <si>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</si>
  <si>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meses</t>
  </si>
  <si>
    <t>tiempo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</si>
  <si>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</si>
  <si>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</si>
  <si>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</si>
  <si>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</si>
  <si>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</si>
  <si>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</si>
  <si>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</si>
  <si>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</si>
  <si>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</si>
  <si>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</si>
  <si>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</si>
  <si>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Total de t de seguimiento</t>
  </si>
  <si>
    <t>Total del tiempo medio de seguimiento</t>
  </si>
  <si>
    <t>% Interv (Fact Box)</t>
  </si>
  <si>
    <t>años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</si>
  <si>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</si>
  <si>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</si>
  <si>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</si>
  <si>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</si>
  <si>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%Ev/año</t>
  </si>
  <si>
    <t>400/5292 (7,56%)</t>
  </si>
  <si>
    <t>530/5292 (10,02%)</t>
  </si>
  <si>
    <t>0,75 (0,67-0,85)</t>
  </si>
  <si>
    <t>2,46% (1,38% a 3,53%)</t>
  </si>
  <si>
    <t>41 (28 a 73)</t>
  </si>
  <si>
    <t>RAR (IC 95%) en 16 meses</t>
  </si>
  <si>
    <t>NNT (IC 95%) en 16 meses</t>
  </si>
  <si>
    <t>Medidas del efecto obtenidas por incidencias acumuladas, en 16 meses</t>
  </si>
  <si>
    <t>245/5292 (4,63%)</t>
  </si>
  <si>
    <t>360/5292 (6,8%)</t>
  </si>
  <si>
    <t>0,68 (0,58-0,8)</t>
  </si>
  <si>
    <t>2,17% (1,28% a 3,06%)</t>
  </si>
  <si>
    <t>46 (33 a 78)</t>
  </si>
  <si>
    <t>155/5292 (2,93%)</t>
  </si>
  <si>
    <t>170/5292 (3,21%)</t>
  </si>
  <si>
    <t>0,91 (0,74-1,13)</t>
  </si>
  <si>
    <t>0,28% (-0,38% a 0,94%)</t>
  </si>
  <si>
    <t>353 (106 a -264)</t>
  </si>
  <si>
    <t>Bhatt DL, Szarek M, Pitt B, Cannon CP, on behalf of the SCORED Investigators. Sotagliflozin in Patients with Diabetes and Chronic Kidney Disease. N Engl J Med. 2021 Jan 14;384(2):129-139.</t>
  </si>
  <si>
    <t>Variables experienciales</t>
  </si>
  <si>
    <t>20210114-ECA Scored 16m, DM2+ERC [Sotaglif vs Pl], -InsCar =Mort yCV. Bhatt</t>
  </si>
  <si>
    <t>Los 3 destinos del NNT (3dNNT)</t>
  </si>
  <si>
    <t>Los 3 tiempos biográficos (3tB)</t>
  </si>
  <si>
    <t>Variables NO experienciales</t>
  </si>
  <si>
    <t>Los 3 destinos NNT</t>
  </si>
  <si>
    <t>246/5292 (4,65%)</t>
  </si>
  <si>
    <t>1 (0,84-1,19)</t>
  </si>
  <si>
    <t>0% (-0,8% a 0,8%)</t>
  </si>
  <si>
    <t>2,5%</t>
  </si>
  <si>
    <t>-------</t>
  </si>
  <si>
    <t>Mortalidad por causa CV</t>
  </si>
  <si>
    <t>37/5292 (0,7%)</t>
  </si>
  <si>
    <t>52/5292 (0,98%)</t>
  </si>
  <si>
    <t>0,71 (0,47-1,08)</t>
  </si>
  <si>
    <t>0,28% (-0,08% a 0,63%)</t>
  </si>
  <si>
    <t>353 (158 a -1325)</t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</si>
  <si>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INFORMADOS POR LOS INVESTIGADORES</t>
    </r>
  </si>
  <si>
    <t>Medidas del efecto obtenidas por incidencias acumuladas</t>
  </si>
  <si>
    <t>RAR (IC 95%)</t>
  </si>
  <si>
    <t>EFECTOS ADVERSOS (EA) sin especificar los atribuidos a los tratamientos estudiados</t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</si>
  <si>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</si>
  <si>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r>
      <rPr>
        <b/>
        <sz val="10"/>
        <color rgb="FF0000FF"/>
        <rFont val="Calibri"/>
        <family val="2"/>
        <scheme val="minor"/>
      </rPr>
      <t xml:space="preserve">(*) </t>
    </r>
    <r>
      <rPr>
        <sz val="10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</si>
  <si>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</si>
  <si>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343/5292 (6,48%)</t>
  </si>
  <si>
    <t>442/5292 (8,35%)</t>
  </si>
  <si>
    <t>0,78 (0,68-0,89)</t>
  </si>
  <si>
    <t>1,87% (0,87% a 2,87%)</t>
  </si>
  <si>
    <t>53 (35 a 115)</t>
  </si>
  <si>
    <t>NNT (IC 95%)</t>
  </si>
  <si>
    <t>ECA SCORED, seguImiento 16,1 meses</t>
  </si>
  <si>
    <t>Tto estándar + Placebo, n= 5286</t>
  </si>
  <si>
    <t>Tto estándar + Placebo, n= 5292</t>
  </si>
  <si>
    <t>3720/5291 (70,31%)</t>
  </si>
  <si>
    <t>3743/5286 (70,81%)</t>
  </si>
  <si>
    <t>0,99 (0,97-1,02)</t>
  </si>
  <si>
    <t>0,5% (-1,23% a 2,24%)</t>
  </si>
  <si>
    <t>199 (45 a -81)</t>
  </si>
  <si>
    <t>8,17%</t>
  </si>
  <si>
    <t>1236/5291 (23,36%)</t>
  </si>
  <si>
    <t>1331/5286 (25,18%)</t>
  </si>
  <si>
    <t>0,93 (0,87-0,99)</t>
  </si>
  <si>
    <t>1,82% (0,19% a 3,45%)</t>
  </si>
  <si>
    <t>55 (29 a 537)</t>
  </si>
  <si>
    <t>58,79%</t>
  </si>
  <si>
    <t>228/5291 (4,31%)</t>
  </si>
  <si>
    <t>200/5286 (3,78%)</t>
  </si>
  <si>
    <t>1,14 (0,95-1,37)</t>
  </si>
  <si>
    <t>-0,53% (-1,28% a 0,23%)</t>
  </si>
  <si>
    <t>-190 (436 a -78)</t>
  </si>
  <si>
    <t>112/5291 (2,12%)</t>
  </si>
  <si>
    <t>94/5286 (1,78%)</t>
  </si>
  <si>
    <t>1,19 (0,91-1,56)</t>
  </si>
  <si>
    <t>-0,34% (-0,87% a 0,19%)</t>
  </si>
  <si>
    <t>-295 (514 a -115)</t>
  </si>
  <si>
    <t>24,19%</t>
  </si>
  <si>
    <t>EA que conducen a la muerte</t>
  </si>
  <si>
    <t>173/5291 (3,27%)</t>
  </si>
  <si>
    <t>192/5286 (3,63%)</t>
  </si>
  <si>
    <t>0,9 (0,74-1,1)</t>
  </si>
  <si>
    <t>0,36% (-0,34% a 1,06%)</t>
  </si>
  <si>
    <t>276 (94 a -297)</t>
  </si>
  <si>
    <t>17,4%</t>
  </si>
  <si>
    <t>Pacientes con al menos 1 EA de cualquier tipo</t>
  </si>
  <si>
    <t>Abandono del tratamiento por EA de cualquier tipo</t>
  </si>
  <si>
    <r>
      <t>Nº de pacientes con evento en</t>
    </r>
    <r>
      <rPr>
        <b/>
        <sz val="10"/>
        <rFont val="Calibri"/>
        <family val="2"/>
      </rPr>
      <t xml:space="preserve"> 16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</si>
  <si>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Hosp o visita a urgencias por InsCar</t>
  </si>
  <si>
    <t>EA de especial interés con los inhibidores del cotransportador sodio-glucosa tipo 2, SGTL-2</t>
  </si>
  <si>
    <t>Infección del tracto urinario</t>
  </si>
  <si>
    <t>Diarrea</t>
  </si>
  <si>
    <t>Contracción del volumen del líquido extracelular</t>
  </si>
  <si>
    <t>Fractura ósea</t>
  </si>
  <si>
    <t>Infección micotica genital</t>
  </si>
  <si>
    <t>Hipoglucemia (Glu plasma &lt; 76 mg/dl ó que requiere asistencia)</t>
  </si>
  <si>
    <t>Tromboembolismo venoso</t>
  </si>
  <si>
    <t>Cetoacidois diabética</t>
  </si>
  <si>
    <t>Pancreatitis</t>
  </si>
  <si>
    <t>610/5291 (11,53%)</t>
  </si>
  <si>
    <t>585/5286 (11,07%)</t>
  </si>
  <si>
    <t>1,04 (0,94-1,16)</t>
  </si>
  <si>
    <t>-0,46% (-1,67% a 0,75%)</t>
  </si>
  <si>
    <t>-216 (134 a -60)</t>
  </si>
  <si>
    <t>448/5291 (8,47%)</t>
  </si>
  <si>
    <t>315/5286 (5,96%)</t>
  </si>
  <si>
    <t>1,42 (1,24-1,63)</t>
  </si>
  <si>
    <t>-2,51% (-3,49% a -1,52%)</t>
  </si>
  <si>
    <t>-40 (-66 a -29)</t>
  </si>
  <si>
    <t>278/5291 (5,25%)</t>
  </si>
  <si>
    <t>213/5286 (4,03%)</t>
  </si>
  <si>
    <t>1,3 (1,1-1,55)</t>
  </si>
  <si>
    <t>-1,22% (-2,03% a -0,42%)</t>
  </si>
  <si>
    <t>-82 (-239 a -49)</t>
  </si>
  <si>
    <t>111/5291 (2,1%)</t>
  </si>
  <si>
    <t>117/5286 (2,21%)</t>
  </si>
  <si>
    <t>0,95 (0,73-1,23)</t>
  </si>
  <si>
    <t>0,12% (-0,44% a 0,67%)</t>
  </si>
  <si>
    <t>866 (149 a -226)</t>
  </si>
  <si>
    <t>125/5291 (2,36%)</t>
  </si>
  <si>
    <t>45/5286 (0,85%)</t>
  </si>
  <si>
    <t>2,78 (1,98-3,89)</t>
  </si>
  <si>
    <t>-1,51% (-1,98% a -1,02%)</t>
  </si>
  <si>
    <t>-66 (-98 a -50)</t>
  </si>
  <si>
    <t>53/5291 (1%)</t>
  </si>
  <si>
    <t>55/5286 (1,04%)</t>
  </si>
  <si>
    <t>0,96 (0,66-1,4)</t>
  </si>
  <si>
    <t>0,04% (-0,35% a 0,43%)</t>
  </si>
  <si>
    <t>2578 (234 a -285)</t>
  </si>
  <si>
    <t>31/5291 (0,59%)</t>
  </si>
  <si>
    <t>37/5286 (0,7%)</t>
  </si>
  <si>
    <t>0,84 (0,52-1,35)</t>
  </si>
  <si>
    <t>0,11% (-0,2% a 0,42%)</t>
  </si>
  <si>
    <t>877 (235 a -498)</t>
  </si>
  <si>
    <t>32/5291 (0,6%)</t>
  </si>
  <si>
    <t>33/5286 (0,62%)</t>
  </si>
  <si>
    <t>0,97 (0,6-1,57)</t>
  </si>
  <si>
    <t>0,02% (-0,29% a 0,33%)</t>
  </si>
  <si>
    <t>5131 (307 a -348)</t>
  </si>
  <si>
    <t>30/5291 (0,57%)</t>
  </si>
  <si>
    <t>14/5286 (0,26%)</t>
  </si>
  <si>
    <t>2,14 (1,14-4,03)</t>
  </si>
  <si>
    <t>-0,3% (-0,55% a -0,04%)</t>
  </si>
  <si>
    <t>-331 (-2617 a -182)</t>
  </si>
  <si>
    <t>12/5291 (0,23%)</t>
  </si>
  <si>
    <t>20/5286 (0,38%)</t>
  </si>
  <si>
    <t>0,6 (0,29-1,22)</t>
  </si>
  <si>
    <t>0,15% (-0,08% a 0,37%)</t>
  </si>
  <si>
    <t>660 (272 a -1323)</t>
  </si>
  <si>
    <t>Eventos que conducen a amputación</t>
  </si>
  <si>
    <r>
      <t>Abandono tratamiento por EA "serious"</t>
    </r>
    <r>
      <rPr>
        <i/>
        <sz val="10"/>
        <color rgb="FF0000FF"/>
        <rFont val="Calibri"/>
        <family val="2"/>
        <scheme val="minor"/>
      </rPr>
      <t>(*)</t>
    </r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</si>
  <si>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69 años [rango, 63 a 74], con DM2, FGe 44 ml/min (IQR, 37 a 51), enfermedad CV en un 49% e insuficiencia cardíaca en un 31%.</t>
    </r>
  </si>
  <si>
    <t>Participantes -----&gt;</t>
  </si>
  <si>
    <t>Meses ----&gt;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</si>
  <si>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[Mort CV u Hosp o visita urgencias por InsCar]</t>
    </r>
    <r>
      <rPr>
        <sz val="11"/>
        <rFont val="Calibri"/>
        <family val="2"/>
        <scheme val="minor"/>
      </rPr>
      <t xml:space="preserve"> </t>
    </r>
    <r>
      <rPr>
        <sz val="11"/>
        <color theme="0" tint="-0.34998626667073579"/>
        <rFont val="Calibri"/>
        <family val="2"/>
        <scheme val="minor"/>
      </rPr>
      <t>MortCvinsucár</t>
    </r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</si>
  <si>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>[Mort CV, IAM o Ictus]</t>
    </r>
    <r>
      <rPr>
        <sz val="11"/>
        <rFont val="Calibri"/>
        <family val="2"/>
        <scheme val="minor"/>
      </rPr>
      <t xml:space="preserve"> </t>
    </r>
    <r>
      <rPr>
        <sz val="11"/>
        <color theme="0" tint="-0.34998626667073579"/>
        <rFont val="Calibri"/>
        <family val="2"/>
        <scheme val="minor"/>
      </rPr>
      <t>MortCviamíctus</t>
    </r>
  </si>
  <si>
    <r>
      <rPr>
        <sz val="11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evento de </t>
    </r>
    <r>
      <rPr>
        <b/>
        <sz val="11"/>
        <rFont val="Calibri"/>
        <family val="2"/>
        <scheme val="minor"/>
      </rPr>
      <t xml:space="preserve">[Declinación FGe &gt; 50%, FGe &lt;15 ml/min, Diálisis de larga duración, o Trasplante renal] </t>
    </r>
    <r>
      <rPr>
        <sz val="11"/>
        <color theme="0" tint="-0.34998626667073579"/>
        <rFont val="Calibri"/>
        <family val="2"/>
        <scheme val="minor"/>
      </rPr>
      <t>Defi50 bajo 15 diatrán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</si>
  <si>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DM2: </t>
    </r>
    <r>
      <rPr>
        <sz val="10"/>
        <rFont val="Calibri"/>
        <family val="2"/>
      </rPr>
      <t xml:space="preserve">diabetes mellitus tipo 2; </t>
    </r>
    <r>
      <rPr>
        <b/>
        <sz val="10"/>
        <rFont val="Calibri"/>
        <family val="2"/>
      </rPr>
      <t>ERC:</t>
    </r>
    <r>
      <rPr>
        <sz val="10"/>
        <rFont val="Calibri"/>
        <family val="2"/>
      </rPr>
      <t xml:space="preserve"> enfermedad renal crónica;</t>
    </r>
    <r>
      <rPr>
        <b/>
        <sz val="10"/>
        <rFont val="Calibri"/>
        <family val="2"/>
      </rPr>
      <t xml:space="preserve"> ERT: </t>
    </r>
    <r>
      <rPr>
        <sz val="10"/>
        <rFont val="Calibri"/>
        <family val="2"/>
      </rPr>
      <t>enfermedad renal en etapa terminal = 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 xml:space="preserve"> evento de [FGe &lt;15 ml/min, Diálisis o Trasplante renal]; </t>
    </r>
    <r>
      <rPr>
        <b/>
        <sz val="10"/>
        <rFont val="Calibri"/>
        <family val="2"/>
      </rPr>
      <t>FGe:</t>
    </r>
    <r>
      <rPr>
        <sz val="10"/>
        <rFont val="Calibri"/>
        <family val="2"/>
      </rPr>
      <t xml:space="preserve"> filtración glomerular estimada, en ml/ min/ 1,73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superficie corporal;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IAM: </t>
    </r>
    <r>
      <rPr>
        <sz val="10"/>
        <rFont val="Calibri"/>
        <family val="2"/>
      </rPr>
      <t xml:space="preserve">infarto agudo de miocardio;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ml/min: mililitros por minuto; </t>
    </r>
    <r>
      <rPr>
        <b/>
        <sz val="10"/>
        <rFont val="Calibri"/>
        <family val="2"/>
      </rPr>
      <t xml:space="preserve">InsCar: </t>
    </r>
    <r>
      <rPr>
        <sz val="10"/>
        <rFont val="Calibri"/>
        <family val="2"/>
      </rPr>
      <t xml:space="preserve">insuficiencia cardíaca; </t>
    </r>
    <r>
      <rPr>
        <b/>
        <sz val="10"/>
        <rFont val="Calibri"/>
        <family val="2"/>
      </rPr>
      <t xml:space="preserve">Mort CV: </t>
    </r>
    <r>
      <rPr>
        <sz val="10"/>
        <rFont val="Calibri"/>
        <family val="2"/>
      </rPr>
      <t xml:space="preserve">mortalidad por causa cardiovascular;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>riesgo relativo (obtenido por incidencias acumuladas).</t>
    </r>
  </si>
  <si>
    <t>Mortalidad por todas las causas</t>
  </si>
  <si>
    <t>Sotagliflozina</t>
  </si>
  <si>
    <t>Tto estándar + Sotagliflozina, n= 5292</t>
  </si>
  <si>
    <t>Tto estándar + Sotagliflozina, n= 5291</t>
  </si>
  <si>
    <r>
      <rPr>
        <b/>
        <sz val="12"/>
        <color rgb="FF993300"/>
        <rFont val="Calibri"/>
        <family val="2"/>
        <scheme val="minor"/>
      </rPr>
      <t xml:space="preserve">Tabla 3tB-1: </t>
    </r>
    <r>
      <rPr>
        <b/>
        <sz val="12"/>
        <rFont val="Calibri"/>
        <family val="2"/>
        <scheme val="minor"/>
      </rPr>
      <t>Los 3 tiempos biográficos de cada variable, asumiendo que la incidencia asciende linealmente a lo largo del tiempo.</t>
    </r>
  </si>
  <si>
    <t>Resto de tiempo medio sin éxito durante todo el tiempo de seguimiento</t>
  </si>
  <si>
    <r>
      <t xml:space="preserve">ECA SCORED, seguImiento 16,1 meses </t>
    </r>
    <r>
      <rPr>
        <b/>
        <sz val="11"/>
        <color theme="0" tint="-0.14999847407452621"/>
        <rFont val="Calibri"/>
        <family val="2"/>
        <scheme val="minor"/>
      </rPr>
      <t>(según los "eventos/100 pacientes-año" de la variable  [Mort CV u Hosp o visita urgencias por InsCar])</t>
    </r>
  </si>
  <si>
    <r>
      <rPr>
        <b/>
        <sz val="20"/>
        <color rgb="FF993300"/>
        <rFont val="Calibri"/>
        <family val="2"/>
        <scheme val="minor"/>
      </rPr>
      <t xml:space="preserve">Gráfico g-1.1: </t>
    </r>
    <r>
      <rPr>
        <b/>
        <sz val="20"/>
        <color theme="1"/>
        <rFont val="Calibri"/>
        <family val="2"/>
        <scheme val="minor"/>
      </rPr>
      <t>Distribución de "Los 3 tiempos biográficos (3tB)" sobre "Los 3 destinos del NNT (3dNNT)" en "Hospitalización o visita urgencias por Insuficiencia cardíaca", durante un seguimiento de 16 meses.</t>
    </r>
  </si>
  <si>
    <r>
      <rPr>
        <b/>
        <sz val="19"/>
        <color rgb="FF993300"/>
        <rFont val="Calibri"/>
        <family val="2"/>
        <scheme val="minor"/>
      </rPr>
      <t xml:space="preserve">Gráfico g-1.2: </t>
    </r>
    <r>
      <rPr>
        <b/>
        <sz val="19"/>
        <color theme="1"/>
        <rFont val="Calibri"/>
        <family val="2"/>
        <scheme val="minor"/>
      </rPr>
      <t xml:space="preserve">Distribución de "Los 3 tiempos biográficos (3tB)" sobre "Los 3 destinos del NNT (3dNNT)" en </t>
    </r>
    <r>
      <rPr>
        <sz val="19"/>
        <color theme="1"/>
        <rFont val="Calibri"/>
        <family val="2"/>
        <scheme val="minor"/>
      </rPr>
      <t>1</t>
    </r>
    <r>
      <rPr>
        <vertAlign val="superscript"/>
        <sz val="19"/>
        <color theme="1"/>
        <rFont val="Calibri"/>
        <family val="2"/>
        <scheme val="minor"/>
      </rPr>
      <t>er</t>
    </r>
    <r>
      <rPr>
        <sz val="19"/>
        <color theme="1"/>
        <rFont val="Calibri"/>
        <family val="2"/>
        <scheme val="minor"/>
      </rPr>
      <t xml:space="preserve"> evento de</t>
    </r>
    <r>
      <rPr>
        <b/>
        <sz val="19"/>
        <color theme="1"/>
        <rFont val="Calibri"/>
        <family val="2"/>
        <scheme val="minor"/>
      </rPr>
      <t xml:space="preserve"> [Mort CV u Hospitalización o visita urgencias por Insuficiencia cardíaca], durante un seguimiento de 16 meses.</t>
    </r>
  </si>
  <si>
    <r>
      <rPr>
        <b/>
        <sz val="20"/>
        <color rgb="FF993300"/>
        <rFont val="Calibri"/>
        <family val="2"/>
        <scheme val="minor"/>
      </rPr>
      <t xml:space="preserve">Gráfico g-1.3: </t>
    </r>
    <r>
      <rPr>
        <b/>
        <sz val="20"/>
        <color theme="1"/>
        <rFont val="Calibri"/>
        <family val="2"/>
        <scheme val="minor"/>
      </rPr>
      <t>Distribución de "Los 3 tiempos biográficos (3tB)" sobre "Los 3 destinos del NNT (3dNNT)" en</t>
    </r>
    <r>
      <rPr>
        <sz val="20"/>
        <color theme="1"/>
        <rFont val="Calibri"/>
        <family val="2"/>
        <scheme val="minor"/>
      </rPr>
      <t xml:space="preserve"> 1</t>
    </r>
    <r>
      <rPr>
        <vertAlign val="superscript"/>
        <sz val="20"/>
        <color theme="1"/>
        <rFont val="Calibri"/>
        <family val="2"/>
        <scheme val="minor"/>
      </rPr>
      <t>er</t>
    </r>
    <r>
      <rPr>
        <sz val="20"/>
        <color theme="1"/>
        <rFont val="Calibri"/>
        <family val="2"/>
        <scheme val="minor"/>
      </rPr>
      <t xml:space="preserve"> evento de</t>
    </r>
    <r>
      <rPr>
        <b/>
        <sz val="20"/>
        <color theme="1"/>
        <rFont val="Calibri"/>
        <family val="2"/>
        <scheme val="minor"/>
      </rPr>
      <t xml:space="preserve"> [Mort CV, IAM o Ictus], durante un seguimiento de 16 meses.</t>
    </r>
  </si>
  <si>
    <r>
      <t>Variable no experiencial:</t>
    </r>
    <r>
      <rPr>
        <b/>
        <sz val="10"/>
        <color theme="0" tint="-0.14999847407452621"/>
        <rFont val="Calibri"/>
        <family val="2"/>
        <scheme val="minor"/>
      </rPr>
      <t xml:space="preserve"> ¿</t>
    </r>
    <r>
      <rPr>
        <sz val="10"/>
        <color theme="0" tint="-0.14999847407452621"/>
        <rFont val="Calibri"/>
        <family val="2"/>
        <scheme val="minor"/>
      </rPr>
      <t>1</t>
    </r>
    <r>
      <rPr>
        <b/>
        <vertAlign val="superscript"/>
        <sz val="10"/>
        <color theme="0" tint="-0.14999847407452621"/>
        <rFont val="Calibri"/>
        <family val="2"/>
        <scheme val="minor"/>
      </rPr>
      <t>os</t>
    </r>
    <r>
      <rPr>
        <b/>
        <sz val="10"/>
        <color theme="0" tint="-0.14999847407452621"/>
        <rFont val="Calibri"/>
        <family val="2"/>
        <scheme val="minor"/>
      </rPr>
      <t xml:space="preserve"> </t>
    </r>
    <r>
      <rPr>
        <sz val="10"/>
        <color theme="0" tint="-0.14999847407452621"/>
        <rFont val="Calibri"/>
        <family val="2"/>
        <scheme val="minor"/>
      </rPr>
      <t>eventos de</t>
    </r>
    <r>
      <rPr>
        <b/>
        <sz val="10"/>
        <color theme="0" tint="-0.14999847407452621"/>
        <rFont val="Calibri"/>
        <family val="2"/>
        <scheme val="minor"/>
      </rPr>
      <t xml:space="preserve"> MortC-vinsucár?</t>
    </r>
  </si>
  <si>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>[MortCV u Hosp o visita urg por InsCar]</t>
    </r>
  </si>
  <si>
    <r>
      <t>Variable no experiencial:</t>
    </r>
    <r>
      <rPr>
        <b/>
        <sz val="10"/>
        <color theme="0" tint="-0.14999847407452621"/>
        <rFont val="Calibri"/>
        <family val="2"/>
        <scheme val="minor"/>
      </rPr>
      <t xml:space="preserve"> ¿</t>
    </r>
    <r>
      <rPr>
        <sz val="10"/>
        <color theme="0" tint="-0.14999847407452621"/>
        <rFont val="Calibri"/>
        <family val="2"/>
        <scheme val="minor"/>
      </rPr>
      <t>1</t>
    </r>
    <r>
      <rPr>
        <b/>
        <vertAlign val="superscript"/>
        <sz val="10"/>
        <color theme="0" tint="-0.14999847407452621"/>
        <rFont val="Calibri"/>
        <family val="2"/>
        <scheme val="minor"/>
      </rPr>
      <t>os</t>
    </r>
    <r>
      <rPr>
        <b/>
        <sz val="10"/>
        <color theme="0" tint="-0.14999847407452621"/>
        <rFont val="Calibri"/>
        <family val="2"/>
        <scheme val="minor"/>
      </rPr>
      <t xml:space="preserve"> </t>
    </r>
    <r>
      <rPr>
        <sz val="10"/>
        <color theme="0" tint="-0.14999847407452621"/>
        <rFont val="Calibri"/>
        <family val="2"/>
        <scheme val="minor"/>
      </rPr>
      <t>eventos de</t>
    </r>
    <r>
      <rPr>
        <b/>
        <sz val="10"/>
        <color theme="0" tint="-0.14999847407452621"/>
        <rFont val="Calibri"/>
        <family val="2"/>
        <scheme val="minor"/>
      </rPr>
      <t xml:space="preserve"> MortC-viamíctus?</t>
    </r>
  </si>
  <si>
    <r>
      <rPr>
        <sz val="10"/>
        <rFont val="Calibri"/>
        <family val="2"/>
        <scheme val="minor"/>
      </rP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</t>
    </r>
    <r>
      <rPr>
        <b/>
        <sz val="10"/>
        <rFont val="Calibri"/>
        <family val="2"/>
        <scheme val="minor"/>
      </rPr>
      <t xml:space="preserve"> [MortCV, IAM o Ictus]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</si>
</sst>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  <numFmt numFmtId="178" formatCode="0.0000%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0066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6699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u/>
      <sz val="10"/>
      <name val="Calibri"/>
      <family val="2"/>
    </font>
    <font>
      <b/>
      <sz val="11"/>
      <color rgb="FF0000FF"/>
      <name val="Calibri"/>
      <family val="2"/>
      <scheme val="minor"/>
    </font>
    <font>
      <b/>
      <sz val="12"/>
      <color indexed="60"/>
      <name val="Calibri"/>
      <family val="2"/>
    </font>
    <font>
      <b/>
      <sz val="11"/>
      <color rgb="FF9933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0"/>
      <color indexed="12"/>
      <name val="Calibri"/>
      <family val="2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99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rgb="FF00800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color rgb="FF993300"/>
      <name val="Calibri"/>
      <family val="2"/>
      <scheme val="minor"/>
    </font>
    <font>
      <sz val="19"/>
      <color theme="1"/>
      <name val="Calibri"/>
      <family val="2"/>
      <scheme val="minor"/>
    </font>
    <font>
      <vertAlign val="superscript"/>
      <sz val="1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vertAlign val="superscript"/>
      <sz val="10"/>
      <color theme="0" tint="-0.1499984740745262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4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6" fontId="8" fillId="0" borderId="0" xfId="2" applyNumberFormat="1" applyFont="1" applyAlignment="1">
      <alignment horizontal="center"/>
    </xf>
    <xf numFmtId="0" fontId="9" fillId="0" borderId="0" xfId="0" applyFont="1" applyAlignment="1">
      <alignment horizontal="right"/>
    </xf>
    <xf numFmtId="166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right"/>
    </xf>
    <xf numFmtId="166" fontId="12" fillId="0" borderId="0" xfId="2" applyNumberFormat="1" applyFont="1" applyAlignment="1">
      <alignment horizontal="center"/>
    </xf>
    <xf numFmtId="3" fontId="4" fillId="0" borderId="7" xfId="0" applyNumberFormat="1" applyFont="1" applyBorder="1"/>
    <xf numFmtId="0" fontId="15" fillId="0" borderId="0" xfId="0" applyFont="1" applyAlignment="1">
      <alignment vertical="center"/>
    </xf>
    <xf numFmtId="0" fontId="0" fillId="0" borderId="0" xfId="0" applyBorder="1"/>
    <xf numFmtId="166" fontId="15" fillId="0" borderId="0" xfId="2" applyNumberFormat="1" applyFont="1" applyAlignment="1">
      <alignment horizontal="left" vertical="center"/>
    </xf>
    <xf numFmtId="0" fontId="15" fillId="0" borderId="0" xfId="0" applyFont="1"/>
    <xf numFmtId="49" fontId="15" fillId="0" borderId="0" xfId="0" applyNumberFormat="1" applyFont="1"/>
    <xf numFmtId="1" fontId="15" fillId="3" borderId="0" xfId="0" applyNumberFormat="1" applyFont="1" applyFill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2" fontId="7" fillId="2" borderId="7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66" fontId="8" fillId="0" borderId="0" xfId="2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5" fillId="0" borderId="0" xfId="0" applyNumberFormat="1" applyFont="1"/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/>
    <xf numFmtId="0" fontId="0" fillId="0" borderId="0" xfId="0" applyFill="1" applyBorder="1"/>
    <xf numFmtId="0" fontId="0" fillId="5" borderId="7" xfId="0" applyFill="1" applyBorder="1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vertical="center"/>
    </xf>
    <xf numFmtId="167" fontId="4" fillId="0" borderId="0" xfId="1" applyNumberFormat="1" applyFont="1" applyFill="1" applyBorder="1" applyAlignment="1"/>
    <xf numFmtId="167" fontId="21" fillId="0" borderId="0" xfId="1" applyNumberFormat="1" applyFont="1" applyFill="1" applyBorder="1" applyAlignment="1"/>
    <xf numFmtId="167" fontId="2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3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8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9" fillId="0" borderId="0" xfId="1" applyFont="1" applyFill="1" applyBorder="1" applyAlignment="1">
      <alignment horizontal="center"/>
    </xf>
    <xf numFmtId="43" fontId="2" fillId="0" borderId="0" xfId="1" applyFont="1" applyFill="1"/>
    <xf numFmtId="0" fontId="30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center" vertical="center" wrapText="1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1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6" fontId="4" fillId="0" borderId="7" xfId="2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33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3" fontId="33" fillId="0" borderId="0" xfId="1" applyFont="1" applyFill="1" applyAlignment="1">
      <alignment horizontal="right"/>
    </xf>
    <xf numFmtId="0" fontId="33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37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4" fillId="0" borderId="2" xfId="1" applyFont="1" applyFill="1" applyBorder="1" applyAlignment="1"/>
    <xf numFmtId="43" fontId="4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7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43" fontId="4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4" fontId="2" fillId="0" borderId="23" xfId="0" applyNumberFormat="1" applyFont="1" applyBorder="1"/>
    <xf numFmtId="166" fontId="2" fillId="0" borderId="23" xfId="2" applyNumberFormat="1" applyFont="1" applyFill="1" applyBorder="1" applyAlignment="1">
      <alignment horizontal="center" vertical="center" wrapText="1"/>
    </xf>
    <xf numFmtId="168" fontId="4" fillId="0" borderId="23" xfId="1" applyNumberFormat="1" applyFont="1" applyFill="1" applyBorder="1"/>
    <xf numFmtId="0" fontId="4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23" xfId="0" applyNumberFormat="1" applyFont="1" applyFill="1" applyBorder="1" applyAlignment="1">
      <alignment horizontal="center" vertical="center" wrapText="1"/>
    </xf>
    <xf numFmtId="170" fontId="2" fillId="9" borderId="23" xfId="1" applyNumberFormat="1" applyFont="1" applyFill="1" applyBorder="1"/>
    <xf numFmtId="0" fontId="4" fillId="0" borderId="0" xfId="0" applyFont="1" applyBorder="1"/>
    <xf numFmtId="166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41" fillId="0" borderId="23" xfId="0" applyNumberFormat="1" applyFont="1" applyBorder="1"/>
    <xf numFmtId="0" fontId="42" fillId="0" borderId="0" xfId="0" applyFont="1" applyBorder="1"/>
    <xf numFmtId="49" fontId="5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2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4" fillId="0" borderId="0" xfId="2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/>
    </xf>
    <xf numFmtId="49" fontId="44" fillId="0" borderId="0" xfId="1" applyNumberFormat="1" applyFont="1" applyBorder="1" applyAlignment="1">
      <alignment horizontal="right"/>
    </xf>
    <xf numFmtId="1" fontId="44" fillId="0" borderId="0" xfId="0" applyNumberFormat="1" applyFont="1" applyFill="1" applyBorder="1" applyAlignment="1">
      <alignment horizontal="center"/>
    </xf>
    <xf numFmtId="43" fontId="4" fillId="0" borderId="23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3" fontId="2" fillId="0" borderId="0" xfId="1" applyFont="1" applyFill="1" applyBorder="1" applyAlignment="1"/>
    <xf numFmtId="10" fontId="24" fillId="0" borderId="0" xfId="2" applyNumberFormat="1" applyFont="1" applyFill="1" applyBorder="1" applyAlignment="1">
      <alignment horizontal="center"/>
    </xf>
    <xf numFmtId="0" fontId="43" fillId="12" borderId="0" xfId="0" applyFont="1" applyFill="1" applyBorder="1" applyAlignment="1">
      <alignment horizontal="center" vertical="center" wrapText="1"/>
    </xf>
    <xf numFmtId="0" fontId="43" fillId="12" borderId="0" xfId="0" applyFont="1" applyFill="1" applyBorder="1"/>
    <xf numFmtId="0" fontId="43" fillId="12" borderId="0" xfId="0" applyFont="1" applyFill="1" applyBorder="1" applyAlignment="1">
      <alignment horizontal="right"/>
    </xf>
    <xf numFmtId="1" fontId="43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0" fontId="43" fillId="13" borderId="0" xfId="0" applyFont="1" applyFill="1" applyBorder="1" applyAlignment="1">
      <alignment horizontal="center" vertical="center" wrapText="1"/>
    </xf>
    <xf numFmtId="0" fontId="43" fillId="13" borderId="0" xfId="0" applyFont="1" applyFill="1" applyBorder="1"/>
    <xf numFmtId="0" fontId="43" fillId="13" borderId="0" xfId="0" applyFont="1" applyFill="1" applyBorder="1" applyAlignment="1">
      <alignment horizontal="right"/>
    </xf>
    <xf numFmtId="1" fontId="43" fillId="13" borderId="0" xfId="0" applyNumberFormat="1" applyFont="1" applyFill="1" applyBorder="1" applyAlignment="1">
      <alignment horizontal="center" vertical="distributed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167" fontId="43" fillId="14" borderId="0" xfId="0" applyNumberFormat="1" applyFont="1" applyFill="1" applyBorder="1" applyAlignment="1">
      <alignment horizontal="center" vertical="center" wrapText="1"/>
    </xf>
    <xf numFmtId="43" fontId="45" fillId="14" borderId="0" xfId="1" applyFont="1" applyFill="1" applyBorder="1"/>
    <xf numFmtId="43" fontId="43" fillId="14" borderId="0" xfId="1" applyFont="1" applyFill="1" applyBorder="1" applyAlignment="1">
      <alignment horizontal="right"/>
    </xf>
    <xf numFmtId="1" fontId="43" fillId="14" borderId="0" xfId="0" applyNumberFormat="1" applyFont="1" applyFill="1" applyBorder="1" applyAlignment="1">
      <alignment horizontal="center" vertical="distributed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/>
    <xf numFmtId="1" fontId="43" fillId="0" borderId="0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4" fillId="0" borderId="5" xfId="1" applyFont="1" applyFill="1" applyBorder="1" applyAlignment="1"/>
    <xf numFmtId="0" fontId="43" fillId="0" borderId="0" xfId="0" applyFont="1" applyFill="1" applyBorder="1" applyAlignment="1">
      <alignment horizontal="right" vertical="center"/>
    </xf>
    <xf numFmtId="49" fontId="43" fillId="0" borderId="0" xfId="1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center"/>
    </xf>
    <xf numFmtId="49" fontId="23" fillId="0" borderId="0" xfId="0" applyNumberFormat="1" applyFont="1"/>
    <xf numFmtId="0" fontId="43" fillId="11" borderId="0" xfId="0" applyFont="1" applyFill="1" applyBorder="1" applyAlignment="1">
      <alignment horizontal="center" vertical="center" wrapText="1"/>
    </xf>
    <xf numFmtId="0" fontId="43" fillId="11" borderId="0" xfId="0" applyFont="1" applyFill="1" applyBorder="1"/>
    <xf numFmtId="0" fontId="43" fillId="11" borderId="0" xfId="0" applyFont="1" applyFill="1" applyBorder="1" applyAlignment="1">
      <alignment horizontal="right"/>
    </xf>
    <xf numFmtId="1" fontId="43" fillId="11" borderId="0" xfId="0" applyNumberFormat="1" applyFont="1" applyFill="1" applyBorder="1" applyAlignment="1">
      <alignment horizontal="center" vertical="distributed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9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167" fontId="23" fillId="0" borderId="7" xfId="1" applyNumberFormat="1" applyFont="1" applyFill="1" applyBorder="1"/>
    <xf numFmtId="0" fontId="22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/>
    <xf numFmtId="0" fontId="33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4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67" fontId="25" fillId="0" borderId="7" xfId="1" applyNumberFormat="1" applyFont="1" applyFill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center"/>
    </xf>
    <xf numFmtId="167" fontId="23" fillId="0" borderId="0" xfId="1" applyNumberFormat="1" applyFont="1" applyFill="1" applyBorder="1"/>
    <xf numFmtId="167" fontId="25" fillId="0" borderId="0" xfId="1" applyNumberFormat="1" applyFont="1" applyFill="1" applyBorder="1"/>
    <xf numFmtId="167" fontId="34" fillId="0" borderId="0" xfId="0" applyNumberFormat="1" applyFont="1" applyFill="1" applyBorder="1"/>
    <xf numFmtId="0" fontId="48" fillId="0" borderId="20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48" fillId="0" borderId="7" xfId="1" applyFont="1" applyBorder="1"/>
    <xf numFmtId="0" fontId="25" fillId="0" borderId="0" xfId="0" applyFont="1" applyAlignment="1">
      <alignment horizontal="right"/>
    </xf>
    <xf numFmtId="43" fontId="4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4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4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/>
    <xf numFmtId="175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5" fillId="0" borderId="2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4" fontId="15" fillId="2" borderId="21" xfId="0" applyNumberFormat="1" applyFont="1" applyFill="1" applyBorder="1" applyAlignment="1">
      <alignment horizontal="center"/>
    </xf>
    <xf numFmtId="164" fontId="16" fillId="2" borderId="25" xfId="0" applyNumberFormat="1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2" fontId="43" fillId="14" borderId="0" xfId="0" applyNumberFormat="1" applyFont="1" applyFill="1" applyBorder="1" applyAlignment="1">
      <alignment horizontal="center" vertical="distributed"/>
    </xf>
    <xf numFmtId="164" fontId="43" fillId="12" borderId="0" xfId="0" applyNumberFormat="1" applyFont="1" applyFill="1" applyBorder="1" applyAlignment="1">
      <alignment horizontal="center" vertical="distributed"/>
    </xf>
    <xf numFmtId="2" fontId="7" fillId="2" borderId="25" xfId="0" applyNumberFormat="1" applyFont="1" applyFill="1" applyBorder="1" applyAlignment="1">
      <alignment horizontal="center" vertical="center"/>
    </xf>
    <xf numFmtId="0" fontId="27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50" fillId="0" borderId="7" xfId="0" applyNumberFormat="1" applyFont="1" applyFill="1" applyBorder="1" applyAlignment="1">
      <alignment horizontal="center" vertical="center" wrapText="1"/>
    </xf>
    <xf numFmtId="1" fontId="51" fillId="0" borderId="7" xfId="0" applyNumberFormat="1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49" fillId="2" borderId="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175" fontId="2" fillId="4" borderId="7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7" fillId="0" borderId="31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27" fillId="0" borderId="2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1" fontId="54" fillId="4" borderId="7" xfId="0" applyNumberFormat="1" applyFont="1" applyFill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/>
    </xf>
    <xf numFmtId="1" fontId="63" fillId="4" borderId="7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14" xfId="0" applyFont="1" applyFill="1" applyBorder="1"/>
    <xf numFmtId="0" fontId="18" fillId="0" borderId="24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4" fillId="2" borderId="16" xfId="0" applyFont="1" applyFill="1" applyBorder="1" applyAlignment="1">
      <alignment vertical="top"/>
    </xf>
    <xf numFmtId="0" fontId="15" fillId="2" borderId="14" xfId="0" applyFont="1" applyFill="1" applyBorder="1" applyAlignment="1">
      <alignment horizontal="left" vertical="center" wrapText="1"/>
    </xf>
    <xf numFmtId="175" fontId="2" fillId="4" borderId="0" xfId="0" applyNumberFormat="1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70" fillId="2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" fontId="71" fillId="4" borderId="7" xfId="0" applyNumberFormat="1" applyFont="1" applyFill="1" applyBorder="1" applyAlignment="1">
      <alignment horizontal="center" vertical="center"/>
    </xf>
    <xf numFmtId="1" fontId="19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left"/>
    </xf>
    <xf numFmtId="0" fontId="6" fillId="4" borderId="7" xfId="0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 vertical="center"/>
    </xf>
    <xf numFmtId="0" fontId="76" fillId="4" borderId="0" xfId="0" applyFont="1" applyFill="1" applyAlignment="1">
      <alignment horizontal="left"/>
    </xf>
    <xf numFmtId="9" fontId="2" fillId="0" borderId="0" xfId="2" applyNumberFormat="1" applyFont="1" applyAlignment="1">
      <alignment horizontal="left" vertical="center"/>
    </xf>
    <xf numFmtId="0" fontId="6" fillId="16" borderId="16" xfId="0" applyFont="1" applyFill="1" applyBorder="1" applyAlignment="1">
      <alignment vertical="center"/>
    </xf>
    <xf numFmtId="0" fontId="55" fillId="16" borderId="13" xfId="0" applyFont="1" applyFill="1" applyBorder="1" applyAlignment="1">
      <alignment vertical="center"/>
    </xf>
    <xf numFmtId="0" fontId="55" fillId="16" borderId="14" xfId="0" applyFont="1" applyFill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168" fontId="2" fillId="4" borderId="0" xfId="0" applyNumberFormat="1" applyFont="1" applyFill="1"/>
    <xf numFmtId="175" fontId="2" fillId="4" borderId="0" xfId="0" applyNumberFormat="1" applyFont="1" applyFill="1" applyAlignment="1">
      <alignment horizontal="center" vertical="center"/>
    </xf>
    <xf numFmtId="9" fontId="2" fillId="4" borderId="0" xfId="2" applyFont="1" applyFill="1" applyAlignment="1">
      <alignment horizontal="center" vertical="center"/>
    </xf>
    <xf numFmtId="1" fontId="64" fillId="4" borderId="0" xfId="0" applyNumberFormat="1" applyFont="1" applyFill="1" applyAlignment="1">
      <alignment horizontal="center" vertical="center"/>
    </xf>
    <xf numFmtId="1" fontId="65" fillId="4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0" fontId="46" fillId="4" borderId="7" xfId="0" applyNumberFormat="1" applyFont="1" applyFill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49" fontId="46" fillId="4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 wrapText="1"/>
    </xf>
    <xf numFmtId="3" fontId="7" fillId="0" borderId="0" xfId="0" applyNumberFormat="1" applyFont="1"/>
    <xf numFmtId="3" fontId="9" fillId="0" borderId="0" xfId="0" applyNumberFormat="1" applyFont="1"/>
    <xf numFmtId="3" fontId="11" fillId="0" borderId="0" xfId="0" applyNumberFormat="1" applyFont="1"/>
    <xf numFmtId="166" fontId="2" fillId="0" borderId="7" xfId="0" applyNumberFormat="1" applyFont="1" applyBorder="1" applyAlignment="1">
      <alignment horizontal="center" vertical="center"/>
    </xf>
    <xf numFmtId="166" fontId="2" fillId="0" borderId="0" xfId="2" applyNumberFormat="1" applyFont="1"/>
    <xf numFmtId="0" fontId="0" fillId="18" borderId="7" xfId="0" applyFill="1" applyBorder="1"/>
    <xf numFmtId="0" fontId="46" fillId="4" borderId="0" xfId="0" applyFont="1" applyFill="1" applyBorder="1" applyAlignment="1">
      <alignment horizontal="center" vertical="center"/>
    </xf>
    <xf numFmtId="49" fontId="46" fillId="4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0" fontId="46" fillId="4" borderId="0" xfId="0" applyNumberFormat="1" applyFont="1" applyFill="1" applyBorder="1" applyAlignment="1">
      <alignment horizontal="center" vertical="center"/>
    </xf>
    <xf numFmtId="1" fontId="72" fillId="4" borderId="0" xfId="0" applyNumberFormat="1" applyFont="1" applyFill="1" applyBorder="1" applyAlignment="1">
      <alignment horizontal="center" vertical="center"/>
    </xf>
    <xf numFmtId="1" fontId="81" fillId="4" borderId="7" xfId="0" applyNumberFormat="1" applyFont="1" applyFill="1" applyBorder="1" applyAlignment="1">
      <alignment horizontal="center" vertical="center"/>
    </xf>
    <xf numFmtId="1" fontId="82" fillId="4" borderId="7" xfId="0" applyNumberFormat="1" applyFont="1" applyFill="1" applyBorder="1" applyAlignment="1">
      <alignment horizontal="center" vertical="center"/>
    </xf>
    <xf numFmtId="1" fontId="83" fillId="4" borderId="7" xfId="0" applyNumberFormat="1" applyFont="1" applyFill="1" applyBorder="1" applyAlignment="1">
      <alignment horizontal="center" vertical="center"/>
    </xf>
    <xf numFmtId="164" fontId="81" fillId="4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4" fontId="82" fillId="4" borderId="7" xfId="0" applyNumberFormat="1" applyFont="1" applyFill="1" applyBorder="1" applyAlignment="1">
      <alignment horizontal="center" vertical="center"/>
    </xf>
    <xf numFmtId="164" fontId="83" fillId="4" borderId="7" xfId="0" applyNumberFormat="1" applyFont="1" applyFill="1" applyBorder="1" applyAlignment="1">
      <alignment horizontal="center" vertical="center"/>
    </xf>
    <xf numFmtId="0" fontId="34" fillId="0" borderId="7" xfId="0" applyFont="1" applyBorder="1" applyAlignment="1">
      <alignment horizontal="right" vertical="center" wrapText="1"/>
    </xf>
    <xf numFmtId="0" fontId="84" fillId="4" borderId="7" xfId="0" applyFont="1" applyFill="1" applyBorder="1" applyAlignment="1">
      <alignment horizontal="right" vertical="center"/>
    </xf>
    <xf numFmtId="0" fontId="84" fillId="0" borderId="7" xfId="0" applyFont="1" applyBorder="1" applyAlignment="1">
      <alignment horizontal="right" vertical="center"/>
    </xf>
    <xf numFmtId="10" fontId="84" fillId="4" borderId="7" xfId="0" applyNumberFormat="1" applyFont="1" applyFill="1" applyBorder="1" applyAlignment="1">
      <alignment horizontal="right" vertical="center"/>
    </xf>
    <xf numFmtId="168" fontId="34" fillId="4" borderId="0" xfId="0" applyNumberFormat="1" applyFont="1" applyFill="1" applyAlignment="1">
      <alignment horizontal="right"/>
    </xf>
    <xf numFmtId="175" fontId="34" fillId="4" borderId="7" xfId="0" applyNumberFormat="1" applyFont="1" applyFill="1" applyBorder="1" applyAlignment="1">
      <alignment horizontal="right" vertical="center"/>
    </xf>
    <xf numFmtId="0" fontId="34" fillId="4" borderId="0" xfId="0" applyFont="1" applyFill="1" applyAlignment="1">
      <alignment horizontal="right" vertical="center"/>
    </xf>
    <xf numFmtId="9" fontId="34" fillId="4" borderId="0" xfId="2" applyFont="1" applyFill="1" applyAlignment="1">
      <alignment horizontal="right" vertical="center"/>
    </xf>
    <xf numFmtId="1" fontId="85" fillId="4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6" fillId="4" borderId="7" xfId="0" applyFont="1" applyFill="1" applyBorder="1" applyAlignment="1">
      <alignment horizontal="left" vertical="center" wrapText="1"/>
    </xf>
    <xf numFmtId="166" fontId="46" fillId="4" borderId="7" xfId="0" applyNumberFormat="1" applyFont="1" applyFill="1" applyBorder="1" applyAlignment="1">
      <alignment horizontal="center" vertical="center"/>
    </xf>
    <xf numFmtId="166" fontId="46" fillId="4" borderId="7" xfId="2" applyNumberFormat="1" applyFont="1" applyFill="1" applyBorder="1" applyAlignment="1">
      <alignment horizontal="center" vertical="center"/>
    </xf>
    <xf numFmtId="0" fontId="47" fillId="4" borderId="7" xfId="0" applyFont="1" applyFill="1" applyBorder="1" applyAlignment="1">
      <alignment horizontal="center" vertical="center"/>
    </xf>
    <xf numFmtId="0" fontId="91" fillId="2" borderId="7" xfId="0" applyFont="1" applyFill="1" applyBorder="1" applyAlignment="1">
      <alignment horizontal="center" vertical="center"/>
    </xf>
    <xf numFmtId="166" fontId="47" fillId="4" borderId="7" xfId="1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49" fontId="47" fillId="0" borderId="7" xfId="0" applyNumberFormat="1" applyFont="1" applyFill="1" applyBorder="1" applyAlignment="1">
      <alignment horizontal="center" vertical="center"/>
    </xf>
    <xf numFmtId="178" fontId="47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5" borderId="15" xfId="0" applyFill="1" applyBorder="1"/>
    <xf numFmtId="0" fontId="0" fillId="18" borderId="15" xfId="0" applyFill="1" applyBorder="1"/>
    <xf numFmtId="0" fontId="0" fillId="5" borderId="10" xfId="0" applyFill="1" applyBorder="1"/>
    <xf numFmtId="0" fontId="20" fillId="0" borderId="16" xfId="0" applyFont="1" applyBorder="1" applyAlignment="1">
      <alignment horizontal="center" vertical="center"/>
    </xf>
    <xf numFmtId="0" fontId="0" fillId="6" borderId="35" xfId="0" applyFill="1" applyBorder="1"/>
    <xf numFmtId="0" fontId="69" fillId="0" borderId="14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0" fillId="18" borderId="35" xfId="0" applyFill="1" applyBorder="1"/>
    <xf numFmtId="0" fontId="93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5" fontId="2" fillId="4" borderId="15" xfId="0" applyNumberFormat="1" applyFont="1" applyFill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6" fontId="47" fillId="4" borderId="0" xfId="1" applyNumberFormat="1" applyFont="1" applyFill="1" applyBorder="1" applyAlignment="1">
      <alignment horizontal="center" vertical="center"/>
    </xf>
    <xf numFmtId="164" fontId="61" fillId="4" borderId="7" xfId="0" applyNumberFormat="1" applyFont="1" applyFill="1" applyBorder="1" applyAlignment="1">
      <alignment horizontal="center" vertical="center"/>
    </xf>
    <xf numFmtId="164" fontId="53" fillId="4" borderId="7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7" fillId="4" borderId="0" xfId="1" applyNumberFormat="1" applyFont="1" applyFill="1" applyBorder="1" applyAlignment="1">
      <alignment horizontal="center" vertical="center"/>
    </xf>
    <xf numFmtId="164" fontId="47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/>
    <xf numFmtId="164" fontId="73" fillId="4" borderId="7" xfId="0" applyNumberFormat="1" applyFont="1" applyFill="1" applyBorder="1" applyAlignment="1">
      <alignment horizontal="center" vertical="center"/>
    </xf>
    <xf numFmtId="164" fontId="19" fillId="4" borderId="7" xfId="0" applyNumberFormat="1" applyFont="1" applyFill="1" applyBorder="1" applyAlignment="1">
      <alignment horizontal="center" vertical="center"/>
    </xf>
    <xf numFmtId="0" fontId="95" fillId="0" borderId="0" xfId="0" applyFont="1"/>
    <xf numFmtId="0" fontId="95" fillId="0" borderId="0" xfId="0" applyFont="1" applyAlignment="1">
      <alignment horizontal="center"/>
    </xf>
    <xf numFmtId="0" fontId="95" fillId="0" borderId="0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10" fontId="95" fillId="0" borderId="0" xfId="2" applyNumberFormat="1" applyFont="1"/>
    <xf numFmtId="10" fontId="95" fillId="0" borderId="0" xfId="2" applyNumberFormat="1" applyFont="1" applyAlignment="1">
      <alignment horizontal="center"/>
    </xf>
    <xf numFmtId="2" fontId="95" fillId="0" borderId="0" xfId="0" applyNumberFormat="1" applyFont="1" applyAlignment="1">
      <alignment horizontal="center"/>
    </xf>
    <xf numFmtId="164" fontId="95" fillId="0" borderId="0" xfId="0" applyNumberFormat="1" applyFont="1" applyAlignment="1">
      <alignment horizontal="center"/>
    </xf>
    <xf numFmtId="43" fontId="95" fillId="0" borderId="0" xfId="1" applyFont="1" applyFill="1" applyBorder="1" applyAlignment="1">
      <alignment horizontal="center" vertical="center" wrapText="1"/>
    </xf>
    <xf numFmtId="168" fontId="96" fillId="0" borderId="0" xfId="1" applyNumberFormat="1" applyFont="1"/>
    <xf numFmtId="2" fontId="95" fillId="0" borderId="0" xfId="0" applyNumberFormat="1" applyFont="1" applyFill="1" applyAlignment="1">
      <alignment horizontal="center"/>
    </xf>
    <xf numFmtId="164" fontId="95" fillId="0" borderId="0" xfId="0" applyNumberFormat="1" applyFont="1" applyFill="1" applyAlignment="1">
      <alignment horizontal="center"/>
    </xf>
    <xf numFmtId="1" fontId="62" fillId="4" borderId="7" xfId="0" applyNumberFormat="1" applyFont="1" applyFill="1" applyBorder="1" applyAlignment="1">
      <alignment horizontal="center" vertical="center"/>
    </xf>
    <xf numFmtId="1" fontId="74" fillId="4" borderId="7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7" borderId="7" xfId="1" applyNumberFormat="1" applyFont="1" applyFill="1" applyBorder="1" applyAlignment="1">
      <alignment horizontal="center" vertical="center"/>
    </xf>
    <xf numFmtId="164" fontId="62" fillId="2" borderId="7" xfId="0" applyNumberFormat="1" applyFont="1" applyFill="1" applyBorder="1" applyAlignment="1">
      <alignment horizontal="center" vertical="center"/>
    </xf>
    <xf numFmtId="164" fontId="74" fillId="2" borderId="7" xfId="0" applyNumberFormat="1" applyFont="1" applyFill="1" applyBorder="1" applyAlignment="1">
      <alignment horizontal="center" vertical="center"/>
    </xf>
    <xf numFmtId="1" fontId="47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/>
    <xf numFmtId="1" fontId="15" fillId="4" borderId="7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1" fillId="0" borderId="7" xfId="0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1" fontId="16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vertical="center"/>
    </xf>
    <xf numFmtId="0" fontId="46" fillId="4" borderId="0" xfId="0" applyFont="1" applyFill="1" applyAlignment="1">
      <alignment horizontal="left"/>
    </xf>
    <xf numFmtId="0" fontId="46" fillId="4" borderId="0" xfId="0" applyFont="1" applyFill="1"/>
    <xf numFmtId="0" fontId="46" fillId="0" borderId="0" xfId="0" applyFont="1" applyFill="1"/>
    <xf numFmtId="164" fontId="7" fillId="0" borderId="0" xfId="0" applyNumberFormat="1" applyFont="1"/>
    <xf numFmtId="164" fontId="9" fillId="0" borderId="0" xfId="0" applyNumberFormat="1" applyFont="1"/>
    <xf numFmtId="164" fontId="11" fillId="0" borderId="0" xfId="0" applyNumberFormat="1" applyFont="1"/>
    <xf numFmtId="0" fontId="15" fillId="0" borderId="0" xfId="0" applyFont="1" applyFill="1" applyBorder="1"/>
    <xf numFmtId="1" fontId="11" fillId="0" borderId="0" xfId="0" applyNumberFormat="1" applyFont="1" applyFill="1" applyBorder="1"/>
    <xf numFmtId="0" fontId="15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/>
    </xf>
    <xf numFmtId="0" fontId="105" fillId="0" borderId="0" xfId="0" applyFont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5" fillId="17" borderId="14" xfId="0" applyFont="1" applyFill="1" applyBorder="1" applyAlignment="1">
      <alignment horizontal="left" vertical="center" wrapText="1"/>
    </xf>
    <xf numFmtId="0" fontId="59" fillId="4" borderId="28" xfId="0" applyFont="1" applyFill="1" applyBorder="1" applyAlignment="1">
      <alignment horizontal="center" vertical="top" wrapText="1"/>
    </xf>
    <xf numFmtId="0" fontId="59" fillId="4" borderId="30" xfId="0" applyFont="1" applyFill="1" applyBorder="1" applyAlignment="1">
      <alignment horizontal="center" vertical="top" wrapText="1"/>
    </xf>
    <xf numFmtId="0" fontId="60" fillId="4" borderId="28" xfId="0" applyFont="1" applyFill="1" applyBorder="1" applyAlignment="1">
      <alignment horizontal="center" vertical="top" wrapText="1"/>
    </xf>
    <xf numFmtId="0" fontId="60" fillId="4" borderId="30" xfId="0" applyFont="1" applyFill="1" applyBorder="1" applyAlignment="1">
      <alignment horizontal="center" vertical="top" wrapText="1"/>
    </xf>
    <xf numFmtId="0" fontId="58" fillId="4" borderId="28" xfId="0" applyFont="1" applyFill="1" applyBorder="1" applyAlignment="1">
      <alignment horizontal="center" vertical="top" wrapText="1"/>
    </xf>
    <xf numFmtId="0" fontId="58" fillId="4" borderId="30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6" fillId="0" borderId="4" xfId="0" applyFont="1" applyBorder="1" applyAlignment="1">
      <alignment horizontal="left" vertical="center" wrapText="1"/>
    </xf>
    <xf numFmtId="0" fontId="66" fillId="0" borderId="5" xfId="0" applyFont="1" applyBorder="1" applyAlignment="1">
      <alignment horizontal="left" vertical="center" wrapText="1"/>
    </xf>
    <xf numFmtId="0" fontId="66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55" fillId="17" borderId="16" xfId="0" applyFont="1" applyFill="1" applyBorder="1" applyAlignment="1">
      <alignment horizontal="left" vertical="center" wrapText="1"/>
    </xf>
    <xf numFmtId="0" fontId="55" fillId="17" borderId="13" xfId="0" applyFont="1" applyFill="1" applyBorder="1" applyAlignment="1">
      <alignment horizontal="left" vertical="center" wrapText="1"/>
    </xf>
    <xf numFmtId="0" fontId="55" fillId="17" borderId="14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88" fillId="0" borderId="16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top" textRotation="180" wrapText="1"/>
    </xf>
    <xf numFmtId="1" fontId="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99" fillId="0" borderId="16" xfId="0" applyFont="1" applyBorder="1" applyAlignment="1">
      <alignment horizontal="left" vertical="center" wrapText="1"/>
    </xf>
    <xf numFmtId="0" fontId="99" fillId="0" borderId="13" xfId="0" applyFont="1" applyBorder="1" applyAlignment="1">
      <alignment horizontal="left" vertical="center" wrapText="1"/>
    </xf>
    <xf numFmtId="0" fontId="99" fillId="0" borderId="14" xfId="0" applyFont="1" applyBorder="1" applyAlignment="1">
      <alignment horizontal="left" vertical="center" wrapText="1"/>
    </xf>
    <xf numFmtId="0" fontId="88" fillId="0" borderId="16" xfId="0" applyFont="1" applyBorder="1" applyAlignment="1">
      <alignment horizontal="left" wrapText="1"/>
    </xf>
    <xf numFmtId="0" fontId="88" fillId="0" borderId="13" xfId="0" applyFont="1" applyBorder="1" applyAlignment="1">
      <alignment horizontal="left" wrapText="1"/>
    </xf>
    <xf numFmtId="0" fontId="88" fillId="0" borderId="14" xfId="0" applyFont="1" applyBorder="1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FF99"/>
      <color rgb="FF99CCFF"/>
      <color rgb="FF00CCFF"/>
      <color rgb="FFFF9900"/>
      <color rgb="FF0000FF"/>
      <color rgb="FF9933FF"/>
      <color rgb="FF008000"/>
      <color rgb="FF99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</a:t>
            </a:r>
            <a:r>
              <a:rPr lang="es-ES" sz="1100" b="1">
                <a:solidFill>
                  <a:srgbClr val="006600"/>
                </a:solidFill>
              </a:rPr>
              <a:t> </a:t>
            </a:r>
            <a:r>
              <a:rPr lang="es-ES" sz="1100" b="1">
                <a:solidFill>
                  <a:schemeClr val="tx1"/>
                </a:solidFill>
              </a:rPr>
              <a:t>Prolongación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81231487632289"/>
          <c:y val="0.2353414715304854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</c:formatCode>
                <c:ptCount val="1"/>
                <c:pt idx="0">
                  <c:v>0.54421768707482998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</c:formatCode>
                <c:ptCount val="1"/>
                <c:pt idx="0">
                  <c:v>0.17384731670445963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</c:formatCode>
                <c:ptCount val="1"/>
                <c:pt idx="0">
                  <c:v>15.281934996220709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446690</xdr:colOff>
      <xdr:row>0</xdr:row>
      <xdr:rowOff>105103</xdr:rowOff>
    </xdr:from>
    <xdr:to>
      <xdr:col>28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125185</xdr:rowOff>
    </xdr:from>
    <xdr:to>
      <xdr:col>23</xdr:col>
      <xdr:colOff>28575</xdr:colOff>
      <xdr:row>22</xdr:row>
      <xdr:rowOff>130634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3829050" y="4811485"/>
          <a:ext cx="3209925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15108</xdr:colOff>
      <xdr:row>16</xdr:row>
      <xdr:rowOff>207040</xdr:rowOff>
    </xdr:from>
    <xdr:to>
      <xdr:col>9</xdr:col>
      <xdr:colOff>181429</xdr:colOff>
      <xdr:row>16</xdr:row>
      <xdr:rowOff>213633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151679" y="4298254"/>
          <a:ext cx="583607" cy="659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18143</xdr:colOff>
      <xdr:row>22</xdr:row>
      <xdr:rowOff>99786</xdr:rowOff>
    </xdr:from>
    <xdr:to>
      <xdr:col>41</xdr:col>
      <xdr:colOff>190500</xdr:colOff>
      <xdr:row>22</xdr:row>
      <xdr:rowOff>104776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191500" y="5207000"/>
          <a:ext cx="3302000" cy="499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19050</xdr:colOff>
      <xdr:row>22</xdr:row>
      <xdr:rowOff>125185</xdr:rowOff>
    </xdr:from>
    <xdr:to>
      <xdr:col>23</xdr:col>
      <xdr:colOff>28575</xdr:colOff>
      <xdr:row>22</xdr:row>
      <xdr:rowOff>130634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1F1F15AF-84AE-4D42-B66D-464AE59DD312}"/>
            </a:ext>
          </a:extLst>
        </xdr:cNvPr>
        <xdr:cNvCxnSpPr/>
      </xdr:nvCxnSpPr>
      <xdr:spPr>
        <a:xfrm flipV="1">
          <a:off x="4152900" y="5351235"/>
          <a:ext cx="3362325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66221</xdr:colOff>
      <xdr:row>21</xdr:row>
      <xdr:rowOff>68494</xdr:rowOff>
    </xdr:from>
    <xdr:to>
      <xdr:col>22</xdr:col>
      <xdr:colOff>190046</xdr:colOff>
      <xdr:row>21</xdr:row>
      <xdr:rowOff>95704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F6FC46CD-B061-4995-864F-5E753B4E233E}"/>
            </a:ext>
          </a:extLst>
        </xdr:cNvPr>
        <xdr:cNvCxnSpPr/>
      </xdr:nvCxnSpPr>
      <xdr:spPr>
        <a:xfrm>
          <a:off x="4200071" y="5123094"/>
          <a:ext cx="3267075" cy="2721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90714</xdr:colOff>
      <xdr:row>21</xdr:row>
      <xdr:rowOff>99786</xdr:rowOff>
    </xdr:from>
    <xdr:to>
      <xdr:col>30</xdr:col>
      <xdr:colOff>27213</xdr:colOff>
      <xdr:row>21</xdr:row>
      <xdr:rowOff>99787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6E8781FF-4AB9-4797-9F7A-364BD74067DA}"/>
            </a:ext>
          </a:extLst>
        </xdr:cNvPr>
        <xdr:cNvCxnSpPr/>
      </xdr:nvCxnSpPr>
      <xdr:spPr>
        <a:xfrm flipV="1">
          <a:off x="8372928" y="5143500"/>
          <a:ext cx="771071" cy="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25</xdr:col>
      <xdr:colOff>269841</xdr:colOff>
      <xdr:row>19</xdr:row>
      <xdr:rowOff>100316</xdr:rowOff>
    </xdr:from>
    <xdr:to>
      <xdr:col>28</xdr:col>
      <xdr:colOff>154215</xdr:colOff>
      <xdr:row>19</xdr:row>
      <xdr:rowOff>108855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CD28CFA1-C8D2-48D8-892D-E923F3C5C663}"/>
            </a:ext>
          </a:extLst>
        </xdr:cNvPr>
        <xdr:cNvCxnSpPr/>
      </xdr:nvCxnSpPr>
      <xdr:spPr>
        <a:xfrm>
          <a:off x="8270841" y="4772102"/>
          <a:ext cx="582874" cy="853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33251</xdr:colOff>
      <xdr:row>19</xdr:row>
      <xdr:rowOff>125397</xdr:rowOff>
    </xdr:from>
    <xdr:to>
      <xdr:col>9</xdr:col>
      <xdr:colOff>199572</xdr:colOff>
      <xdr:row>19</xdr:row>
      <xdr:rowOff>131990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6E7DFFD1-7FD3-4452-AB37-E05473DC9843}"/>
            </a:ext>
          </a:extLst>
        </xdr:cNvPr>
        <xdr:cNvCxnSpPr/>
      </xdr:nvCxnSpPr>
      <xdr:spPr>
        <a:xfrm>
          <a:off x="4169822" y="4797183"/>
          <a:ext cx="583607" cy="659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18143</xdr:colOff>
      <xdr:row>22</xdr:row>
      <xdr:rowOff>99786</xdr:rowOff>
    </xdr:from>
    <xdr:to>
      <xdr:col>41</xdr:col>
      <xdr:colOff>190500</xdr:colOff>
      <xdr:row>22</xdr:row>
      <xdr:rowOff>104776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1793DCC3-E0F5-4560-A48F-D53D94D501EF}"/>
            </a:ext>
          </a:extLst>
        </xdr:cNvPr>
        <xdr:cNvCxnSpPr/>
      </xdr:nvCxnSpPr>
      <xdr:spPr>
        <a:xfrm>
          <a:off x="8304893" y="5325836"/>
          <a:ext cx="3315607" cy="499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23</xdr:row>
      <xdr:rowOff>133803</xdr:rowOff>
    </xdr:from>
    <xdr:to>
      <xdr:col>23</xdr:col>
      <xdr:colOff>43089</xdr:colOff>
      <xdr:row>23</xdr:row>
      <xdr:rowOff>139252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68A5B6E3-4D9D-442E-833C-F9556356E982}"/>
            </a:ext>
          </a:extLst>
        </xdr:cNvPr>
        <xdr:cNvCxnSpPr/>
      </xdr:nvCxnSpPr>
      <xdr:spPr>
        <a:xfrm flipV="1">
          <a:off x="4149725" y="5575753"/>
          <a:ext cx="3380014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353786</xdr:colOff>
      <xdr:row>22</xdr:row>
      <xdr:rowOff>96615</xdr:rowOff>
    </xdr:from>
    <xdr:to>
      <xdr:col>23</xdr:col>
      <xdr:colOff>9979</xdr:colOff>
      <xdr:row>22</xdr:row>
      <xdr:rowOff>104775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4BE44982-1BBB-4240-A485-12A53927F191}"/>
            </a:ext>
          </a:extLst>
        </xdr:cNvPr>
        <xdr:cNvCxnSpPr/>
      </xdr:nvCxnSpPr>
      <xdr:spPr>
        <a:xfrm>
          <a:off x="4125686" y="5335365"/>
          <a:ext cx="3370943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19051</xdr:colOff>
      <xdr:row>22</xdr:row>
      <xdr:rowOff>108857</xdr:rowOff>
    </xdr:from>
    <xdr:to>
      <xdr:col>35</xdr:col>
      <xdr:colOff>9071</xdr:colOff>
      <xdr:row>22</xdr:row>
      <xdr:rowOff>112940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320B8A2B-58BF-4DDB-9DED-4BD7D0F0978D}"/>
            </a:ext>
          </a:extLst>
        </xdr:cNvPr>
        <xdr:cNvCxnSpPr/>
      </xdr:nvCxnSpPr>
      <xdr:spPr>
        <a:xfrm flipV="1">
          <a:off x="8286751" y="5347607"/>
          <a:ext cx="1875970" cy="4083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347854</xdr:colOff>
      <xdr:row>19</xdr:row>
      <xdr:rowOff>126172</xdr:rowOff>
    </xdr:from>
    <xdr:to>
      <xdr:col>12</xdr:col>
      <xdr:colOff>0</xdr:colOff>
      <xdr:row>19</xdr:row>
      <xdr:rowOff>128048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6851D36C-301A-42AC-86F2-7468AAB18E15}"/>
            </a:ext>
          </a:extLst>
        </xdr:cNvPr>
        <xdr:cNvCxnSpPr/>
      </xdr:nvCxnSpPr>
      <xdr:spPr>
        <a:xfrm>
          <a:off x="4119754" y="4825172"/>
          <a:ext cx="1061846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5582</xdr:colOff>
      <xdr:row>19</xdr:row>
      <xdr:rowOff>117231</xdr:rowOff>
    </xdr:from>
    <xdr:to>
      <xdr:col>31</xdr:col>
      <xdr:colOff>12909</xdr:colOff>
      <xdr:row>19</xdr:row>
      <xdr:rowOff>119107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CA872B3C-7BB2-44F4-954D-0B36E568ED2C}"/>
            </a:ext>
          </a:extLst>
        </xdr:cNvPr>
        <xdr:cNvCxnSpPr/>
      </xdr:nvCxnSpPr>
      <xdr:spPr>
        <a:xfrm>
          <a:off x="8273282" y="4816231"/>
          <a:ext cx="1055077" cy="187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18143</xdr:colOff>
      <xdr:row>23</xdr:row>
      <xdr:rowOff>117929</xdr:rowOff>
    </xdr:from>
    <xdr:to>
      <xdr:col>42</xdr:col>
      <xdr:colOff>45357</xdr:colOff>
      <xdr:row>23</xdr:row>
      <xdr:rowOff>123378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E758CA6C-EB84-49B8-9D6B-DE5080ED89D5}"/>
            </a:ext>
          </a:extLst>
        </xdr:cNvPr>
        <xdr:cNvCxnSpPr/>
      </xdr:nvCxnSpPr>
      <xdr:spPr>
        <a:xfrm flipV="1">
          <a:off x="8285843" y="5559879"/>
          <a:ext cx="3380014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23</xdr:row>
      <xdr:rowOff>115660</xdr:rowOff>
    </xdr:from>
    <xdr:to>
      <xdr:col>22</xdr:col>
      <xdr:colOff>238125</xdr:colOff>
      <xdr:row>23</xdr:row>
      <xdr:rowOff>121109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A98811E6-DFD5-46F0-B6EC-7E7B229F6B61}"/>
            </a:ext>
          </a:extLst>
        </xdr:cNvPr>
        <xdr:cNvCxnSpPr/>
      </xdr:nvCxnSpPr>
      <xdr:spPr>
        <a:xfrm flipV="1">
          <a:off x="4105275" y="5525860"/>
          <a:ext cx="33782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9073</xdr:colOff>
      <xdr:row>22</xdr:row>
      <xdr:rowOff>87543</xdr:rowOff>
    </xdr:from>
    <xdr:to>
      <xdr:col>23</xdr:col>
      <xdr:colOff>28123</xdr:colOff>
      <xdr:row>22</xdr:row>
      <xdr:rowOff>95703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B6F459F-8D31-4463-826D-D7D9BC0CD359}"/>
            </a:ext>
          </a:extLst>
        </xdr:cNvPr>
        <xdr:cNvCxnSpPr/>
      </xdr:nvCxnSpPr>
      <xdr:spPr>
        <a:xfrm>
          <a:off x="4142923" y="5294543"/>
          <a:ext cx="3371850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46264</xdr:colOff>
      <xdr:row>22</xdr:row>
      <xdr:rowOff>117929</xdr:rowOff>
    </xdr:from>
    <xdr:to>
      <xdr:col>33</xdr:col>
      <xdr:colOff>199572</xdr:colOff>
      <xdr:row>22</xdr:row>
      <xdr:rowOff>119289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F0A5CCE-8849-45F4-A0E2-6B2614E26DC7}"/>
            </a:ext>
          </a:extLst>
        </xdr:cNvPr>
        <xdr:cNvCxnSpPr/>
      </xdr:nvCxnSpPr>
      <xdr:spPr>
        <a:xfrm flipV="1">
          <a:off x="8313964" y="5324929"/>
          <a:ext cx="1620158" cy="13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419</xdr:colOff>
      <xdr:row>19</xdr:row>
      <xdr:rowOff>118836</xdr:rowOff>
    </xdr:from>
    <xdr:to>
      <xdr:col>11</xdr:col>
      <xdr:colOff>7258</xdr:colOff>
      <xdr:row>19</xdr:row>
      <xdr:rowOff>118914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D2DEA515-9F3B-49AC-84CE-D615F869155F}"/>
            </a:ext>
          </a:extLst>
        </xdr:cNvPr>
        <xdr:cNvCxnSpPr/>
      </xdr:nvCxnSpPr>
      <xdr:spPr>
        <a:xfrm flipV="1">
          <a:off x="4134269" y="4786086"/>
          <a:ext cx="845039" cy="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9212</xdr:colOff>
      <xdr:row>19</xdr:row>
      <xdr:rowOff>127000</xdr:rowOff>
    </xdr:from>
    <xdr:to>
      <xdr:col>29</xdr:col>
      <xdr:colOff>199571</xdr:colOff>
      <xdr:row>19</xdr:row>
      <xdr:rowOff>129025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1AB79B26-BBD7-4011-A7D9-AAFEA83798EC}"/>
            </a:ext>
          </a:extLst>
        </xdr:cNvPr>
        <xdr:cNvCxnSpPr/>
      </xdr:nvCxnSpPr>
      <xdr:spPr>
        <a:xfrm flipV="1">
          <a:off x="8276912" y="4794250"/>
          <a:ext cx="819009" cy="202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26</xdr:col>
      <xdr:colOff>0</xdr:colOff>
      <xdr:row>23</xdr:row>
      <xdr:rowOff>117929</xdr:rowOff>
    </xdr:from>
    <xdr:to>
      <xdr:col>42</xdr:col>
      <xdr:colOff>27214</xdr:colOff>
      <xdr:row>23</xdr:row>
      <xdr:rowOff>123378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E6CA44E5-FBF6-4EBD-A98F-4196D4D0C2DF}"/>
            </a:ext>
          </a:extLst>
        </xdr:cNvPr>
        <xdr:cNvCxnSpPr/>
      </xdr:nvCxnSpPr>
      <xdr:spPr>
        <a:xfrm flipV="1">
          <a:off x="8267700" y="5528129"/>
          <a:ext cx="3380014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"/>
  <sheetViews>
    <sheetView tabSelected="1" zoomScale="70" zoomScaleNormal="70" workbookViewId="0">
      <selection activeCell="B1" sqref="B1"/>
    </sheetView>
  </sheetViews>
  <sheetFormatPr baseColWidth="10" defaultRowHeight="13" x14ac:dyDescent="0.3"/>
  <cols>
    <col min="1" max="1" width="0.81640625" style="1" customWidth="1"/>
    <col min="2" max="2" width="30.6328125" style="1" customWidth="1"/>
    <col min="3" max="3" width="22.08984375" style="1" customWidth="1"/>
    <col min="4" max="4" width="20.7265625" style="1" customWidth="1"/>
    <col min="5" max="5" width="17.1796875" style="1" customWidth="1"/>
    <col min="6" max="6" width="23.36328125" style="1" customWidth="1"/>
    <col min="7" max="7" width="18.36328125" style="1" customWidth="1"/>
    <col min="8" max="8" width="10.6328125" style="1" customWidth="1"/>
    <col min="9" max="9" width="5.269531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0.36328125" style="1" customWidth="1"/>
    <col min="15" max="16" width="12.26953125" style="7" customWidth="1"/>
    <col min="17" max="17" width="2.08984375" style="1" customWidth="1"/>
    <col min="18" max="18" width="14.90625" style="1" customWidth="1"/>
    <col min="19" max="19" width="16" style="1" customWidth="1"/>
    <col min="20" max="20" width="14.81640625" style="1" customWidth="1"/>
    <col min="21" max="21" width="13.54296875" style="7" customWidth="1"/>
    <col min="22" max="22" width="11.453125" style="7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8" customFormat="1" ht="8.25" customHeight="1" thickBot="1" x14ac:dyDescent="0.35">
      <c r="B1" s="54"/>
      <c r="C1" s="55"/>
      <c r="D1" s="54"/>
      <c r="E1" s="56"/>
      <c r="F1" s="1"/>
      <c r="G1" s="1"/>
      <c r="H1" s="57"/>
      <c r="I1" s="57"/>
      <c r="J1" s="57"/>
      <c r="K1" s="57"/>
      <c r="L1" s="58"/>
      <c r="M1" s="59"/>
      <c r="N1" s="59"/>
      <c r="O1" s="5"/>
      <c r="P1" s="5"/>
      <c r="Q1" s="60"/>
      <c r="X1" s="61"/>
      <c r="Y1" s="61"/>
      <c r="Z1" s="61"/>
      <c r="AA1" s="61"/>
      <c r="AB1" s="61"/>
      <c r="AC1" s="61"/>
    </row>
    <row r="2" spans="2:30" ht="31.5" customHeight="1" thickBot="1" x14ac:dyDescent="0.35">
      <c r="B2" s="555" t="s">
        <v>129</v>
      </c>
      <c r="C2" s="556"/>
      <c r="D2" s="556"/>
      <c r="E2" s="556"/>
      <c r="F2" s="557"/>
      <c r="G2" s="62"/>
      <c r="H2" s="316" t="s">
        <v>14</v>
      </c>
      <c r="I2" s="64">
        <v>0.95</v>
      </c>
      <c r="J2" s="62"/>
      <c r="K2" s="65"/>
      <c r="L2" s="58"/>
      <c r="M2" s="66"/>
      <c r="N2" s="66"/>
      <c r="O2" s="67"/>
      <c r="P2" s="67"/>
      <c r="Q2" s="68"/>
      <c r="R2" s="378" t="s">
        <v>167</v>
      </c>
      <c r="S2" s="5"/>
      <c r="T2" s="346" t="s">
        <v>133</v>
      </c>
      <c r="U2" s="345" t="s">
        <v>131</v>
      </c>
      <c r="V2" s="344" t="s">
        <v>132</v>
      </c>
      <c r="W2" s="61"/>
      <c r="X2" s="7"/>
      <c r="Y2" s="7"/>
      <c r="Z2" s="7"/>
      <c r="AA2" s="7"/>
      <c r="AB2" s="7"/>
      <c r="AC2" s="7"/>
      <c r="AD2" s="7"/>
    </row>
    <row r="3" spans="2:30" ht="27.75" customHeight="1" thickBot="1" x14ac:dyDescent="0.35">
      <c r="B3" s="558" t="s">
        <v>141</v>
      </c>
      <c r="C3" s="559"/>
      <c r="D3" s="559"/>
      <c r="E3" s="559"/>
      <c r="F3" s="560"/>
      <c r="G3" s="69"/>
      <c r="K3" s="65"/>
      <c r="L3" s="58"/>
      <c r="M3" s="66"/>
      <c r="N3" s="66"/>
      <c r="O3" s="67"/>
      <c r="P3" s="67"/>
      <c r="Q3" s="68"/>
      <c r="R3" s="347" t="s">
        <v>11</v>
      </c>
      <c r="S3" s="348">
        <f>V3+U3+T3</f>
        <v>46.017391304347811</v>
      </c>
      <c r="T3" s="375">
        <f>J32</f>
        <v>2.1304347826086949</v>
      </c>
      <c r="U3" s="376">
        <f>J31</f>
        <v>1</v>
      </c>
      <c r="V3" s="377">
        <f>J30</f>
        <v>42.886956521739116</v>
      </c>
      <c r="W3" s="67"/>
      <c r="X3" s="7"/>
      <c r="Y3" s="7"/>
      <c r="Z3" s="7"/>
      <c r="AA3" s="7"/>
      <c r="AB3" s="7"/>
      <c r="AC3" s="7"/>
      <c r="AD3" s="7"/>
    </row>
    <row r="4" spans="2:30" ht="14.25" customHeight="1" x14ac:dyDescent="0.7">
      <c r="B4" s="70"/>
      <c r="C4" s="71"/>
      <c r="D4" s="59"/>
      <c r="E4" s="59"/>
      <c r="F4" s="6"/>
      <c r="G4" s="358" t="s">
        <v>125</v>
      </c>
      <c r="H4" s="318">
        <v>16</v>
      </c>
      <c r="I4" s="357" t="s">
        <v>124</v>
      </c>
      <c r="K4" s="72"/>
      <c r="L4" s="73"/>
      <c r="O4" s="67"/>
      <c r="P4" s="67"/>
      <c r="Q4" s="74"/>
      <c r="R4" s="67"/>
      <c r="S4" s="67"/>
      <c r="T4" s="67"/>
      <c r="U4" s="67"/>
      <c r="V4" s="67"/>
      <c r="W4" s="67"/>
      <c r="X4" s="7"/>
      <c r="Y4" s="75"/>
      <c r="Z4" s="76"/>
      <c r="AA4" s="7"/>
      <c r="AB4" s="7"/>
      <c r="AC4" s="7"/>
      <c r="AD4" s="7"/>
    </row>
    <row r="5" spans="2:30" x14ac:dyDescent="0.3">
      <c r="B5" s="77" t="s">
        <v>15</v>
      </c>
      <c r="C5" s="517"/>
      <c r="D5" s="232" t="s">
        <v>16</v>
      </c>
      <c r="E5" s="232" t="s">
        <v>17</v>
      </c>
      <c r="F5" s="139"/>
      <c r="K5" s="78"/>
      <c r="L5" s="79"/>
      <c r="M5" s="79"/>
      <c r="N5" s="79"/>
      <c r="O5" s="67"/>
      <c r="P5" s="67"/>
      <c r="Q5" s="67"/>
      <c r="R5" s="379" t="s">
        <v>168</v>
      </c>
      <c r="S5" s="343" t="str">
        <f>I4</f>
        <v>meses</v>
      </c>
      <c r="V5" s="3" t="s">
        <v>0</v>
      </c>
      <c r="W5" s="75"/>
      <c r="X5" s="7"/>
      <c r="Y5" s="75"/>
      <c r="Z5" s="76"/>
      <c r="AA5" s="7"/>
      <c r="AB5" s="7"/>
      <c r="AC5" s="7"/>
      <c r="AD5" s="7"/>
    </row>
    <row r="6" spans="2:30" x14ac:dyDescent="0.3">
      <c r="B6" s="80"/>
      <c r="C6" s="518"/>
      <c r="D6" s="519" t="s">
        <v>18</v>
      </c>
      <c r="E6" s="519" t="s">
        <v>19</v>
      </c>
      <c r="F6" s="520" t="s">
        <v>20</v>
      </c>
      <c r="G6" s="495"/>
      <c r="H6" s="496" t="s">
        <v>145</v>
      </c>
      <c r="I6" s="496" t="s">
        <v>140</v>
      </c>
      <c r="J6" s="495"/>
      <c r="K6" s="497"/>
      <c r="L6" s="498"/>
      <c r="M6" s="498"/>
      <c r="N6" s="498"/>
      <c r="O6" s="496" t="s">
        <v>124</v>
      </c>
      <c r="P6" s="67"/>
      <c r="Q6" s="67"/>
      <c r="R6" s="12" t="s">
        <v>1</v>
      </c>
      <c r="S6" s="536">
        <f>S14</f>
        <v>0.54421768707482998</v>
      </c>
      <c r="T6" s="13">
        <f>S6/S9</f>
        <v>3.4013605442176881E-2</v>
      </c>
      <c r="V6" s="430">
        <f>S6*365.25/12</f>
        <v>16.564625850340139</v>
      </c>
      <c r="W6" s="75"/>
      <c r="X6" s="7"/>
      <c r="Y6" s="75"/>
      <c r="Z6" s="7"/>
      <c r="AA6" s="7"/>
      <c r="AB6" s="7"/>
      <c r="AC6" s="7"/>
      <c r="AD6" s="7"/>
    </row>
    <row r="7" spans="2:30" ht="12.75" customHeight="1" x14ac:dyDescent="0.3">
      <c r="B7" s="80"/>
      <c r="C7" s="521" t="s">
        <v>302</v>
      </c>
      <c r="D7" s="509">
        <v>245</v>
      </c>
      <c r="E7" s="510">
        <f>F7-D7</f>
        <v>5047</v>
      </c>
      <c r="F7" s="511">
        <v>5292</v>
      </c>
      <c r="G7" s="499">
        <f>D7/F7</f>
        <v>4.6296296296296294E-2</v>
      </c>
      <c r="H7" s="500">
        <v>5.6000000000000001E-2</v>
      </c>
      <c r="I7" s="501">
        <f>G7/H7</f>
        <v>0.82671957671957663</v>
      </c>
      <c r="J7" s="495"/>
      <c r="K7" s="497"/>
      <c r="L7" s="498"/>
      <c r="M7" s="498"/>
      <c r="N7" s="498"/>
      <c r="O7" s="502">
        <f>I7*12</f>
        <v>9.9206349206349191</v>
      </c>
      <c r="P7" s="67"/>
      <c r="Q7" s="67"/>
      <c r="R7" s="14" t="s">
        <v>3</v>
      </c>
      <c r="S7" s="537">
        <f>R14</f>
        <v>0.17384731670445963</v>
      </c>
      <c r="T7" s="15">
        <f>S7/S9</f>
        <v>1.0865457294028729E-2</v>
      </c>
      <c r="V7" s="431">
        <f>S7*365.25/12</f>
        <v>5.2914777021919903</v>
      </c>
      <c r="W7" s="75"/>
      <c r="X7" s="7"/>
      <c r="Y7" s="75"/>
      <c r="Z7" s="7"/>
      <c r="AA7" s="7"/>
      <c r="AB7" s="7"/>
      <c r="AC7" s="7"/>
      <c r="AD7" s="7"/>
    </row>
    <row r="8" spans="2:30" ht="12.75" customHeight="1" x14ac:dyDescent="0.3">
      <c r="B8" s="80"/>
      <c r="C8" s="521" t="s">
        <v>13</v>
      </c>
      <c r="D8" s="509">
        <v>360</v>
      </c>
      <c r="E8" s="510">
        <f>F8-D8</f>
        <v>4932</v>
      </c>
      <c r="F8" s="511">
        <v>5292</v>
      </c>
      <c r="G8" s="499">
        <f t="shared" ref="G8:G9" si="0">D8/F8</f>
        <v>6.8027210884353748E-2</v>
      </c>
      <c r="H8" s="500">
        <v>7.4999999999999997E-2</v>
      </c>
      <c r="I8" s="501">
        <f>G8/H8</f>
        <v>0.90702947845805004</v>
      </c>
      <c r="J8" s="495"/>
      <c r="K8" s="497"/>
      <c r="L8" s="498"/>
      <c r="M8" s="503"/>
      <c r="N8" s="498"/>
      <c r="O8" s="502">
        <f t="shared" ref="O8:O9" si="1">I8*12</f>
        <v>10.8843537414966</v>
      </c>
      <c r="P8" s="67"/>
      <c r="Q8" s="67"/>
      <c r="R8" s="16" t="s">
        <v>2</v>
      </c>
      <c r="S8" s="538">
        <f>Q14</f>
        <v>15.281934996220709</v>
      </c>
      <c r="T8" s="17">
        <f>S8/S9</f>
        <v>0.95512093726379443</v>
      </c>
      <c r="V8" s="432">
        <f>S8*365.25/12</f>
        <v>465.14389644746785</v>
      </c>
      <c r="W8" s="75"/>
      <c r="X8" s="7"/>
      <c r="Y8" s="75"/>
      <c r="Z8" s="7"/>
      <c r="AA8" s="7"/>
      <c r="AB8" s="7"/>
      <c r="AC8" s="7"/>
      <c r="AD8" s="7"/>
    </row>
    <row r="9" spans="2:30" x14ac:dyDescent="0.3">
      <c r="B9" s="80"/>
      <c r="C9" s="522" t="s">
        <v>20</v>
      </c>
      <c r="D9" s="523">
        <f>SUM(D7:D8)</f>
        <v>605</v>
      </c>
      <c r="E9" s="524">
        <f>SUM(E7:E8)</f>
        <v>9979</v>
      </c>
      <c r="F9" s="525">
        <f>SUM(F7:F8)</f>
        <v>10584</v>
      </c>
      <c r="G9" s="499">
        <f t="shared" si="0"/>
        <v>5.7161753590325021E-2</v>
      </c>
      <c r="H9" s="504"/>
      <c r="I9" s="505">
        <f>AVERAGE(I7:I8)</f>
        <v>0.86687452758881334</v>
      </c>
      <c r="J9" s="495"/>
      <c r="K9" s="497"/>
      <c r="L9" s="498"/>
      <c r="M9" s="503"/>
      <c r="N9" s="498"/>
      <c r="O9" s="506">
        <f t="shared" si="1"/>
        <v>10.40249433106576</v>
      </c>
      <c r="P9" s="82"/>
      <c r="Q9" s="83"/>
      <c r="S9" s="10">
        <f>SUM(S6:S8)</f>
        <v>15.999999999999998</v>
      </c>
      <c r="V9" s="18">
        <f>SUM(V6:V8)</f>
        <v>487</v>
      </c>
      <c r="W9" s="75"/>
      <c r="X9" s="7"/>
      <c r="Y9" s="75"/>
      <c r="Z9" s="7"/>
      <c r="AA9" s="7"/>
      <c r="AB9" s="7"/>
      <c r="AC9" s="7"/>
      <c r="AD9" s="7"/>
    </row>
    <row r="10" spans="2:30" ht="12.75" customHeight="1" x14ac:dyDescent="0.3">
      <c r="B10" s="408"/>
      <c r="C10" s="84"/>
      <c r="D10" s="85"/>
      <c r="E10" s="86"/>
      <c r="F10" s="86"/>
      <c r="G10" s="429"/>
      <c r="H10" s="79"/>
      <c r="I10" s="78"/>
      <c r="J10" s="78"/>
      <c r="K10" s="78"/>
      <c r="L10" s="79"/>
      <c r="M10" s="81"/>
      <c r="N10" s="79"/>
      <c r="P10" s="82"/>
      <c r="Q10" s="83"/>
      <c r="R10" s="83"/>
      <c r="S10" s="83"/>
      <c r="T10" s="75"/>
      <c r="V10" s="75"/>
      <c r="W10" s="75"/>
      <c r="X10" s="7"/>
      <c r="Y10" s="75"/>
      <c r="Z10" s="7"/>
      <c r="AA10" s="7"/>
      <c r="AB10" s="7"/>
      <c r="AC10" s="7"/>
      <c r="AD10" s="7"/>
    </row>
    <row r="11" spans="2:30" s="8" customFormat="1" ht="14.25" hidden="1" customHeight="1" x14ac:dyDescent="0.3">
      <c r="B11" s="87" t="s">
        <v>21</v>
      </c>
      <c r="C11" s="88"/>
      <c r="D11" s="89"/>
      <c r="E11" s="5"/>
      <c r="F11" s="90"/>
      <c r="G11" s="91"/>
      <c r="H11" s="81"/>
      <c r="I11" s="91"/>
      <c r="J11" s="81"/>
      <c r="K11" s="92"/>
      <c r="L11" s="92"/>
      <c r="M11" s="91"/>
      <c r="N11" s="92"/>
      <c r="P11" s="5"/>
      <c r="Q11" s="93"/>
      <c r="R11" s="93"/>
      <c r="S11" s="93"/>
      <c r="T11" s="5"/>
      <c r="U11" s="5"/>
      <c r="V11" s="5"/>
      <c r="W11" s="5"/>
    </row>
    <row r="12" spans="2:30" s="8" customFormat="1" ht="12.75" hidden="1" customHeight="1" x14ac:dyDescent="0.3">
      <c r="B12" s="80" t="s">
        <v>22</v>
      </c>
      <c r="C12" s="88"/>
      <c r="D12" s="89"/>
      <c r="E12" s="5"/>
      <c r="F12" s="90"/>
      <c r="G12" s="91"/>
      <c r="H12" s="81"/>
      <c r="I12" s="91"/>
      <c r="J12" s="81"/>
      <c r="K12" s="94"/>
      <c r="L12" s="92"/>
      <c r="M12" s="92"/>
      <c r="N12" s="92"/>
      <c r="O12" s="8" t="s">
        <v>121</v>
      </c>
      <c r="P12" s="5"/>
      <c r="Q12" s="93"/>
      <c r="R12" s="60"/>
      <c r="S12" s="60"/>
      <c r="T12" s="5"/>
      <c r="U12" s="5"/>
      <c r="V12" s="5"/>
      <c r="W12" s="5"/>
    </row>
    <row r="13" spans="2:30" s="8" customFormat="1" ht="45" hidden="1" customHeight="1" x14ac:dyDescent="0.3">
      <c r="B13" s="95" t="s">
        <v>23</v>
      </c>
      <c r="C13" s="95" t="s">
        <v>24</v>
      </c>
      <c r="D13" s="95" t="s">
        <v>25</v>
      </c>
      <c r="E13" s="95" t="s">
        <v>26</v>
      </c>
      <c r="F13" s="95" t="s">
        <v>27</v>
      </c>
      <c r="G13" s="95" t="s">
        <v>28</v>
      </c>
      <c r="H13" s="95" t="s">
        <v>29</v>
      </c>
      <c r="I13" s="95" t="s">
        <v>30</v>
      </c>
      <c r="J13" s="81"/>
      <c r="K13" s="96" t="s">
        <v>31</v>
      </c>
      <c r="L13" s="97" t="s">
        <v>32</v>
      </c>
      <c r="M13" s="97" t="s">
        <v>33</v>
      </c>
      <c r="N13" s="92"/>
      <c r="O13" s="317" t="s">
        <v>122</v>
      </c>
      <c r="P13" s="317" t="s">
        <v>123</v>
      </c>
      <c r="Q13" s="321" t="s">
        <v>2</v>
      </c>
      <c r="R13" s="322" t="s">
        <v>3</v>
      </c>
      <c r="S13" s="323" t="s">
        <v>1</v>
      </c>
      <c r="T13" s="5"/>
      <c r="W13" s="5"/>
    </row>
    <row r="14" spans="2:30" s="8" customFormat="1" ht="12.75" hidden="1" customHeight="1" x14ac:dyDescent="0.3">
      <c r="B14" s="98">
        <f>LN((D7/F7)/(D8/F8))</f>
        <v>-0.38484582090542885</v>
      </c>
      <c r="C14" s="98">
        <f>SQRT((E7/(D7*F7)+(E8/(D8*F8))))</f>
        <v>8.0507648589941319E-2</v>
      </c>
      <c r="D14" s="99">
        <f>-NORMSINV((1-I2)/2)</f>
        <v>1.9599639845400536</v>
      </c>
      <c r="E14" s="100">
        <f>B14-(D14*C14)</f>
        <v>-0.54263791262172067</v>
      </c>
      <c r="F14" s="101">
        <f>B14+(D14*C14)</f>
        <v>-0.22705372918913702</v>
      </c>
      <c r="G14" s="102">
        <f>(D7/F7)/(D8/F8)</f>
        <v>0.68055555555555547</v>
      </c>
      <c r="H14" s="102">
        <f>EXP(E14)</f>
        <v>0.5812130391731487</v>
      </c>
      <c r="I14" s="102">
        <f>EXP(F14)</f>
        <v>0.79687796553296586</v>
      </c>
      <c r="J14" s="81"/>
      <c r="K14" s="103">
        <f>1-G14</f>
        <v>0.31944444444444453</v>
      </c>
      <c r="L14" s="102">
        <f>1-H14</f>
        <v>0.4187869608268513</v>
      </c>
      <c r="M14" s="102">
        <f>1-I14</f>
        <v>0.20312203446703414</v>
      </c>
      <c r="N14" s="104"/>
      <c r="O14" s="319">
        <f>(D7/F7)*H4/2</f>
        <v>0.37037037037037035</v>
      </c>
      <c r="P14" s="320">
        <f>(D8/F8)*H4/2</f>
        <v>0.54421768707482998</v>
      </c>
      <c r="Q14" s="324">
        <f>H4-R14-S14</f>
        <v>15.281934996220709</v>
      </c>
      <c r="R14" s="324">
        <f>P14-O14</f>
        <v>0.17384731670445963</v>
      </c>
      <c r="S14" s="324">
        <f>P14</f>
        <v>0.54421768707482998</v>
      </c>
      <c r="T14" s="5" t="str">
        <f>I4</f>
        <v>meses</v>
      </c>
      <c r="W14" s="5"/>
    </row>
    <row r="15" spans="2:30" s="8" customFormat="1" ht="12.75" hidden="1" customHeight="1" x14ac:dyDescent="0.3">
      <c r="B15" s="105"/>
      <c r="C15" s="88"/>
      <c r="D15" s="88"/>
      <c r="E15" s="88"/>
      <c r="F15" s="106"/>
      <c r="G15" s="107"/>
      <c r="H15" s="81"/>
      <c r="I15" s="91"/>
      <c r="J15" s="81"/>
      <c r="K15" s="91"/>
      <c r="L15" s="91"/>
      <c r="M15" s="91"/>
      <c r="N15" s="92"/>
      <c r="P15" s="5"/>
      <c r="Q15" s="5"/>
      <c r="R15" s="5"/>
      <c r="S15" s="5"/>
      <c r="T15" s="5"/>
      <c r="U15" s="5"/>
      <c r="V15" s="5"/>
      <c r="W15" s="5"/>
    </row>
    <row r="16" spans="2:30" s="7" customFormat="1" ht="12.75" hidden="1" customHeight="1" x14ac:dyDescent="0.3">
      <c r="B16" s="108"/>
      <c r="C16" s="109"/>
      <c r="D16" s="110"/>
      <c r="E16" s="111"/>
      <c r="F16" s="112"/>
      <c r="G16" s="113"/>
      <c r="H16" s="114"/>
      <c r="I16" s="115"/>
      <c r="J16" s="115"/>
      <c r="K16" s="116"/>
      <c r="L16" s="116"/>
      <c r="M16" s="117"/>
      <c r="N16" s="117"/>
    </row>
    <row r="17" spans="2:30" ht="15.75" hidden="1" customHeight="1" x14ac:dyDescent="0.3">
      <c r="B17" s="118" t="s">
        <v>34</v>
      </c>
      <c r="C17" s="5"/>
      <c r="D17" s="119"/>
      <c r="E17" s="119"/>
      <c r="F17" s="59"/>
      <c r="G17" s="59"/>
      <c r="H17" s="120"/>
      <c r="I17" s="121"/>
      <c r="J17" s="122"/>
      <c r="K17" s="122"/>
      <c r="L17" s="8"/>
      <c r="M17" s="92"/>
      <c r="N17" s="81"/>
      <c r="O17" s="121"/>
      <c r="P17" s="5"/>
      <c r="Q17" s="5"/>
      <c r="R17" s="123"/>
      <c r="S17" s="121"/>
      <c r="T17" s="124"/>
      <c r="U17" s="124"/>
      <c r="V17" s="124"/>
      <c r="W17" s="7"/>
      <c r="X17" s="7"/>
      <c r="Y17" s="7"/>
      <c r="Z17" s="7"/>
      <c r="AA17" s="7"/>
      <c r="AB17" s="7"/>
      <c r="AC17" s="7"/>
    </row>
    <row r="18" spans="2:30" ht="12.75" hidden="1" customHeight="1" x14ac:dyDescent="0.3">
      <c r="B18" s="125" t="s">
        <v>35</v>
      </c>
      <c r="C18" s="5"/>
      <c r="D18" s="121"/>
      <c r="E18" s="121"/>
      <c r="F18" s="5"/>
      <c r="G18" s="5"/>
      <c r="H18" s="123"/>
      <c r="I18" s="121"/>
      <c r="J18" s="124"/>
      <c r="K18" s="124"/>
      <c r="L18" s="124"/>
      <c r="M18" s="92"/>
      <c r="N18" s="81"/>
      <c r="O18" s="5"/>
      <c r="P18" s="5"/>
      <c r="Q18" s="123"/>
      <c r="R18" s="121"/>
      <c r="S18" s="124"/>
      <c r="T18" s="124"/>
      <c r="U18" s="124"/>
      <c r="W18" s="7" t="s">
        <v>36</v>
      </c>
      <c r="X18" s="7"/>
      <c r="Y18" s="7"/>
      <c r="Z18" s="7"/>
      <c r="AA18" s="7"/>
      <c r="AB18" s="7"/>
    </row>
    <row r="19" spans="2:30" ht="25.5" hidden="1" customHeight="1" x14ac:dyDescent="0.3">
      <c r="B19" s="126" t="s">
        <v>37</v>
      </c>
      <c r="C19" s="1" t="s">
        <v>38</v>
      </c>
      <c r="D19" s="8"/>
      <c r="E19" s="1" t="s">
        <v>39</v>
      </c>
      <c r="G19" s="1" t="s">
        <v>40</v>
      </c>
      <c r="I19" s="1" t="s">
        <v>41</v>
      </c>
      <c r="J19" s="124"/>
      <c r="K19" s="124"/>
      <c r="L19" s="124"/>
      <c r="M19" s="92"/>
      <c r="N19" s="116"/>
      <c r="P19" s="1"/>
      <c r="T19" s="7"/>
      <c r="V19" s="1"/>
      <c r="W19" s="1" t="s">
        <v>42</v>
      </c>
      <c r="Y19" s="7"/>
      <c r="Z19" s="7"/>
      <c r="AA19" s="7"/>
      <c r="AB19" s="7"/>
      <c r="AC19" s="7"/>
      <c r="AD19" s="7"/>
    </row>
    <row r="20" spans="2:30" ht="38.25" hidden="1" customHeight="1" x14ac:dyDescent="0.4">
      <c r="B20" s="95" t="s">
        <v>43</v>
      </c>
      <c r="C20" s="95" t="s">
        <v>44</v>
      </c>
      <c r="D20" s="127" t="s">
        <v>45</v>
      </c>
      <c r="E20" s="127" t="s">
        <v>38</v>
      </c>
      <c r="F20" s="127" t="s">
        <v>46</v>
      </c>
      <c r="G20" s="127" t="s">
        <v>40</v>
      </c>
      <c r="H20" s="127" t="s">
        <v>41</v>
      </c>
      <c r="I20" s="128" t="s">
        <v>47</v>
      </c>
      <c r="J20" s="127" t="s">
        <v>48</v>
      </c>
      <c r="K20" s="127" t="s">
        <v>32</v>
      </c>
      <c r="L20" s="127" t="s">
        <v>33</v>
      </c>
      <c r="M20" s="129"/>
      <c r="N20" s="130"/>
      <c r="O20" s="131" t="s">
        <v>49</v>
      </c>
      <c r="P20" s="132" t="s">
        <v>50</v>
      </c>
      <c r="Q20" s="133"/>
      <c r="R20" s="134"/>
      <c r="S20" s="135"/>
      <c r="T20" s="135"/>
      <c r="U20" s="136"/>
      <c r="W20" s="137"/>
      <c r="X20" s="131" t="s">
        <v>51</v>
      </c>
      <c r="Y20" s="132" t="s">
        <v>52</v>
      </c>
      <c r="Z20" s="138"/>
      <c r="AA20" s="138"/>
      <c r="AB20" s="138" t="s">
        <v>53</v>
      </c>
      <c r="AC20" s="138"/>
      <c r="AD20" s="139"/>
    </row>
    <row r="21" spans="2:30" ht="12.75" hidden="1" customHeight="1" x14ac:dyDescent="0.3">
      <c r="B21" s="140">
        <f>D7</f>
        <v>245</v>
      </c>
      <c r="C21" s="141">
        <f>F7</f>
        <v>5292</v>
      </c>
      <c r="D21" s="142">
        <f>B21/C21</f>
        <v>4.6296296296296294E-2</v>
      </c>
      <c r="E21" s="143">
        <f>2*B21+I21^2</f>
        <v>493.84145882069413</v>
      </c>
      <c r="F21" s="143">
        <f>I21*SQRT((I21^2)+(4*B21*(1-D21)))</f>
        <v>60.042468642569247</v>
      </c>
      <c r="G21" s="144">
        <f>2*(C21+I21^2)</f>
        <v>10591.682917641388</v>
      </c>
      <c r="H21" s="145" t="s">
        <v>54</v>
      </c>
      <c r="I21" s="99">
        <f>-NORMSINV((1-I2)/2)</f>
        <v>1.9599639845400536</v>
      </c>
      <c r="J21" s="146">
        <f>D21</f>
        <v>4.6296296296296294E-2</v>
      </c>
      <c r="K21" s="146">
        <f>(E21-F21)/G21</f>
        <v>4.0956568805094622E-2</v>
      </c>
      <c r="L21" s="146">
        <f>(E21+F21)/G21</f>
        <v>5.2294232349112388E-2</v>
      </c>
      <c r="M21" s="129"/>
      <c r="N21" s="147">
        <f>F9/2</f>
        <v>5292</v>
      </c>
      <c r="O21" s="9" t="s">
        <v>55</v>
      </c>
      <c r="P21" s="5"/>
      <c r="Q21" s="123"/>
      <c r="R21" s="121"/>
      <c r="S21" s="124"/>
      <c r="T21" s="124"/>
      <c r="U21" s="148"/>
      <c r="W21" s="149">
        <f>ABS(D21-D22)</f>
        <v>2.1730914588057454E-2</v>
      </c>
      <c r="X21" s="9" t="s">
        <v>56</v>
      </c>
      <c r="Y21" s="5"/>
      <c r="Z21" s="9"/>
      <c r="AA21" s="9"/>
      <c r="AB21" s="9" t="s">
        <v>57</v>
      </c>
      <c r="AC21" s="9"/>
      <c r="AD21" s="150"/>
    </row>
    <row r="22" spans="2:30" ht="14.25" hidden="1" customHeight="1" x14ac:dyDescent="0.4">
      <c r="B22" s="140">
        <f>D8</f>
        <v>360</v>
      </c>
      <c r="C22" s="141">
        <f>F8</f>
        <v>5292</v>
      </c>
      <c r="D22" s="142">
        <f>B22/C22</f>
        <v>6.8027210884353748E-2</v>
      </c>
      <c r="E22" s="143">
        <f>2*B22+I22^2</f>
        <v>723.84145882069413</v>
      </c>
      <c r="F22" s="143">
        <f>I22*SQRT((I22^2)+(4*B22*(1-D22)))</f>
        <v>71.903764418006531</v>
      </c>
      <c r="G22" s="144">
        <f>2*(C22+I22^2)</f>
        <v>10591.682917641388</v>
      </c>
      <c r="H22" s="145" t="s">
        <v>54</v>
      </c>
      <c r="I22" s="99">
        <f>-NORMSINV((1-I2)/2)</f>
        <v>1.9599639845400536</v>
      </c>
      <c r="J22" s="146">
        <f>D22</f>
        <v>6.8027210884353748E-2</v>
      </c>
      <c r="K22" s="146">
        <f>(E22-F22)/G22</f>
        <v>6.1551851530300961E-2</v>
      </c>
      <c r="L22" s="146">
        <f>(E22+F22)/G22</f>
        <v>7.5129252775620423E-2</v>
      </c>
      <c r="M22" s="129"/>
      <c r="N22" s="151">
        <f>J26</f>
        <v>2.1730914588057454E-2</v>
      </c>
      <c r="O22" s="9" t="s">
        <v>58</v>
      </c>
      <c r="P22" s="9"/>
      <c r="Q22" s="9"/>
      <c r="R22" s="9"/>
      <c r="S22" s="9"/>
      <c r="T22" s="9"/>
      <c r="U22" s="152"/>
      <c r="W22" s="153">
        <f>SQRT((D23*(1-D23)/C21)+(D23*(1-D23)/C22))</f>
        <v>4.5131154934920379E-3</v>
      </c>
      <c r="X22" s="125" t="s">
        <v>59</v>
      </c>
      <c r="Y22" s="9"/>
      <c r="Z22" s="9"/>
      <c r="AA22" s="9"/>
      <c r="AB22" s="9"/>
      <c r="AC22" s="9"/>
      <c r="AD22" s="150"/>
    </row>
    <row r="23" spans="2:30" ht="12.75" hidden="1" customHeight="1" x14ac:dyDescent="0.3">
      <c r="B23" s="140">
        <f>D9</f>
        <v>605</v>
      </c>
      <c r="C23" s="141">
        <f>F9</f>
        <v>10584</v>
      </c>
      <c r="D23" s="142">
        <f>B23/C23</f>
        <v>5.7161753590325021E-2</v>
      </c>
      <c r="E23" s="143">
        <f>2*B23+I23^2</f>
        <v>1213.841458820694</v>
      </c>
      <c r="F23" s="143">
        <f>I23*SQRT((I23^2)+(4*B23*(1-D23)))</f>
        <v>93.700013913627544</v>
      </c>
      <c r="G23" s="144">
        <f>2*(C23+I23^2)</f>
        <v>21175.682917641388</v>
      </c>
      <c r="H23" s="145" t="s">
        <v>54</v>
      </c>
      <c r="I23" s="99">
        <f>-NORMSINV((1-I2)/2)</f>
        <v>1.9599639845400536</v>
      </c>
      <c r="J23" s="146">
        <f>D23</f>
        <v>5.7161753590325021E-2</v>
      </c>
      <c r="K23" s="146">
        <f>(E23-F23)/G23</f>
        <v>5.2897535784967788E-2</v>
      </c>
      <c r="L23" s="146">
        <f>(E23+F23)/G23</f>
        <v>6.1747310715774523E-2</v>
      </c>
      <c r="M23" s="129"/>
      <c r="N23" s="154">
        <f>(B21+B22)/(C21+C22)</f>
        <v>5.7161753590325021E-2</v>
      </c>
      <c r="O23" s="9" t="s">
        <v>60</v>
      </c>
      <c r="P23" s="5"/>
      <c r="Q23" s="123"/>
      <c r="R23" s="121"/>
      <c r="S23" s="124"/>
      <c r="T23" s="124"/>
      <c r="U23" s="150"/>
      <c r="W23" s="155">
        <f>W21/W22</f>
        <v>4.8150583824840449</v>
      </c>
      <c r="X23" s="9" t="s">
        <v>61</v>
      </c>
      <c r="Y23" s="5"/>
      <c r="Z23" s="9"/>
      <c r="AA23" s="9"/>
      <c r="AB23" s="9"/>
      <c r="AC23" s="9"/>
      <c r="AD23" s="150"/>
    </row>
    <row r="24" spans="2:30" ht="15" hidden="1" customHeight="1" x14ac:dyDescent="0.3">
      <c r="B24" s="80"/>
      <c r="C24" s="156" t="s">
        <v>62</v>
      </c>
      <c r="F24" s="157"/>
      <c r="G24" s="115"/>
      <c r="H24" s="115"/>
      <c r="I24" s="115"/>
      <c r="J24" s="115"/>
      <c r="K24" s="116"/>
      <c r="L24" s="79"/>
      <c r="M24" s="129"/>
      <c r="N24" s="158">
        <f>SQRT(N21*N22^2/(2*N23*(1-N23)))-I21</f>
        <v>2.8550943979439922</v>
      </c>
      <c r="O24" s="9" t="s">
        <v>63</v>
      </c>
      <c r="P24" s="9"/>
      <c r="Q24" s="9"/>
      <c r="R24" s="9"/>
      <c r="S24" s="9"/>
      <c r="T24" s="8"/>
      <c r="U24" s="148"/>
      <c r="W24" s="159">
        <f>NORMSDIST(-W23)</f>
        <v>7.3578430098197633E-7</v>
      </c>
      <c r="X24" s="118" t="s">
        <v>64</v>
      </c>
      <c r="Y24" s="9"/>
      <c r="Z24" s="8"/>
      <c r="AA24" s="8"/>
      <c r="AB24" s="8"/>
      <c r="AC24" s="8"/>
      <c r="AD24" s="152"/>
    </row>
    <row r="25" spans="2:30" ht="13.5" hidden="1" customHeight="1" x14ac:dyDescent="0.3">
      <c r="B25" s="80"/>
      <c r="C25" s="156" t="s">
        <v>65</v>
      </c>
      <c r="D25" s="3"/>
      <c r="E25" s="160"/>
      <c r="F25" s="157"/>
      <c r="G25" s="115"/>
      <c r="H25" s="79"/>
      <c r="I25" s="79"/>
      <c r="J25" s="161"/>
      <c r="K25" s="161"/>
      <c r="L25" s="161"/>
      <c r="M25" s="129"/>
      <c r="N25" s="162">
        <f>NORMSDIST(N24)</f>
        <v>0.99784879805482096</v>
      </c>
      <c r="O25" s="118" t="s">
        <v>66</v>
      </c>
      <c r="P25" s="163"/>
      <c r="Q25" s="9"/>
      <c r="R25" s="9"/>
      <c r="S25" s="9"/>
      <c r="T25" s="9"/>
      <c r="U25" s="150"/>
      <c r="W25" s="164">
        <f>1-W24</f>
        <v>0.99999926421569907</v>
      </c>
      <c r="X25" s="165" t="s">
        <v>67</v>
      </c>
      <c r="Y25" s="163"/>
      <c r="Z25" s="8"/>
      <c r="AA25" s="8"/>
      <c r="AB25" s="8"/>
      <c r="AC25" s="8"/>
      <c r="AD25" s="152"/>
    </row>
    <row r="26" spans="2:30" ht="15" hidden="1" customHeight="1" x14ac:dyDescent="0.35">
      <c r="F26" s="166"/>
      <c r="G26" s="79"/>
      <c r="H26" s="79"/>
      <c r="I26" s="63" t="s">
        <v>68</v>
      </c>
      <c r="J26" s="167">
        <f>D22-D21</f>
        <v>2.1730914588057454E-2</v>
      </c>
      <c r="K26" s="168">
        <f>J26+SQRT((D22-K22)^2+(L21-D21)^2)</f>
        <v>3.0557324710966428E-2</v>
      </c>
      <c r="L26" s="169">
        <f>J26-SQRT((D21-K21)^2+(L22-D22)^2)</f>
        <v>1.2845438309005124E-2</v>
      </c>
      <c r="M26" s="78"/>
      <c r="N26" s="170">
        <f>1-N25</f>
        <v>2.1512019451790376E-3</v>
      </c>
      <c r="O26" s="171" t="s">
        <v>69</v>
      </c>
      <c r="P26" s="172"/>
      <c r="Q26" s="173"/>
      <c r="R26" s="172"/>
      <c r="S26" s="172"/>
      <c r="T26" s="172"/>
      <c r="U26" s="174"/>
      <c r="W26" s="175"/>
      <c r="X26" s="176"/>
      <c r="Y26" s="172"/>
      <c r="Z26" s="176"/>
      <c r="AA26" s="176"/>
      <c r="AB26" s="176"/>
      <c r="AC26" s="176"/>
      <c r="AD26" s="177"/>
    </row>
    <row r="27" spans="2:30" ht="13.5" hidden="1" customHeight="1" x14ac:dyDescent="0.3">
      <c r="F27" s="178"/>
      <c r="G27" s="79"/>
      <c r="H27" s="79"/>
      <c r="I27" s="63" t="s">
        <v>70</v>
      </c>
      <c r="J27" s="179">
        <f>1/J26</f>
        <v>46.017391304347811</v>
      </c>
      <c r="K27" s="180">
        <f>1/K26</f>
        <v>32.725377939945098</v>
      </c>
      <c r="L27" s="181">
        <f>1/L26</f>
        <v>77.848647585576217</v>
      </c>
      <c r="M27" s="78"/>
      <c r="N27" s="79"/>
      <c r="O27" s="1"/>
      <c r="P27" s="1"/>
      <c r="U27" s="1"/>
      <c r="V27" s="1"/>
      <c r="W27" s="7"/>
      <c r="X27" s="7"/>
      <c r="Y27" s="7"/>
      <c r="Z27" s="7"/>
      <c r="AA27" s="7"/>
      <c r="AB27" s="7"/>
      <c r="AC27" s="7"/>
    </row>
    <row r="28" spans="2:30" ht="14.25" hidden="1" customHeight="1" x14ac:dyDescent="0.4">
      <c r="G28" s="79"/>
      <c r="H28" s="79"/>
      <c r="K28" s="182"/>
      <c r="L28" s="182"/>
      <c r="M28" s="183"/>
      <c r="N28" s="130"/>
      <c r="O28" s="184"/>
      <c r="P28" s="184" t="s">
        <v>59</v>
      </c>
      <c r="Q28" s="185">
        <f>SQRT((D23*(1-D23)/C21)+(D23*(1-D23)/C22))</f>
        <v>4.5131154934920379E-3</v>
      </c>
      <c r="R28" s="186"/>
      <c r="S28" s="186"/>
      <c r="T28" s="186"/>
      <c r="U28" s="139"/>
      <c r="V28" s="1"/>
    </row>
    <row r="29" spans="2:30" ht="31.5" hidden="1" customHeight="1" x14ac:dyDescent="0.35">
      <c r="F29" s="187"/>
      <c r="G29" s="188"/>
      <c r="H29" s="189" t="s">
        <v>71</v>
      </c>
      <c r="I29" s="190" t="s">
        <v>11</v>
      </c>
      <c r="J29" s="191">
        <f>J27</f>
        <v>46.017391304347811</v>
      </c>
      <c r="K29" s="191">
        <f>K27</f>
        <v>32.725377939945098</v>
      </c>
      <c r="L29" s="191">
        <f>L27</f>
        <v>77.848647585576217</v>
      </c>
      <c r="M29" s="79"/>
      <c r="N29" s="192" t="s">
        <v>72</v>
      </c>
      <c r="O29" s="193"/>
      <c r="P29" s="9" t="s">
        <v>73</v>
      </c>
      <c r="Q29" s="9"/>
      <c r="R29" s="123"/>
      <c r="S29" s="194" t="s">
        <v>74</v>
      </c>
      <c r="T29" s="9"/>
      <c r="U29" s="150"/>
      <c r="V29" s="1"/>
    </row>
    <row r="30" spans="2:30" s="8" customFormat="1" ht="14.25" hidden="1" customHeight="1" x14ac:dyDescent="0.4">
      <c r="F30" s="195"/>
      <c r="G30" s="196"/>
      <c r="H30" s="197"/>
      <c r="I30" s="198" t="s">
        <v>75</v>
      </c>
      <c r="J30" s="340">
        <f>(1-D22)*J27</f>
        <v>42.886956521739116</v>
      </c>
      <c r="K30" s="199">
        <f>(1-D22)*K27</f>
        <v>30.499161753554276</v>
      </c>
      <c r="L30" s="199">
        <f>(1-D22)*L27</f>
        <v>72.552821219210486</v>
      </c>
      <c r="M30" s="79"/>
      <c r="N30" s="200"/>
      <c r="O30" s="201" t="s">
        <v>76</v>
      </c>
      <c r="Q30" s="202" t="s">
        <v>77</v>
      </c>
      <c r="R30" s="201" t="s">
        <v>78</v>
      </c>
      <c r="S30" s="9"/>
      <c r="T30" s="9"/>
      <c r="U30" s="152"/>
    </row>
    <row r="31" spans="2:30" s="8" customFormat="1" ht="14.25" hidden="1" customHeight="1" x14ac:dyDescent="0.4">
      <c r="F31" s="203"/>
      <c r="G31" s="204"/>
      <c r="H31" s="205"/>
      <c r="I31" s="206" t="s">
        <v>79</v>
      </c>
      <c r="J31" s="207">
        <f>J27*J26</f>
        <v>1</v>
      </c>
      <c r="K31" s="207">
        <f>K27*K26</f>
        <v>1</v>
      </c>
      <c r="L31" s="207">
        <f>L27*L26</f>
        <v>1</v>
      </c>
      <c r="M31" s="92"/>
      <c r="N31" s="158">
        <f>ABS((J26/Q28))-I21</f>
        <v>2.8550943979439913</v>
      </c>
      <c r="O31" s="201" t="s">
        <v>80</v>
      </c>
      <c r="P31" s="9"/>
      <c r="Q31" s="9"/>
      <c r="R31" s="121"/>
      <c r="S31" s="124"/>
      <c r="T31" s="124"/>
      <c r="U31" s="148"/>
    </row>
    <row r="32" spans="2:30" s="8" customFormat="1" ht="12.75" hidden="1" customHeight="1" x14ac:dyDescent="0.3">
      <c r="B32" s="208"/>
      <c r="C32" s="209"/>
      <c r="E32" s="210"/>
      <c r="G32" s="211"/>
      <c r="H32" s="212"/>
      <c r="I32" s="213" t="s">
        <v>81</v>
      </c>
      <c r="J32" s="339">
        <f>(D22-J26)*J27</f>
        <v>2.1304347826086949</v>
      </c>
      <c r="K32" s="214">
        <f>(D22-K26)*K27</f>
        <v>1.2262161863908232</v>
      </c>
      <c r="L32" s="214">
        <f>(D22-L26)*L27</f>
        <v>4.2958263663657288</v>
      </c>
      <c r="M32" s="92"/>
      <c r="N32" s="162">
        <f>NORMSDIST(N31)</f>
        <v>0.99784879805482096</v>
      </c>
      <c r="O32" s="125" t="s">
        <v>82</v>
      </c>
      <c r="P32" s="163"/>
      <c r="Q32" s="9"/>
      <c r="R32" s="9"/>
      <c r="S32" s="9"/>
      <c r="T32" s="9"/>
      <c r="U32" s="152"/>
    </row>
    <row r="33" spans="2:22" s="8" customFormat="1" ht="12.75" hidden="1" customHeight="1" x14ac:dyDescent="0.3">
      <c r="B33" s="208"/>
      <c r="G33" s="215"/>
      <c r="H33" s="216"/>
      <c r="I33" s="216"/>
      <c r="J33" s="217"/>
      <c r="K33" s="217"/>
      <c r="L33" s="217"/>
      <c r="M33" s="92"/>
      <c r="N33" s="170">
        <f>1-N32</f>
        <v>2.1512019451790376E-3</v>
      </c>
      <c r="O33" s="172" t="s">
        <v>83</v>
      </c>
      <c r="P33" s="172"/>
      <c r="Q33" s="173"/>
      <c r="R33" s="218"/>
      <c r="S33" s="219"/>
      <c r="T33" s="219"/>
      <c r="U33" s="174"/>
    </row>
    <row r="34" spans="2:22" s="8" customFormat="1" ht="31.5" hidden="1" customHeight="1" x14ac:dyDescent="0.3">
      <c r="B34" s="105"/>
      <c r="F34" s="89"/>
      <c r="G34" s="220"/>
      <c r="H34" s="189" t="s">
        <v>84</v>
      </c>
      <c r="I34" s="221" t="s">
        <v>85</v>
      </c>
      <c r="J34" s="222">
        <f>ABS(J27)</f>
        <v>46.017391304347811</v>
      </c>
      <c r="K34" s="222">
        <f>ABS(L27)</f>
        <v>77.848647585576217</v>
      </c>
      <c r="L34" s="222">
        <f>ABS(K27)</f>
        <v>32.725377939945098</v>
      </c>
      <c r="M34" s="92"/>
      <c r="N34" s="78"/>
      <c r="O34" s="9"/>
      <c r="P34" s="9"/>
      <c r="Q34" s="9"/>
      <c r="R34" s="9"/>
      <c r="S34" s="9"/>
      <c r="T34" s="9"/>
      <c r="U34" s="9"/>
      <c r="V34" s="9"/>
    </row>
    <row r="35" spans="2:22" s="8" customFormat="1" ht="13.5" hidden="1" customHeight="1" x14ac:dyDescent="0.3">
      <c r="B35" s="105"/>
      <c r="G35" s="196"/>
      <c r="H35" s="197"/>
      <c r="I35" s="198" t="s">
        <v>75</v>
      </c>
      <c r="J35" s="199">
        <f>ABS((1-(D22-J26))*J27)</f>
        <v>43.886956521739116</v>
      </c>
      <c r="K35" s="199">
        <f>ABS((1-(D22-L26))*L27)</f>
        <v>73.552821219210486</v>
      </c>
      <c r="L35" s="199">
        <f>ABS((1-(D22-K26))*K27)</f>
        <v>31.499161753554276</v>
      </c>
      <c r="M35" s="92"/>
      <c r="N35" s="78"/>
      <c r="O35" s="9"/>
      <c r="P35" s="9"/>
      <c r="Q35" s="9"/>
      <c r="R35" s="9"/>
      <c r="S35" s="9"/>
      <c r="T35" s="9"/>
      <c r="U35" s="9"/>
      <c r="V35" s="9"/>
    </row>
    <row r="36" spans="2:22" s="8" customFormat="1" ht="12.75" hidden="1" customHeight="1" x14ac:dyDescent="0.3">
      <c r="B36" s="105"/>
      <c r="F36" s="223"/>
      <c r="G36" s="224"/>
      <c r="H36" s="225"/>
      <c r="I36" s="226" t="s">
        <v>86</v>
      </c>
      <c r="J36" s="227">
        <f>J27*J26</f>
        <v>1</v>
      </c>
      <c r="K36" s="227">
        <f>L27*L26</f>
        <v>1</v>
      </c>
      <c r="L36" s="227">
        <f>K27*K26</f>
        <v>1</v>
      </c>
      <c r="M36" s="92"/>
      <c r="N36" s="78"/>
      <c r="O36" s="9"/>
      <c r="P36" s="9"/>
      <c r="Q36" s="9"/>
      <c r="R36" s="9"/>
      <c r="S36" s="9"/>
      <c r="T36" s="9"/>
      <c r="U36" s="9"/>
      <c r="V36" s="9"/>
    </row>
    <row r="37" spans="2:22" ht="15.75" hidden="1" customHeight="1" x14ac:dyDescent="0.35">
      <c r="B37" s="228" t="s">
        <v>87</v>
      </c>
      <c r="C37" s="229"/>
      <c r="D37" s="229"/>
      <c r="E37" s="229"/>
      <c r="F37" s="230"/>
      <c r="G37" s="211"/>
      <c r="H37" s="212"/>
      <c r="I37" s="213" t="s">
        <v>88</v>
      </c>
      <c r="J37" s="214">
        <f>ABS(D22*J27)</f>
        <v>3.1304347826086949</v>
      </c>
      <c r="K37" s="214">
        <f>ABS(D22*L27)</f>
        <v>5.2958263663657297</v>
      </c>
      <c r="L37" s="214">
        <f>ABS(D22*K27)</f>
        <v>2.2262161863908232</v>
      </c>
      <c r="M37" s="79"/>
      <c r="N37" s="78"/>
      <c r="O37" s="9"/>
      <c r="P37" s="9"/>
      <c r="Q37" s="9"/>
      <c r="R37" s="9"/>
      <c r="S37" s="9"/>
      <c r="T37" s="9"/>
      <c r="U37" s="9"/>
      <c r="V37" s="9"/>
    </row>
    <row r="38" spans="2:22" s="7" customFormat="1" ht="12.75" hidden="1" customHeight="1" x14ac:dyDescent="0.3">
      <c r="B38" s="80"/>
      <c r="C38" s="231" t="s">
        <v>16</v>
      </c>
      <c r="D38" s="232" t="s">
        <v>17</v>
      </c>
      <c r="E38" s="9"/>
      <c r="F38" s="230"/>
      <c r="G38" s="233"/>
      <c r="H38" s="234"/>
      <c r="I38" s="235"/>
      <c r="J38" s="236"/>
      <c r="K38" s="236"/>
      <c r="L38" s="236"/>
      <c r="M38" s="116"/>
      <c r="N38" s="92"/>
      <c r="O38" s="8"/>
      <c r="P38" s="8"/>
      <c r="Q38" s="8"/>
      <c r="R38" s="8"/>
    </row>
    <row r="39" spans="2:22" ht="12.75" hidden="1" customHeight="1" x14ac:dyDescent="0.3">
      <c r="B39" s="237" t="s">
        <v>89</v>
      </c>
      <c r="C39" s="238" t="s">
        <v>18</v>
      </c>
      <c r="D39" s="239" t="s">
        <v>19</v>
      </c>
      <c r="E39" s="4" t="s">
        <v>20</v>
      </c>
      <c r="G39" s="79"/>
      <c r="H39" s="79"/>
      <c r="I39" s="79"/>
      <c r="J39" s="79"/>
      <c r="K39" s="79"/>
      <c r="L39" s="79"/>
      <c r="M39" s="79"/>
      <c r="N39" s="92"/>
      <c r="O39" s="8"/>
      <c r="P39" s="8"/>
      <c r="Q39" s="8"/>
      <c r="R39" s="8"/>
      <c r="U39" s="1"/>
      <c r="V39" s="1"/>
    </row>
    <row r="40" spans="2:22" ht="12.75" hidden="1" customHeight="1" x14ac:dyDescent="0.3">
      <c r="B40" s="240" t="s">
        <v>90</v>
      </c>
      <c r="C40" s="241">
        <f>F7*D9/F9</f>
        <v>302.5</v>
      </c>
      <c r="D40" s="241">
        <f>F7*E9/F9</f>
        <v>4989.5</v>
      </c>
      <c r="E40" s="241">
        <f>F7</f>
        <v>5292</v>
      </c>
      <c r="G40" s="11"/>
      <c r="H40" s="242" t="s">
        <v>91</v>
      </c>
      <c r="I40" s="243">
        <f>CHIINV(0.05,K41)</f>
        <v>3.8414588206941236</v>
      </c>
      <c r="J40" s="79"/>
      <c r="K40" s="79"/>
      <c r="L40" s="79"/>
      <c r="M40" s="79"/>
      <c r="N40" s="92"/>
      <c r="O40" s="244"/>
      <c r="P40" s="244"/>
      <c r="Q40" s="244"/>
      <c r="R40" s="8"/>
      <c r="U40" s="1"/>
      <c r="V40" s="1"/>
    </row>
    <row r="41" spans="2:22" ht="12.75" hidden="1" customHeight="1" x14ac:dyDescent="0.3">
      <c r="B41" s="245" t="s">
        <v>92</v>
      </c>
      <c r="C41" s="241">
        <f>F8*D9/F9</f>
        <v>302.5</v>
      </c>
      <c r="D41" s="241">
        <f>F8*E9/F9</f>
        <v>4989.5</v>
      </c>
      <c r="E41" s="241">
        <f>F8</f>
        <v>5292</v>
      </c>
      <c r="F41" s="7"/>
      <c r="G41" s="246"/>
      <c r="H41" s="246"/>
      <c r="I41" s="247"/>
      <c r="J41" s="248" t="s">
        <v>93</v>
      </c>
      <c r="K41" s="249">
        <f>(COUNT(C40:D40)-1)*(COUNT(C40:C41)-1)</f>
        <v>1</v>
      </c>
      <c r="L41" s="79"/>
      <c r="M41" s="79"/>
      <c r="N41" s="79"/>
      <c r="O41" s="244"/>
      <c r="P41" s="244"/>
      <c r="Q41" s="244"/>
      <c r="R41" s="8"/>
      <c r="U41" s="1"/>
      <c r="V41" s="1"/>
    </row>
    <row r="42" spans="2:22" ht="12.75" hidden="1" customHeight="1" x14ac:dyDescent="0.3">
      <c r="B42" s="250" t="s">
        <v>94</v>
      </c>
      <c r="C42" s="241">
        <f>SUM(C40:C41)</f>
        <v>605</v>
      </c>
      <c r="D42" s="241">
        <f>SUM(D40:D41)</f>
        <v>9979</v>
      </c>
      <c r="E42" s="251">
        <f>SUM(E40:E41)</f>
        <v>10584</v>
      </c>
      <c r="F42" s="7"/>
      <c r="G42" s="116"/>
      <c r="H42" s="252" t="s">
        <v>95</v>
      </c>
      <c r="I42" s="253" t="s">
        <v>96</v>
      </c>
      <c r="J42" s="79"/>
      <c r="K42" s="79"/>
      <c r="L42" s="79"/>
      <c r="M42" s="79"/>
      <c r="N42" s="79"/>
      <c r="O42" s="244"/>
      <c r="P42" s="254"/>
      <c r="Q42" s="244"/>
      <c r="R42" s="8"/>
      <c r="U42" s="1"/>
      <c r="V42" s="1"/>
    </row>
    <row r="43" spans="2:22" ht="12.75" hidden="1" customHeight="1" x14ac:dyDescent="0.3">
      <c r="B43" s="250"/>
      <c r="C43" s="255"/>
      <c r="D43" s="255"/>
      <c r="E43" s="256"/>
      <c r="F43" s="7"/>
      <c r="G43" s="116"/>
      <c r="H43" s="252" t="s">
        <v>97</v>
      </c>
      <c r="I43" s="253" t="s">
        <v>98</v>
      </c>
      <c r="J43" s="79"/>
      <c r="K43" s="79"/>
      <c r="L43" s="79"/>
      <c r="M43" s="79"/>
      <c r="N43" s="79"/>
      <c r="O43" s="257"/>
      <c r="P43" s="257"/>
      <c r="Q43" s="257"/>
      <c r="R43" s="8"/>
      <c r="U43" s="1"/>
      <c r="V43" s="1"/>
    </row>
    <row r="44" spans="2:22" ht="26.25" hidden="1" customHeight="1" x14ac:dyDescent="0.3">
      <c r="B44" s="258"/>
      <c r="C44" s="561" t="s">
        <v>99</v>
      </c>
      <c r="D44" s="562"/>
      <c r="G44" s="79"/>
      <c r="H44" s="259"/>
      <c r="I44" s="79"/>
      <c r="J44" s="79"/>
      <c r="K44" s="79"/>
      <c r="L44" s="79"/>
      <c r="M44" s="79"/>
      <c r="N44" s="79"/>
      <c r="O44" s="1"/>
      <c r="P44" s="1"/>
      <c r="U44" s="1"/>
      <c r="V44" s="1"/>
    </row>
    <row r="45" spans="2:22" ht="12.75" hidden="1" customHeight="1" x14ac:dyDescent="0.3">
      <c r="B45" s="258"/>
      <c r="C45" s="260">
        <f>(D7-C40)^2/C40</f>
        <v>10.929752066115702</v>
      </c>
      <c r="D45" s="260">
        <f>(E7-D40)^2/D40</f>
        <v>0.66264154724922342</v>
      </c>
      <c r="F45" s="261"/>
      <c r="G45" s="262"/>
      <c r="H45" s="79"/>
      <c r="I45" s="79"/>
      <c r="J45" s="92"/>
      <c r="K45" s="92"/>
      <c r="L45" s="263"/>
      <c r="M45" s="79"/>
      <c r="N45" s="79"/>
      <c r="O45" s="1"/>
      <c r="P45" s="1"/>
      <c r="U45" s="1"/>
      <c r="V45" s="1"/>
    </row>
    <row r="46" spans="2:22" ht="12.75" hidden="1" customHeight="1" x14ac:dyDescent="0.3">
      <c r="B46" s="258"/>
      <c r="C46" s="260">
        <f>(D8-C41)^2/C41</f>
        <v>10.929752066115702</v>
      </c>
      <c r="D46" s="260">
        <f>(E8-D41)^2/D41</f>
        <v>0.66264154724922342</v>
      </c>
      <c r="E46" s="73"/>
      <c r="F46" s="264" t="s">
        <v>100</v>
      </c>
      <c r="G46" s="265">
        <f>C48-I40</f>
        <v>19.343328406035724</v>
      </c>
      <c r="H46" s="79"/>
      <c r="I46" s="79"/>
      <c r="J46" s="92"/>
      <c r="K46" s="92"/>
      <c r="L46" s="79"/>
      <c r="M46" s="79"/>
      <c r="N46" s="79"/>
      <c r="O46" s="1"/>
      <c r="P46" s="1"/>
      <c r="U46" s="1"/>
      <c r="V46" s="1"/>
    </row>
    <row r="47" spans="2:22" ht="12.75" hidden="1" customHeight="1" x14ac:dyDescent="0.3">
      <c r="B47" s="253" t="s">
        <v>101</v>
      </c>
      <c r="D47" s="266"/>
      <c r="G47" s="267" t="s">
        <v>102</v>
      </c>
      <c r="H47" s="79"/>
      <c r="I47" s="79"/>
      <c r="J47" s="92"/>
      <c r="K47" s="92"/>
      <c r="L47" s="79"/>
      <c r="M47" s="79"/>
      <c r="N47" s="79"/>
      <c r="O47" s="1"/>
      <c r="P47" s="1"/>
      <c r="U47" s="1"/>
      <c r="V47" s="1"/>
    </row>
    <row r="48" spans="2:22" ht="13.5" hidden="1" customHeight="1" x14ac:dyDescent="0.3">
      <c r="B48" s="268" t="s">
        <v>103</v>
      </c>
      <c r="C48" s="269">
        <f>SUM(C45:D46)</f>
        <v>23.184787226729849</v>
      </c>
      <c r="D48" s="9"/>
      <c r="G48" s="267" t="s">
        <v>104</v>
      </c>
      <c r="H48" s="79"/>
      <c r="I48" s="270"/>
      <c r="J48" s="92"/>
      <c r="K48" s="92"/>
      <c r="L48" s="271"/>
      <c r="M48" s="79"/>
      <c r="N48" s="79"/>
      <c r="O48" s="1"/>
      <c r="P48" s="1"/>
      <c r="U48" s="1"/>
      <c r="V48" s="1"/>
    </row>
    <row r="49" spans="1:22" ht="12.75" hidden="1" customHeight="1" x14ac:dyDescent="0.3">
      <c r="B49" s="272" t="s">
        <v>105</v>
      </c>
      <c r="C49" s="273">
        <f>CHIDIST(C48,1)</f>
        <v>1.4715686019639662E-6</v>
      </c>
      <c r="E49" s="9"/>
      <c r="F49" s="9"/>
      <c r="G49" s="78"/>
      <c r="H49" s="274"/>
      <c r="I49" s="78"/>
      <c r="J49" s="92"/>
      <c r="K49" s="92"/>
      <c r="L49" s="78"/>
      <c r="M49" s="79"/>
      <c r="N49" s="79"/>
      <c r="O49" s="1"/>
      <c r="P49" s="1"/>
      <c r="U49" s="1"/>
      <c r="V49" s="1"/>
    </row>
    <row r="50" spans="1:22" s="8" customFormat="1" ht="12.75" hidden="1" customHeight="1" x14ac:dyDescent="0.3">
      <c r="B50" s="105"/>
      <c r="E50" s="275"/>
      <c r="F50" s="275"/>
      <c r="G50" s="92"/>
      <c r="H50" s="92"/>
      <c r="I50" s="276"/>
      <c r="J50" s="92"/>
      <c r="K50" s="92"/>
      <c r="L50" s="92"/>
      <c r="M50" s="92"/>
      <c r="N50" s="92"/>
    </row>
    <row r="51" spans="1:22" ht="13.5" hidden="1" customHeight="1" x14ac:dyDescent="0.3">
      <c r="B51" s="80"/>
      <c r="G51" s="79"/>
      <c r="H51" s="79"/>
      <c r="I51" s="79"/>
      <c r="J51" s="92"/>
      <c r="K51" s="92"/>
      <c r="L51" s="79"/>
      <c r="M51" s="79"/>
      <c r="N51" s="79"/>
      <c r="O51" s="1"/>
      <c r="P51" s="1"/>
      <c r="U51" s="1"/>
      <c r="V51" s="1"/>
    </row>
    <row r="52" spans="1:22" ht="12.75" hidden="1" customHeight="1" x14ac:dyDescent="0.3">
      <c r="B52" s="277" t="s">
        <v>106</v>
      </c>
      <c r="C52" s="278"/>
      <c r="D52" s="278"/>
      <c r="E52" s="278"/>
      <c r="F52" s="278"/>
      <c r="G52" s="278"/>
      <c r="H52" s="279"/>
      <c r="I52" s="79"/>
      <c r="J52" s="280" t="s">
        <v>107</v>
      </c>
      <c r="K52" s="281"/>
      <c r="L52" s="282"/>
      <c r="M52" s="282"/>
      <c r="N52" s="282"/>
      <c r="O52" s="139"/>
      <c r="P52" s="1"/>
      <c r="U52" s="1"/>
      <c r="V52" s="1"/>
    </row>
    <row r="53" spans="1:22" ht="12.75" hidden="1" customHeight="1" x14ac:dyDescent="0.3">
      <c r="B53" s="283">
        <f>I2*100</f>
        <v>95</v>
      </c>
      <c r="C53" s="230"/>
      <c r="D53" s="230"/>
      <c r="E53" s="8"/>
      <c r="F53" s="8"/>
      <c r="G53" s="8"/>
      <c r="H53" s="152"/>
      <c r="I53" s="79"/>
      <c r="J53" s="284"/>
      <c r="K53" s="92"/>
      <c r="L53" s="78"/>
      <c r="M53" s="78"/>
      <c r="N53" s="78"/>
      <c r="O53" s="150"/>
      <c r="P53" s="1"/>
      <c r="U53" s="1"/>
      <c r="V53" s="1"/>
    </row>
    <row r="54" spans="1:22" ht="12.75" hidden="1" customHeight="1" x14ac:dyDescent="0.3">
      <c r="B54" s="285" t="s">
        <v>108</v>
      </c>
      <c r="C54" s="286"/>
      <c r="D54" s="286"/>
      <c r="E54" s="287">
        <f>ROUND(G14,2)</f>
        <v>0.68</v>
      </c>
      <c r="F54" s="288">
        <f>ROUND(J26,4)</f>
        <v>2.1700000000000001E-2</v>
      </c>
      <c r="G54" s="289">
        <f>ROUND(J27,0)</f>
        <v>46</v>
      </c>
      <c r="H54" s="290"/>
      <c r="I54" s="79"/>
      <c r="J54" s="291" t="s">
        <v>108</v>
      </c>
      <c r="K54" s="8"/>
      <c r="L54" s="8"/>
      <c r="M54" s="8"/>
      <c r="N54" s="78"/>
      <c r="O54" s="150"/>
      <c r="P54" s="1"/>
      <c r="U54" s="1"/>
      <c r="V54" s="1"/>
    </row>
    <row r="55" spans="1:22" ht="12.75" hidden="1" customHeight="1" x14ac:dyDescent="0.3">
      <c r="B55" s="285" t="s">
        <v>109</v>
      </c>
      <c r="C55" s="9"/>
      <c r="D55" s="9"/>
      <c r="E55" s="287">
        <f>ROUND(H14,2)</f>
        <v>0.57999999999999996</v>
      </c>
      <c r="F55" s="288">
        <f>ROUND(L26,4)</f>
        <v>1.2800000000000001E-2</v>
      </c>
      <c r="G55" s="289">
        <f>ROUND(L27,0)</f>
        <v>78</v>
      </c>
      <c r="H55" s="290"/>
      <c r="I55" s="79"/>
      <c r="J55" s="291" t="s">
        <v>109</v>
      </c>
      <c r="K55" s="292" t="str">
        <f>ROUND(J21,4)*100&amp;J57</f>
        <v>4,63%</v>
      </c>
      <c r="L55" s="292" t="str">
        <f>ROUND(K21,4)*100&amp;J57</f>
        <v>4,1%</v>
      </c>
      <c r="M55" s="292" t="str">
        <f>ROUND(L21,4)*100&amp;J57</f>
        <v>5,23%</v>
      </c>
      <c r="N55" s="293" t="str">
        <f>CONCATENATE(K55," ",J54,L55," ",J58," ",M55,J56)</f>
        <v>4,63% (4,1% a 5,23%)</v>
      </c>
      <c r="O55" s="150"/>
      <c r="P55" s="1"/>
      <c r="U55" s="1"/>
      <c r="V55" s="1"/>
    </row>
    <row r="56" spans="1:22" s="7" customFormat="1" ht="12.75" hidden="1" customHeight="1" x14ac:dyDescent="0.3">
      <c r="B56" s="285" t="s">
        <v>110</v>
      </c>
      <c r="C56" s="286">
        <f>ROUND(D7,0)</f>
        <v>245</v>
      </c>
      <c r="D56" s="286">
        <f>ROUND(D8,0)</f>
        <v>360</v>
      </c>
      <c r="E56" s="287">
        <f>ROUND(I14,2)</f>
        <v>0.8</v>
      </c>
      <c r="F56" s="288">
        <f>ROUND(K26,4)</f>
        <v>3.0599999999999999E-2</v>
      </c>
      <c r="G56" s="289">
        <f>ROUND(K27,0)</f>
        <v>33</v>
      </c>
      <c r="H56" s="294">
        <f>ROUND(N32,4)</f>
        <v>0.99780000000000002</v>
      </c>
      <c r="I56" s="116"/>
      <c r="J56" s="291" t="s">
        <v>110</v>
      </c>
      <c r="K56" s="295" t="str">
        <f>ROUND(J22,4)*100&amp;J57</f>
        <v>6,8%</v>
      </c>
      <c r="L56" s="295" t="str">
        <f>ROUND(K22,4)*100&amp;J57</f>
        <v>6,16%</v>
      </c>
      <c r="M56" s="295" t="str">
        <f>ROUND(L22,4)*100&amp;J57</f>
        <v>7,51%</v>
      </c>
      <c r="N56" s="293" t="str">
        <f>CONCATENATE(K56," ",J54,L56," ",J58," ",M56,J56)</f>
        <v>6,8% (6,16% a 7,51%)</v>
      </c>
      <c r="O56" s="152"/>
    </row>
    <row r="57" spans="1:22" ht="12.75" hidden="1" customHeight="1" x14ac:dyDescent="0.3">
      <c r="B57" s="285" t="s">
        <v>111</v>
      </c>
      <c r="C57" s="296" t="s">
        <v>112</v>
      </c>
      <c r="D57" s="296" t="s">
        <v>113</v>
      </c>
      <c r="E57" s="296" t="s">
        <v>28</v>
      </c>
      <c r="F57" s="296" t="s">
        <v>114</v>
      </c>
      <c r="G57" s="297" t="s">
        <v>11</v>
      </c>
      <c r="H57" s="11" t="s">
        <v>115</v>
      </c>
      <c r="I57" s="79"/>
      <c r="J57" s="291" t="s">
        <v>111</v>
      </c>
      <c r="K57" s="295" t="str">
        <f>ROUND(J23,4)*100&amp;J57</f>
        <v>5,72%</v>
      </c>
      <c r="L57" s="295" t="str">
        <f>ROUND(K23,4)*100&amp;J57</f>
        <v>5,29%</v>
      </c>
      <c r="M57" s="295" t="str">
        <f>ROUND(L23,4)*100&amp;J57</f>
        <v>6,17%</v>
      </c>
      <c r="N57" s="293" t="str">
        <f>CONCATENATE(K57," ",J54,L57," ",J58," ",M57,J56)</f>
        <v>5,72% (5,29% a 6,17%)</v>
      </c>
      <c r="O57" s="152"/>
    </row>
    <row r="58" spans="1:22" ht="12.75" hidden="1" customHeight="1" x14ac:dyDescent="0.3">
      <c r="B58" s="298" t="s">
        <v>116</v>
      </c>
      <c r="C58" s="299" t="str">
        <f>CONCATENATE(C56,B59,C21," ",B54,K55,B56)</f>
        <v>245/5292 (4,63%)</v>
      </c>
      <c r="D58" s="63" t="str">
        <f>CONCATENATE(D56,B59,C22," ",B54,K56,B56)</f>
        <v>360/5292 (6,8%)</v>
      </c>
      <c r="E58" s="299" t="str">
        <f>CONCATENATE(E54," ",B54,E55,B55,E56,B56)</f>
        <v>0,68 (0,58-0,8)</v>
      </c>
      <c r="F58" s="299" t="str">
        <f>CONCATENATE(F54*100,B57," ",B54,F55*100,B57," ",B58," ",F56*100,B57,B56)</f>
        <v>2,17% (1,28% a 3,06%)</v>
      </c>
      <c r="G58" s="11" t="str">
        <f>CONCATENATE(G54," ",B54,G56," ",B58," ",G55,B56)</f>
        <v>46 (33 a 78)</v>
      </c>
      <c r="H58" s="11" t="str">
        <f>CONCATENATE(H56*100,B57)</f>
        <v>99,78%</v>
      </c>
      <c r="I58" s="79"/>
      <c r="J58" s="300" t="s">
        <v>116</v>
      </c>
      <c r="K58" s="9"/>
      <c r="L58" s="9"/>
      <c r="M58" s="9"/>
      <c r="N58" s="78"/>
      <c r="O58" s="150"/>
      <c r="P58" s="1"/>
      <c r="U58" s="1"/>
      <c r="V58" s="1"/>
    </row>
    <row r="59" spans="1:22" ht="13.5" hidden="1" customHeight="1" x14ac:dyDescent="0.3">
      <c r="B59" s="301" t="s">
        <v>117</v>
      </c>
      <c r="C59" s="176"/>
      <c r="D59" s="176"/>
      <c r="E59" s="176"/>
      <c r="F59" s="176"/>
      <c r="G59" s="302"/>
      <c r="H59" s="303"/>
      <c r="I59" s="79"/>
      <c r="J59" s="304" t="s">
        <v>117</v>
      </c>
      <c r="K59" s="176"/>
      <c r="L59" s="176"/>
      <c r="M59" s="176"/>
      <c r="N59" s="305"/>
      <c r="O59" s="174"/>
      <c r="P59" s="1"/>
      <c r="U59" s="1"/>
      <c r="V59" s="1"/>
    </row>
    <row r="60" spans="1:22" hidden="1" x14ac:dyDescent="0.3">
      <c r="B60" s="80"/>
      <c r="D60" s="434"/>
      <c r="E60" s="434"/>
      <c r="G60" s="79"/>
      <c r="H60" s="79"/>
      <c r="I60" s="79"/>
      <c r="J60" s="79"/>
      <c r="K60" s="79"/>
      <c r="L60" s="92"/>
      <c r="M60" s="79"/>
      <c r="N60" s="79"/>
      <c r="O60" s="1"/>
      <c r="P60" s="1"/>
      <c r="U60" s="1"/>
      <c r="V60" s="1"/>
    </row>
    <row r="61" spans="1:22" ht="27" customHeight="1" x14ac:dyDescent="0.3">
      <c r="B61" s="80"/>
      <c r="C61" s="306" t="s">
        <v>112</v>
      </c>
      <c r="D61" s="306" t="s">
        <v>113</v>
      </c>
      <c r="E61" s="307" t="str">
        <f>CONCATENATE(E57," ",B54,H2," ",B53,B57,B56)</f>
        <v>RR (IC 95%)</v>
      </c>
      <c r="F61" s="307" t="str">
        <f>CONCATENATE(F57," ",B54,H2," ",B53,B57,B56)</f>
        <v>RAR (IC 95%)</v>
      </c>
      <c r="G61" s="307" t="str">
        <f>CONCATENATE(G57," ",B54,H2," ",B53,B57,B56)</f>
        <v>NNT (IC 95%)</v>
      </c>
      <c r="H61" s="307" t="s">
        <v>72</v>
      </c>
      <c r="I61" s="308"/>
      <c r="J61" s="342" t="s">
        <v>128</v>
      </c>
      <c r="L61" s="307" t="s">
        <v>119</v>
      </c>
      <c r="M61" s="307" t="s">
        <v>120</v>
      </c>
      <c r="O61" s="307" t="s">
        <v>139</v>
      </c>
      <c r="P61" s="307" t="s">
        <v>120</v>
      </c>
      <c r="R61" s="468" t="s">
        <v>2</v>
      </c>
      <c r="S61" s="469" t="s">
        <v>3</v>
      </c>
      <c r="T61" s="470" t="s">
        <v>1</v>
      </c>
      <c r="U61" s="471" t="s">
        <v>137</v>
      </c>
      <c r="V61" s="1"/>
    </row>
    <row r="62" spans="1:22" ht="21" customHeight="1" x14ac:dyDescent="0.3">
      <c r="B62" s="80"/>
      <c r="C62" s="63" t="str">
        <f t="shared" ref="C62:H62" si="2">C58</f>
        <v>245/5292 (4,63%)</v>
      </c>
      <c r="D62" s="63" t="str">
        <f t="shared" si="2"/>
        <v>360/5292 (6,8%)</v>
      </c>
      <c r="E62" s="63" t="str">
        <f t="shared" si="2"/>
        <v>0,68 (0,58-0,8)</v>
      </c>
      <c r="F62" s="63" t="str">
        <f t="shared" si="2"/>
        <v>2,17% (1,28% a 3,06%)</v>
      </c>
      <c r="G62" s="63" t="str">
        <f t="shared" si="2"/>
        <v>46 (33 a 78)</v>
      </c>
      <c r="H62" s="433" t="str">
        <f t="shared" si="2"/>
        <v>99,78%</v>
      </c>
      <c r="I62" s="309"/>
      <c r="J62" s="310">
        <f>C49</f>
        <v>1.4715686019639662E-6</v>
      </c>
      <c r="L62" s="311">
        <f>IF((K26*L26&lt;0),J23,J21)</f>
        <v>4.6296296296296294E-2</v>
      </c>
      <c r="M62" s="311">
        <f>IF((K26*L26&lt;0),J23,J22)</f>
        <v>6.8027210884353748E-2</v>
      </c>
      <c r="O62" s="516">
        <f>L62*100</f>
        <v>4.6296296296296298</v>
      </c>
      <c r="P62" s="516">
        <f>M62*100</f>
        <v>6.8027210884353746</v>
      </c>
      <c r="R62" s="325">
        <f>Q14</f>
        <v>15.281934996220709</v>
      </c>
      <c r="S62" s="326">
        <f>R14</f>
        <v>0.17384731670445963</v>
      </c>
      <c r="T62" s="360">
        <f>S14</f>
        <v>0.54421768707482998</v>
      </c>
      <c r="U62" s="361">
        <f>R62+S62+T62</f>
        <v>16</v>
      </c>
      <c r="V62" s="267" t="str">
        <f>I4</f>
        <v>meses</v>
      </c>
    </row>
    <row r="63" spans="1:22" x14ac:dyDescent="0.3">
      <c r="B63" s="80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312"/>
    </row>
    <row r="64" spans="1:22" x14ac:dyDescent="0.3">
      <c r="A64" s="363"/>
      <c r="B64" s="373" t="s">
        <v>166</v>
      </c>
      <c r="C64" s="313"/>
      <c r="D64" s="313"/>
      <c r="E64" s="313"/>
      <c r="F64" s="313"/>
      <c r="G64" s="313"/>
      <c r="H64" s="313"/>
      <c r="I64" s="314"/>
      <c r="J64" s="315"/>
      <c r="K64" s="267"/>
      <c r="L64" s="267"/>
      <c r="M64" s="267"/>
      <c r="N64" s="267"/>
      <c r="O64" s="312"/>
    </row>
    <row r="65" spans="1:23" ht="13.5" thickBot="1" x14ac:dyDescent="0.35">
      <c r="A65" s="363"/>
      <c r="B65" s="406" t="s">
        <v>164</v>
      </c>
      <c r="C65" s="354"/>
      <c r="D65" s="354"/>
      <c r="E65" s="354"/>
      <c r="F65" s="354"/>
      <c r="G65" s="354"/>
      <c r="H65" s="354"/>
      <c r="I65" s="349"/>
      <c r="J65" s="395"/>
      <c r="K65" s="350"/>
      <c r="L65" s="350"/>
      <c r="M65" s="350"/>
      <c r="N65" s="350"/>
      <c r="O65" s="350"/>
      <c r="P65" s="363"/>
      <c r="Q65" s="363"/>
      <c r="R65" s="363"/>
      <c r="S65" s="363"/>
      <c r="T65" s="363"/>
      <c r="U65" s="363"/>
    </row>
    <row r="66" spans="1:23" ht="54" customHeight="1" thickBot="1" x14ac:dyDescent="0.35">
      <c r="A66" s="363"/>
      <c r="B66" s="579" t="s">
        <v>294</v>
      </c>
      <c r="C66" s="580"/>
      <c r="D66" s="580"/>
      <c r="E66" s="580"/>
      <c r="F66" s="580"/>
      <c r="G66" s="580"/>
      <c r="H66" s="581"/>
      <c r="I66" s="363"/>
      <c r="J66" s="363"/>
      <c r="K66" s="363"/>
      <c r="L66" s="363"/>
      <c r="M66" s="363"/>
      <c r="N66" s="363"/>
      <c r="O66" s="563" t="s">
        <v>142</v>
      </c>
      <c r="P66" s="564"/>
      <c r="Q66" s="363"/>
      <c r="R66" s="544" t="s">
        <v>305</v>
      </c>
      <c r="S66" s="545"/>
      <c r="T66" s="545"/>
      <c r="U66" s="546"/>
      <c r="V66" s="363"/>
    </row>
    <row r="67" spans="1:23" ht="38.5" customHeight="1" thickBot="1" x14ac:dyDescent="0.35">
      <c r="A67" s="363"/>
      <c r="B67" s="570" t="s">
        <v>307</v>
      </c>
      <c r="C67" s="382" t="s">
        <v>303</v>
      </c>
      <c r="D67" s="364" t="s">
        <v>197</v>
      </c>
      <c r="E67" s="565" t="s">
        <v>153</v>
      </c>
      <c r="F67" s="566"/>
      <c r="G67" s="566"/>
      <c r="H67" s="567"/>
      <c r="I67" s="363"/>
      <c r="J67" s="363"/>
      <c r="K67" s="363"/>
      <c r="L67" s="363"/>
      <c r="M67" s="363"/>
      <c r="N67" s="363"/>
      <c r="O67" s="568" t="s">
        <v>230</v>
      </c>
      <c r="P67" s="569"/>
      <c r="Q67" s="363"/>
      <c r="R67" s="547" t="s">
        <v>135</v>
      </c>
      <c r="S67" s="549" t="s">
        <v>136</v>
      </c>
      <c r="T67" s="551" t="s">
        <v>306</v>
      </c>
      <c r="U67" s="553" t="s">
        <v>138</v>
      </c>
      <c r="V67" s="363"/>
    </row>
    <row r="68" spans="1:23" ht="53" customHeight="1" thickBot="1" x14ac:dyDescent="0.35">
      <c r="A68" s="363"/>
      <c r="B68" s="571"/>
      <c r="C68" s="365" t="s">
        <v>143</v>
      </c>
      <c r="D68" s="366" t="s">
        <v>143</v>
      </c>
      <c r="E68" s="367" t="s">
        <v>134</v>
      </c>
      <c r="F68" s="368" t="s">
        <v>151</v>
      </c>
      <c r="G68" s="368" t="s">
        <v>152</v>
      </c>
      <c r="H68" s="369" t="s">
        <v>118</v>
      </c>
      <c r="I68" s="363"/>
      <c r="J68" s="370" t="s">
        <v>144</v>
      </c>
      <c r="L68" s="362" t="s">
        <v>119</v>
      </c>
      <c r="M68" s="362" t="s">
        <v>120</v>
      </c>
      <c r="N68" s="363"/>
      <c r="O68" s="526" t="s">
        <v>302</v>
      </c>
      <c r="P68" s="527" t="s">
        <v>13</v>
      </c>
      <c r="Q68" s="363"/>
      <c r="R68" s="548"/>
      <c r="S68" s="550"/>
      <c r="T68" s="552"/>
      <c r="U68" s="554"/>
      <c r="V68" s="363"/>
    </row>
    <row r="69" spans="1:23" ht="16.5" customHeight="1" x14ac:dyDescent="0.35">
      <c r="A69" s="363"/>
      <c r="B69" s="403" t="s">
        <v>165</v>
      </c>
      <c r="C69" s="351"/>
      <c r="D69" s="351"/>
      <c r="E69" s="352"/>
      <c r="F69" s="352"/>
      <c r="G69" s="352"/>
      <c r="H69" s="352"/>
      <c r="I69" s="349"/>
      <c r="J69" s="353"/>
      <c r="K69" s="354"/>
      <c r="L69" s="354"/>
      <c r="M69" s="354"/>
      <c r="N69" s="354"/>
      <c r="O69" s="354"/>
      <c r="P69" s="354"/>
      <c r="Q69" s="363"/>
      <c r="R69" s="363"/>
      <c r="S69" s="363"/>
      <c r="T69" s="363"/>
      <c r="U69" s="363"/>
      <c r="V69" s="363"/>
    </row>
    <row r="70" spans="1:23" ht="36.5" customHeight="1" x14ac:dyDescent="0.3">
      <c r="A70" s="363"/>
      <c r="B70" s="458" t="s">
        <v>301</v>
      </c>
      <c r="C70" s="462" t="s">
        <v>171</v>
      </c>
      <c r="D70" s="462" t="s">
        <v>171</v>
      </c>
      <c r="E70" s="462" t="s">
        <v>172</v>
      </c>
      <c r="F70" s="462" t="s">
        <v>173</v>
      </c>
      <c r="G70" s="466" t="s">
        <v>175</v>
      </c>
      <c r="H70" s="467" t="s">
        <v>174</v>
      </c>
      <c r="I70" s="349"/>
      <c r="J70" s="359">
        <v>1</v>
      </c>
      <c r="K70" s="350"/>
      <c r="L70" s="355">
        <v>4.6485260770975055E-2</v>
      </c>
      <c r="M70" s="355">
        <v>4.6485260770975055E-2</v>
      </c>
      <c r="N70" s="350"/>
      <c r="O70" s="387">
        <v>4.6485260770975056</v>
      </c>
      <c r="P70" s="387">
        <v>4.6485260770975056</v>
      </c>
      <c r="Q70" s="363"/>
      <c r="R70" s="487">
        <v>15.628117913832199</v>
      </c>
      <c r="S70" s="507">
        <v>0</v>
      </c>
      <c r="T70" s="488">
        <v>0.37188208616780044</v>
      </c>
      <c r="U70" s="387">
        <v>16</v>
      </c>
      <c r="V70" s="532" t="s">
        <v>124</v>
      </c>
    </row>
    <row r="71" spans="1:23" ht="36.5" customHeight="1" x14ac:dyDescent="0.3">
      <c r="A71" s="363"/>
      <c r="B71" s="458" t="s">
        <v>176</v>
      </c>
      <c r="C71" s="462" t="s">
        <v>159</v>
      </c>
      <c r="D71" s="462" t="s">
        <v>160</v>
      </c>
      <c r="E71" s="462" t="s">
        <v>161</v>
      </c>
      <c r="F71" s="462" t="s">
        <v>162</v>
      </c>
      <c r="G71" s="465" t="s">
        <v>163</v>
      </c>
      <c r="H71" s="464">
        <v>0.13200000000000001</v>
      </c>
      <c r="I71" s="349"/>
      <c r="J71" s="482">
        <v>0.39803993208946664</v>
      </c>
      <c r="K71" s="350"/>
      <c r="L71" s="355">
        <v>3.0706727135298564E-2</v>
      </c>
      <c r="M71" s="355">
        <v>3.0706727135298564E-2</v>
      </c>
      <c r="N71" s="350"/>
      <c r="O71" s="387">
        <v>3.0706727135298562</v>
      </c>
      <c r="P71" s="387">
        <v>3.0706727135298562</v>
      </c>
      <c r="Q71" s="363"/>
      <c r="R71" s="487">
        <v>15.720332577475434</v>
      </c>
      <c r="S71" s="507">
        <v>2.2675736961451254E-2</v>
      </c>
      <c r="T71" s="488">
        <v>0.25699168556311414</v>
      </c>
      <c r="U71" s="387">
        <v>16</v>
      </c>
      <c r="V71" s="532" t="s">
        <v>124</v>
      </c>
    </row>
    <row r="72" spans="1:23" s="9" customFormat="1" ht="6.5" customHeight="1" x14ac:dyDescent="0.3">
      <c r="A72" s="401"/>
      <c r="B72" s="484"/>
      <c r="C72" s="484"/>
      <c r="D72" s="484"/>
      <c r="E72" s="484"/>
      <c r="F72" s="485"/>
      <c r="G72" s="486"/>
      <c r="H72" s="484"/>
      <c r="I72" s="484"/>
      <c r="J72" s="484"/>
      <c r="K72" s="484"/>
      <c r="L72" s="485"/>
      <c r="M72" s="486"/>
      <c r="N72" s="484"/>
      <c r="O72" s="484"/>
      <c r="P72" s="484"/>
      <c r="Q72" s="484"/>
      <c r="R72" s="489"/>
      <c r="S72" s="490"/>
      <c r="T72" s="491"/>
      <c r="U72" s="514"/>
      <c r="V72" s="436"/>
      <c r="W72" s="1"/>
    </row>
    <row r="73" spans="1:23" ht="36.5" customHeight="1" x14ac:dyDescent="0.3">
      <c r="A73" s="363"/>
      <c r="B73" s="457" t="s">
        <v>231</v>
      </c>
      <c r="C73" s="462" t="s">
        <v>154</v>
      </c>
      <c r="D73" s="462" t="s">
        <v>155</v>
      </c>
      <c r="E73" s="462" t="s">
        <v>156</v>
      </c>
      <c r="F73" s="462" t="s">
        <v>157</v>
      </c>
      <c r="G73" s="463" t="s">
        <v>158</v>
      </c>
      <c r="H73" s="464">
        <v>0.998</v>
      </c>
      <c r="I73" s="349"/>
      <c r="J73" s="483">
        <v>1.4715686019639662E-6</v>
      </c>
      <c r="K73" s="350"/>
      <c r="L73" s="355">
        <v>4.6296296296296294E-2</v>
      </c>
      <c r="M73" s="355">
        <v>6.8027210884353748E-2</v>
      </c>
      <c r="N73" s="350"/>
      <c r="O73" s="385">
        <v>4.6296296296296298</v>
      </c>
      <c r="P73" s="386">
        <v>6.8027210884353746</v>
      </c>
      <c r="Q73" s="363"/>
      <c r="R73" s="487">
        <v>15.281934996220709</v>
      </c>
      <c r="S73" s="512">
        <v>0.17384731670445963</v>
      </c>
      <c r="T73" s="488">
        <v>0.54421768707482998</v>
      </c>
      <c r="U73" s="387">
        <v>16</v>
      </c>
      <c r="V73" s="532" t="s">
        <v>124</v>
      </c>
    </row>
    <row r="74" spans="1:23" ht="19.5" customHeight="1" x14ac:dyDescent="0.35">
      <c r="A74" s="363"/>
      <c r="B74" s="407" t="s">
        <v>169</v>
      </c>
      <c r="C74" s="354"/>
      <c r="D74" s="354"/>
      <c r="E74" s="354"/>
      <c r="F74" s="354"/>
      <c r="G74" s="354"/>
      <c r="H74" s="354"/>
      <c r="I74" s="354"/>
      <c r="J74" s="395"/>
      <c r="K74" s="350"/>
      <c r="L74" s="363"/>
      <c r="M74" s="363"/>
      <c r="N74" s="363"/>
      <c r="O74" s="363"/>
      <c r="P74" s="363"/>
      <c r="Q74" s="363"/>
      <c r="R74" s="492"/>
      <c r="S74" s="492"/>
      <c r="T74" s="492"/>
      <c r="U74" s="515"/>
      <c r="V74" s="533"/>
    </row>
    <row r="75" spans="1:23" ht="49" customHeight="1" x14ac:dyDescent="0.3">
      <c r="A75" s="363"/>
      <c r="B75" s="459" t="s">
        <v>297</v>
      </c>
      <c r="C75" s="396" t="s">
        <v>146</v>
      </c>
      <c r="D75" s="396" t="s">
        <v>147</v>
      </c>
      <c r="E75" s="396" t="s">
        <v>148</v>
      </c>
      <c r="F75" s="396" t="s">
        <v>149</v>
      </c>
      <c r="G75" s="397" t="s">
        <v>150</v>
      </c>
      <c r="H75" s="460">
        <v>0.99390000000000001</v>
      </c>
      <c r="I75" s="349"/>
      <c r="J75" s="359">
        <v>8.0640857319170381E-6</v>
      </c>
      <c r="K75" s="350"/>
      <c r="L75" s="355">
        <v>7.5585789871504161E-2</v>
      </c>
      <c r="M75" s="355">
        <v>0.10015117157974301</v>
      </c>
      <c r="N75" s="350"/>
      <c r="O75" s="399">
        <v>7.5585789871504163</v>
      </c>
      <c r="P75" s="400">
        <v>10.015117157974302</v>
      </c>
      <c r="Q75" s="363"/>
      <c r="R75" s="493">
        <v>15.002267573696146</v>
      </c>
      <c r="S75" s="513">
        <v>0.19652305366591083</v>
      </c>
      <c r="T75" s="494">
        <v>0.80120937263794412</v>
      </c>
      <c r="U75" s="405">
        <v>16.000000000000004</v>
      </c>
      <c r="V75" s="532" t="s">
        <v>124</v>
      </c>
    </row>
    <row r="76" spans="1:23" ht="41" customHeight="1" x14ac:dyDescent="0.3">
      <c r="A76" s="363"/>
      <c r="B76" s="459" t="s">
        <v>298</v>
      </c>
      <c r="C76" s="396" t="s">
        <v>189</v>
      </c>
      <c r="D76" s="396" t="s">
        <v>190</v>
      </c>
      <c r="E76" s="396" t="s">
        <v>191</v>
      </c>
      <c r="F76" s="396" t="s">
        <v>192</v>
      </c>
      <c r="G76" s="397" t="s">
        <v>193</v>
      </c>
      <c r="H76" s="460">
        <v>0.95660000000000001</v>
      </c>
      <c r="I76" s="349"/>
      <c r="J76" s="359">
        <v>2.4040709394486165E-4</v>
      </c>
      <c r="K76" s="350"/>
      <c r="L76" s="355">
        <v>6.4814814814814811E-2</v>
      </c>
      <c r="M76" s="355">
        <v>8.3522297808012097E-2</v>
      </c>
      <c r="N76" s="350"/>
      <c r="O76" s="399">
        <v>6.481481481481481</v>
      </c>
      <c r="P76" s="400">
        <v>8.3522297808012098</v>
      </c>
      <c r="Q76" s="363"/>
      <c r="R76" s="493">
        <v>15.182161753590325</v>
      </c>
      <c r="S76" s="513">
        <v>0.14965986394557829</v>
      </c>
      <c r="T76" s="494">
        <v>0.66817838246409678</v>
      </c>
      <c r="U76" s="405">
        <v>16</v>
      </c>
      <c r="V76" s="532" t="s">
        <v>124</v>
      </c>
    </row>
    <row r="77" spans="1:23" ht="62.5" customHeight="1" x14ac:dyDescent="0.3">
      <c r="A77" s="363"/>
      <c r="B77" s="404" t="s">
        <v>299</v>
      </c>
      <c r="C77" s="396" t="s">
        <v>177</v>
      </c>
      <c r="D77" s="396" t="s">
        <v>178</v>
      </c>
      <c r="E77" s="396" t="s">
        <v>179</v>
      </c>
      <c r="F77" s="396" t="s">
        <v>180</v>
      </c>
      <c r="G77" s="398" t="s">
        <v>181</v>
      </c>
      <c r="H77" s="461">
        <v>0.35820000000000002</v>
      </c>
      <c r="I77" s="349"/>
      <c r="J77" s="359">
        <v>0.11032716409196659</v>
      </c>
      <c r="K77" s="350"/>
      <c r="L77" s="355">
        <v>8.4089191232048378E-3</v>
      </c>
      <c r="M77" s="355">
        <v>8.4089191232048378E-3</v>
      </c>
      <c r="N77" s="350"/>
      <c r="O77" s="405">
        <v>0.84089191232048377</v>
      </c>
      <c r="P77" s="405">
        <v>0.84089191232048377</v>
      </c>
      <c r="Q77" s="363"/>
      <c r="R77" s="493">
        <v>15.898715041572185</v>
      </c>
      <c r="S77" s="508">
        <v>2.2675736961451254E-2</v>
      </c>
      <c r="T77" s="494">
        <v>7.8609221466364329E-2</v>
      </c>
      <c r="U77" s="405">
        <v>16</v>
      </c>
      <c r="V77" s="532" t="s">
        <v>124</v>
      </c>
    </row>
    <row r="78" spans="1:23" ht="9" customHeight="1" x14ac:dyDescent="0.35">
      <c r="A78" s="363"/>
      <c r="B78" s="402"/>
      <c r="C78" s="401"/>
      <c r="D78" s="401"/>
      <c r="E78" s="401"/>
      <c r="F78" s="401"/>
      <c r="G78" s="401"/>
      <c r="H78" s="401"/>
      <c r="I78" s="401"/>
      <c r="J78" s="401"/>
      <c r="K78" s="363"/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534"/>
    </row>
    <row r="79" spans="1:23" ht="53.5" customHeight="1" x14ac:dyDescent="0.35">
      <c r="A79" s="363"/>
      <c r="B79" s="576" t="s">
        <v>300</v>
      </c>
      <c r="C79" s="577"/>
      <c r="D79" s="577"/>
      <c r="E79" s="577"/>
      <c r="F79" s="577"/>
      <c r="G79" s="577"/>
      <c r="H79" s="578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534"/>
    </row>
    <row r="80" spans="1:23" ht="14.5" x14ac:dyDescent="0.35">
      <c r="A80" s="363"/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534"/>
    </row>
    <row r="81" spans="1:22" ht="14.5" x14ac:dyDescent="0.35">
      <c r="A81" s="363"/>
      <c r="V81" s="535"/>
    </row>
    <row r="82" spans="1:22" ht="15" thickBot="1" x14ac:dyDescent="0.4">
      <c r="A82" s="363"/>
      <c r="V82" s="535"/>
    </row>
    <row r="83" spans="1:22" ht="38.5" customHeight="1" thickBot="1" x14ac:dyDescent="0.4">
      <c r="A83" s="363"/>
      <c r="B83" s="409" t="s">
        <v>182</v>
      </c>
      <c r="C83" s="410"/>
      <c r="D83" s="410"/>
      <c r="E83" s="410"/>
      <c r="F83" s="410"/>
      <c r="G83" s="410"/>
      <c r="H83" s="411"/>
      <c r="I83" s="363"/>
      <c r="J83" s="363"/>
      <c r="K83" s="363"/>
      <c r="L83" s="363"/>
      <c r="M83" s="363"/>
      <c r="N83" s="363"/>
      <c r="O83" s="582" t="s">
        <v>142</v>
      </c>
      <c r="P83" s="583"/>
      <c r="V83" s="535"/>
    </row>
    <row r="84" spans="1:22" ht="39" customHeight="1" thickBot="1" x14ac:dyDescent="0.4">
      <c r="A84" s="363"/>
      <c r="B84" s="570" t="s">
        <v>195</v>
      </c>
      <c r="C84" s="382" t="s">
        <v>304</v>
      </c>
      <c r="D84" s="364" t="s">
        <v>196</v>
      </c>
      <c r="E84" s="584" t="s">
        <v>183</v>
      </c>
      <c r="F84" s="585"/>
      <c r="G84" s="585"/>
      <c r="H84" s="586"/>
      <c r="I84" s="363"/>
      <c r="J84" s="363"/>
      <c r="K84" s="363"/>
      <c r="L84" s="363"/>
      <c r="M84" s="363"/>
      <c r="N84" s="363"/>
      <c r="O84" s="568" t="s">
        <v>230</v>
      </c>
      <c r="P84" s="569"/>
      <c r="V84" s="535"/>
    </row>
    <row r="85" spans="1:22" ht="26.5" thickBot="1" x14ac:dyDescent="0.4">
      <c r="A85" s="363"/>
      <c r="B85" s="571"/>
      <c r="C85" s="412" t="s">
        <v>143</v>
      </c>
      <c r="D85" s="413" t="s">
        <v>143</v>
      </c>
      <c r="E85" s="414" t="s">
        <v>134</v>
      </c>
      <c r="F85" s="415" t="s">
        <v>184</v>
      </c>
      <c r="G85" s="415" t="s">
        <v>194</v>
      </c>
      <c r="H85" s="416" t="s">
        <v>118</v>
      </c>
      <c r="I85" s="363"/>
      <c r="J85" s="370" t="s">
        <v>144</v>
      </c>
      <c r="L85" s="127" t="s">
        <v>119</v>
      </c>
      <c r="M85" s="127" t="s">
        <v>120</v>
      </c>
      <c r="N85" s="363"/>
      <c r="O85" s="371" t="s">
        <v>302</v>
      </c>
      <c r="P85" s="372" t="s">
        <v>13</v>
      </c>
      <c r="V85" s="535"/>
    </row>
    <row r="86" spans="1:22" ht="21.5" customHeight="1" x14ac:dyDescent="0.3">
      <c r="A86" s="363"/>
      <c r="B86" s="417" t="s">
        <v>185</v>
      </c>
      <c r="C86" s="350"/>
      <c r="D86" s="350"/>
      <c r="E86" s="350"/>
      <c r="F86" s="350"/>
      <c r="G86" s="418"/>
      <c r="H86" s="419"/>
      <c r="I86" s="420"/>
      <c r="J86" s="421"/>
      <c r="K86" s="350"/>
      <c r="L86" s="422"/>
      <c r="M86" s="422"/>
      <c r="N86" s="350"/>
      <c r="O86" s="423"/>
      <c r="P86" s="424"/>
    </row>
    <row r="87" spans="1:22" ht="31" customHeight="1" x14ac:dyDescent="0.3">
      <c r="A87" s="363"/>
      <c r="B87" s="425" t="s">
        <v>228</v>
      </c>
      <c r="C87" s="396" t="s">
        <v>198</v>
      </c>
      <c r="D87" s="396" t="s">
        <v>199</v>
      </c>
      <c r="E87" s="396" t="s">
        <v>200</v>
      </c>
      <c r="F87" s="396" t="s">
        <v>201</v>
      </c>
      <c r="G87" s="427" t="s">
        <v>202</v>
      </c>
      <c r="H87" s="426" t="s">
        <v>203</v>
      </c>
      <c r="I87" s="420"/>
      <c r="J87" s="359">
        <v>0.57143600486647728</v>
      </c>
      <c r="K87" s="350"/>
      <c r="L87" s="422">
        <v>0.70558759572657659</v>
      </c>
      <c r="M87" s="422">
        <v>0.70558759572657659</v>
      </c>
      <c r="N87" s="350"/>
      <c r="O87" s="441">
        <v>70.558759572657664</v>
      </c>
      <c r="P87" s="441">
        <v>70.558759572657664</v>
      </c>
    </row>
    <row r="88" spans="1:22" ht="31" customHeight="1" x14ac:dyDescent="0.3">
      <c r="A88" s="363"/>
      <c r="B88" s="448" t="s">
        <v>229</v>
      </c>
      <c r="C88" s="449" t="s">
        <v>210</v>
      </c>
      <c r="D88" s="449" t="s">
        <v>211</v>
      </c>
      <c r="E88" s="449" t="s">
        <v>212</v>
      </c>
      <c r="F88" s="449" t="s">
        <v>213</v>
      </c>
      <c r="G88" s="450" t="s">
        <v>214</v>
      </c>
      <c r="H88" s="451">
        <v>0.2782</v>
      </c>
      <c r="I88" s="452"/>
      <c r="J88" s="453">
        <v>0.17015968940314879</v>
      </c>
      <c r="K88" s="454"/>
      <c r="L88" s="455">
        <v>4.0465160253379977E-2</v>
      </c>
      <c r="M88" s="455">
        <v>4.0465160253379977E-2</v>
      </c>
      <c r="N88" s="454"/>
      <c r="O88" s="456">
        <v>4.0465160253379979</v>
      </c>
      <c r="P88" s="456">
        <v>4.0465160253379979</v>
      </c>
    </row>
    <row r="89" spans="1:22" ht="47" customHeight="1" x14ac:dyDescent="0.3">
      <c r="A89" s="363"/>
      <c r="B89" s="425" t="s">
        <v>186</v>
      </c>
      <c r="C89" s="396" t="s">
        <v>204</v>
      </c>
      <c r="D89" s="396" t="s">
        <v>205</v>
      </c>
      <c r="E89" s="396" t="s">
        <v>206</v>
      </c>
      <c r="F89" s="396" t="s">
        <v>207</v>
      </c>
      <c r="G89" s="397" t="s">
        <v>208</v>
      </c>
      <c r="H89" s="426" t="s">
        <v>209</v>
      </c>
      <c r="I89" s="420"/>
      <c r="J89" s="359">
        <v>2.9097188685405635E-2</v>
      </c>
      <c r="K89" s="350"/>
      <c r="L89" s="422">
        <v>0.2336042336042336</v>
      </c>
      <c r="M89" s="422">
        <v>0.25179720015134316</v>
      </c>
      <c r="N89" s="350"/>
      <c r="O89" s="443">
        <v>23.360423360423361</v>
      </c>
      <c r="P89" s="442">
        <v>25.179720015134315</v>
      </c>
    </row>
    <row r="90" spans="1:22" ht="28.5" customHeight="1" x14ac:dyDescent="0.3">
      <c r="A90" s="363"/>
      <c r="B90" s="448" t="s">
        <v>293</v>
      </c>
      <c r="C90" s="449" t="s">
        <v>215</v>
      </c>
      <c r="D90" s="449" t="s">
        <v>216</v>
      </c>
      <c r="E90" s="449" t="s">
        <v>217</v>
      </c>
      <c r="F90" s="449" t="s">
        <v>218</v>
      </c>
      <c r="G90" s="450" t="s">
        <v>219</v>
      </c>
      <c r="H90" s="451" t="s">
        <v>220</v>
      </c>
      <c r="I90" s="452"/>
      <c r="J90" s="453">
        <v>0.20779141160360098</v>
      </c>
      <c r="K90" s="454"/>
      <c r="L90" s="455">
        <v>1.9476221991112791E-2</v>
      </c>
      <c r="M90" s="455">
        <v>1.9476221991112791E-2</v>
      </c>
      <c r="N90" s="454"/>
      <c r="O90" s="456">
        <v>1.947622199111279</v>
      </c>
      <c r="P90" s="456">
        <v>1.947622199111279</v>
      </c>
    </row>
    <row r="91" spans="1:22" ht="22" customHeight="1" x14ac:dyDescent="0.3">
      <c r="A91" s="363"/>
      <c r="B91" s="425" t="s">
        <v>221</v>
      </c>
      <c r="C91" s="396" t="s">
        <v>222</v>
      </c>
      <c r="D91" s="396" t="s">
        <v>223</v>
      </c>
      <c r="E91" s="428" t="s">
        <v>224</v>
      </c>
      <c r="F91" s="396" t="s">
        <v>225</v>
      </c>
      <c r="G91" s="427" t="s">
        <v>226</v>
      </c>
      <c r="H91" s="426" t="s">
        <v>227</v>
      </c>
      <c r="I91" s="420"/>
      <c r="J91" s="359">
        <v>0.3071057759238574</v>
      </c>
      <c r="K91" s="350"/>
      <c r="L91" s="422">
        <v>3.4508839935709558E-2</v>
      </c>
      <c r="M91" s="422">
        <v>3.4508839935709558E-2</v>
      </c>
      <c r="N91" s="350"/>
      <c r="O91" s="441">
        <v>3.4508839935709559</v>
      </c>
      <c r="P91" s="441">
        <v>3.4508839935709559</v>
      </c>
    </row>
    <row r="92" spans="1:22" ht="27" customHeight="1" x14ac:dyDescent="0.3">
      <c r="A92" s="363"/>
      <c r="B92" s="417" t="s">
        <v>232</v>
      </c>
      <c r="C92" s="436"/>
      <c r="D92" s="436"/>
      <c r="E92" s="437"/>
      <c r="F92" s="436"/>
      <c r="G92" s="438"/>
      <c r="H92" s="439"/>
      <c r="I92" s="420"/>
      <c r="J92" s="395"/>
      <c r="K92" s="350"/>
      <c r="L92" s="422"/>
      <c r="M92" s="422"/>
      <c r="N92" s="350"/>
      <c r="O92" s="440"/>
      <c r="P92" s="440"/>
    </row>
    <row r="93" spans="1:22" ht="22" customHeight="1" x14ac:dyDescent="0.3">
      <c r="A93" s="363"/>
      <c r="B93" s="425" t="s">
        <v>233</v>
      </c>
      <c r="C93" s="396" t="s">
        <v>242</v>
      </c>
      <c r="D93" s="396" t="s">
        <v>243</v>
      </c>
      <c r="E93" s="428" t="s">
        <v>244</v>
      </c>
      <c r="F93" s="396" t="s">
        <v>245</v>
      </c>
      <c r="G93" s="427" t="s">
        <v>246</v>
      </c>
      <c r="H93" s="426">
        <v>0.1132</v>
      </c>
      <c r="I93" s="420"/>
      <c r="J93" s="359">
        <v>0.45294013048235338</v>
      </c>
      <c r="K93" s="350"/>
      <c r="L93" s="422">
        <v>0.11298099650184362</v>
      </c>
      <c r="M93" s="422">
        <v>0.11298099650184362</v>
      </c>
      <c r="N93" s="350"/>
      <c r="O93" s="441">
        <f>L93*100</f>
        <v>11.298099650184362</v>
      </c>
      <c r="P93" s="441">
        <f>M93*100</f>
        <v>11.298099650184362</v>
      </c>
    </row>
    <row r="94" spans="1:22" ht="22" customHeight="1" x14ac:dyDescent="0.3">
      <c r="A94" s="363"/>
      <c r="B94" s="425" t="s">
        <v>234</v>
      </c>
      <c r="C94" s="396" t="s">
        <v>247</v>
      </c>
      <c r="D94" s="396" t="s">
        <v>248</v>
      </c>
      <c r="E94" s="428" t="s">
        <v>249</v>
      </c>
      <c r="F94" s="396" t="s">
        <v>250</v>
      </c>
      <c r="G94" s="445" t="s">
        <v>251</v>
      </c>
      <c r="H94" s="426">
        <v>0.99880000000000002</v>
      </c>
      <c r="I94" s="420"/>
      <c r="J94" s="359">
        <v>6.1950403944470595E-7</v>
      </c>
      <c r="K94" s="350"/>
      <c r="L94" s="422">
        <v>8.4672084672084674E-2</v>
      </c>
      <c r="M94" s="422">
        <v>5.9591373439273551E-2</v>
      </c>
      <c r="N94" s="350"/>
      <c r="O94" s="442">
        <f t="shared" ref="O94:O102" si="3">L94*100</f>
        <v>8.4672084672084669</v>
      </c>
      <c r="P94" s="443">
        <f t="shared" ref="P94:P102" si="4">M94*100</f>
        <v>5.9591373439273552</v>
      </c>
    </row>
    <row r="95" spans="1:22" ht="31" customHeight="1" x14ac:dyDescent="0.3">
      <c r="A95" s="363"/>
      <c r="B95" s="425" t="s">
        <v>235</v>
      </c>
      <c r="C95" s="396" t="s">
        <v>252</v>
      </c>
      <c r="D95" s="396" t="s">
        <v>253</v>
      </c>
      <c r="E95" s="396" t="s">
        <v>254</v>
      </c>
      <c r="F95" s="396" t="s">
        <v>255</v>
      </c>
      <c r="G95" s="445" t="s">
        <v>256</v>
      </c>
      <c r="H95" s="426">
        <v>0.84930000000000005</v>
      </c>
      <c r="I95" s="420"/>
      <c r="J95" s="359">
        <v>2.7603696078134059E-3</v>
      </c>
      <c r="K95" s="350"/>
      <c r="L95" s="422">
        <v>5.2542052542052541E-2</v>
      </c>
      <c r="M95" s="422">
        <v>4.0295119182746877E-2</v>
      </c>
      <c r="N95" s="350"/>
      <c r="O95" s="442">
        <f t="shared" si="3"/>
        <v>5.254205254205254</v>
      </c>
      <c r="P95" s="443">
        <f t="shared" si="4"/>
        <v>4.0295119182746877</v>
      </c>
    </row>
    <row r="96" spans="1:22" ht="22" customHeight="1" x14ac:dyDescent="0.3">
      <c r="A96" s="363"/>
      <c r="B96" s="425" t="s">
        <v>236</v>
      </c>
      <c r="C96" s="396" t="s">
        <v>257</v>
      </c>
      <c r="D96" s="396" t="s">
        <v>258</v>
      </c>
      <c r="E96" s="428" t="s">
        <v>259</v>
      </c>
      <c r="F96" s="396" t="s">
        <v>260</v>
      </c>
      <c r="G96" s="427" t="s">
        <v>261</v>
      </c>
      <c r="H96" s="426">
        <v>6.0400000000000002E-2</v>
      </c>
      <c r="I96" s="420"/>
      <c r="J96" s="359">
        <v>0.68259160569307209</v>
      </c>
      <c r="K96" s="350"/>
      <c r="L96" s="422">
        <v>2.155620686395008E-2</v>
      </c>
      <c r="M96" s="422">
        <v>2.155620686395008E-2</v>
      </c>
      <c r="N96" s="350"/>
      <c r="O96" s="441">
        <f t="shared" si="3"/>
        <v>2.1556206863950078</v>
      </c>
      <c r="P96" s="441">
        <f t="shared" si="4"/>
        <v>2.1556206863950078</v>
      </c>
    </row>
    <row r="97" spans="1:16" ht="22" customHeight="1" x14ac:dyDescent="0.3">
      <c r="A97" s="363"/>
      <c r="B97" s="425" t="s">
        <v>237</v>
      </c>
      <c r="C97" s="396" t="s">
        <v>262</v>
      </c>
      <c r="D97" s="396" t="s">
        <v>263</v>
      </c>
      <c r="E97" s="428" t="s">
        <v>264</v>
      </c>
      <c r="F97" s="396" t="s">
        <v>265</v>
      </c>
      <c r="G97" s="445" t="s">
        <v>266</v>
      </c>
      <c r="H97" s="426">
        <v>1</v>
      </c>
      <c r="I97" s="420"/>
      <c r="J97" s="359">
        <v>6.4338390047854726E-10</v>
      </c>
      <c r="K97" s="350"/>
      <c r="L97" s="422">
        <v>2.3625023625023625E-2</v>
      </c>
      <c r="M97" s="422">
        <v>8.5130533484676502E-3</v>
      </c>
      <c r="N97" s="350"/>
      <c r="O97" s="442">
        <f t="shared" si="3"/>
        <v>2.3625023625023625</v>
      </c>
      <c r="P97" s="443">
        <f t="shared" si="4"/>
        <v>0.85130533484676496</v>
      </c>
    </row>
    <row r="98" spans="1:16" ht="31" customHeight="1" x14ac:dyDescent="0.3">
      <c r="A98" s="363"/>
      <c r="B98" s="425" t="s">
        <v>238</v>
      </c>
      <c r="C98" s="396" t="s">
        <v>267</v>
      </c>
      <c r="D98" s="396" t="s">
        <v>268</v>
      </c>
      <c r="E98" s="396" t="s">
        <v>269</v>
      </c>
      <c r="F98" s="396" t="s">
        <v>270</v>
      </c>
      <c r="G98" s="427" t="s">
        <v>271</v>
      </c>
      <c r="H98" s="426">
        <v>3.9100000000000003E-2</v>
      </c>
      <c r="I98" s="420"/>
      <c r="J98" s="359">
        <v>0.84274916909460373</v>
      </c>
      <c r="K98" s="350"/>
      <c r="L98" s="422">
        <v>1.0210834830292143E-2</v>
      </c>
      <c r="M98" s="422">
        <v>1.0210834830292143E-2</v>
      </c>
      <c r="N98" s="350"/>
      <c r="O98" s="441">
        <f t="shared" si="3"/>
        <v>1.0210834830292144</v>
      </c>
      <c r="P98" s="441">
        <f t="shared" si="4"/>
        <v>1.0210834830292144</v>
      </c>
    </row>
    <row r="99" spans="1:16" ht="22" customHeight="1" x14ac:dyDescent="0.3">
      <c r="A99" s="363"/>
      <c r="B99" s="425" t="s">
        <v>239</v>
      </c>
      <c r="C99" s="396" t="s">
        <v>272</v>
      </c>
      <c r="D99" s="396" t="s">
        <v>273</v>
      </c>
      <c r="E99" s="428" t="s">
        <v>274</v>
      </c>
      <c r="F99" s="396" t="s">
        <v>275</v>
      </c>
      <c r="G99" s="427" t="s">
        <v>276</v>
      </c>
      <c r="H99" s="426">
        <v>0.1101</v>
      </c>
      <c r="I99" s="420"/>
      <c r="J99" s="359">
        <v>0.46302920629487787</v>
      </c>
      <c r="K99" s="350"/>
      <c r="L99" s="422">
        <v>6.4290441524061642E-3</v>
      </c>
      <c r="M99" s="422">
        <v>6.4290441524061642E-3</v>
      </c>
      <c r="N99" s="350"/>
      <c r="O99" s="441">
        <f t="shared" si="3"/>
        <v>0.64290441524061637</v>
      </c>
      <c r="P99" s="441">
        <f t="shared" si="4"/>
        <v>0.64290441524061637</v>
      </c>
    </row>
    <row r="100" spans="1:16" ht="22" customHeight="1" x14ac:dyDescent="0.3">
      <c r="A100" s="363"/>
      <c r="B100" s="425" t="s">
        <v>292</v>
      </c>
      <c r="C100" s="396" t="s">
        <v>277</v>
      </c>
      <c r="D100" s="396" t="s">
        <v>278</v>
      </c>
      <c r="E100" s="428" t="s">
        <v>279</v>
      </c>
      <c r="F100" s="396" t="s">
        <v>280</v>
      </c>
      <c r="G100" s="427" t="s">
        <v>281</v>
      </c>
      <c r="H100" s="426">
        <v>3.3500000000000002E-2</v>
      </c>
      <c r="I100" s="420"/>
      <c r="J100" s="359">
        <v>0.89795855285013992</v>
      </c>
      <c r="K100" s="350"/>
      <c r="L100" s="422">
        <v>6.1454098515647156E-3</v>
      </c>
      <c r="M100" s="422">
        <v>6.1454098515647156E-3</v>
      </c>
      <c r="N100" s="350"/>
      <c r="O100" s="441">
        <f t="shared" si="3"/>
        <v>0.6145409851564716</v>
      </c>
      <c r="P100" s="441">
        <f t="shared" si="4"/>
        <v>0.6145409851564716</v>
      </c>
    </row>
    <row r="101" spans="1:16" ht="22" customHeight="1" x14ac:dyDescent="0.3">
      <c r="A101" s="363"/>
      <c r="B101" s="425" t="s">
        <v>240</v>
      </c>
      <c r="C101" s="396" t="s">
        <v>282</v>
      </c>
      <c r="D101" s="396" t="s">
        <v>283</v>
      </c>
      <c r="E101" s="428" t="s">
        <v>284</v>
      </c>
      <c r="F101" s="396" t="s">
        <v>285</v>
      </c>
      <c r="G101" s="445" t="s">
        <v>286</v>
      </c>
      <c r="H101" s="426">
        <v>0.67510000000000003</v>
      </c>
      <c r="I101" s="420"/>
      <c r="J101" s="359">
        <v>1.5779258817611108E-2</v>
      </c>
      <c r="K101" s="350"/>
      <c r="L101" s="422">
        <v>5.6700056700056704E-3</v>
      </c>
      <c r="M101" s="422">
        <v>2.6485054861899358E-3</v>
      </c>
      <c r="N101" s="350"/>
      <c r="O101" s="446">
        <f t="shared" si="3"/>
        <v>0.567000567000567</v>
      </c>
      <c r="P101" s="447">
        <f t="shared" si="4"/>
        <v>0.2648505486189936</v>
      </c>
    </row>
    <row r="102" spans="1:16" ht="22" customHeight="1" x14ac:dyDescent="0.3">
      <c r="A102" s="363"/>
      <c r="B102" s="425" t="s">
        <v>241</v>
      </c>
      <c r="C102" s="396" t="s">
        <v>287</v>
      </c>
      <c r="D102" s="396" t="s">
        <v>288</v>
      </c>
      <c r="E102" s="428" t="s">
        <v>289</v>
      </c>
      <c r="F102" s="396" t="s">
        <v>290</v>
      </c>
      <c r="G102" s="427" t="s">
        <v>291</v>
      </c>
      <c r="H102" s="426">
        <v>0.29430000000000001</v>
      </c>
      <c r="I102" s="420"/>
      <c r="J102" s="359">
        <v>0.15588849880450206</v>
      </c>
      <c r="K102" s="350"/>
      <c r="L102" s="422">
        <v>3.0254325423087832E-3</v>
      </c>
      <c r="M102" s="422">
        <v>3.0254325423087832E-3</v>
      </c>
      <c r="N102" s="350"/>
      <c r="O102" s="444">
        <f t="shared" si="3"/>
        <v>0.3025432542308783</v>
      </c>
      <c r="P102" s="444">
        <f t="shared" si="4"/>
        <v>0.3025432542308783</v>
      </c>
    </row>
    <row r="103" spans="1:16" ht="8" customHeight="1" x14ac:dyDescent="0.3">
      <c r="A103" s="363"/>
      <c r="B103" s="363"/>
      <c r="C103" s="363"/>
      <c r="D103" s="363"/>
      <c r="E103" s="363"/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</row>
    <row r="104" spans="1:16" ht="46.5" customHeight="1" x14ac:dyDescent="0.3">
      <c r="A104" s="363"/>
      <c r="B104" s="572" t="s">
        <v>187</v>
      </c>
      <c r="C104" s="573"/>
      <c r="D104" s="573"/>
      <c r="E104" s="573"/>
      <c r="F104" s="573"/>
      <c r="G104" s="573"/>
      <c r="H104" s="574"/>
      <c r="I104" s="363"/>
      <c r="J104" s="363"/>
      <c r="K104" s="363"/>
      <c r="L104" s="363"/>
      <c r="M104" s="363"/>
      <c r="N104" s="363"/>
      <c r="O104" s="363"/>
      <c r="P104" s="363"/>
    </row>
    <row r="105" spans="1:16" ht="31.5" customHeight="1" x14ac:dyDescent="0.3">
      <c r="A105" s="363"/>
      <c r="B105" s="575" t="s">
        <v>188</v>
      </c>
      <c r="C105" s="575"/>
      <c r="D105" s="575"/>
      <c r="E105" s="575"/>
      <c r="F105" s="575"/>
      <c r="G105" s="575"/>
      <c r="H105" s="575"/>
      <c r="I105" s="363"/>
      <c r="J105" s="363"/>
      <c r="K105" s="363"/>
      <c r="L105" s="363"/>
      <c r="M105" s="363"/>
      <c r="N105" s="363"/>
      <c r="O105" s="363"/>
      <c r="P105" s="363"/>
    </row>
    <row r="106" spans="1:16" x14ac:dyDescent="0.3">
      <c r="A106" s="363"/>
    </row>
  </sheetData>
  <mergeCells count="20">
    <mergeCell ref="B104:H104"/>
    <mergeCell ref="B105:H105"/>
    <mergeCell ref="B79:H79"/>
    <mergeCell ref="B66:H66"/>
    <mergeCell ref="O83:P83"/>
    <mergeCell ref="B84:B85"/>
    <mergeCell ref="E84:H84"/>
    <mergeCell ref="O84:P84"/>
    <mergeCell ref="B2:F2"/>
    <mergeCell ref="B3:F3"/>
    <mergeCell ref="C44:D44"/>
    <mergeCell ref="O66:P66"/>
    <mergeCell ref="E67:H67"/>
    <mergeCell ref="O67:P67"/>
    <mergeCell ref="B67:B68"/>
    <mergeCell ref="R66:U66"/>
    <mergeCell ref="R67:R68"/>
    <mergeCell ref="S67:S68"/>
    <mergeCell ref="T67:T68"/>
    <mergeCell ref="U67:U68"/>
  </mergeCells>
  <phoneticPr fontId="29" type="noConversion"/>
  <pageMargins left="0.7" right="0.7" top="0.75" bottom="0.75" header="0.3" footer="0.3"/>
  <pageSetup paperSize="9" orientation="portrait" horizontalDpi="300" verticalDpi="300" r:id="rId1"/>
  <ignoredErrors>
    <ignoredError sqref="H87 H89 H90:H91 H70" numberStoredAsText="1"/>
    <ignoredError sqref="U3:V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Y69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1.26953125" customWidth="1"/>
    <col min="2" max="2" width="14.90625" customWidth="1"/>
    <col min="4" max="5" width="10.54296875" customWidth="1"/>
    <col min="6" max="6" width="5.81640625" customWidth="1"/>
    <col min="7" max="7" width="5.1796875" customWidth="1"/>
    <col min="8" max="23" width="3" customWidth="1"/>
    <col min="24" max="25" width="3.7265625" customWidth="1"/>
    <col min="26" max="26" width="4" customWidth="1"/>
    <col min="27" max="42" width="3" customWidth="1"/>
    <col min="43" max="43" width="5.453125" style="20" customWidth="1"/>
    <col min="44" max="51" width="3.7265625" style="20" customWidth="1"/>
  </cols>
  <sheetData>
    <row r="1" spans="2:4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AQ1"/>
      <c r="AR1"/>
      <c r="AS1"/>
      <c r="AT1"/>
      <c r="AU1"/>
    </row>
    <row r="2" spans="2:4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46 pacientes, a los 16 meses</v>
      </c>
      <c r="G2" s="19"/>
      <c r="H2" s="21" t="str">
        <f>CONCATENATE(B2," ",F2,E2)</f>
        <v>NO puede representarse llegando los 46 pacientes, a los 16 meses, pues habría que recortar o ampliar los tiempos respectivos de uno o más pacientes "libres de evento" o "con evento"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AQ2"/>
      <c r="AR2"/>
      <c r="AS2"/>
      <c r="AT2"/>
      <c r="AU2"/>
    </row>
    <row r="3" spans="2:47" ht="8.25" customHeight="1" thickBot="1" x14ac:dyDescent="0.4">
      <c r="B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Q3"/>
      <c r="AR3"/>
      <c r="AS3"/>
      <c r="AT3"/>
      <c r="AU3"/>
    </row>
    <row r="4" spans="2:47" ht="53.5" customHeight="1" thickBot="1" x14ac:dyDescent="0.4">
      <c r="B4" s="587" t="s">
        <v>308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  <c r="AR4" s="589"/>
      <c r="AS4"/>
      <c r="AT4"/>
      <c r="AU4"/>
    </row>
    <row r="5" spans="2:47" ht="8.5" customHeight="1" x14ac:dyDescent="0.35"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/>
      <c r="AU5"/>
    </row>
    <row r="6" spans="2:47" ht="26" x14ac:dyDescent="0.35">
      <c r="B6" s="380" t="s">
        <v>167</v>
      </c>
      <c r="C6" s="24">
        <f>D6+E6+F6</f>
        <v>46</v>
      </c>
      <c r="D6" s="531">
        <v>2</v>
      </c>
      <c r="E6" s="529">
        <v>1</v>
      </c>
      <c r="F6" s="530">
        <v>43</v>
      </c>
      <c r="H6" s="22"/>
      <c r="I6" s="373" t="s">
        <v>166</v>
      </c>
      <c r="W6" s="2"/>
      <c r="X6" s="22"/>
      <c r="Y6" s="22"/>
      <c r="Z6" s="22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Q6"/>
      <c r="AR6"/>
      <c r="AS6"/>
      <c r="AT6"/>
      <c r="AU6"/>
    </row>
    <row r="7" spans="2:47" ht="15.75" customHeight="1" x14ac:dyDescent="0.35">
      <c r="B7" s="22"/>
      <c r="D7" s="25"/>
      <c r="E7" s="26"/>
      <c r="F7" s="27"/>
      <c r="G7" s="22"/>
      <c r="H7" s="22"/>
      <c r="I7" s="374" t="s">
        <v>164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Q7"/>
      <c r="AR7"/>
      <c r="AS7"/>
      <c r="AT7"/>
      <c r="AU7"/>
    </row>
    <row r="8" spans="2:47" ht="39.75" customHeight="1" x14ac:dyDescent="0.35">
      <c r="B8" s="381" t="s">
        <v>168</v>
      </c>
      <c r="C8" s="28" t="s">
        <v>124</v>
      </c>
      <c r="D8" s="29" t="str">
        <f>CONCATENATE(B1," ",C1," ",C6," ",D1)</f>
        <v>meses de los 46 del grupo Interv</v>
      </c>
      <c r="E8" s="29" t="str">
        <f>CONCATENATE(B1," ",C1," ",C6," ",E1)</f>
        <v>meses de los 46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Q8"/>
      <c r="AR8"/>
      <c r="AS8"/>
      <c r="AT8"/>
      <c r="AU8"/>
    </row>
    <row r="9" spans="2:47" ht="26.5" x14ac:dyDescent="0.35">
      <c r="B9" s="30" t="s">
        <v>1</v>
      </c>
      <c r="C9" s="31">
        <v>0.54421768707482998</v>
      </c>
      <c r="D9" s="32">
        <f>C9*C6</f>
        <v>25.03401360544218</v>
      </c>
      <c r="E9" s="591">
        <f>(C9+C10)*C6</f>
        <v>33.030990173847322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22"/>
      <c r="X9" s="22"/>
      <c r="Y9" s="22"/>
      <c r="Z9" s="22"/>
      <c r="AQ9"/>
      <c r="AR9"/>
      <c r="AS9"/>
      <c r="AT9"/>
      <c r="AU9"/>
    </row>
    <row r="10" spans="2:47" ht="26.5" x14ac:dyDescent="0.35">
      <c r="B10" s="35" t="s">
        <v>3</v>
      </c>
      <c r="C10" s="36">
        <v>0.17384731670445963</v>
      </c>
      <c r="D10" s="592">
        <f>(C11+C10)*C6</f>
        <v>710.96598639455783</v>
      </c>
      <c r="E10" s="591"/>
      <c r="F10" s="26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2"/>
      <c r="X10" s="22"/>
      <c r="Y10" s="22"/>
      <c r="Z10" s="22"/>
      <c r="AQ10"/>
      <c r="AR10"/>
      <c r="AS10"/>
      <c r="AT10"/>
      <c r="AU10"/>
    </row>
    <row r="11" spans="2:47" ht="26.5" x14ac:dyDescent="0.35">
      <c r="B11" s="38" t="s">
        <v>2</v>
      </c>
      <c r="C11" s="39">
        <v>15.281934996220709</v>
      </c>
      <c r="D11" s="592"/>
      <c r="E11" s="40">
        <f>C11*C6</f>
        <v>702.96900982615261</v>
      </c>
      <c r="F11" s="25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22"/>
      <c r="X11" s="22"/>
      <c r="Y11" s="22"/>
      <c r="Z11" s="22"/>
      <c r="AQ11"/>
      <c r="AR11"/>
      <c r="AS11"/>
      <c r="AT11"/>
      <c r="AU11"/>
    </row>
    <row r="12" spans="2:47" x14ac:dyDescent="0.35">
      <c r="B12" s="3"/>
      <c r="C12" s="42">
        <v>15.999999999999998</v>
      </c>
      <c r="D12" s="43">
        <f>D9+D10</f>
        <v>736</v>
      </c>
      <c r="E12" s="43">
        <f>E9+E11</f>
        <v>735.99999999999989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2:4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2:47" x14ac:dyDescent="0.35">
      <c r="B14" s="539"/>
      <c r="C14" s="539"/>
      <c r="D14" s="540"/>
      <c r="E14" s="540"/>
      <c r="F14" s="22"/>
      <c r="G14" s="45" t="s">
        <v>12</v>
      </c>
      <c r="H14" s="22"/>
      <c r="I14" s="22"/>
      <c r="J14" s="22"/>
      <c r="K14" s="22"/>
      <c r="L14" s="22"/>
      <c r="M14" s="22"/>
      <c r="N14" s="22"/>
      <c r="O14" s="2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2:47" ht="36" customHeight="1" x14ac:dyDescent="0.35">
      <c r="B15" s="541"/>
      <c r="C15" s="541"/>
      <c r="D15" s="542"/>
      <c r="E15" s="542"/>
      <c r="G15" s="593" t="str">
        <f>IF((AND(((C10+C11)/C12)&gt;((E6+F6)/C6),(C11/C12)&gt;(F6/C6))),F2,H2)</f>
        <v>puede representarse llegando los 46 pacientes, a los 16 meses</v>
      </c>
      <c r="H15" s="594"/>
      <c r="I15" s="594"/>
      <c r="J15" s="594"/>
      <c r="K15" s="594"/>
      <c r="L15" s="594"/>
      <c r="M15" s="594"/>
      <c r="N15" s="594"/>
      <c r="O15" s="59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2:47" ht="18.75" customHeight="1" thickBot="1" x14ac:dyDescent="0.4">
      <c r="B16" s="46"/>
      <c r="C16" s="46"/>
      <c r="D16" s="46"/>
      <c r="E16" s="46"/>
      <c r="F16" s="46"/>
      <c r="G16" s="47"/>
      <c r="H16" s="543">
        <v>16</v>
      </c>
      <c r="I16" s="543">
        <v>15</v>
      </c>
      <c r="J16" s="543">
        <v>14</v>
      </c>
      <c r="K16" s="543">
        <v>13</v>
      </c>
      <c r="L16" s="543">
        <v>12</v>
      </c>
      <c r="M16" s="543">
        <v>11</v>
      </c>
      <c r="N16" s="543">
        <v>10</v>
      </c>
      <c r="O16" s="543">
        <v>9</v>
      </c>
      <c r="P16" s="543">
        <v>8</v>
      </c>
      <c r="Q16" s="543">
        <v>7</v>
      </c>
      <c r="R16" s="543">
        <v>6</v>
      </c>
      <c r="S16" s="543">
        <v>5</v>
      </c>
      <c r="T16" s="543">
        <v>4</v>
      </c>
      <c r="U16" s="543">
        <v>3</v>
      </c>
      <c r="V16" s="543">
        <v>2</v>
      </c>
      <c r="W16" s="543">
        <v>1</v>
      </c>
      <c r="X16" s="47"/>
      <c r="Y16" s="47"/>
      <c r="Z16" s="47"/>
      <c r="AA16" s="543">
        <v>16</v>
      </c>
      <c r="AB16" s="543">
        <v>15</v>
      </c>
      <c r="AC16" s="543">
        <v>14</v>
      </c>
      <c r="AD16" s="543">
        <v>13</v>
      </c>
      <c r="AE16" s="543">
        <v>12</v>
      </c>
      <c r="AF16" s="543">
        <v>11</v>
      </c>
      <c r="AG16" s="543">
        <v>10</v>
      </c>
      <c r="AH16" s="543">
        <v>9</v>
      </c>
      <c r="AI16" s="543">
        <v>8</v>
      </c>
      <c r="AJ16" s="543">
        <v>7</v>
      </c>
      <c r="AK16" s="543">
        <v>6</v>
      </c>
      <c r="AL16" s="543">
        <v>5</v>
      </c>
      <c r="AM16" s="543">
        <v>4</v>
      </c>
      <c r="AN16" s="543">
        <v>3</v>
      </c>
      <c r="AO16" s="543">
        <v>2</v>
      </c>
      <c r="AP16" s="543">
        <v>1</v>
      </c>
      <c r="AQ16" s="47"/>
      <c r="AR16" s="47"/>
      <c r="AS16" s="44"/>
      <c r="AT16" s="44"/>
      <c r="AU16" s="44"/>
    </row>
    <row r="17" spans="2:51" ht="17.25" customHeight="1" thickBot="1" x14ac:dyDescent="0.4">
      <c r="B17" s="388" t="s">
        <v>231</v>
      </c>
      <c r="C17" s="389"/>
      <c r="D17" s="390"/>
      <c r="E17" s="46"/>
      <c r="F17" s="46"/>
      <c r="H17" s="48" t="s">
        <v>302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7"/>
      <c r="X17" s="47"/>
      <c r="Y17" s="47"/>
      <c r="Z17" s="47"/>
      <c r="AA17" s="48" t="s">
        <v>13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7"/>
      <c r="AQ17" s="47"/>
      <c r="AR17" s="47"/>
      <c r="AS17" s="47"/>
      <c r="AT17" s="47"/>
      <c r="AU17" s="47"/>
    </row>
    <row r="18" spans="2:51" x14ac:dyDescent="0.35">
      <c r="B18" s="356" t="s">
        <v>303</v>
      </c>
      <c r="H18" s="48" t="s">
        <v>296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AA18" s="48" t="s">
        <v>296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51" x14ac:dyDescent="0.35">
      <c r="B19" s="356" t="s">
        <v>197</v>
      </c>
      <c r="G19" s="20"/>
      <c r="H19" s="383">
        <v>1</v>
      </c>
      <c r="I19" s="383">
        <v>2</v>
      </c>
      <c r="J19" s="383">
        <v>3</v>
      </c>
      <c r="K19" s="383">
        <v>4</v>
      </c>
      <c r="L19" s="383">
        <v>5</v>
      </c>
      <c r="M19" s="383">
        <v>6</v>
      </c>
      <c r="N19" s="383">
        <v>7</v>
      </c>
      <c r="O19" s="383">
        <v>8</v>
      </c>
      <c r="P19" s="383">
        <v>9</v>
      </c>
      <c r="Q19" s="383">
        <v>10</v>
      </c>
      <c r="R19" s="383">
        <v>11</v>
      </c>
      <c r="S19" s="383">
        <v>12</v>
      </c>
      <c r="T19" s="383">
        <v>13</v>
      </c>
      <c r="U19" s="383">
        <v>14</v>
      </c>
      <c r="V19" s="383">
        <v>15</v>
      </c>
      <c r="W19" s="383">
        <v>16</v>
      </c>
      <c r="X19" s="384"/>
      <c r="Y19" s="384"/>
      <c r="Z19" s="384"/>
      <c r="AA19" s="383">
        <v>1</v>
      </c>
      <c r="AB19" s="383">
        <v>2</v>
      </c>
      <c r="AC19" s="383">
        <v>3</v>
      </c>
      <c r="AD19" s="383">
        <v>4</v>
      </c>
      <c r="AE19" s="383">
        <v>5</v>
      </c>
      <c r="AF19" s="383">
        <v>6</v>
      </c>
      <c r="AG19" s="383">
        <v>7</v>
      </c>
      <c r="AH19" s="383">
        <v>8</v>
      </c>
      <c r="AI19" s="383">
        <v>9</v>
      </c>
      <c r="AJ19" s="383">
        <v>10</v>
      </c>
      <c r="AK19" s="383">
        <v>11</v>
      </c>
      <c r="AL19" s="383">
        <v>12</v>
      </c>
      <c r="AM19" s="383">
        <v>13</v>
      </c>
      <c r="AN19" s="383">
        <v>14</v>
      </c>
      <c r="AO19" s="383">
        <v>15</v>
      </c>
      <c r="AP19" s="383">
        <v>16</v>
      </c>
    </row>
    <row r="20" spans="2:51" ht="14.25" customHeight="1" x14ac:dyDescent="0.35">
      <c r="F20" s="590" t="s">
        <v>295</v>
      </c>
      <c r="G20" s="51">
        <v>46</v>
      </c>
      <c r="H20" s="50"/>
      <c r="I20" s="50"/>
      <c r="J20" s="50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78">
        <v>46</v>
      </c>
      <c r="Y20" s="20"/>
      <c r="Z20" s="51">
        <v>46</v>
      </c>
      <c r="AA20" s="50"/>
      <c r="AB20" s="50"/>
      <c r="AC20" s="50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78">
        <v>46</v>
      </c>
      <c r="AR20" s="590" t="s">
        <v>295</v>
      </c>
      <c r="AS20" s="49"/>
      <c r="AT20" s="49"/>
      <c r="AU20" s="49"/>
      <c r="AV20" s="49"/>
      <c r="AW20" s="49"/>
      <c r="AX20" s="49"/>
      <c r="AY20" s="49"/>
    </row>
    <row r="21" spans="2:51" ht="15" thickBot="1" x14ac:dyDescent="0.4">
      <c r="F21" s="590"/>
      <c r="G21" s="51">
        <v>45</v>
      </c>
      <c r="H21" s="472"/>
      <c r="I21" s="472"/>
      <c r="J21" s="472"/>
      <c r="K21" s="472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8">
        <v>45</v>
      </c>
      <c r="Y21" s="20"/>
      <c r="Z21" s="51">
        <v>45</v>
      </c>
      <c r="AA21" s="472"/>
      <c r="AB21" s="472"/>
      <c r="AC21" s="472"/>
      <c r="AD21" s="472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3"/>
      <c r="AQ21" s="478">
        <v>45</v>
      </c>
      <c r="AR21" s="590"/>
      <c r="AS21" s="49"/>
      <c r="AT21" s="49"/>
      <c r="AU21" s="49"/>
      <c r="AV21" s="49"/>
      <c r="AW21" s="49"/>
      <c r="AX21" s="49"/>
      <c r="AY21" s="49"/>
    </row>
    <row r="22" spans="2:51" ht="13.5" customHeight="1" thickBot="1" x14ac:dyDescent="0.4">
      <c r="B22" s="327" t="s">
        <v>130</v>
      </c>
      <c r="C22" s="328"/>
      <c r="D22" s="328"/>
      <c r="E22" s="329"/>
      <c r="F22" s="590"/>
      <c r="G22" s="475">
        <v>44</v>
      </c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7">
        <v>44</v>
      </c>
      <c r="Y22" s="20"/>
      <c r="Z22" s="475">
        <v>44</v>
      </c>
      <c r="AA22" s="476"/>
      <c r="AB22" s="476"/>
      <c r="AC22" s="476"/>
      <c r="AD22" s="476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80">
        <v>44</v>
      </c>
      <c r="AR22" s="590"/>
      <c r="AS22" s="49"/>
      <c r="AT22" s="49"/>
      <c r="AU22" s="49"/>
      <c r="AV22" s="49"/>
      <c r="AW22" s="49"/>
      <c r="AX22" s="49"/>
      <c r="AY22" s="49"/>
    </row>
    <row r="23" spans="2:51" x14ac:dyDescent="0.35">
      <c r="B23" s="330" t="s">
        <v>126</v>
      </c>
      <c r="C23" s="331" t="s">
        <v>127</v>
      </c>
      <c r="D23" s="331" t="s">
        <v>114</v>
      </c>
      <c r="E23" s="332" t="s">
        <v>11</v>
      </c>
      <c r="F23" s="590"/>
      <c r="G23" s="51">
        <v>43</v>
      </c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51">
        <v>43</v>
      </c>
      <c r="Y23" s="20"/>
      <c r="Z23" s="51">
        <v>43</v>
      </c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51">
        <v>43</v>
      </c>
      <c r="AR23" s="590"/>
      <c r="AS23" s="49"/>
      <c r="AT23" s="49"/>
      <c r="AU23" s="49"/>
      <c r="AV23" s="49"/>
      <c r="AW23" s="49"/>
      <c r="AX23" s="49"/>
      <c r="AY23" s="49"/>
    </row>
    <row r="24" spans="2:51" x14ac:dyDescent="0.35">
      <c r="B24" s="333">
        <v>4.6296296296296294E-2</v>
      </c>
      <c r="C24" s="334">
        <v>6.8027210884353748E-2</v>
      </c>
      <c r="D24" s="335">
        <f>C24-B24</f>
        <v>2.1730914588057454E-2</v>
      </c>
      <c r="E24" s="336">
        <f>1/D24</f>
        <v>46.017391304347811</v>
      </c>
      <c r="F24" s="590"/>
      <c r="G24" s="51">
        <v>42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>
        <v>42</v>
      </c>
      <c r="Y24" s="20"/>
      <c r="Z24" s="51">
        <v>42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>
        <v>42</v>
      </c>
      <c r="AR24" s="590"/>
      <c r="AS24" s="49"/>
      <c r="AT24" s="49"/>
      <c r="AU24" s="49"/>
      <c r="AV24" s="49"/>
      <c r="AW24" s="49"/>
      <c r="AX24" s="49"/>
      <c r="AY24" s="49"/>
    </row>
    <row r="25" spans="2:51" ht="15" thickBot="1" x14ac:dyDescent="0.4">
      <c r="B25" s="391" t="s">
        <v>170</v>
      </c>
      <c r="C25" s="341">
        <f>B24*E24</f>
        <v>2.1304347826086949</v>
      </c>
      <c r="D25" s="337">
        <f>D24*E24</f>
        <v>1</v>
      </c>
      <c r="E25" s="338">
        <f>(1-C24)*E24</f>
        <v>42.886956521739116</v>
      </c>
      <c r="F25" s="590"/>
      <c r="G25" s="51">
        <v>41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>
        <v>41</v>
      </c>
      <c r="Y25" s="20"/>
      <c r="Z25" s="51">
        <v>41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1">
        <v>41</v>
      </c>
      <c r="AR25" s="590"/>
      <c r="AS25" s="49"/>
      <c r="AT25" s="49"/>
      <c r="AU25" s="49"/>
      <c r="AV25" s="49"/>
      <c r="AW25" s="49"/>
      <c r="AX25" s="49"/>
      <c r="AY25" s="49"/>
    </row>
    <row r="26" spans="2:51" x14ac:dyDescent="0.35">
      <c r="F26" s="590"/>
      <c r="G26" s="51">
        <v>40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>
        <v>40</v>
      </c>
      <c r="Y26" s="20"/>
      <c r="Z26" s="51">
        <v>40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>
        <v>40</v>
      </c>
      <c r="AR26" s="590"/>
      <c r="AS26" s="49"/>
      <c r="AT26" s="49"/>
      <c r="AU26" s="49"/>
      <c r="AV26" s="49"/>
      <c r="AW26" s="49"/>
      <c r="AX26" s="49"/>
      <c r="AY26" s="49"/>
    </row>
    <row r="27" spans="2:51" x14ac:dyDescent="0.35">
      <c r="G27" s="51">
        <v>39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>
        <v>39</v>
      </c>
      <c r="Y27" s="52"/>
      <c r="Z27" s="51">
        <v>39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1">
        <v>39</v>
      </c>
      <c r="AR27" s="49"/>
      <c r="AS27" s="49"/>
      <c r="AT27" s="49"/>
      <c r="AU27" s="49"/>
      <c r="AV27" s="49"/>
      <c r="AW27" s="49"/>
      <c r="AX27" s="49"/>
      <c r="AY27" s="49"/>
    </row>
    <row r="28" spans="2:51" x14ac:dyDescent="0.35">
      <c r="G28" s="51">
        <v>38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>
        <v>38</v>
      </c>
      <c r="Y28" s="52"/>
      <c r="Z28" s="51">
        <v>38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>
        <v>38</v>
      </c>
      <c r="AR28" s="49"/>
      <c r="AS28" s="49"/>
      <c r="AT28" s="49"/>
      <c r="AU28" s="49"/>
      <c r="AV28" s="49"/>
      <c r="AW28" s="49"/>
      <c r="AX28" s="49"/>
      <c r="AY28" s="49"/>
    </row>
    <row r="29" spans="2:51" x14ac:dyDescent="0.35">
      <c r="G29" s="51">
        <v>37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>
        <v>37</v>
      </c>
      <c r="Z29" s="51">
        <v>37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1">
        <v>37</v>
      </c>
    </row>
    <row r="30" spans="2:51" x14ac:dyDescent="0.35">
      <c r="G30" s="51">
        <v>36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>
        <v>36</v>
      </c>
      <c r="Z30" s="51">
        <v>36</v>
      </c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>
        <v>36</v>
      </c>
    </row>
    <row r="31" spans="2:51" x14ac:dyDescent="0.35">
      <c r="G31" s="51">
        <v>35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>
        <v>35</v>
      </c>
      <c r="Z31" s="51">
        <v>35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1">
        <v>35</v>
      </c>
    </row>
    <row r="32" spans="2:51" x14ac:dyDescent="0.35">
      <c r="G32" s="51">
        <v>34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>
        <v>34</v>
      </c>
      <c r="Z32" s="51">
        <v>34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1">
        <v>34</v>
      </c>
    </row>
    <row r="33" spans="7:43" x14ac:dyDescent="0.35">
      <c r="G33" s="51">
        <v>33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>
        <v>33</v>
      </c>
      <c r="Z33" s="51">
        <v>33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>
        <v>33</v>
      </c>
    </row>
    <row r="34" spans="7:43" x14ac:dyDescent="0.35">
      <c r="G34" s="51">
        <v>32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>
        <v>32</v>
      </c>
      <c r="Z34" s="51">
        <v>32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>
        <v>32</v>
      </c>
    </row>
    <row r="35" spans="7:43" x14ac:dyDescent="0.35">
      <c r="G35" s="51">
        <v>31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>
        <v>31</v>
      </c>
      <c r="Z35" s="51">
        <v>31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>
        <v>31</v>
      </c>
    </row>
    <row r="36" spans="7:43" x14ac:dyDescent="0.35">
      <c r="G36" s="51">
        <v>30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>
        <v>30</v>
      </c>
      <c r="Z36" s="51">
        <v>30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>
        <v>30</v>
      </c>
    </row>
    <row r="37" spans="7:43" x14ac:dyDescent="0.35">
      <c r="G37" s="51">
        <v>29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>
        <v>29</v>
      </c>
      <c r="Z37" s="51">
        <v>29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>
        <v>29</v>
      </c>
    </row>
    <row r="38" spans="7:43" x14ac:dyDescent="0.35">
      <c r="G38" s="51">
        <v>28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>
        <v>28</v>
      </c>
      <c r="Z38" s="51">
        <v>28</v>
      </c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>
        <v>28</v>
      </c>
    </row>
    <row r="39" spans="7:43" x14ac:dyDescent="0.35">
      <c r="G39" s="51">
        <v>27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>
        <v>27</v>
      </c>
      <c r="Z39" s="51">
        <v>27</v>
      </c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>
        <v>27</v>
      </c>
    </row>
    <row r="40" spans="7:43" x14ac:dyDescent="0.35">
      <c r="G40" s="51">
        <v>26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>
        <v>26</v>
      </c>
      <c r="Z40" s="51">
        <v>26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1">
        <v>26</v>
      </c>
    </row>
    <row r="41" spans="7:43" x14ac:dyDescent="0.35">
      <c r="G41" s="51">
        <v>25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>
        <v>25</v>
      </c>
      <c r="Z41" s="51">
        <v>25</v>
      </c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1">
        <v>25</v>
      </c>
    </row>
    <row r="42" spans="7:43" x14ac:dyDescent="0.35">
      <c r="G42" s="51">
        <v>24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>
        <v>24</v>
      </c>
      <c r="Z42" s="51">
        <v>24</v>
      </c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1">
        <v>24</v>
      </c>
    </row>
    <row r="43" spans="7:43" x14ac:dyDescent="0.35">
      <c r="G43" s="51">
        <v>23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>
        <v>23</v>
      </c>
      <c r="Z43" s="51">
        <v>23</v>
      </c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1">
        <v>23</v>
      </c>
    </row>
    <row r="44" spans="7:43" x14ac:dyDescent="0.35">
      <c r="G44" s="51">
        <v>22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>
        <v>22</v>
      </c>
      <c r="Z44" s="51">
        <v>22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1">
        <v>22</v>
      </c>
    </row>
    <row r="45" spans="7:43" x14ac:dyDescent="0.35">
      <c r="G45" s="51">
        <v>21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>
        <v>21</v>
      </c>
      <c r="Z45" s="51">
        <v>21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1">
        <v>21</v>
      </c>
    </row>
    <row r="46" spans="7:43" x14ac:dyDescent="0.35">
      <c r="G46" s="51">
        <v>20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>
        <v>20</v>
      </c>
      <c r="Z46" s="51">
        <v>20</v>
      </c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>
        <v>20</v>
      </c>
    </row>
    <row r="47" spans="7:43" x14ac:dyDescent="0.35">
      <c r="G47" s="51">
        <v>19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>
        <v>19</v>
      </c>
      <c r="Z47" s="51">
        <v>19</v>
      </c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1">
        <v>19</v>
      </c>
    </row>
    <row r="48" spans="7:43" x14ac:dyDescent="0.35">
      <c r="G48" s="51">
        <v>18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>
        <v>18</v>
      </c>
      <c r="Z48" s="51">
        <v>18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1">
        <v>18</v>
      </c>
    </row>
    <row r="49" spans="7:43" x14ac:dyDescent="0.35">
      <c r="G49" s="51">
        <v>17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>
        <v>17</v>
      </c>
      <c r="Z49" s="51">
        <v>17</v>
      </c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1">
        <v>17</v>
      </c>
    </row>
    <row r="50" spans="7:43" x14ac:dyDescent="0.35">
      <c r="G50" s="51">
        <v>16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>
        <v>16</v>
      </c>
      <c r="Z50" s="51">
        <v>16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1">
        <v>16</v>
      </c>
    </row>
    <row r="51" spans="7:43" x14ac:dyDescent="0.35">
      <c r="G51" s="51">
        <v>15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>
        <v>15</v>
      </c>
      <c r="Z51" s="51">
        <v>15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>
        <v>15</v>
      </c>
    </row>
    <row r="52" spans="7:43" x14ac:dyDescent="0.35">
      <c r="G52" s="51">
        <v>14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>
        <v>14</v>
      </c>
      <c r="Z52" s="51">
        <v>14</v>
      </c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1">
        <v>14</v>
      </c>
    </row>
    <row r="53" spans="7:43" x14ac:dyDescent="0.35">
      <c r="G53" s="51">
        <v>13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>
        <v>13</v>
      </c>
      <c r="Z53" s="51">
        <v>13</v>
      </c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1">
        <v>13</v>
      </c>
    </row>
    <row r="54" spans="7:43" x14ac:dyDescent="0.35">
      <c r="G54" s="51">
        <v>12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>
        <v>12</v>
      </c>
      <c r="Z54" s="51">
        <v>12</v>
      </c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1">
        <v>12</v>
      </c>
    </row>
    <row r="55" spans="7:43" x14ac:dyDescent="0.35">
      <c r="G55" s="51">
        <v>11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>
        <v>11</v>
      </c>
      <c r="Z55" s="51">
        <v>11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>
        <v>11</v>
      </c>
    </row>
    <row r="56" spans="7:43" x14ac:dyDescent="0.35">
      <c r="G56" s="51">
        <v>10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>
        <v>10</v>
      </c>
      <c r="Z56" s="51">
        <v>10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1">
        <v>10</v>
      </c>
    </row>
    <row r="57" spans="7:43" x14ac:dyDescent="0.35">
      <c r="G57" s="51">
        <v>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>
        <v>9</v>
      </c>
      <c r="Z57" s="51">
        <v>9</v>
      </c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1">
        <v>9</v>
      </c>
    </row>
    <row r="58" spans="7:43" x14ac:dyDescent="0.35">
      <c r="G58" s="51">
        <v>8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>
        <v>8</v>
      </c>
      <c r="Z58" s="51">
        <v>8</v>
      </c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1">
        <v>8</v>
      </c>
    </row>
    <row r="59" spans="7:43" x14ac:dyDescent="0.35">
      <c r="G59" s="51">
        <v>7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>
        <v>7</v>
      </c>
      <c r="Z59" s="51">
        <v>7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1">
        <v>7</v>
      </c>
    </row>
    <row r="60" spans="7:43" x14ac:dyDescent="0.35">
      <c r="G60" s="51">
        <v>6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>
        <v>6</v>
      </c>
      <c r="Z60" s="51">
        <v>6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>
        <v>6</v>
      </c>
    </row>
    <row r="61" spans="7:43" x14ac:dyDescent="0.35">
      <c r="G61" s="51">
        <v>5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>
        <v>5</v>
      </c>
      <c r="Z61" s="51">
        <v>5</v>
      </c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1">
        <v>5</v>
      </c>
    </row>
    <row r="62" spans="7:43" x14ac:dyDescent="0.35">
      <c r="G62" s="51">
        <v>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1">
        <v>4</v>
      </c>
      <c r="Z62" s="51">
        <v>4</v>
      </c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1">
        <v>4</v>
      </c>
    </row>
    <row r="63" spans="7:43" x14ac:dyDescent="0.35">
      <c r="G63" s="51">
        <v>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1">
        <v>3</v>
      </c>
      <c r="Z63" s="51">
        <v>3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>
        <v>3</v>
      </c>
    </row>
    <row r="64" spans="7:43" x14ac:dyDescent="0.35">
      <c r="G64" s="51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1">
        <v>2</v>
      </c>
      <c r="Z64" s="51">
        <v>2</v>
      </c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1">
        <v>2</v>
      </c>
    </row>
    <row r="65" spans="7:43" x14ac:dyDescent="0.35">
      <c r="G65" s="51">
        <v>1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1">
        <v>1</v>
      </c>
      <c r="Z65" s="51">
        <v>1</v>
      </c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1">
        <v>1</v>
      </c>
    </row>
    <row r="66" spans="7:43" x14ac:dyDescent="0.35">
      <c r="H66" s="383">
        <v>1</v>
      </c>
      <c r="I66" s="383">
        <v>2</v>
      </c>
      <c r="J66" s="383">
        <v>3</v>
      </c>
      <c r="K66" s="383">
        <v>4</v>
      </c>
      <c r="L66" s="383">
        <v>5</v>
      </c>
      <c r="M66" s="383">
        <v>6</v>
      </c>
      <c r="N66" s="383">
        <v>7</v>
      </c>
      <c r="O66" s="383">
        <v>8</v>
      </c>
      <c r="P66" s="383">
        <v>9</v>
      </c>
      <c r="Q66" s="383">
        <v>10</v>
      </c>
      <c r="R66" s="383">
        <v>11</v>
      </c>
      <c r="S66" s="383">
        <v>12</v>
      </c>
      <c r="T66" s="383">
        <v>13</v>
      </c>
      <c r="U66" s="383">
        <v>14</v>
      </c>
      <c r="V66" s="383">
        <v>15</v>
      </c>
      <c r="W66" s="383">
        <v>16</v>
      </c>
      <c r="X66" s="384"/>
      <c r="Y66" s="384"/>
      <c r="Z66" s="384"/>
      <c r="AA66" s="383">
        <v>1</v>
      </c>
      <c r="AB66" s="383">
        <v>2</v>
      </c>
      <c r="AC66" s="383">
        <v>3</v>
      </c>
      <c r="AD66" s="383">
        <v>4</v>
      </c>
      <c r="AE66" s="383">
        <v>5</v>
      </c>
      <c r="AF66" s="383">
        <v>6</v>
      </c>
      <c r="AG66" s="383">
        <v>7</v>
      </c>
      <c r="AH66" s="383">
        <v>8</v>
      </c>
      <c r="AI66" s="383">
        <v>9</v>
      </c>
      <c r="AJ66" s="383">
        <v>10</v>
      </c>
      <c r="AK66" s="383">
        <v>11</v>
      </c>
      <c r="AL66" s="383">
        <v>12</v>
      </c>
      <c r="AM66" s="383">
        <v>13</v>
      </c>
      <c r="AN66" s="383">
        <v>14</v>
      </c>
      <c r="AO66" s="383">
        <v>15</v>
      </c>
      <c r="AP66" s="383">
        <v>16</v>
      </c>
    </row>
    <row r="67" spans="7:43" x14ac:dyDescent="0.35">
      <c r="H67" s="48" t="s">
        <v>296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AA67" s="48" t="s">
        <v>296</v>
      </c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7:43" x14ac:dyDescent="0.35">
      <c r="H68" s="48" t="s">
        <v>302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7"/>
      <c r="X68" s="47"/>
      <c r="Y68" s="47"/>
      <c r="Z68" s="47"/>
      <c r="AA68" s="48" t="s">
        <v>13</v>
      </c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7"/>
    </row>
    <row r="69" spans="7:43" x14ac:dyDescent="0.35"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</sheetData>
  <mergeCells count="6">
    <mergeCell ref="B4:AR4"/>
    <mergeCell ref="F20:F26"/>
    <mergeCell ref="AR20:AR26"/>
    <mergeCell ref="E9:E10"/>
    <mergeCell ref="D10:D11"/>
    <mergeCell ref="G15:O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Y64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1.1796875" customWidth="1"/>
    <col min="2" max="2" width="15" customWidth="1"/>
    <col min="4" max="5" width="10.54296875" customWidth="1"/>
    <col min="6" max="6" width="5.81640625" customWidth="1"/>
    <col min="7" max="7" width="5.1796875" customWidth="1"/>
    <col min="8" max="23" width="3" customWidth="1"/>
    <col min="24" max="26" width="3.7265625" customWidth="1"/>
    <col min="27" max="42" width="3" customWidth="1"/>
    <col min="43" max="43" width="5.453125" style="20" customWidth="1"/>
    <col min="44" max="51" width="3.7265625" style="20" customWidth="1"/>
  </cols>
  <sheetData>
    <row r="1" spans="2:4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AQ1"/>
      <c r="AR1"/>
      <c r="AS1"/>
      <c r="AT1"/>
      <c r="AU1"/>
    </row>
    <row r="2" spans="2:4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41 pacientes, a los 16 meses</v>
      </c>
      <c r="G2" s="19"/>
      <c r="H2" s="21" t="str">
        <f>CONCATENATE(B2," ",F2,E2)</f>
        <v>NO puede representarse llegando los 41 pacientes, a los 16 meses, pues habría que recortar o ampliar los tiempos respectivos de uno o más pacientes "libres de evento" o "con evento"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AQ2"/>
      <c r="AR2"/>
      <c r="AS2"/>
      <c r="AT2"/>
      <c r="AU2"/>
    </row>
    <row r="3" spans="2:47" ht="8.25" customHeight="1" thickBot="1" x14ac:dyDescent="0.4">
      <c r="B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Q3"/>
      <c r="AR3"/>
      <c r="AS3"/>
      <c r="AT3"/>
      <c r="AU3"/>
    </row>
    <row r="4" spans="2:47" ht="56.5" customHeight="1" thickBot="1" x14ac:dyDescent="0.4">
      <c r="B4" s="596" t="s">
        <v>309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8"/>
      <c r="AS4"/>
      <c r="AT4"/>
      <c r="AU4"/>
    </row>
    <row r="5" spans="2:47" ht="7" customHeight="1" x14ac:dyDescent="0.35"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/>
      <c r="AU5"/>
    </row>
    <row r="6" spans="2:47" ht="26" x14ac:dyDescent="0.35">
      <c r="B6" s="380" t="s">
        <v>167</v>
      </c>
      <c r="C6" s="24">
        <f>D6+E6+F6</f>
        <v>41</v>
      </c>
      <c r="D6" s="531">
        <v>3</v>
      </c>
      <c r="E6" s="529">
        <v>1</v>
      </c>
      <c r="F6" s="530">
        <v>37</v>
      </c>
      <c r="H6" s="22"/>
      <c r="I6" s="373" t="s">
        <v>166</v>
      </c>
      <c r="W6" s="2"/>
      <c r="X6" s="22"/>
      <c r="Y6" s="22"/>
      <c r="Z6" s="22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Q6"/>
      <c r="AR6"/>
      <c r="AS6"/>
      <c r="AT6"/>
      <c r="AU6"/>
    </row>
    <row r="7" spans="2:47" ht="15" customHeight="1" x14ac:dyDescent="0.35">
      <c r="B7" s="22"/>
      <c r="D7" s="25"/>
      <c r="E7" s="26"/>
      <c r="F7" s="27"/>
      <c r="G7" s="22"/>
      <c r="H7" s="22"/>
      <c r="I7" s="374" t="s">
        <v>164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Q7"/>
      <c r="AR7"/>
      <c r="AS7"/>
      <c r="AT7"/>
      <c r="AU7"/>
    </row>
    <row r="8" spans="2:47" ht="39.75" customHeight="1" x14ac:dyDescent="0.35">
      <c r="B8" s="381" t="s">
        <v>168</v>
      </c>
      <c r="C8" s="28" t="s">
        <v>124</v>
      </c>
      <c r="D8" s="29" t="str">
        <f>CONCATENATE(B1," ",C1," ",C6," ",D1)</f>
        <v>meses de los 41 del grupo Interv</v>
      </c>
      <c r="E8" s="29" t="str">
        <f>CONCATENATE(B1," ",C1," ",C6," ",E1)</f>
        <v>meses de los 41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Q8"/>
      <c r="AR8"/>
      <c r="AS8"/>
      <c r="AT8"/>
      <c r="AU8"/>
    </row>
    <row r="9" spans="2:47" ht="26.5" x14ac:dyDescent="0.35">
      <c r="B9" s="30" t="s">
        <v>1</v>
      </c>
      <c r="C9" s="31">
        <v>0.80120937263794412</v>
      </c>
      <c r="D9" s="32">
        <f>C9*C6</f>
        <v>32.84958427815571</v>
      </c>
      <c r="E9" s="591">
        <f>(C9+C10)*C6</f>
        <v>40.90702947845805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22"/>
      <c r="X9" s="22"/>
      <c r="Y9" s="22"/>
      <c r="Z9" s="22"/>
      <c r="AQ9"/>
      <c r="AR9"/>
      <c r="AS9"/>
      <c r="AT9"/>
      <c r="AU9"/>
    </row>
    <row r="10" spans="2:47" ht="26.5" x14ac:dyDescent="0.35">
      <c r="B10" s="35" t="s">
        <v>3</v>
      </c>
      <c r="C10" s="36">
        <v>0.19652305366591083</v>
      </c>
      <c r="D10" s="592">
        <f>(C11+C10)*C6</f>
        <v>623.15041572184441</v>
      </c>
      <c r="E10" s="591"/>
      <c r="F10" s="26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2"/>
      <c r="X10" s="22"/>
      <c r="Y10" s="22"/>
      <c r="Z10" s="22"/>
      <c r="AQ10"/>
      <c r="AR10"/>
      <c r="AS10"/>
      <c r="AT10"/>
      <c r="AU10"/>
    </row>
    <row r="11" spans="2:47" ht="26.5" x14ac:dyDescent="0.35">
      <c r="B11" s="38" t="s">
        <v>2</v>
      </c>
      <c r="C11" s="39">
        <v>15.002267573696146</v>
      </c>
      <c r="D11" s="592"/>
      <c r="E11" s="40">
        <f>C11*C6</f>
        <v>615.09297052154204</v>
      </c>
      <c r="F11" s="25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22"/>
      <c r="X11" s="22"/>
      <c r="Y11" s="22"/>
      <c r="Z11" s="22"/>
      <c r="AQ11"/>
      <c r="AR11"/>
      <c r="AS11"/>
      <c r="AT11"/>
      <c r="AU11"/>
    </row>
    <row r="12" spans="2:47" x14ac:dyDescent="0.35">
      <c r="B12" s="3"/>
      <c r="C12" s="42">
        <v>16</v>
      </c>
      <c r="D12" s="43">
        <f>D9+D10</f>
        <v>656.00000000000011</v>
      </c>
      <c r="E12" s="43">
        <f>E9+E11</f>
        <v>656.00000000000011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2:4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2:47" x14ac:dyDescent="0.35">
      <c r="B14" s="539"/>
      <c r="C14" s="539"/>
      <c r="D14" s="540"/>
      <c r="E14" s="540"/>
      <c r="F14" s="22"/>
      <c r="G14" s="45" t="s">
        <v>12</v>
      </c>
      <c r="H14" s="22"/>
      <c r="I14" s="22"/>
      <c r="J14" s="22"/>
      <c r="K14" s="22"/>
      <c r="L14" s="22"/>
      <c r="M14" s="22"/>
      <c r="N14" s="22"/>
      <c r="O14" s="2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2:47" ht="36" customHeight="1" x14ac:dyDescent="0.35">
      <c r="B15" s="541"/>
      <c r="C15" s="541"/>
      <c r="D15" s="542"/>
      <c r="E15" s="542"/>
      <c r="G15" s="593" t="str">
        <f>IF((AND(((C10+C11)/C12)&gt;((E6+F6)/C6),(C11/C12)&gt;(F6/C6))),F2,H2)</f>
        <v>puede representarse llegando los 41 pacientes, a los 16 meses</v>
      </c>
      <c r="H15" s="594"/>
      <c r="I15" s="594"/>
      <c r="J15" s="594"/>
      <c r="K15" s="594"/>
      <c r="L15" s="594"/>
      <c r="M15" s="594"/>
      <c r="N15" s="594"/>
      <c r="O15" s="59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2:47" ht="18.75" customHeight="1" thickBot="1" x14ac:dyDescent="0.4">
      <c r="B16" s="392" t="s">
        <v>311</v>
      </c>
      <c r="C16" s="46"/>
      <c r="D16" s="46"/>
      <c r="E16" s="46"/>
      <c r="F16" s="46"/>
      <c r="G16" s="47"/>
      <c r="H16" s="543">
        <v>16</v>
      </c>
      <c r="I16" s="543">
        <v>15</v>
      </c>
      <c r="J16" s="543">
        <v>14</v>
      </c>
      <c r="K16" s="543">
        <v>13</v>
      </c>
      <c r="L16" s="543">
        <v>12</v>
      </c>
      <c r="M16" s="543">
        <v>11</v>
      </c>
      <c r="N16" s="543">
        <v>10</v>
      </c>
      <c r="O16" s="543">
        <v>9</v>
      </c>
      <c r="P16" s="543">
        <v>8</v>
      </c>
      <c r="Q16" s="543">
        <v>7</v>
      </c>
      <c r="R16" s="543">
        <v>6</v>
      </c>
      <c r="S16" s="543">
        <v>5</v>
      </c>
      <c r="T16" s="543">
        <v>4</v>
      </c>
      <c r="U16" s="543">
        <v>3</v>
      </c>
      <c r="V16" s="543">
        <v>2</v>
      </c>
      <c r="W16" s="543">
        <v>1</v>
      </c>
      <c r="X16" s="47"/>
      <c r="Y16" s="47"/>
      <c r="Z16" s="47"/>
      <c r="AA16" s="543">
        <v>16</v>
      </c>
      <c r="AB16" s="543">
        <v>15</v>
      </c>
      <c r="AC16" s="543">
        <v>14</v>
      </c>
      <c r="AD16" s="543">
        <v>13</v>
      </c>
      <c r="AE16" s="543">
        <v>12</v>
      </c>
      <c r="AF16" s="543">
        <v>11</v>
      </c>
      <c r="AG16" s="543">
        <v>10</v>
      </c>
      <c r="AH16" s="543">
        <v>9</v>
      </c>
      <c r="AI16" s="543">
        <v>8</v>
      </c>
      <c r="AJ16" s="543">
        <v>7</v>
      </c>
      <c r="AK16" s="543">
        <v>6</v>
      </c>
      <c r="AL16" s="543">
        <v>5</v>
      </c>
      <c r="AM16" s="543">
        <v>4</v>
      </c>
      <c r="AN16" s="543">
        <v>3</v>
      </c>
      <c r="AO16" s="543">
        <v>2</v>
      </c>
      <c r="AP16" s="543">
        <v>1</v>
      </c>
      <c r="AQ16" s="47"/>
      <c r="AR16" s="47"/>
      <c r="AS16" s="44"/>
      <c r="AT16" s="44"/>
      <c r="AU16" s="44"/>
    </row>
    <row r="17" spans="2:51" ht="17.25" customHeight="1" thickBot="1" x14ac:dyDescent="0.4">
      <c r="B17" s="393" t="s">
        <v>312</v>
      </c>
      <c r="C17" s="389"/>
      <c r="D17" s="389"/>
      <c r="E17" s="394"/>
      <c r="F17" s="46"/>
      <c r="H17" s="48" t="s">
        <v>302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7"/>
      <c r="X17" s="47"/>
      <c r="Y17" s="47"/>
      <c r="Z17" s="47"/>
      <c r="AA17" s="48" t="s">
        <v>13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7"/>
      <c r="AQ17" s="47"/>
      <c r="AR17" s="47"/>
      <c r="AS17" s="47"/>
      <c r="AT17" s="47"/>
      <c r="AU17" s="47"/>
    </row>
    <row r="18" spans="2:51" x14ac:dyDescent="0.35">
      <c r="B18" s="356" t="s">
        <v>303</v>
      </c>
      <c r="H18" s="48" t="s">
        <v>296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AA18" s="48" t="s">
        <v>296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51" x14ac:dyDescent="0.35">
      <c r="B19" s="356" t="s">
        <v>197</v>
      </c>
      <c r="G19" s="20"/>
      <c r="H19" s="383">
        <v>1</v>
      </c>
      <c r="I19" s="383">
        <v>2</v>
      </c>
      <c r="J19" s="383">
        <v>3</v>
      </c>
      <c r="K19" s="383">
        <v>4</v>
      </c>
      <c r="L19" s="383">
        <v>5</v>
      </c>
      <c r="M19" s="383">
        <v>6</v>
      </c>
      <c r="N19" s="383">
        <v>7</v>
      </c>
      <c r="O19" s="383">
        <v>8</v>
      </c>
      <c r="P19" s="383">
        <v>9</v>
      </c>
      <c r="Q19" s="383">
        <v>10</v>
      </c>
      <c r="R19" s="383">
        <v>11</v>
      </c>
      <c r="S19" s="383">
        <v>12</v>
      </c>
      <c r="T19" s="383">
        <v>13</v>
      </c>
      <c r="U19" s="383">
        <v>14</v>
      </c>
      <c r="V19" s="383">
        <v>15</v>
      </c>
      <c r="W19" s="383">
        <v>16</v>
      </c>
      <c r="X19" s="384"/>
      <c r="Y19" s="384"/>
      <c r="Z19" s="384"/>
      <c r="AA19" s="383">
        <v>1</v>
      </c>
      <c r="AB19" s="383">
        <v>2</v>
      </c>
      <c r="AC19" s="383">
        <v>3</v>
      </c>
      <c r="AD19" s="383">
        <v>4</v>
      </c>
      <c r="AE19" s="383">
        <v>5</v>
      </c>
      <c r="AF19" s="383">
        <v>6</v>
      </c>
      <c r="AG19" s="383">
        <v>7</v>
      </c>
      <c r="AH19" s="383">
        <v>8</v>
      </c>
      <c r="AI19" s="383">
        <v>9</v>
      </c>
      <c r="AJ19" s="383">
        <v>10</v>
      </c>
      <c r="AK19" s="383">
        <v>11</v>
      </c>
      <c r="AL19" s="383">
        <v>12</v>
      </c>
      <c r="AM19" s="383">
        <v>13</v>
      </c>
      <c r="AN19" s="383">
        <v>14</v>
      </c>
      <c r="AO19" s="383">
        <v>15</v>
      </c>
      <c r="AP19" s="383">
        <v>16</v>
      </c>
    </row>
    <row r="20" spans="2:51" ht="14.25" customHeight="1" x14ac:dyDescent="0.35">
      <c r="F20" s="590" t="s">
        <v>295</v>
      </c>
      <c r="G20" s="51">
        <v>41</v>
      </c>
      <c r="H20" s="50"/>
      <c r="I20" s="50"/>
      <c r="J20" s="50"/>
      <c r="K20" s="50"/>
      <c r="L20" s="5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53">
        <v>41</v>
      </c>
      <c r="Y20" s="20"/>
      <c r="Z20" s="51">
        <v>41</v>
      </c>
      <c r="AA20" s="50"/>
      <c r="AB20" s="50"/>
      <c r="AC20" s="50"/>
      <c r="AD20" s="50"/>
      <c r="AE20" s="50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53">
        <v>41</v>
      </c>
      <c r="AR20" s="590" t="s">
        <v>295</v>
      </c>
      <c r="AS20" s="49"/>
      <c r="AT20" s="49"/>
      <c r="AU20" s="49"/>
      <c r="AV20" s="49"/>
      <c r="AW20" s="49"/>
      <c r="AX20" s="49"/>
      <c r="AY20" s="49"/>
    </row>
    <row r="21" spans="2:51" ht="15" thickBot="1" x14ac:dyDescent="0.4">
      <c r="F21" s="590"/>
      <c r="G21" s="51">
        <v>40</v>
      </c>
      <c r="H21" s="50"/>
      <c r="I21" s="50"/>
      <c r="J21" s="50"/>
      <c r="K21" s="50"/>
      <c r="L21" s="50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53">
        <v>40</v>
      </c>
      <c r="Y21" s="20"/>
      <c r="Z21" s="51">
        <v>40</v>
      </c>
      <c r="AA21" s="50"/>
      <c r="AB21" s="50"/>
      <c r="AC21" s="50"/>
      <c r="AD21" s="50"/>
      <c r="AE21" s="50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53">
        <v>40</v>
      </c>
      <c r="AR21" s="590"/>
      <c r="AS21" s="49"/>
      <c r="AT21" s="49"/>
      <c r="AU21" s="49"/>
      <c r="AV21" s="49"/>
      <c r="AW21" s="49"/>
      <c r="AX21" s="49"/>
      <c r="AY21" s="49"/>
    </row>
    <row r="22" spans="2:51" ht="13.5" customHeight="1" thickBot="1" x14ac:dyDescent="0.4">
      <c r="B22" s="327" t="s">
        <v>130</v>
      </c>
      <c r="C22" s="328"/>
      <c r="D22" s="328"/>
      <c r="E22" s="329"/>
      <c r="F22" s="590"/>
      <c r="G22" s="51">
        <v>39</v>
      </c>
      <c r="H22" s="472"/>
      <c r="I22" s="472"/>
      <c r="J22" s="472"/>
      <c r="K22" s="472"/>
      <c r="L22" s="472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53">
        <v>39</v>
      </c>
      <c r="Y22" s="20"/>
      <c r="Z22" s="51">
        <v>39</v>
      </c>
      <c r="AA22" s="472"/>
      <c r="AB22" s="472"/>
      <c r="AC22" s="472"/>
      <c r="AD22" s="472"/>
      <c r="AE22" s="472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53">
        <v>39</v>
      </c>
      <c r="AR22" s="590"/>
      <c r="AS22" s="49"/>
      <c r="AT22" s="49"/>
      <c r="AU22" s="49"/>
      <c r="AV22" s="49"/>
      <c r="AW22" s="49"/>
      <c r="AX22" s="49"/>
      <c r="AY22" s="49"/>
    </row>
    <row r="23" spans="2:51" ht="16" thickBot="1" x14ac:dyDescent="0.4">
      <c r="B23" s="330" t="s">
        <v>126</v>
      </c>
      <c r="C23" s="331" t="s">
        <v>127</v>
      </c>
      <c r="D23" s="331" t="s">
        <v>114</v>
      </c>
      <c r="E23" s="332" t="s">
        <v>11</v>
      </c>
      <c r="F23" s="590"/>
      <c r="G23" s="475">
        <v>38</v>
      </c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7">
        <v>38</v>
      </c>
      <c r="Y23" s="20"/>
      <c r="Z23" s="475">
        <v>38</v>
      </c>
      <c r="AA23" s="476"/>
      <c r="AB23" s="476"/>
      <c r="AC23" s="476"/>
      <c r="AD23" s="476"/>
      <c r="AE23" s="476"/>
      <c r="AF23" s="476"/>
      <c r="AG23" s="476"/>
      <c r="AH23" s="476"/>
      <c r="AI23" s="476"/>
      <c r="AJ23" s="479"/>
      <c r="AK23" s="479"/>
      <c r="AL23" s="479"/>
      <c r="AM23" s="479"/>
      <c r="AN23" s="479"/>
      <c r="AO23" s="479"/>
      <c r="AP23" s="479"/>
      <c r="AQ23" s="481">
        <v>38</v>
      </c>
      <c r="AR23" s="590"/>
      <c r="AS23" s="49"/>
      <c r="AT23" s="49"/>
      <c r="AU23" s="49"/>
      <c r="AV23" s="49"/>
      <c r="AW23" s="49"/>
      <c r="AX23" s="49"/>
      <c r="AY23" s="49"/>
    </row>
    <row r="24" spans="2:51" x14ac:dyDescent="0.35">
      <c r="B24" s="333">
        <v>7.5585789871504161E-2</v>
      </c>
      <c r="C24" s="334">
        <v>0.10015117157974301</v>
      </c>
      <c r="D24" s="335">
        <f>C24-B24</f>
        <v>2.4565381708238854E-2</v>
      </c>
      <c r="E24" s="336">
        <f>1/D24</f>
        <v>40.707692307692305</v>
      </c>
      <c r="F24" s="590"/>
      <c r="G24" s="51">
        <v>37</v>
      </c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51">
        <v>37</v>
      </c>
      <c r="Y24" s="20"/>
      <c r="Z24" s="51">
        <v>37</v>
      </c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51">
        <v>37</v>
      </c>
      <c r="AR24" s="590"/>
      <c r="AS24" s="49"/>
      <c r="AT24" s="49"/>
      <c r="AU24" s="49"/>
      <c r="AV24" s="49"/>
      <c r="AW24" s="49"/>
      <c r="AX24" s="49"/>
      <c r="AY24" s="49"/>
    </row>
    <row r="25" spans="2:51" ht="15" thickBot="1" x14ac:dyDescent="0.4">
      <c r="B25" s="391" t="s">
        <v>170</v>
      </c>
      <c r="C25" s="341">
        <f>B24*E24</f>
        <v>3.0769230769230771</v>
      </c>
      <c r="D25" s="337">
        <f>D24*E24</f>
        <v>1</v>
      </c>
      <c r="E25" s="338">
        <f>(1-C24)*E24</f>
        <v>36.630769230769232</v>
      </c>
      <c r="F25" s="590"/>
      <c r="G25" s="51">
        <v>36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>
        <v>36</v>
      </c>
      <c r="Y25" s="20"/>
      <c r="Z25" s="51">
        <v>36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1">
        <v>36</v>
      </c>
      <c r="AR25" s="590"/>
      <c r="AS25" s="49"/>
      <c r="AT25" s="49"/>
      <c r="AU25" s="49"/>
      <c r="AV25" s="49"/>
      <c r="AW25" s="49"/>
      <c r="AX25" s="49"/>
      <c r="AY25" s="49"/>
    </row>
    <row r="26" spans="2:51" x14ac:dyDescent="0.35">
      <c r="F26" s="590"/>
      <c r="G26" s="51">
        <v>35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>
        <v>35</v>
      </c>
      <c r="Y26" s="20"/>
      <c r="Z26" s="51">
        <v>35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>
        <v>35</v>
      </c>
      <c r="AR26" s="590"/>
      <c r="AS26" s="49"/>
      <c r="AT26" s="49"/>
      <c r="AU26" s="49"/>
      <c r="AV26" s="49"/>
      <c r="AW26" s="49"/>
      <c r="AX26" s="49"/>
      <c r="AY26" s="49"/>
    </row>
    <row r="27" spans="2:51" x14ac:dyDescent="0.35">
      <c r="G27" s="51">
        <v>34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>
        <v>34</v>
      </c>
      <c r="Y27" s="52"/>
      <c r="Z27" s="51">
        <v>34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1">
        <v>34</v>
      </c>
      <c r="AR27" s="49"/>
      <c r="AS27" s="49"/>
      <c r="AT27" s="49"/>
      <c r="AU27" s="49"/>
      <c r="AV27" s="49"/>
      <c r="AW27" s="49"/>
      <c r="AX27" s="49"/>
      <c r="AY27" s="49"/>
    </row>
    <row r="28" spans="2:51" x14ac:dyDescent="0.35">
      <c r="G28" s="51">
        <v>33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>
        <v>33</v>
      </c>
      <c r="Y28" s="52"/>
      <c r="Z28" s="51">
        <v>33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>
        <v>33</v>
      </c>
      <c r="AR28" s="49"/>
      <c r="AS28" s="49"/>
      <c r="AT28" s="49"/>
      <c r="AU28" s="49"/>
      <c r="AV28" s="49"/>
      <c r="AW28" s="49"/>
      <c r="AX28" s="49"/>
      <c r="AY28" s="49"/>
    </row>
    <row r="29" spans="2:51" x14ac:dyDescent="0.35">
      <c r="G29" s="51">
        <v>32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>
        <v>32</v>
      </c>
      <c r="Z29" s="51">
        <v>32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1">
        <v>32</v>
      </c>
    </row>
    <row r="30" spans="2:51" x14ac:dyDescent="0.35">
      <c r="G30" s="51">
        <v>31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>
        <v>31</v>
      </c>
      <c r="Z30" s="51">
        <v>31</v>
      </c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>
        <v>31</v>
      </c>
    </row>
    <row r="31" spans="2:51" x14ac:dyDescent="0.35">
      <c r="G31" s="51">
        <v>30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>
        <v>30</v>
      </c>
      <c r="Z31" s="51">
        <v>30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1">
        <v>30</v>
      </c>
    </row>
    <row r="32" spans="2:51" x14ac:dyDescent="0.35">
      <c r="G32" s="51">
        <v>29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>
        <v>29</v>
      </c>
      <c r="Z32" s="51">
        <v>29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1">
        <v>29</v>
      </c>
    </row>
    <row r="33" spans="7:43" x14ac:dyDescent="0.35">
      <c r="G33" s="51">
        <v>28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>
        <v>28</v>
      </c>
      <c r="Z33" s="51">
        <v>28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>
        <v>28</v>
      </c>
    </row>
    <row r="34" spans="7:43" x14ac:dyDescent="0.35">
      <c r="G34" s="51">
        <v>27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>
        <v>27</v>
      </c>
      <c r="Z34" s="51">
        <v>27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>
        <v>27</v>
      </c>
    </row>
    <row r="35" spans="7:43" x14ac:dyDescent="0.35">
      <c r="G35" s="51">
        <v>26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>
        <v>26</v>
      </c>
      <c r="Z35" s="51">
        <v>26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>
        <v>26</v>
      </c>
    </row>
    <row r="36" spans="7:43" x14ac:dyDescent="0.35">
      <c r="G36" s="51">
        <v>25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>
        <v>25</v>
      </c>
      <c r="Z36" s="51">
        <v>25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>
        <v>25</v>
      </c>
    </row>
    <row r="37" spans="7:43" x14ac:dyDescent="0.35">
      <c r="G37" s="51">
        <v>24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>
        <v>24</v>
      </c>
      <c r="Z37" s="51">
        <v>24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>
        <v>24</v>
      </c>
    </row>
    <row r="38" spans="7:43" x14ac:dyDescent="0.35">
      <c r="G38" s="51">
        <v>23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>
        <v>23</v>
      </c>
      <c r="Z38" s="51">
        <v>23</v>
      </c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>
        <v>23</v>
      </c>
    </row>
    <row r="39" spans="7:43" x14ac:dyDescent="0.35">
      <c r="G39" s="51">
        <v>22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>
        <v>22</v>
      </c>
      <c r="Z39" s="51">
        <v>22</v>
      </c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>
        <v>22</v>
      </c>
    </row>
    <row r="40" spans="7:43" x14ac:dyDescent="0.35">
      <c r="G40" s="51">
        <v>21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>
        <v>21</v>
      </c>
      <c r="Z40" s="51">
        <v>21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1">
        <v>21</v>
      </c>
    </row>
    <row r="41" spans="7:43" x14ac:dyDescent="0.35">
      <c r="G41" s="51">
        <v>20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>
        <v>20</v>
      </c>
      <c r="Z41" s="51">
        <v>20</v>
      </c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1">
        <v>20</v>
      </c>
    </row>
    <row r="42" spans="7:43" x14ac:dyDescent="0.35">
      <c r="G42" s="51">
        <v>19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>
        <v>19</v>
      </c>
      <c r="Z42" s="51">
        <v>19</v>
      </c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1">
        <v>19</v>
      </c>
    </row>
    <row r="43" spans="7:43" x14ac:dyDescent="0.35">
      <c r="G43" s="51">
        <v>18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>
        <v>18</v>
      </c>
      <c r="Z43" s="51">
        <v>18</v>
      </c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1">
        <v>18</v>
      </c>
    </row>
    <row r="44" spans="7:43" x14ac:dyDescent="0.35">
      <c r="G44" s="51">
        <v>17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>
        <v>17</v>
      </c>
      <c r="Z44" s="51">
        <v>17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1">
        <v>17</v>
      </c>
    </row>
    <row r="45" spans="7:43" x14ac:dyDescent="0.35">
      <c r="G45" s="51">
        <v>16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>
        <v>16</v>
      </c>
      <c r="Z45" s="51">
        <v>16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1">
        <v>16</v>
      </c>
    </row>
    <row r="46" spans="7:43" x14ac:dyDescent="0.35">
      <c r="G46" s="51">
        <v>15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>
        <v>15</v>
      </c>
      <c r="Z46" s="51">
        <v>15</v>
      </c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>
        <v>15</v>
      </c>
    </row>
    <row r="47" spans="7:43" x14ac:dyDescent="0.35">
      <c r="G47" s="51">
        <v>14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>
        <v>14</v>
      </c>
      <c r="Z47" s="51">
        <v>14</v>
      </c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1">
        <v>14</v>
      </c>
    </row>
    <row r="48" spans="7:43" x14ac:dyDescent="0.35">
      <c r="G48" s="51">
        <v>13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>
        <v>13</v>
      </c>
      <c r="Z48" s="51">
        <v>13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1">
        <v>13</v>
      </c>
    </row>
    <row r="49" spans="7:43" x14ac:dyDescent="0.35">
      <c r="G49" s="51">
        <v>12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>
        <v>12</v>
      </c>
      <c r="Z49" s="51">
        <v>12</v>
      </c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1">
        <v>12</v>
      </c>
    </row>
    <row r="50" spans="7:43" x14ac:dyDescent="0.35">
      <c r="G50" s="51">
        <v>11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>
        <v>11</v>
      </c>
      <c r="Z50" s="51">
        <v>11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1">
        <v>11</v>
      </c>
    </row>
    <row r="51" spans="7:43" x14ac:dyDescent="0.35">
      <c r="G51" s="51">
        <v>10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>
        <v>10</v>
      </c>
      <c r="Z51" s="51">
        <v>10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>
        <v>10</v>
      </c>
    </row>
    <row r="52" spans="7:43" x14ac:dyDescent="0.35">
      <c r="G52" s="51">
        <v>9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>
        <v>9</v>
      </c>
      <c r="Z52" s="51">
        <v>9</v>
      </c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1">
        <v>9</v>
      </c>
    </row>
    <row r="53" spans="7:43" x14ac:dyDescent="0.35">
      <c r="G53" s="51">
        <v>8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>
        <v>8</v>
      </c>
      <c r="Z53" s="51">
        <v>8</v>
      </c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1">
        <v>8</v>
      </c>
    </row>
    <row r="54" spans="7:43" x14ac:dyDescent="0.35">
      <c r="G54" s="51">
        <v>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>
        <v>7</v>
      </c>
      <c r="Z54" s="51">
        <v>7</v>
      </c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1">
        <v>7</v>
      </c>
    </row>
    <row r="55" spans="7:43" x14ac:dyDescent="0.35">
      <c r="G55" s="51">
        <v>6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>
        <v>6</v>
      </c>
      <c r="Z55" s="51">
        <v>6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>
        <v>6</v>
      </c>
    </row>
    <row r="56" spans="7:43" x14ac:dyDescent="0.35">
      <c r="G56" s="51">
        <v>5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>
        <v>5</v>
      </c>
      <c r="Z56" s="51">
        <v>5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1">
        <v>5</v>
      </c>
    </row>
    <row r="57" spans="7:43" x14ac:dyDescent="0.35">
      <c r="G57" s="51">
        <v>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>
        <v>4</v>
      </c>
      <c r="Z57" s="51">
        <v>4</v>
      </c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1">
        <v>4</v>
      </c>
    </row>
    <row r="58" spans="7:43" x14ac:dyDescent="0.35">
      <c r="G58" s="51">
        <v>3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>
        <v>3</v>
      </c>
      <c r="Z58" s="51">
        <v>3</v>
      </c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1">
        <v>3</v>
      </c>
    </row>
    <row r="59" spans="7:43" x14ac:dyDescent="0.35">
      <c r="G59" s="51">
        <v>2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>
        <v>2</v>
      </c>
      <c r="Z59" s="51">
        <v>2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1">
        <v>2</v>
      </c>
    </row>
    <row r="60" spans="7:43" x14ac:dyDescent="0.35">
      <c r="G60" s="51">
        <v>1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>
        <v>1</v>
      </c>
      <c r="Z60" s="51">
        <v>1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>
        <v>1</v>
      </c>
    </row>
    <row r="61" spans="7:43" x14ac:dyDescent="0.35">
      <c r="H61" s="383">
        <v>1</v>
      </c>
      <c r="I61" s="383">
        <v>2</v>
      </c>
      <c r="J61" s="383">
        <v>3</v>
      </c>
      <c r="K61" s="383">
        <v>4</v>
      </c>
      <c r="L61" s="383">
        <v>5</v>
      </c>
      <c r="M61" s="383">
        <v>6</v>
      </c>
      <c r="N61" s="383">
        <v>7</v>
      </c>
      <c r="O61" s="383">
        <v>8</v>
      </c>
      <c r="P61" s="383">
        <v>9</v>
      </c>
      <c r="Q61" s="383">
        <v>10</v>
      </c>
      <c r="R61" s="383">
        <v>11</v>
      </c>
      <c r="S61" s="383">
        <v>12</v>
      </c>
      <c r="T61" s="383">
        <v>13</v>
      </c>
      <c r="U61" s="383">
        <v>14</v>
      </c>
      <c r="V61" s="383">
        <v>15</v>
      </c>
      <c r="W61" s="383">
        <v>16</v>
      </c>
      <c r="X61" s="384"/>
      <c r="Y61" s="384"/>
      <c r="Z61" s="384"/>
      <c r="AA61" s="383">
        <v>1</v>
      </c>
      <c r="AB61" s="383">
        <v>2</v>
      </c>
      <c r="AC61" s="383">
        <v>3</v>
      </c>
      <c r="AD61" s="383">
        <v>4</v>
      </c>
      <c r="AE61" s="383">
        <v>5</v>
      </c>
      <c r="AF61" s="383">
        <v>6</v>
      </c>
      <c r="AG61" s="383">
        <v>7</v>
      </c>
      <c r="AH61" s="383">
        <v>8</v>
      </c>
      <c r="AI61" s="383">
        <v>9</v>
      </c>
      <c r="AJ61" s="383">
        <v>10</v>
      </c>
      <c r="AK61" s="383">
        <v>11</v>
      </c>
      <c r="AL61" s="383">
        <v>12</v>
      </c>
      <c r="AM61" s="383">
        <v>13</v>
      </c>
      <c r="AN61" s="383">
        <v>14</v>
      </c>
      <c r="AO61" s="383">
        <v>15</v>
      </c>
      <c r="AP61" s="383">
        <v>16</v>
      </c>
    </row>
    <row r="62" spans="7:43" x14ac:dyDescent="0.35">
      <c r="H62" s="48" t="s">
        <v>296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AA62" s="48" t="s">
        <v>296</v>
      </c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7:43" x14ac:dyDescent="0.35">
      <c r="H63" s="48" t="s">
        <v>302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7"/>
      <c r="X63" s="47"/>
      <c r="Y63" s="47"/>
      <c r="Z63" s="47"/>
      <c r="AA63" s="48" t="s">
        <v>13</v>
      </c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7"/>
    </row>
    <row r="64" spans="7:43" x14ac:dyDescent="0.35"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</sheetData>
  <mergeCells count="6">
    <mergeCell ref="B4:AR4"/>
    <mergeCell ref="F20:F26"/>
    <mergeCell ref="AR20:AR26"/>
    <mergeCell ref="E9:E10"/>
    <mergeCell ref="D10:D11"/>
    <mergeCell ref="G15:O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6650-076D-40D6-BE58-F6ED6DB135E8}">
  <dimension ref="B1:AY76"/>
  <sheetViews>
    <sheetView topLeftCell="A3" zoomScale="70" zoomScaleNormal="70" workbookViewId="0">
      <selection activeCell="B3" sqref="B3"/>
    </sheetView>
  </sheetViews>
  <sheetFormatPr baseColWidth="10" defaultRowHeight="14.5" x14ac:dyDescent="0.35"/>
  <cols>
    <col min="1" max="1" width="1.1796875" customWidth="1"/>
    <col min="2" max="2" width="15" customWidth="1"/>
    <col min="4" max="5" width="10.54296875" customWidth="1"/>
    <col min="6" max="6" width="5.81640625" customWidth="1"/>
    <col min="7" max="7" width="5.1796875" customWidth="1"/>
    <col min="8" max="23" width="3" customWidth="1"/>
    <col min="24" max="26" width="3.7265625" customWidth="1"/>
    <col min="27" max="42" width="3" customWidth="1"/>
    <col min="43" max="43" width="5.453125" style="20" customWidth="1"/>
    <col min="44" max="51" width="3.7265625" style="20" customWidth="1"/>
  </cols>
  <sheetData>
    <row r="1" spans="2:4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AQ1"/>
      <c r="AR1"/>
      <c r="AS1"/>
      <c r="AT1"/>
      <c r="AU1"/>
    </row>
    <row r="2" spans="2:4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53 pacientes, a los 16 meses</v>
      </c>
      <c r="G2" s="19"/>
      <c r="H2" s="21" t="str">
        <f>CONCATENATE(B2," ",F2,E2)</f>
        <v>NO puede representarse llegando los 53 pacientes, a los 16 meses, pues habría que recortar o ampliar los tiempos respectivos de uno o más pacientes "libres de evento" o "con evento"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AQ2"/>
      <c r="AR2"/>
      <c r="AS2"/>
      <c r="AT2"/>
      <c r="AU2"/>
    </row>
    <row r="3" spans="2:47" ht="8.25" customHeight="1" thickBot="1" x14ac:dyDescent="0.4">
      <c r="B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Q3"/>
      <c r="AR3"/>
      <c r="AS3"/>
      <c r="AT3"/>
      <c r="AU3"/>
    </row>
    <row r="4" spans="2:47" ht="53" customHeight="1" thickBot="1" x14ac:dyDescent="0.65">
      <c r="B4" s="599" t="s">
        <v>310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1"/>
      <c r="AS4"/>
      <c r="AT4"/>
      <c r="AU4"/>
    </row>
    <row r="5" spans="2:47" ht="8" customHeight="1" x14ac:dyDescent="0.35"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/>
      <c r="AU5"/>
    </row>
    <row r="6" spans="2:47" ht="26" x14ac:dyDescent="0.35">
      <c r="B6" s="380" t="s">
        <v>167</v>
      </c>
      <c r="C6" s="24">
        <f>D6+E6+F6</f>
        <v>53</v>
      </c>
      <c r="D6" s="531">
        <v>3</v>
      </c>
      <c r="E6" s="529">
        <v>1</v>
      </c>
      <c r="F6" s="530">
        <v>49</v>
      </c>
      <c r="H6" s="22"/>
      <c r="I6" s="373" t="s">
        <v>166</v>
      </c>
      <c r="W6" s="2"/>
      <c r="X6" s="22"/>
      <c r="Y6" s="22"/>
      <c r="Z6" s="22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Q6"/>
      <c r="AR6"/>
      <c r="AS6"/>
      <c r="AT6"/>
      <c r="AU6"/>
    </row>
    <row r="7" spans="2:47" ht="15" customHeight="1" x14ac:dyDescent="0.35">
      <c r="B7" s="22"/>
      <c r="D7" s="25"/>
      <c r="E7" s="26"/>
      <c r="F7" s="27"/>
      <c r="G7" s="22"/>
      <c r="H7" s="22"/>
      <c r="I7" s="374" t="s">
        <v>164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Q7"/>
      <c r="AR7"/>
      <c r="AS7"/>
      <c r="AT7"/>
      <c r="AU7"/>
    </row>
    <row r="8" spans="2:47" ht="39.75" customHeight="1" x14ac:dyDescent="0.35">
      <c r="B8" s="381" t="s">
        <v>168</v>
      </c>
      <c r="C8" s="28" t="s">
        <v>124</v>
      </c>
      <c r="D8" s="29" t="str">
        <f>CONCATENATE(B1," ",C1," ",C6," ",D1)</f>
        <v>meses de los 53 del grupo Interv</v>
      </c>
      <c r="E8" s="29" t="str">
        <f>CONCATENATE(B1," ",C1," ",C6," ",E1)</f>
        <v>meses de los 53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Q8"/>
      <c r="AR8"/>
      <c r="AS8"/>
      <c r="AT8"/>
      <c r="AU8"/>
    </row>
    <row r="9" spans="2:47" ht="26.5" x14ac:dyDescent="0.35">
      <c r="B9" s="30" t="s">
        <v>1</v>
      </c>
      <c r="C9" s="31">
        <v>0.66817838246409678</v>
      </c>
      <c r="D9" s="32">
        <f>C9*C6</f>
        <v>35.413454270597128</v>
      </c>
      <c r="E9" s="591">
        <f>(C9+C10)*C6</f>
        <v>43.345427059712776</v>
      </c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22"/>
      <c r="X9" s="22"/>
      <c r="Y9" s="22"/>
      <c r="Z9" s="22"/>
      <c r="AQ9"/>
      <c r="AR9"/>
      <c r="AS9"/>
      <c r="AT9"/>
      <c r="AU9"/>
    </row>
    <row r="10" spans="2:47" ht="26.5" x14ac:dyDescent="0.35">
      <c r="B10" s="35" t="s">
        <v>3</v>
      </c>
      <c r="C10" s="36">
        <v>0.14965986394557829</v>
      </c>
      <c r="D10" s="592">
        <f>(C11+C10)*C6</f>
        <v>812.58654572940281</v>
      </c>
      <c r="E10" s="591"/>
      <c r="F10" s="26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2"/>
      <c r="X10" s="22"/>
      <c r="Y10" s="22"/>
      <c r="Z10" s="22"/>
      <c r="AQ10"/>
      <c r="AR10"/>
      <c r="AS10"/>
      <c r="AT10"/>
      <c r="AU10"/>
    </row>
    <row r="11" spans="2:47" ht="26.5" x14ac:dyDescent="0.35">
      <c r="B11" s="38" t="s">
        <v>2</v>
      </c>
      <c r="C11" s="39">
        <v>15.182161753590325</v>
      </c>
      <c r="D11" s="592"/>
      <c r="E11" s="40">
        <f>C11*C6</f>
        <v>804.65457294028727</v>
      </c>
      <c r="F11" s="25"/>
      <c r="G11" s="3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22"/>
      <c r="X11" s="22"/>
      <c r="Y11" s="22"/>
      <c r="Z11" s="22"/>
      <c r="AQ11"/>
      <c r="AR11"/>
      <c r="AS11"/>
      <c r="AT11"/>
      <c r="AU11"/>
    </row>
    <row r="12" spans="2:47" x14ac:dyDescent="0.35">
      <c r="B12" s="3"/>
      <c r="C12" s="42">
        <v>16</v>
      </c>
      <c r="D12" s="43">
        <f>D9+D10</f>
        <v>848</v>
      </c>
      <c r="E12" s="43">
        <f>E9+E11</f>
        <v>848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2:4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2:47" x14ac:dyDescent="0.35">
      <c r="B14" s="539"/>
      <c r="C14" s="539"/>
      <c r="D14" s="540"/>
      <c r="E14" s="540"/>
      <c r="F14" s="22"/>
      <c r="G14" s="45" t="s">
        <v>12</v>
      </c>
      <c r="H14" s="22"/>
      <c r="I14" s="22"/>
      <c r="J14" s="22"/>
      <c r="K14" s="22"/>
      <c r="L14" s="22"/>
      <c r="M14" s="22"/>
      <c r="N14" s="22"/>
      <c r="O14" s="2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2:47" ht="36" customHeight="1" x14ac:dyDescent="0.35">
      <c r="B15" s="541"/>
      <c r="C15" s="541"/>
      <c r="D15" s="542"/>
      <c r="E15" s="542"/>
      <c r="G15" s="593" t="str">
        <f>IF((AND(((C10+C11)/C12)&gt;((E6+F6)/C6),(C11/C12)&gt;(F6/C6))),F2,H2)</f>
        <v>puede representarse llegando los 53 pacientes, a los 16 meses</v>
      </c>
      <c r="H15" s="594"/>
      <c r="I15" s="594"/>
      <c r="J15" s="594"/>
      <c r="K15" s="594"/>
      <c r="L15" s="594"/>
      <c r="M15" s="594"/>
      <c r="N15" s="594"/>
      <c r="O15" s="59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2:47" ht="18.75" customHeight="1" thickBot="1" x14ac:dyDescent="0.4">
      <c r="B16" s="392" t="s">
        <v>313</v>
      </c>
      <c r="C16" s="46"/>
      <c r="D16" s="46"/>
      <c r="E16" s="46"/>
      <c r="F16" s="46"/>
      <c r="G16" s="47"/>
      <c r="H16" s="543">
        <v>16</v>
      </c>
      <c r="I16" s="543">
        <v>15</v>
      </c>
      <c r="J16" s="543">
        <v>14</v>
      </c>
      <c r="K16" s="543">
        <v>13</v>
      </c>
      <c r="L16" s="543">
        <v>12</v>
      </c>
      <c r="M16" s="543">
        <v>11</v>
      </c>
      <c r="N16" s="543">
        <v>10</v>
      </c>
      <c r="O16" s="543">
        <v>9</v>
      </c>
      <c r="P16" s="543">
        <v>8</v>
      </c>
      <c r="Q16" s="543">
        <v>7</v>
      </c>
      <c r="R16" s="543">
        <v>6</v>
      </c>
      <c r="S16" s="543">
        <v>5</v>
      </c>
      <c r="T16" s="543">
        <v>4</v>
      </c>
      <c r="U16" s="543">
        <v>3</v>
      </c>
      <c r="V16" s="543">
        <v>2</v>
      </c>
      <c r="W16" s="543">
        <v>1</v>
      </c>
      <c r="X16" s="47"/>
      <c r="Y16" s="47"/>
      <c r="Z16" s="47"/>
      <c r="AA16" s="543">
        <v>16</v>
      </c>
      <c r="AB16" s="543">
        <v>15</v>
      </c>
      <c r="AC16" s="543">
        <v>14</v>
      </c>
      <c r="AD16" s="543">
        <v>13</v>
      </c>
      <c r="AE16" s="543">
        <v>12</v>
      </c>
      <c r="AF16" s="543">
        <v>11</v>
      </c>
      <c r="AG16" s="543">
        <v>10</v>
      </c>
      <c r="AH16" s="543">
        <v>9</v>
      </c>
      <c r="AI16" s="543">
        <v>8</v>
      </c>
      <c r="AJ16" s="543">
        <v>7</v>
      </c>
      <c r="AK16" s="543">
        <v>6</v>
      </c>
      <c r="AL16" s="543">
        <v>5</v>
      </c>
      <c r="AM16" s="543">
        <v>4</v>
      </c>
      <c r="AN16" s="543">
        <v>3</v>
      </c>
      <c r="AO16" s="543">
        <v>2</v>
      </c>
      <c r="AP16" s="543">
        <v>1</v>
      </c>
      <c r="AQ16" s="44"/>
      <c r="AR16" s="44"/>
      <c r="AS16" s="44"/>
      <c r="AT16" s="44"/>
      <c r="AU16" s="44"/>
    </row>
    <row r="17" spans="2:51" ht="17.25" customHeight="1" thickBot="1" x14ac:dyDescent="0.4">
      <c r="B17" s="393" t="s">
        <v>314</v>
      </c>
      <c r="C17" s="389"/>
      <c r="D17" s="389"/>
      <c r="E17" s="394"/>
      <c r="F17" s="46"/>
      <c r="H17" s="48" t="s">
        <v>302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7"/>
      <c r="X17" s="47"/>
      <c r="Y17" s="47"/>
      <c r="Z17" s="47"/>
      <c r="AA17" s="48" t="s">
        <v>13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7"/>
      <c r="AQ17" s="47"/>
      <c r="AR17" s="47"/>
      <c r="AS17" s="47"/>
      <c r="AT17" s="47"/>
      <c r="AU17" s="47"/>
    </row>
    <row r="18" spans="2:51" x14ac:dyDescent="0.35">
      <c r="B18" s="356" t="s">
        <v>303</v>
      </c>
      <c r="H18" s="48" t="s">
        <v>296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AA18" s="48" t="s">
        <v>296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51" x14ac:dyDescent="0.35">
      <c r="B19" s="356" t="s">
        <v>197</v>
      </c>
      <c r="G19" s="20"/>
      <c r="H19" s="383">
        <v>1</v>
      </c>
      <c r="I19" s="383">
        <v>2</v>
      </c>
      <c r="J19" s="383">
        <v>3</v>
      </c>
      <c r="K19" s="383">
        <v>4</v>
      </c>
      <c r="L19" s="383">
        <v>5</v>
      </c>
      <c r="M19" s="383">
        <v>6</v>
      </c>
      <c r="N19" s="383">
        <v>7</v>
      </c>
      <c r="O19" s="383">
        <v>8</v>
      </c>
      <c r="P19" s="383">
        <v>9</v>
      </c>
      <c r="Q19" s="383">
        <v>10</v>
      </c>
      <c r="R19" s="383">
        <v>11</v>
      </c>
      <c r="S19" s="383">
        <v>12</v>
      </c>
      <c r="T19" s="383">
        <v>13</v>
      </c>
      <c r="U19" s="383">
        <v>14</v>
      </c>
      <c r="V19" s="383">
        <v>15</v>
      </c>
      <c r="W19" s="383">
        <v>16</v>
      </c>
      <c r="X19" s="384"/>
      <c r="Y19" s="384"/>
      <c r="Z19" s="384"/>
      <c r="AA19" s="383">
        <v>1</v>
      </c>
      <c r="AB19" s="383">
        <v>2</v>
      </c>
      <c r="AC19" s="383">
        <v>3</v>
      </c>
      <c r="AD19" s="383">
        <v>4</v>
      </c>
      <c r="AE19" s="383">
        <v>5</v>
      </c>
      <c r="AF19" s="383">
        <v>6</v>
      </c>
      <c r="AG19" s="383">
        <v>7</v>
      </c>
      <c r="AH19" s="383">
        <v>8</v>
      </c>
      <c r="AI19" s="383">
        <v>9</v>
      </c>
      <c r="AJ19" s="383">
        <v>10</v>
      </c>
      <c r="AK19" s="383">
        <v>11</v>
      </c>
      <c r="AL19" s="383">
        <v>12</v>
      </c>
      <c r="AM19" s="383">
        <v>13</v>
      </c>
      <c r="AN19" s="383">
        <v>14</v>
      </c>
      <c r="AO19" s="383">
        <v>15</v>
      </c>
      <c r="AP19" s="383">
        <v>16</v>
      </c>
    </row>
    <row r="20" spans="2:51" ht="14.25" customHeight="1" x14ac:dyDescent="0.35">
      <c r="F20" s="590" t="s">
        <v>295</v>
      </c>
      <c r="G20" s="51">
        <v>53</v>
      </c>
      <c r="H20" s="50"/>
      <c r="I20" s="50"/>
      <c r="J20" s="50"/>
      <c r="K20" s="50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53">
        <v>53</v>
      </c>
      <c r="Y20" s="20"/>
      <c r="Z20" s="51">
        <v>53</v>
      </c>
      <c r="AA20" s="50"/>
      <c r="AB20" s="50"/>
      <c r="AC20" s="50"/>
      <c r="AD20" s="50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53">
        <v>53</v>
      </c>
      <c r="AR20" s="590" t="s">
        <v>295</v>
      </c>
      <c r="AS20" s="49"/>
      <c r="AT20" s="49"/>
      <c r="AU20" s="49"/>
      <c r="AV20" s="49"/>
      <c r="AW20" s="49"/>
      <c r="AX20" s="49"/>
      <c r="AY20" s="49"/>
    </row>
    <row r="21" spans="2:51" ht="15" thickBot="1" x14ac:dyDescent="0.4">
      <c r="F21" s="590"/>
      <c r="G21" s="51">
        <v>52</v>
      </c>
      <c r="H21" s="50"/>
      <c r="I21" s="50"/>
      <c r="J21" s="50"/>
      <c r="K21" s="50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53">
        <v>52</v>
      </c>
      <c r="Y21" s="20"/>
      <c r="Z21" s="51">
        <v>52</v>
      </c>
      <c r="AA21" s="50"/>
      <c r="AB21" s="50"/>
      <c r="AC21" s="50"/>
      <c r="AD21" s="50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53">
        <v>52</v>
      </c>
      <c r="AR21" s="590"/>
      <c r="AS21" s="49"/>
      <c r="AT21" s="49"/>
      <c r="AU21" s="49"/>
      <c r="AV21" s="49"/>
      <c r="AW21" s="49"/>
      <c r="AX21" s="49"/>
      <c r="AY21" s="49"/>
    </row>
    <row r="22" spans="2:51" ht="13.5" customHeight="1" thickBot="1" x14ac:dyDescent="0.4">
      <c r="B22" s="327" t="s">
        <v>130</v>
      </c>
      <c r="C22" s="328"/>
      <c r="D22" s="328"/>
      <c r="E22" s="329"/>
      <c r="F22" s="590"/>
      <c r="G22" s="51">
        <v>51</v>
      </c>
      <c r="H22" s="472"/>
      <c r="I22" s="472"/>
      <c r="J22" s="472"/>
      <c r="K22" s="472"/>
      <c r="L22" s="472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53">
        <v>51</v>
      </c>
      <c r="Y22" s="20"/>
      <c r="Z22" s="51">
        <v>51</v>
      </c>
      <c r="AA22" s="472"/>
      <c r="AB22" s="472"/>
      <c r="AC22" s="472"/>
      <c r="AD22" s="472"/>
      <c r="AE22" s="472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53">
        <v>51</v>
      </c>
      <c r="AR22" s="590"/>
      <c r="AS22" s="49"/>
      <c r="AT22" s="49"/>
      <c r="AU22" s="49"/>
      <c r="AV22" s="49"/>
      <c r="AW22" s="49"/>
      <c r="AX22" s="49"/>
      <c r="AY22" s="49"/>
    </row>
    <row r="23" spans="2:51" ht="16" thickBot="1" x14ac:dyDescent="0.4">
      <c r="B23" s="330" t="s">
        <v>126</v>
      </c>
      <c r="C23" s="331" t="s">
        <v>127</v>
      </c>
      <c r="D23" s="331" t="s">
        <v>114</v>
      </c>
      <c r="E23" s="332" t="s">
        <v>11</v>
      </c>
      <c r="F23" s="590"/>
      <c r="G23" s="475">
        <v>50</v>
      </c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7">
        <v>50</v>
      </c>
      <c r="Y23" s="20"/>
      <c r="Z23" s="475">
        <v>50</v>
      </c>
      <c r="AA23" s="476"/>
      <c r="AB23" s="476"/>
      <c r="AC23" s="476"/>
      <c r="AD23" s="476"/>
      <c r="AE23" s="476"/>
      <c r="AF23" s="476"/>
      <c r="AG23" s="476"/>
      <c r="AH23" s="476"/>
      <c r="AI23" s="479"/>
      <c r="AJ23" s="479"/>
      <c r="AK23" s="479"/>
      <c r="AL23" s="479"/>
      <c r="AM23" s="479"/>
      <c r="AN23" s="479"/>
      <c r="AO23" s="479"/>
      <c r="AP23" s="479"/>
      <c r="AQ23" s="481">
        <v>50</v>
      </c>
      <c r="AR23" s="590"/>
      <c r="AS23" s="49"/>
      <c r="AT23" s="49"/>
      <c r="AU23" s="49"/>
      <c r="AV23" s="49"/>
      <c r="AW23" s="49"/>
      <c r="AX23" s="49"/>
      <c r="AY23" s="49"/>
    </row>
    <row r="24" spans="2:51" x14ac:dyDescent="0.35">
      <c r="B24" s="333">
        <v>6.4814814814814811E-2</v>
      </c>
      <c r="C24" s="334">
        <v>8.3522297808012097E-2</v>
      </c>
      <c r="D24" s="335">
        <f>C24-B24</f>
        <v>1.8707482993197286E-2</v>
      </c>
      <c r="E24" s="336">
        <f>1/D24</f>
        <v>53.454545454545432</v>
      </c>
      <c r="F24" s="590"/>
      <c r="G24" s="51">
        <v>49</v>
      </c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51">
        <v>49</v>
      </c>
      <c r="Y24" s="20"/>
      <c r="Z24" s="51">
        <v>49</v>
      </c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51">
        <v>49</v>
      </c>
      <c r="AR24" s="590"/>
      <c r="AS24" s="49"/>
      <c r="AT24" s="49"/>
      <c r="AU24" s="49"/>
      <c r="AV24" s="49"/>
      <c r="AW24" s="49"/>
      <c r="AX24" s="49"/>
      <c r="AY24" s="49"/>
    </row>
    <row r="25" spans="2:51" ht="15" thickBot="1" x14ac:dyDescent="0.4">
      <c r="B25" s="391" t="s">
        <v>170</v>
      </c>
      <c r="C25" s="341">
        <f>B24*E24</f>
        <v>3.4646464646464632</v>
      </c>
      <c r="D25" s="337">
        <f>D24*E24</f>
        <v>1</v>
      </c>
      <c r="E25" s="338">
        <f>(1-C24)*E24</f>
        <v>48.989898989898968</v>
      </c>
      <c r="F25" s="590"/>
      <c r="G25" s="51">
        <v>48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>
        <v>48</v>
      </c>
      <c r="Y25" s="20"/>
      <c r="Z25" s="51">
        <v>48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1">
        <v>48</v>
      </c>
      <c r="AR25" s="590"/>
      <c r="AS25" s="49"/>
      <c r="AT25" s="49"/>
      <c r="AU25" s="49"/>
      <c r="AV25" s="49"/>
      <c r="AW25" s="49"/>
      <c r="AX25" s="49"/>
      <c r="AY25" s="49"/>
    </row>
    <row r="26" spans="2:51" x14ac:dyDescent="0.35">
      <c r="F26" s="590"/>
      <c r="G26" s="51">
        <v>47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>
        <v>47</v>
      </c>
      <c r="Y26" s="20"/>
      <c r="Z26" s="51">
        <v>47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>
        <v>47</v>
      </c>
      <c r="AR26" s="590"/>
      <c r="AS26" s="49"/>
      <c r="AT26" s="49"/>
      <c r="AU26" s="49"/>
      <c r="AV26" s="49"/>
      <c r="AW26" s="49"/>
      <c r="AX26" s="49"/>
      <c r="AY26" s="49"/>
    </row>
    <row r="27" spans="2:51" x14ac:dyDescent="0.35">
      <c r="G27" s="51">
        <v>46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>
        <v>46</v>
      </c>
      <c r="Y27" s="52"/>
      <c r="Z27" s="51">
        <v>46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1">
        <v>46</v>
      </c>
      <c r="AR27" s="49"/>
      <c r="AS27" s="49"/>
      <c r="AT27" s="49"/>
      <c r="AU27" s="49"/>
      <c r="AV27" s="49"/>
      <c r="AW27" s="49"/>
      <c r="AX27" s="49"/>
      <c r="AY27" s="49"/>
    </row>
    <row r="28" spans="2:51" x14ac:dyDescent="0.35">
      <c r="G28" s="51">
        <v>45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>
        <v>45</v>
      </c>
      <c r="Y28" s="52"/>
      <c r="Z28" s="51">
        <v>45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>
        <v>45</v>
      </c>
      <c r="AR28" s="49"/>
      <c r="AS28" s="49"/>
      <c r="AT28" s="49"/>
      <c r="AU28" s="49"/>
      <c r="AV28" s="49"/>
      <c r="AW28" s="49"/>
      <c r="AX28" s="49"/>
      <c r="AY28" s="49"/>
    </row>
    <row r="29" spans="2:51" x14ac:dyDescent="0.35">
      <c r="G29" s="51">
        <v>44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>
        <v>44</v>
      </c>
      <c r="Z29" s="51">
        <v>44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1">
        <v>44</v>
      </c>
    </row>
    <row r="30" spans="2:51" x14ac:dyDescent="0.35">
      <c r="G30" s="51">
        <v>43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>
        <v>43</v>
      </c>
      <c r="Z30" s="51">
        <v>43</v>
      </c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>
        <v>43</v>
      </c>
    </row>
    <row r="31" spans="2:51" x14ac:dyDescent="0.35">
      <c r="G31" s="51">
        <v>42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>
        <v>42</v>
      </c>
      <c r="Z31" s="51">
        <v>42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1">
        <v>42</v>
      </c>
    </row>
    <row r="32" spans="2:51" x14ac:dyDescent="0.35">
      <c r="G32" s="51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>
        <v>41</v>
      </c>
      <c r="Z32" s="51">
        <v>41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1">
        <v>41</v>
      </c>
    </row>
    <row r="33" spans="7:43" x14ac:dyDescent="0.35">
      <c r="G33" s="51">
        <v>40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>
        <v>40</v>
      </c>
      <c r="Z33" s="51">
        <v>40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>
        <v>40</v>
      </c>
    </row>
    <row r="34" spans="7:43" x14ac:dyDescent="0.35">
      <c r="G34" s="51">
        <v>39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>
        <v>39</v>
      </c>
      <c r="Z34" s="51">
        <v>39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>
        <v>39</v>
      </c>
    </row>
    <row r="35" spans="7:43" x14ac:dyDescent="0.35">
      <c r="G35" s="51">
        <v>38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>
        <v>38</v>
      </c>
      <c r="Z35" s="51">
        <v>38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1">
        <v>38</v>
      </c>
    </row>
    <row r="36" spans="7:43" x14ac:dyDescent="0.35">
      <c r="G36" s="51">
        <v>37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>
        <v>37</v>
      </c>
      <c r="Z36" s="51">
        <v>37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>
        <v>37</v>
      </c>
    </row>
    <row r="37" spans="7:43" x14ac:dyDescent="0.35">
      <c r="G37" s="51">
        <v>36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>
        <v>36</v>
      </c>
      <c r="Z37" s="51">
        <v>36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>
        <v>36</v>
      </c>
    </row>
    <row r="38" spans="7:43" x14ac:dyDescent="0.35">
      <c r="G38" s="51">
        <v>35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>
        <v>35</v>
      </c>
      <c r="Z38" s="51">
        <v>35</v>
      </c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>
        <v>35</v>
      </c>
    </row>
    <row r="39" spans="7:43" x14ac:dyDescent="0.35">
      <c r="G39" s="51">
        <v>34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>
        <v>34</v>
      </c>
      <c r="Z39" s="51">
        <v>34</v>
      </c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>
        <v>34</v>
      </c>
    </row>
    <row r="40" spans="7:43" x14ac:dyDescent="0.35">
      <c r="G40" s="51">
        <v>33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>
        <v>33</v>
      </c>
      <c r="Z40" s="51">
        <v>33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1">
        <v>33</v>
      </c>
    </row>
    <row r="41" spans="7:43" x14ac:dyDescent="0.35">
      <c r="G41" s="51">
        <v>32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>
        <v>32</v>
      </c>
      <c r="Z41" s="51">
        <v>32</v>
      </c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1">
        <v>32</v>
      </c>
    </row>
    <row r="42" spans="7:43" x14ac:dyDescent="0.35">
      <c r="G42" s="51">
        <v>31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>
        <v>31</v>
      </c>
      <c r="Z42" s="51">
        <v>31</v>
      </c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1">
        <v>31</v>
      </c>
    </row>
    <row r="43" spans="7:43" x14ac:dyDescent="0.35">
      <c r="G43" s="51">
        <v>30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>
        <v>30</v>
      </c>
      <c r="Z43" s="51">
        <v>30</v>
      </c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1">
        <v>30</v>
      </c>
    </row>
    <row r="44" spans="7:43" x14ac:dyDescent="0.35">
      <c r="G44" s="51">
        <v>29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>
        <v>29</v>
      </c>
      <c r="Z44" s="51">
        <v>29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1">
        <v>29</v>
      </c>
    </row>
    <row r="45" spans="7:43" x14ac:dyDescent="0.35">
      <c r="G45" s="51">
        <v>28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>
        <v>28</v>
      </c>
      <c r="Z45" s="51">
        <v>28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1">
        <v>28</v>
      </c>
    </row>
    <row r="46" spans="7:43" x14ac:dyDescent="0.35">
      <c r="G46" s="51">
        <v>27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>
        <v>27</v>
      </c>
      <c r="Z46" s="51">
        <v>27</v>
      </c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>
        <v>27</v>
      </c>
    </row>
    <row r="47" spans="7:43" x14ac:dyDescent="0.35">
      <c r="G47" s="51">
        <v>26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>
        <v>26</v>
      </c>
      <c r="Z47" s="51">
        <v>26</v>
      </c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1">
        <v>26</v>
      </c>
    </row>
    <row r="48" spans="7:43" x14ac:dyDescent="0.35">
      <c r="G48" s="51">
        <v>25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>
        <v>25</v>
      </c>
      <c r="Z48" s="51">
        <v>25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1">
        <v>25</v>
      </c>
    </row>
    <row r="49" spans="7:43" x14ac:dyDescent="0.35">
      <c r="G49" s="51">
        <v>24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>
        <v>24</v>
      </c>
      <c r="Z49" s="51">
        <v>24</v>
      </c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1">
        <v>24</v>
      </c>
    </row>
    <row r="50" spans="7:43" x14ac:dyDescent="0.35">
      <c r="G50" s="51">
        <v>23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>
        <v>23</v>
      </c>
      <c r="Z50" s="51">
        <v>23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1">
        <v>23</v>
      </c>
    </row>
    <row r="51" spans="7:43" x14ac:dyDescent="0.35">
      <c r="G51" s="51">
        <v>22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>
        <v>22</v>
      </c>
      <c r="Z51" s="51">
        <v>22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>
        <v>22</v>
      </c>
    </row>
    <row r="52" spans="7:43" x14ac:dyDescent="0.35">
      <c r="G52" s="51">
        <v>21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>
        <v>21</v>
      </c>
      <c r="Z52" s="51">
        <v>21</v>
      </c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1">
        <v>21</v>
      </c>
    </row>
    <row r="53" spans="7:43" x14ac:dyDescent="0.35">
      <c r="G53" s="51">
        <v>20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>
        <v>20</v>
      </c>
      <c r="Z53" s="51">
        <v>20</v>
      </c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1">
        <v>20</v>
      </c>
    </row>
    <row r="54" spans="7:43" x14ac:dyDescent="0.35">
      <c r="G54" s="51">
        <v>19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>
        <v>19</v>
      </c>
      <c r="Z54" s="51">
        <v>19</v>
      </c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1">
        <v>19</v>
      </c>
    </row>
    <row r="55" spans="7:43" x14ac:dyDescent="0.35">
      <c r="G55" s="51">
        <v>18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>
        <v>18</v>
      </c>
      <c r="Z55" s="51">
        <v>18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>
        <v>18</v>
      </c>
    </row>
    <row r="56" spans="7:43" x14ac:dyDescent="0.35">
      <c r="G56" s="51">
        <v>17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>
        <v>17</v>
      </c>
      <c r="Z56" s="51">
        <v>17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1">
        <v>17</v>
      </c>
    </row>
    <row r="57" spans="7:43" x14ac:dyDescent="0.35">
      <c r="G57" s="51">
        <v>16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>
        <v>16</v>
      </c>
      <c r="Z57" s="51">
        <v>16</v>
      </c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1">
        <v>16</v>
      </c>
    </row>
    <row r="58" spans="7:43" x14ac:dyDescent="0.35">
      <c r="G58" s="51">
        <v>15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>
        <v>15</v>
      </c>
      <c r="Z58" s="51">
        <v>15</v>
      </c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1">
        <v>15</v>
      </c>
    </row>
    <row r="59" spans="7:43" x14ac:dyDescent="0.35">
      <c r="G59" s="51">
        <v>14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>
        <v>14</v>
      </c>
      <c r="Z59" s="51">
        <v>14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1">
        <v>14</v>
      </c>
    </row>
    <row r="60" spans="7:43" x14ac:dyDescent="0.35">
      <c r="G60" s="51">
        <v>13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1">
        <v>13</v>
      </c>
      <c r="Z60" s="51">
        <v>13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1">
        <v>13</v>
      </c>
    </row>
    <row r="61" spans="7:43" x14ac:dyDescent="0.35">
      <c r="G61" s="51">
        <v>12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>
        <v>12</v>
      </c>
      <c r="Z61" s="51">
        <v>12</v>
      </c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1">
        <v>12</v>
      </c>
    </row>
    <row r="62" spans="7:43" x14ac:dyDescent="0.35">
      <c r="G62" s="51">
        <v>11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1">
        <v>11</v>
      </c>
      <c r="Z62" s="51">
        <v>11</v>
      </c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1">
        <v>11</v>
      </c>
    </row>
    <row r="63" spans="7:43" x14ac:dyDescent="0.35">
      <c r="G63" s="51">
        <v>10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1">
        <v>10</v>
      </c>
      <c r="Z63" s="51">
        <v>10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>
        <v>10</v>
      </c>
    </row>
    <row r="64" spans="7:43" x14ac:dyDescent="0.35">
      <c r="G64" s="51">
        <v>9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1">
        <v>9</v>
      </c>
      <c r="Z64" s="51">
        <v>9</v>
      </c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1">
        <v>9</v>
      </c>
    </row>
    <row r="65" spans="7:43" x14ac:dyDescent="0.35">
      <c r="G65" s="51">
        <v>8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1">
        <v>8</v>
      </c>
      <c r="Z65" s="51">
        <v>8</v>
      </c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1">
        <v>8</v>
      </c>
    </row>
    <row r="66" spans="7:43" x14ac:dyDescent="0.35">
      <c r="G66" s="51">
        <v>7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1">
        <v>7</v>
      </c>
      <c r="Z66" s="51">
        <v>7</v>
      </c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1">
        <v>7</v>
      </c>
    </row>
    <row r="67" spans="7:43" x14ac:dyDescent="0.35">
      <c r="G67" s="51">
        <v>6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1">
        <v>6</v>
      </c>
      <c r="Z67" s="51">
        <v>6</v>
      </c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1">
        <v>6</v>
      </c>
    </row>
    <row r="68" spans="7:43" x14ac:dyDescent="0.35">
      <c r="G68" s="51">
        <v>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1">
        <v>5</v>
      </c>
      <c r="Z68" s="51">
        <v>5</v>
      </c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1">
        <v>5</v>
      </c>
    </row>
    <row r="69" spans="7:43" x14ac:dyDescent="0.35">
      <c r="G69" s="51">
        <v>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1">
        <v>4</v>
      </c>
      <c r="Z69" s="51">
        <v>4</v>
      </c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1">
        <v>4</v>
      </c>
    </row>
    <row r="70" spans="7:43" x14ac:dyDescent="0.35">
      <c r="G70" s="51">
        <v>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1">
        <v>3</v>
      </c>
      <c r="Z70" s="51">
        <v>3</v>
      </c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>
        <v>3</v>
      </c>
    </row>
    <row r="71" spans="7:43" x14ac:dyDescent="0.35">
      <c r="G71" s="51">
        <v>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1">
        <v>2</v>
      </c>
      <c r="Z71" s="51">
        <v>2</v>
      </c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1">
        <v>2</v>
      </c>
    </row>
    <row r="72" spans="7:43" x14ac:dyDescent="0.35">
      <c r="G72" s="51">
        <v>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1">
        <v>1</v>
      </c>
      <c r="Z72" s="51">
        <v>1</v>
      </c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1">
        <v>1</v>
      </c>
    </row>
    <row r="73" spans="7:43" x14ac:dyDescent="0.35">
      <c r="H73" s="383">
        <v>1</v>
      </c>
      <c r="I73" s="383">
        <v>2</v>
      </c>
      <c r="J73" s="383">
        <v>3</v>
      </c>
      <c r="K73" s="383">
        <v>4</v>
      </c>
      <c r="L73" s="383">
        <v>5</v>
      </c>
      <c r="M73" s="383">
        <v>6</v>
      </c>
      <c r="N73" s="383">
        <v>7</v>
      </c>
      <c r="O73" s="383">
        <v>8</v>
      </c>
      <c r="P73" s="383">
        <v>9</v>
      </c>
      <c r="Q73" s="383">
        <v>10</v>
      </c>
      <c r="R73" s="383">
        <v>11</v>
      </c>
      <c r="S73" s="383">
        <v>12</v>
      </c>
      <c r="T73" s="383">
        <v>13</v>
      </c>
      <c r="U73" s="383">
        <v>14</v>
      </c>
      <c r="V73" s="383">
        <v>15</v>
      </c>
      <c r="W73" s="383">
        <v>16</v>
      </c>
      <c r="X73" s="384"/>
      <c r="Y73" s="384"/>
      <c r="Z73" s="384"/>
      <c r="AA73" s="383">
        <v>1</v>
      </c>
      <c r="AB73" s="383">
        <v>2</v>
      </c>
      <c r="AC73" s="383">
        <v>3</v>
      </c>
      <c r="AD73" s="383">
        <v>4</v>
      </c>
      <c r="AE73" s="383">
        <v>5</v>
      </c>
      <c r="AF73" s="383">
        <v>6</v>
      </c>
      <c r="AG73" s="383">
        <v>7</v>
      </c>
      <c r="AH73" s="383">
        <v>8</v>
      </c>
      <c r="AI73" s="383">
        <v>9</v>
      </c>
      <c r="AJ73" s="383">
        <v>10</v>
      </c>
      <c r="AK73" s="383">
        <v>11</v>
      </c>
      <c r="AL73" s="383">
        <v>12</v>
      </c>
      <c r="AM73" s="383">
        <v>13</v>
      </c>
      <c r="AN73" s="383">
        <v>14</v>
      </c>
      <c r="AO73" s="383">
        <v>15</v>
      </c>
      <c r="AP73" s="383">
        <v>16</v>
      </c>
    </row>
    <row r="74" spans="7:43" x14ac:dyDescent="0.35">
      <c r="H74" s="48" t="s">
        <v>296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AA74" s="48" t="s">
        <v>296</v>
      </c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7:43" x14ac:dyDescent="0.35">
      <c r="H75" s="48" t="s">
        <v>302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7"/>
      <c r="X75" s="47"/>
      <c r="Y75" s="47"/>
      <c r="Z75" s="47"/>
      <c r="AA75" s="48" t="s">
        <v>13</v>
      </c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7"/>
    </row>
    <row r="76" spans="7:43" x14ac:dyDescent="0.35"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</sheetData>
  <mergeCells count="6">
    <mergeCell ref="B4:AR4"/>
    <mergeCell ref="F20:F26"/>
    <mergeCell ref="AR20:AR26"/>
    <mergeCell ref="E9:E10"/>
    <mergeCell ref="D10:D11"/>
    <mergeCell ref="G15:O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IncAcum</vt:lpstr>
      <vt:lpstr>Gr1.1 InsCar, 3x3</vt:lpstr>
      <vt:lpstr>Gr1.2 MortCV InsCar, 3x3</vt:lpstr>
      <vt:lpstr>Gr1.3 MorCV IM Ict,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2023-04-21T16:42:13Z</dcterms:modified>
</cp:coreProperties>
</file>