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oa\Desktop\20211922-CheckMate 649\"/>
    </mc:Choice>
  </mc:AlternateContent>
  <xr:revisionPtr revIDLastSave="0" documentId="13_ncr:1_{5DDB66B8-1561-4EA3-8713-EB265DD53E76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Baseline ChM 649" sheetId="1" r:id="rId1"/>
  </sheets>
  <definedNames>
    <definedName name="ArticleComments" localSheetId="0">'Baseline ChM 649'!#REF!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F61" i="1"/>
  <c r="E61" i="1"/>
  <c r="G58" i="1"/>
  <c r="F58" i="1"/>
  <c r="E58" i="1"/>
  <c r="D58" i="1"/>
  <c r="C58" i="1"/>
  <c r="N57" i="1"/>
  <c r="N56" i="1"/>
  <c r="N55" i="1"/>
  <c r="E7" i="1"/>
  <c r="F9" i="1"/>
  <c r="D9" i="1"/>
  <c r="E8" i="1"/>
  <c r="AC5" i="1" l="1"/>
  <c r="AD5" i="1" s="1"/>
  <c r="Y5" i="1"/>
  <c r="AE3" i="1"/>
  <c r="AD3" i="1" l="1"/>
  <c r="U3" i="1" l="1"/>
  <c r="W3" i="1" s="1"/>
  <c r="X3" i="1" l="1"/>
  <c r="X4" i="1" s="1"/>
  <c r="Y4" i="1" s="1"/>
  <c r="P7" i="1"/>
  <c r="O7" i="1"/>
  <c r="Q7" i="1" s="1"/>
  <c r="S9" i="1" s="1"/>
  <c r="T60" i="1" s="1"/>
  <c r="Y6" i="1" l="1"/>
  <c r="G14" i="1" l="1"/>
  <c r="B23" i="1" l="1"/>
  <c r="D56" i="1"/>
  <c r="B53" i="1"/>
  <c r="E41" i="1"/>
  <c r="E40" i="1"/>
  <c r="I23" i="1"/>
  <c r="I22" i="1"/>
  <c r="C22" i="1"/>
  <c r="B22" i="1"/>
  <c r="I21" i="1"/>
  <c r="C21" i="1"/>
  <c r="D14" i="1"/>
  <c r="C23" i="1"/>
  <c r="B14" i="1"/>
  <c r="E54" i="1"/>
  <c r="E9" i="1"/>
  <c r="B21" i="1"/>
  <c r="C56" i="1"/>
  <c r="G21" i="1" l="1"/>
  <c r="E21" i="1"/>
  <c r="G23" i="1"/>
  <c r="E22" i="1"/>
  <c r="E23" i="1"/>
  <c r="G22" i="1"/>
  <c r="D21" i="1"/>
  <c r="J21" i="1" s="1"/>
  <c r="K55" i="1" s="1"/>
  <c r="C62" i="1" s="1"/>
  <c r="D40" i="1"/>
  <c r="C14" i="1"/>
  <c r="E14" i="1" s="1"/>
  <c r="H14" i="1" s="1"/>
  <c r="L14" i="1" s="1"/>
  <c r="K14" i="1"/>
  <c r="N21" i="1"/>
  <c r="E42" i="1"/>
  <c r="D22" i="1"/>
  <c r="F22" i="1" s="1"/>
  <c r="N23" i="1"/>
  <c r="D23" i="1"/>
  <c r="C41" i="1"/>
  <c r="C46" i="1" s="1"/>
  <c r="C40" i="1"/>
  <c r="F21" i="1" l="1"/>
  <c r="L21" i="1" s="1"/>
  <c r="M55" i="1" s="1"/>
  <c r="D41" i="1"/>
  <c r="D46" i="1" s="1"/>
  <c r="F14" i="1"/>
  <c r="I14" i="1" s="1"/>
  <c r="E56" i="1" s="1"/>
  <c r="E55" i="1"/>
  <c r="W21" i="1"/>
  <c r="J26" i="1"/>
  <c r="N22" i="1" s="1"/>
  <c r="N24" i="1" s="1"/>
  <c r="N25" i="1" s="1"/>
  <c r="N26" i="1" s="1"/>
  <c r="J22" i="1"/>
  <c r="K56" i="1" s="1"/>
  <c r="D62" i="1" s="1"/>
  <c r="K22" i="1"/>
  <c r="L22" i="1"/>
  <c r="Q28" i="1"/>
  <c r="F23" i="1"/>
  <c r="W22" i="1"/>
  <c r="J23" i="1"/>
  <c r="K57" i="1" s="1"/>
  <c r="D45" i="1"/>
  <c r="C42" i="1"/>
  <c r="C45" i="1"/>
  <c r="K41" i="1"/>
  <c r="I40" i="1" s="1"/>
  <c r="K21" i="1" l="1"/>
  <c r="L55" i="1" s="1"/>
  <c r="D42" i="1"/>
  <c r="W23" i="1"/>
  <c r="W24" i="1" s="1"/>
  <c r="W25" i="1" s="1"/>
  <c r="M14" i="1"/>
  <c r="E62" i="1"/>
  <c r="N31" i="1"/>
  <c r="N32" i="1" s="1"/>
  <c r="H56" i="1" s="1"/>
  <c r="H58" i="1" s="1"/>
  <c r="H62" i="1" s="1"/>
  <c r="F54" i="1"/>
  <c r="J27" i="1"/>
  <c r="G54" i="1" s="1"/>
  <c r="L56" i="1"/>
  <c r="K26" i="1"/>
  <c r="M56" i="1"/>
  <c r="C48" i="1"/>
  <c r="G46" i="1" s="1"/>
  <c r="K23" i="1"/>
  <c r="L57" i="1" s="1"/>
  <c r="L23" i="1"/>
  <c r="M57" i="1" s="1"/>
  <c r="L26" i="1" l="1"/>
  <c r="F55" i="1" s="1"/>
  <c r="N33" i="1"/>
  <c r="J29" i="1"/>
  <c r="J34" i="1"/>
  <c r="J36" i="1"/>
  <c r="J31" i="1"/>
  <c r="J37" i="1"/>
  <c r="J35" i="1"/>
  <c r="J32" i="1"/>
  <c r="J30" i="1"/>
  <c r="K27" i="1"/>
  <c r="G56" i="1" s="1"/>
  <c r="F56" i="1"/>
  <c r="C49" i="1"/>
  <c r="J62" i="1" s="1"/>
  <c r="L62" i="1" l="1"/>
  <c r="M62" i="1"/>
  <c r="L27" i="1"/>
  <c r="G55" i="1" s="1"/>
  <c r="K29" i="1"/>
  <c r="L34" i="1"/>
  <c r="L35" i="1"/>
  <c r="K30" i="1"/>
  <c r="K31" i="1"/>
  <c r="L36" i="1"/>
  <c r="L37" i="1"/>
  <c r="K32" i="1"/>
  <c r="F62" i="1"/>
  <c r="L30" i="1" l="1"/>
  <c r="L31" i="1"/>
  <c r="K36" i="1"/>
  <c r="L29" i="1"/>
  <c r="L32" i="1"/>
  <c r="K37" i="1"/>
  <c r="K34" i="1"/>
  <c r="K35" i="1"/>
  <c r="G62" i="1"/>
</calcChain>
</file>

<file path=xl/sharedStrings.xml><?xml version="1.0" encoding="utf-8"?>
<sst xmlns="http://schemas.openxmlformats.org/spreadsheetml/2006/main" count="381" uniqueCount="348">
  <si>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</si>
  <si>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</si>
  <si>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</si>
  <si>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</si>
  <si>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</si>
  <si>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</si>
  <si>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</si>
  <si>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</si>
  <si>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</si>
  <si>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</si>
  <si>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</si>
  <si>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</si>
  <si>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</si>
  <si>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</si>
  <si>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</si>
  <si>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</si>
  <si>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</si>
  <si>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</si>
  <si>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</si>
  <si>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</si>
  <si>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</si>
  <si>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</si>
  <si>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</si>
  <si>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</si>
  <si>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</si>
  <si>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</si>
  <si>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</si>
  <si>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</si>
  <si>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</si>
  <si>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</si>
  <si>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</si>
  <si>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</si>
  <si>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</si>
  <si>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</si>
  <si>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</si>
  <si>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</si>
  <si>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</si>
  <si>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</si>
  <si>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</si>
  <si>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</si>
  <si>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</si>
  <si>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</si>
  <si>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</si>
  <si>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</si>
  <si>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</si>
  <si>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</si>
  <si>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</si>
  <si>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</si>
  <si>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</si>
  <si>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</si>
  <si>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</si>
  <si>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</si>
  <si>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</si>
  <si>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>APLICAR SÓLO SI EL NNT Y SUS IC SON POSITIVOS</t>
  </si>
  <si>
    <t>APLICAR SÓLO SI EL NNT Y SUS IC SON NEGATIVOS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</si>
  <si>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</si>
  <si>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</si>
  <si>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</si>
  <si>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</si>
  <si>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</si>
  <si>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</si>
  <si>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</si>
  <si>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</si>
  <si>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</si>
  <si>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</si>
  <si>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</si>
  <si>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</si>
  <si>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</si>
  <si>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</si>
  <si>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</si>
  <si>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</si>
  <si>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</si>
  <si>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Intervención</t>
  </si>
  <si>
    <t>Control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</si>
  <si>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</si>
  <si>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</si>
  <si>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</si>
  <si>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</si>
  <si>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</si>
  <si>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</si>
  <si>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</si>
  <si>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</si>
  <si>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</si>
  <si>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</si>
  <si>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</si>
  <si>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</si>
  <si>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</si>
  <si>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</si>
  <si>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</si>
  <si>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</si>
  <si>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</si>
  <si>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</si>
  <si>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</si>
  <si>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</si>
  <si>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</si>
  <si>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</si>
  <si>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</si>
  <si>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</si>
  <si>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</si>
  <si>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</si>
  <si>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</si>
  <si>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</si>
  <si>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</si>
  <si>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</si>
  <si>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</si>
  <si>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</si>
  <si>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</si>
  <si>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</si>
  <si>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</si>
  <si>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</si>
  <si>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</si>
  <si>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>Cálculo por incidencias acumuladas de RR, RAR, NNT con sus IC 95%, potencia estadística y valor de</t>
    </r>
    <r>
      <rPr>
        <b/>
        <i/>
        <sz val="12"/>
        <rFont val="Calibri"/>
        <family val="2"/>
        <scheme val="minor"/>
      </rPr>
      <t xml:space="preserve"> p</t>
    </r>
  </si>
  <si>
    <t>UCI</t>
  </si>
  <si>
    <t>Días</t>
  </si>
  <si>
    <t>UI/día</t>
  </si>
  <si>
    <t>Hab Extª</t>
  </si>
  <si>
    <t>Muertos COVI Extª</t>
  </si>
  <si>
    <r>
      <t xml:space="preserve">Método de Katz: 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</si>
  <si>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Janjigian YY, Shitara K, Moehler M, et al. First-line nivolumab plus chemotherapy versus chemotherapy alone for advanced gastric, gastro-oesophageal junction, and oesophageal adenocarcinoma (CheckMate 649): a randomised, open-label, phase 3 trial. Lancet. 2021 Jul 3;398(10294):27-40.</t>
  </si>
  <si>
    <t>Nivolumab + QMT, n= 789</t>
  </si>
  <si>
    <t>QMT; n= 792</t>
  </si>
  <si>
    <t>valor de p para la diferencia</t>
  </si>
  <si>
    <t>Nivolumab + QMT, n= 473</t>
  </si>
  <si>
    <t>QMT; n= 482</t>
  </si>
  <si>
    <t>Años de edad, mediana [IQR: rango intercuartílico]</t>
  </si>
  <si>
    <t>62 [IQR, 54 a 69]</t>
  </si>
  <si>
    <t>61 [IQR, 53 a 68]</t>
  </si>
  <si>
    <t>Con &lt; 65 años de edad</t>
  </si>
  <si>
    <t>266/473 (56,24%)</t>
  </si>
  <si>
    <t>286/482 (59,34%)</t>
  </si>
  <si>
    <t>Con ≥ 65 años de edad</t>
  </si>
  <si>
    <t>207/473 (43,76%)</t>
  </si>
  <si>
    <t>196/482 (40,66%)</t>
  </si>
  <si>
    <t>Sexo</t>
  </si>
  <si>
    <t>Varones</t>
  </si>
  <si>
    <t>331/473 (69,98%)</t>
  </si>
  <si>
    <t>349/482 (72,41%)</t>
  </si>
  <si>
    <t>142/473 (30,02%)</t>
  </si>
  <si>
    <t>133/482 (27,59%)</t>
  </si>
  <si>
    <t>Raza o grupo étnico</t>
  </si>
  <si>
    <t>Blanca</t>
  </si>
  <si>
    <t>328/473 (69,34%)</t>
  </si>
  <si>
    <t>327/482 (67,84%)</t>
  </si>
  <si>
    <t>Negra o Afroamericana</t>
  </si>
  <si>
    <t>2/473 (0,42%)</t>
  </si>
  <si>
    <t>7/482 (1,45%)</t>
  </si>
  <si>
    <t>Asíatica</t>
  </si>
  <si>
    <t>119/473 (25,16%)</t>
  </si>
  <si>
    <t>117/482 (24,27%)</t>
  </si>
  <si>
    <t>Indios americanos o Nativos de Alaska</t>
  </si>
  <si>
    <t>10/473 (2,11%)</t>
  </si>
  <si>
    <t>10/482 (2,07%)</t>
  </si>
  <si>
    <t>Otros</t>
  </si>
  <si>
    <t>14/473 (2,96%)</t>
  </si>
  <si>
    <t>21/482 (4,36%)</t>
  </si>
  <si>
    <t>Región</t>
  </si>
  <si>
    <t>Asia</t>
  </si>
  <si>
    <t>117/473 (24,74%)</t>
  </si>
  <si>
    <t>111/482 (23,03%)</t>
  </si>
  <si>
    <t>USA y Canadá</t>
  </si>
  <si>
    <t>67/473 (14,16%)</t>
  </si>
  <si>
    <t>70/482 (14,52%)</t>
  </si>
  <si>
    <t>Resto del mundo</t>
  </si>
  <si>
    <t>289/473 (61,1%)</t>
  </si>
  <si>
    <t>301/482 (62,45%)</t>
  </si>
  <si>
    <t>Estatus en la escala funcional ECOG</t>
  </si>
  <si>
    <t xml:space="preserve">       0</t>
  </si>
  <si>
    <t>194/473 (41,01%)</t>
  </si>
  <si>
    <t>203/482 (42,12%)</t>
  </si>
  <si>
    <t xml:space="preserve">       1</t>
  </si>
  <si>
    <t>279/473 (58,99%)</t>
  </si>
  <si>
    <t>278/482 (57,68%)</t>
  </si>
  <si>
    <t xml:space="preserve">       2</t>
  </si>
  <si>
    <t>0/473 (0%)</t>
  </si>
  <si>
    <t>0/482 (0%)</t>
  </si>
  <si>
    <t>------</t>
  </si>
  <si>
    <t>Localización del tumor primario en el diagnóstico inicial</t>
  </si>
  <si>
    <t>Cáncer gástrico</t>
  </si>
  <si>
    <t>333/473 (70,4%)</t>
  </si>
  <si>
    <t>334/482 (69,29%)</t>
  </si>
  <si>
    <t>84/473 (17,76%)</t>
  </si>
  <si>
    <t>86/482 (17,84%)</t>
  </si>
  <si>
    <t>Adenocarcinoma esofágico</t>
  </si>
  <si>
    <t>56/473 (11,84%)</t>
  </si>
  <si>
    <t>62/482 (12,86%)</t>
  </si>
  <si>
    <t>Expresión del ligando PD-L1 en las células tumorales</t>
  </si>
  <si>
    <t xml:space="preserve">      &lt;1%</t>
  </si>
  <si>
    <t>363/473 (76,74%)</t>
  </si>
  <si>
    <t>362/482 (75,1%)</t>
  </si>
  <si>
    <r>
      <t xml:space="preserve">     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1%</t>
    </r>
  </si>
  <si>
    <t>110/473 (23,26%)</t>
  </si>
  <si>
    <t>120/482 (24,9%)</t>
  </si>
  <si>
    <t>Cirugía previa</t>
  </si>
  <si>
    <t xml:space="preserve">      Sí</t>
  </si>
  <si>
    <t>97/473 (20,51%)</t>
  </si>
  <si>
    <t>105/482 (21,78%)</t>
  </si>
  <si>
    <t xml:space="preserve">      No</t>
  </si>
  <si>
    <t>376/473 (79,49%)</t>
  </si>
  <si>
    <t>377/482 (78,22%)</t>
  </si>
  <si>
    <t>Estadio de la enfermedad</t>
  </si>
  <si>
    <t>Metastático</t>
  </si>
  <si>
    <t>454/473 (95,98%)</t>
  </si>
  <si>
    <t>461/482 (95,64%)</t>
  </si>
  <si>
    <t>Localmente avanzado</t>
  </si>
  <si>
    <t>16/473 (3,38%)</t>
  </si>
  <si>
    <t>20/482 (4,15%)</t>
  </si>
  <si>
    <t>Localmente recurrente</t>
  </si>
  <si>
    <t>3/473 (0,63%)</t>
  </si>
  <si>
    <t>1/482 (0,21%)</t>
  </si>
  <si>
    <t>Órganos con metástasis</t>
  </si>
  <si>
    <t>98/473 (20,72%)</t>
  </si>
  <si>
    <t>361/473 (76,32%)</t>
  </si>
  <si>
    <t>Sitio de las metastasis</t>
  </si>
  <si>
    <t>Hïgado</t>
  </si>
  <si>
    <t>191/473 (40,38%)</t>
  </si>
  <si>
    <t>217/482 (45,02%)</t>
  </si>
  <si>
    <t>Peritoneo</t>
  </si>
  <si>
    <t>101/473 (21,35%)</t>
  </si>
  <si>
    <t>96/482 (19,92%)</t>
  </si>
  <si>
    <t>Sistema Nervioso Central</t>
  </si>
  <si>
    <t>1/473 (0,21%)</t>
  </si>
  <si>
    <t>Carcinoma de células en anillo de sello</t>
  </si>
  <si>
    <t>72/473 (15,22%)</t>
  </si>
  <si>
    <t>69/482 (14,32%)</t>
  </si>
  <si>
    <t>401/473 (84,78%)</t>
  </si>
  <si>
    <t>413/482 (85,68%)</t>
  </si>
  <si>
    <t>Clasficiación de Lauren</t>
  </si>
  <si>
    <t>Tipo intestinal</t>
  </si>
  <si>
    <t>171/473 (36,15%)</t>
  </si>
  <si>
    <t>176/482 (36,51%)</t>
  </si>
  <si>
    <t>Tipo difuso</t>
  </si>
  <si>
    <t>137/473 (28,96%)</t>
  </si>
  <si>
    <t>141/482 (29,25%)</t>
  </si>
  <si>
    <t>Mixto</t>
  </si>
  <si>
    <t>37/473 (7,82%)</t>
  </si>
  <si>
    <t>30/482 (6,22%)</t>
  </si>
  <si>
    <t>Desconocido</t>
  </si>
  <si>
    <t>128/473 (27,06%)</t>
  </si>
  <si>
    <t>135/482 (28,01%)</t>
  </si>
  <si>
    <t>Estatus de inestabilidad microsatelital</t>
  </si>
  <si>
    <t>Estabilidad de microsatélites</t>
  </si>
  <si>
    <t>423/473 (89,43%)</t>
  </si>
  <si>
    <t>423/482 (87,76%)</t>
  </si>
  <si>
    <t>Alta inestabilidad de microsatélites (MSI-H)</t>
  </si>
  <si>
    <t>18/473 (3,81%)</t>
  </si>
  <si>
    <t>16/482 (3,32%)</t>
  </si>
  <si>
    <t>No informado o inválido</t>
  </si>
  <si>
    <t>32/473 (6,77%)</t>
  </si>
  <si>
    <t>43/482 (8,92%)</t>
  </si>
  <si>
    <t>Regímenes de quimioterapia (QMT) pacientes con al menos 1 dosis</t>
  </si>
  <si>
    <t>FOXFOX</t>
  </si>
  <si>
    <t>XELOX</t>
  </si>
  <si>
    <t>237/468 (50,64%)</t>
  </si>
  <si>
    <t>231/468 (49,36%)</t>
  </si>
  <si>
    <t>242/465 (52,04%)</t>
  </si>
  <si>
    <t>223/465 (47,96%)</t>
  </si>
  <si>
    <t>422/782 (53,96%)</t>
  </si>
  <si>
    <t>406/767 (52,93%)</t>
  </si>
  <si>
    <t>360/782 (46,04%)</t>
  </si>
  <si>
    <t>361/767 (47,07%)</t>
  </si>
  <si>
    <t>301/789 (38,15%)</t>
  </si>
  <si>
    <t>334/792 (42,17%)</t>
  </si>
  <si>
    <t>188/789 (23,83%)</t>
  </si>
  <si>
    <t>188/792 (23,74%)</t>
  </si>
  <si>
    <t>1/789 (0,13%)</t>
  </si>
  <si>
    <t>0/792 (0%)</t>
  </si>
  <si>
    <t>145/789 (18,38%)</t>
  </si>
  <si>
    <t>136/792 (17,17%)</t>
  </si>
  <si>
    <t>644/789 (81,62%)</t>
  </si>
  <si>
    <t>656/792 (82,83%)</t>
  </si>
  <si>
    <t>272/789 (34,47%)</t>
  </si>
  <si>
    <t>267/792 (33,71%)</t>
  </si>
  <si>
    <t>254/789 (32,19%)</t>
  </si>
  <si>
    <t>273/792 (34,47%)</t>
  </si>
  <si>
    <t>58/789 (7,35%)</t>
  </si>
  <si>
    <t>48/792 (6,06%)</t>
  </si>
  <si>
    <t>205/789 (25,98%)</t>
  </si>
  <si>
    <t>204/792 (25,76%)</t>
  </si>
  <si>
    <t>695/789 (88,09%)</t>
  </si>
  <si>
    <t>682/792 (86,11%)</t>
  </si>
  <si>
    <t>23/789 (2,92%)</t>
  </si>
  <si>
    <t>21/792 (2,65%)</t>
  </si>
  <si>
    <t>71/789 (9%)</t>
  </si>
  <si>
    <t>89/792 (11,24%)</t>
  </si>
  <si>
    <t>663/789 (84,03%)</t>
  </si>
  <si>
    <t>664/792 (83,84%)</t>
  </si>
  <si>
    <t>126/789 (15,97%)</t>
  </si>
  <si>
    <t>127/792 (16,04%)</t>
  </si>
  <si>
    <t>160/789 (20,28%)</t>
  </si>
  <si>
    <t>176/792 (22,22%)</t>
  </si>
  <si>
    <t>629/789 (79,72%)</t>
  </si>
  <si>
    <t>616/792 (77,78%)</t>
  </si>
  <si>
    <t>757/789 (95,94%)</t>
  </si>
  <si>
    <t>756/792 (95,45%)</t>
  </si>
  <si>
    <t>27/789 (3,42%)</t>
  </si>
  <si>
    <t>34/792 (4,29%)</t>
  </si>
  <si>
    <t>5/789 (0,63%)</t>
  </si>
  <si>
    <t>2/792 (0,25%)</t>
  </si>
  <si>
    <t>164/789 (20,79%)</t>
  </si>
  <si>
    <t>183/792 (23,11%)</t>
  </si>
  <si>
    <t>602/789 (76,3%)</t>
  </si>
  <si>
    <t>583/792 (73,61%)</t>
  </si>
  <si>
    <t>178/789 (22,56%)</t>
  </si>
  <si>
    <t>178/792 (22,47%)</t>
  </si>
  <si>
    <t>131/789 (16,6%)</t>
  </si>
  <si>
    <t>132/792 (16,67%)</t>
  </si>
  <si>
    <t>480/789 (60,84%)</t>
  </si>
  <si>
    <t>482/792 (60,86%)</t>
  </si>
  <si>
    <t>326/789 (41,32%)</t>
  </si>
  <si>
    <t>336/792 (42,42%)</t>
  </si>
  <si>
    <t>462/789 (58,56%)</t>
  </si>
  <si>
    <t>452/792 (57,07%)</t>
  </si>
  <si>
    <t>3/792 (0,38%)</t>
  </si>
  <si>
    <t>554/789 (70,22%)</t>
  </si>
  <si>
    <t>556/792 (70,2%)</t>
  </si>
  <si>
    <t>132/789 (16,73%)</t>
  </si>
  <si>
    <t>128/792 (16,16%)</t>
  </si>
  <si>
    <t>103/789 (13,05%)</t>
  </si>
  <si>
    <t>108/792 (13,64%)</t>
  </si>
  <si>
    <t>63 [IQR, 54 a 69]</t>
  </si>
  <si>
    <t>62 [IQR, 54 a 68]</t>
  </si>
  <si>
    <t>473/789 (59,95%)</t>
  </si>
  <si>
    <t>488/792 (61,62%)</t>
  </si>
  <si>
    <t>316/789 (40,05%)</t>
  </si>
  <si>
    <t>304/792 (38,38%)</t>
  </si>
  <si>
    <t>540/789 (68,44%)</t>
  </si>
  <si>
    <t>560/792 (70,71%)</t>
  </si>
  <si>
    <t>249/789 (31,56%)</t>
  </si>
  <si>
    <t>232/792 (29,29%)</t>
  </si>
  <si>
    <t>186/789 (23,57%)</t>
  </si>
  <si>
    <t>189/792 (23,86%)</t>
  </si>
  <si>
    <t>556/789 (70,47%)</t>
  </si>
  <si>
    <t>541/792 (68,31%)</t>
  </si>
  <si>
    <t>12/789 (1,52%)</t>
  </si>
  <si>
    <t>14/792 (1,77%)</t>
  </si>
  <si>
    <t>7/789 (0,89%)</t>
  </si>
  <si>
    <t>1/792 (0,13%)</t>
  </si>
  <si>
    <t>28/789 (3,55%)</t>
  </si>
  <si>
    <t>36/792 (4,55%)</t>
  </si>
  <si>
    <t>Cáncer de la unión gastro-esofágica</t>
  </si>
  <si>
    <r>
      <rPr>
        <b/>
        <sz val="12"/>
        <color indexed="60"/>
        <rFont val="Calibri"/>
        <family val="2"/>
      </rPr>
      <t>Suplemento 1:</t>
    </r>
    <r>
      <rPr>
        <b/>
        <sz val="12"/>
        <color indexed="8"/>
        <rFont val="Calibri"/>
        <family val="2"/>
      </rPr>
      <t xml:space="preserve"> Características sociodemográficas y clínicas en el inicio, de pacientes con Adenocarcinoma avanzado de estómago, de unión gastroesofágica y de esófago (ECA CkeckMate 649)</t>
    </r>
  </si>
  <si>
    <t>Las variables dicotómicas se informan en Nº (%, porcentaje)</t>
  </si>
  <si>
    <t xml:space="preserve">      uno</t>
  </si>
  <si>
    <t xml:space="preserve">      dos o más</t>
  </si>
  <si>
    <t>20210604-ECA ChM 649 12m, CáGástr ó Esóf-ava QMT [Nivol vs no] +OS PFS. Janjigian</t>
  </si>
  <si>
    <t>Subgrupo puntuación combinada de PDL-1 (PDL-1 "CPS") ≥ 5</t>
  </si>
  <si>
    <t>Cohorte completa, puntuación combinada de PDL-1 (PDL-1 "CPS") de 0 a ≥ 5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</si>
  <si>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estatus ECOG:</t>
    </r>
    <r>
      <rPr>
        <sz val="10"/>
        <rFont val="Calibri"/>
        <family val="2"/>
      </rPr>
      <t xml:space="preserve"> puntuación de mejor (0) a peor (5) la escala funcional del Eastern Cooperative Oncology Group (Grupo de Oncología Cooperativo del Este, de EE.UU); IQR: rango intercuartílico, valor de la variable que tiene el participante situado en el percentil 25 y el situado en el percentil 75; </t>
    </r>
    <r>
      <rPr>
        <i/>
        <sz val="10"/>
        <rFont val="Calibri"/>
        <family val="2"/>
      </rPr>
      <t>PDL-1 "CPS"</t>
    </r>
    <r>
      <rPr>
        <sz val="10"/>
        <rFont val="Calibri"/>
        <family val="2"/>
      </rPr>
      <t xml:space="preserve"> (combined positive score): puntuación positiva combinada de PD-L1; </t>
    </r>
    <r>
      <rPr>
        <b/>
        <sz val="10"/>
        <rFont val="Calibri"/>
        <family val="2"/>
      </rPr>
      <t>PD-L1:</t>
    </r>
    <r>
      <rPr>
        <sz val="10"/>
        <rFont val="Calibri"/>
        <family val="2"/>
      </rPr>
      <t xml:space="preserve"> ligando que se expresa en la superficie de la célula tumoral para neutralizar la molécula de muerte programada PD-1 de los linfocitos T que fueron previamente activados contra esa célula tumoral; </t>
    </r>
    <r>
      <rPr>
        <b/>
        <sz val="10"/>
        <rFont val="Calibri"/>
        <family val="2"/>
      </rPr>
      <t>QMT:</t>
    </r>
    <r>
      <rPr>
        <sz val="10"/>
        <rFont val="Calibri"/>
        <family val="2"/>
      </rPr>
      <t xml:space="preserve"> quimioterapia; </t>
    </r>
    <r>
      <rPr>
        <b/>
        <sz val="10"/>
        <rFont val="Calibri"/>
        <family val="2"/>
      </rPr>
      <t>FOLFOX:</t>
    </r>
    <r>
      <rPr>
        <sz val="10"/>
        <rFont val="Calibri"/>
        <family val="2"/>
      </rPr>
      <t xml:space="preserve"> leucovorin, fluorouracilo y oxaliplatino; </t>
    </r>
    <r>
      <rPr>
        <b/>
        <sz val="10"/>
        <rFont val="Calibri"/>
        <family val="2"/>
      </rPr>
      <t>XELOX:</t>
    </r>
    <r>
      <rPr>
        <sz val="10"/>
        <rFont val="Calibri"/>
        <family val="2"/>
      </rPr>
      <t xml:space="preserve"> capecitabina y oxaliplatino.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</si>
</sst>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  <numFmt numFmtId="178" formatCode="0.000%"/>
    <numFmt numFmtId="179" formatCode="0.0000%"/>
    <numFmt numFmtId="180" formatCode="0.00000%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5">
    <xf numFmtId="0" fontId="0" fillId="0" borderId="0" xfId="0"/>
    <xf numFmtId="2" fontId="14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/>
    <xf numFmtId="10" fontId="14" fillId="0" borderId="0" xfId="2" applyNumberFormat="1" applyFont="1" applyBorder="1" applyAlignment="1">
      <alignment horizontal="center"/>
    </xf>
    <xf numFmtId="10" fontId="15" fillId="0" borderId="0" xfId="2" applyNumberFormat="1" applyFont="1" applyBorder="1" applyAlignment="1">
      <alignment horizontal="center"/>
    </xf>
    <xf numFmtId="0" fontId="16" fillId="0" borderId="0" xfId="0" applyFont="1" applyFill="1" applyBorder="1" applyAlignment="1">
      <alignment vertical="distributed"/>
    </xf>
    <xf numFmtId="0" fontId="14" fillId="0" borderId="0" xfId="0" applyFont="1" applyFill="1" applyAlignment="1">
      <alignment horizontal="center"/>
    </xf>
    <xf numFmtId="10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Border="1" applyAlignment="1">
      <alignment horizontal="center"/>
    </xf>
    <xf numFmtId="164" fontId="14" fillId="0" borderId="0" xfId="1" applyFont="1" applyFill="1" applyAlignment="1">
      <alignment horizontal="center"/>
    </xf>
    <xf numFmtId="164" fontId="14" fillId="0" borderId="0" xfId="0" applyNumberFormat="1" applyFont="1"/>
    <xf numFmtId="164" fontId="17" fillId="0" borderId="0" xfId="1" applyFont="1" applyFill="1" applyBorder="1" applyAlignment="1">
      <alignment horizontal="center"/>
    </xf>
    <xf numFmtId="164" fontId="14" fillId="0" borderId="0" xfId="1" applyFont="1" applyFill="1"/>
    <xf numFmtId="0" fontId="18" fillId="0" borderId="0" xfId="0" applyFont="1" applyFill="1"/>
    <xf numFmtId="0" fontId="14" fillId="0" borderId="0" xfId="0" applyFont="1" applyBorder="1"/>
    <xf numFmtId="164" fontId="14" fillId="0" borderId="0" xfId="1" applyFont="1" applyFill="1" applyBorder="1"/>
    <xf numFmtId="0" fontId="14" fillId="0" borderId="0" xfId="0" applyFont="1" applyBorder="1" applyAlignment="1">
      <alignment horizontal="right"/>
    </xf>
    <xf numFmtId="10" fontId="14" fillId="0" borderId="0" xfId="2" applyNumberFormat="1" applyFont="1" applyFill="1"/>
    <xf numFmtId="10" fontId="14" fillId="0" borderId="0" xfId="0" applyNumberFormat="1" applyFont="1" applyFill="1"/>
    <xf numFmtId="0" fontId="22" fillId="0" borderId="0" xfId="0" applyFont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/>
    <xf numFmtId="10" fontId="14" fillId="0" borderId="0" xfId="2" applyNumberFormat="1" applyFont="1" applyFill="1" applyBorder="1" applyAlignment="1">
      <alignment horizontal="center"/>
    </xf>
    <xf numFmtId="164" fontId="20" fillId="0" borderId="0" xfId="1" applyFont="1" applyFill="1" applyBorder="1"/>
    <xf numFmtId="0" fontId="19" fillId="0" borderId="0" xfId="0" applyFont="1" applyFill="1" applyAlignment="1">
      <alignment horizontal="center"/>
    </xf>
    <xf numFmtId="164" fontId="20" fillId="0" borderId="0" xfId="1" applyFont="1" applyFill="1" applyAlignment="1">
      <alignment horizontal="right"/>
    </xf>
    <xf numFmtId="0" fontId="20" fillId="0" borderId="0" xfId="0" applyFont="1" applyFill="1" applyBorder="1"/>
    <xf numFmtId="164" fontId="14" fillId="0" borderId="0" xfId="0" applyNumberFormat="1" applyFont="1" applyFill="1"/>
    <xf numFmtId="172" fontId="14" fillId="0" borderId="0" xfId="0" applyNumberFormat="1" applyFont="1" applyFill="1" applyBorder="1"/>
    <xf numFmtId="0" fontId="19" fillId="0" borderId="0" xfId="0" applyFont="1" applyBorder="1"/>
    <xf numFmtId="0" fontId="19" fillId="0" borderId="0" xfId="0" applyFont="1" applyFill="1" applyBorder="1" applyAlignment="1">
      <alignment horizontal="left"/>
    </xf>
    <xf numFmtId="164" fontId="14" fillId="0" borderId="0" xfId="1" applyFont="1" applyFill="1" applyBorder="1" applyAlignment="1">
      <alignment horizontal="center"/>
    </xf>
    <xf numFmtId="170" fontId="14" fillId="0" borderId="0" xfId="1" applyNumberFormat="1" applyFont="1" applyFill="1" applyBorder="1" applyAlignment="1">
      <alignment horizontal="center"/>
    </xf>
    <xf numFmtId="164" fontId="19" fillId="0" borderId="0" xfId="1" applyFont="1" applyFill="1" applyBorder="1" applyAlignment="1"/>
    <xf numFmtId="0" fontId="14" fillId="0" borderId="0" xfId="0" applyFont="1" applyFill="1" applyBorder="1" applyAlignment="1">
      <alignment horizontal="left"/>
    </xf>
    <xf numFmtId="170" fontId="14" fillId="0" borderId="0" xfId="0" applyNumberFormat="1" applyFont="1" applyBorder="1"/>
    <xf numFmtId="0" fontId="26" fillId="0" borderId="0" xfId="0" applyFont="1" applyBorder="1"/>
    <xf numFmtId="49" fontId="27" fillId="0" borderId="0" xfId="0" applyNumberFormat="1" applyFont="1"/>
    <xf numFmtId="10" fontId="14" fillId="0" borderId="0" xfId="0" applyNumberFormat="1" applyFont="1"/>
    <xf numFmtId="10" fontId="14" fillId="0" borderId="0" xfId="0" applyNumberFormat="1" applyFont="1" applyFill="1" applyBorder="1"/>
    <xf numFmtId="10" fontId="23" fillId="0" borderId="0" xfId="2" applyNumberFormat="1" applyFont="1" applyFill="1" applyBorder="1" applyAlignment="1">
      <alignment horizontal="center"/>
    </xf>
    <xf numFmtId="165" fontId="23" fillId="0" borderId="0" xfId="1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49" fontId="14" fillId="0" borderId="0" xfId="0" applyNumberFormat="1" applyFont="1" applyFill="1" applyBorder="1"/>
    <xf numFmtId="165" fontId="19" fillId="0" borderId="0" xfId="0" applyNumberFormat="1" applyFont="1" applyFill="1" applyBorder="1"/>
    <xf numFmtId="165" fontId="19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/>
    <xf numFmtId="49" fontId="15" fillId="0" borderId="0" xfId="0" applyNumberFormat="1" applyFont="1"/>
    <xf numFmtId="0" fontId="29" fillId="0" borderId="0" xfId="0" applyFont="1" applyFill="1" applyBorder="1"/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5" fillId="0" borderId="2" xfId="1" applyNumberFormat="1" applyFont="1" applyFill="1" applyBorder="1"/>
    <xf numFmtId="165" fontId="16" fillId="0" borderId="2" xfId="1" applyNumberFormat="1" applyFont="1" applyFill="1" applyBorder="1"/>
    <xf numFmtId="165" fontId="15" fillId="0" borderId="0" xfId="1" applyNumberFormat="1" applyFont="1" applyFill="1" applyBorder="1"/>
    <xf numFmtId="165" fontId="16" fillId="0" borderId="0" xfId="1" applyNumberFormat="1" applyFont="1" applyFill="1" applyBorder="1"/>
    <xf numFmtId="164" fontId="30" fillId="0" borderId="2" xfId="1" applyFont="1" applyBorder="1"/>
    <xf numFmtId="0" fontId="16" fillId="0" borderId="0" xfId="0" applyFont="1" applyBorder="1" applyAlignment="1">
      <alignment horizontal="right"/>
    </xf>
    <xf numFmtId="164" fontId="14" fillId="0" borderId="0" xfId="1" applyFont="1" applyBorder="1"/>
    <xf numFmtId="0" fontId="19" fillId="0" borderId="0" xfId="0" applyFont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/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/>
    <xf numFmtId="0" fontId="14" fillId="0" borderId="0" xfId="0" applyFont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2" fontId="14" fillId="0" borderId="2" xfId="1" applyNumberFormat="1" applyFont="1" applyBorder="1" applyAlignment="1">
      <alignment horizontal="center" vertical="center" wrapText="1"/>
    </xf>
    <xf numFmtId="2" fontId="14" fillId="0" borderId="2" xfId="1" applyNumberFormat="1" applyFont="1" applyFill="1" applyBorder="1" applyAlignment="1">
      <alignment horizontal="center" vertical="center" wrapText="1"/>
    </xf>
    <xf numFmtId="2" fontId="14" fillId="0" borderId="4" xfId="1" applyNumberFormat="1" applyFont="1" applyFill="1" applyBorder="1" applyAlignment="1">
      <alignment horizontal="center" vertical="center" wrapText="1"/>
    </xf>
    <xf numFmtId="0" fontId="14" fillId="0" borderId="10" xfId="0" applyFont="1" applyBorder="1"/>
    <xf numFmtId="0" fontId="14" fillId="0" borderId="10" xfId="0" applyFont="1" applyFill="1" applyBorder="1"/>
    <xf numFmtId="0" fontId="14" fillId="0" borderId="18" xfId="0" applyFont="1" applyFill="1" applyBorder="1"/>
    <xf numFmtId="0" fontId="19" fillId="0" borderId="0" xfId="0" applyFont="1" applyBorder="1" applyAlignment="1">
      <alignment horizontal="left" vertical="center"/>
    </xf>
    <xf numFmtId="165" fontId="19" fillId="0" borderId="0" xfId="1" applyNumberFormat="1" applyFont="1" applyFill="1" applyBorder="1" applyAlignment="1"/>
    <xf numFmtId="165" fontId="35" fillId="0" borderId="0" xfId="1" applyNumberFormat="1" applyFont="1" applyFill="1" applyBorder="1" applyAlignment="1"/>
    <xf numFmtId="165" fontId="33" fillId="0" borderId="0" xfId="0" applyNumberFormat="1" applyFont="1" applyFill="1" applyBorder="1" applyAlignment="1">
      <alignment horizontal="left"/>
    </xf>
    <xf numFmtId="2" fontId="14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7" fillId="0" borderId="0" xfId="0" applyFont="1" applyBorder="1" applyAlignment="1">
      <alignment vertical="distributed"/>
    </xf>
    <xf numFmtId="0" fontId="14" fillId="0" borderId="2" xfId="0" applyFont="1" applyBorder="1" applyAlignment="1">
      <alignment horizontal="center" vertical="center"/>
    </xf>
    <xf numFmtId="9" fontId="14" fillId="10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166" fontId="14" fillId="0" borderId="0" xfId="0" applyNumberFormat="1" applyFont="1" applyBorder="1" applyAlignment="1">
      <alignment horizontal="left" vertical="center"/>
    </xf>
    <xf numFmtId="172" fontId="19" fillId="0" borderId="12" xfId="1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7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7" xfId="0" applyFont="1" applyBorder="1"/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" xfId="0" applyFont="1" applyBorder="1" applyAlignment="1">
      <alignment horizontal="right"/>
    </xf>
    <xf numFmtId="165" fontId="14" fillId="9" borderId="2" xfId="0" applyNumberFormat="1" applyFont="1" applyFill="1" applyBorder="1" applyAlignment="1">
      <alignment vertical="center"/>
    </xf>
    <xf numFmtId="165" fontId="14" fillId="0" borderId="2" xfId="0" applyNumberFormat="1" applyFont="1" applyBorder="1" applyAlignment="1">
      <alignment vertical="center"/>
    </xf>
    <xf numFmtId="165" fontId="14" fillId="9" borderId="2" xfId="1" applyNumberFormat="1" applyFont="1" applyFill="1" applyBorder="1" applyAlignment="1">
      <alignment vertical="center"/>
    </xf>
    <xf numFmtId="164" fontId="14" fillId="0" borderId="0" xfId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right"/>
    </xf>
    <xf numFmtId="165" fontId="19" fillId="0" borderId="7" xfId="0" applyNumberFormat="1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0" fontId="14" fillId="0" borderId="0" xfId="2" applyNumberFormat="1" applyFont="1" applyFill="1" applyBorder="1" applyAlignment="1">
      <alignment horizontal="center" vertical="center" wrapText="1"/>
    </xf>
    <xf numFmtId="164" fontId="19" fillId="0" borderId="3" xfId="1" applyFont="1" applyFill="1" applyBorder="1" applyAlignment="1">
      <alignment horizontal="center" vertical="center" wrapText="1"/>
    </xf>
    <xf numFmtId="164" fontId="19" fillId="0" borderId="3" xfId="1" applyFont="1" applyBorder="1" applyAlignment="1">
      <alignment horizontal="center" vertical="center" wrapText="1"/>
    </xf>
    <xf numFmtId="177" fontId="14" fillId="0" borderId="2" xfId="1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 wrapText="1"/>
    </xf>
    <xf numFmtId="168" fontId="19" fillId="0" borderId="2" xfId="2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169" fontId="14" fillId="0" borderId="0" xfId="1" applyNumberFormat="1" applyFont="1" applyFill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73" fontId="14" fillId="0" borderId="0" xfId="0" applyNumberFormat="1" applyFont="1" applyFill="1" applyAlignment="1">
      <alignment horizontal="center" vertical="center" wrapText="1"/>
    </xf>
    <xf numFmtId="164" fontId="14" fillId="0" borderId="0" xfId="1" applyFont="1" applyBorder="1" applyAlignment="1">
      <alignment horizontal="center"/>
    </xf>
    <xf numFmtId="170" fontId="14" fillId="0" borderId="0" xfId="1" applyNumberFormat="1" applyFont="1" applyBorder="1" applyAlignment="1">
      <alignment horizontal="center"/>
    </xf>
    <xf numFmtId="10" fontId="19" fillId="0" borderId="0" xfId="2" applyNumberFormat="1" applyFont="1" applyFill="1" applyBorder="1" applyAlignment="1"/>
    <xf numFmtId="0" fontId="28" fillId="0" borderId="0" xfId="0" applyFont="1"/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wrapText="1"/>
    </xf>
    <xf numFmtId="164" fontId="24" fillId="0" borderId="10" xfId="1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170" fontId="14" fillId="0" borderId="10" xfId="1" applyNumberFormat="1" applyFont="1" applyFill="1" applyBorder="1" applyAlignment="1">
      <alignment horizontal="center"/>
    </xf>
    <xf numFmtId="164" fontId="14" fillId="0" borderId="10" xfId="1" applyFont="1" applyFill="1" applyBorder="1" applyAlignment="1">
      <alignment horizontal="center"/>
    </xf>
    <xf numFmtId="164" fontId="19" fillId="0" borderId="10" xfId="1" applyFont="1" applyFill="1" applyBorder="1" applyAlignment="1"/>
    <xf numFmtId="164" fontId="19" fillId="0" borderId="17" xfId="1" applyFont="1" applyFill="1" applyBorder="1" applyAlignment="1"/>
    <xf numFmtId="0" fontId="14" fillId="0" borderId="12" xfId="0" applyFont="1" applyFill="1" applyBorder="1"/>
    <xf numFmtId="165" fontId="19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10" fontId="19" fillId="0" borderId="2" xfId="2" applyNumberFormat="1" applyFont="1" applyBorder="1" applyAlignment="1">
      <alignment horizontal="center"/>
    </xf>
    <xf numFmtId="164" fontId="19" fillId="0" borderId="2" xfId="1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0" fontId="19" fillId="13" borderId="2" xfId="2" applyNumberFormat="1" applyFont="1" applyFill="1" applyBorder="1" applyAlignment="1"/>
    <xf numFmtId="1" fontId="14" fillId="0" borderId="9" xfId="0" applyNumberFormat="1" applyFont="1" applyFill="1" applyBorder="1" applyAlignment="1">
      <alignment horizontal="center" vertical="center" wrapText="1"/>
    </xf>
    <xf numFmtId="164" fontId="19" fillId="0" borderId="18" xfId="1" applyFont="1" applyFill="1" applyBorder="1" applyAlignment="1"/>
    <xf numFmtId="10" fontId="14" fillId="0" borderId="9" xfId="2" applyNumberFormat="1" applyFont="1" applyFill="1" applyBorder="1"/>
    <xf numFmtId="0" fontId="14" fillId="0" borderId="18" xfId="0" applyFont="1" applyBorder="1"/>
    <xf numFmtId="2" fontId="14" fillId="0" borderId="9" xfId="1" applyNumberFormat="1" applyFont="1" applyFill="1" applyBorder="1" applyAlignment="1">
      <alignment horizontal="center" vertical="center" wrapText="1"/>
    </xf>
    <xf numFmtId="174" fontId="14" fillId="0" borderId="9" xfId="0" applyNumberFormat="1" applyFont="1" applyBorder="1"/>
    <xf numFmtId="168" fontId="14" fillId="0" borderId="9" xfId="2" applyNumberFormat="1" applyFont="1" applyFill="1" applyBorder="1" applyAlignment="1">
      <alignment horizontal="center" vertical="center" wrapText="1"/>
    </xf>
    <xf numFmtId="166" fontId="19" fillId="0" borderId="9" xfId="1" applyNumberFormat="1" applyFont="1" applyFill="1" applyBorder="1"/>
    <xf numFmtId="0" fontId="19" fillId="0" borderId="0" xfId="0" applyFont="1" applyAlignment="1">
      <alignment horizontal="left"/>
    </xf>
    <xf numFmtId="175" fontId="14" fillId="0" borderId="9" xfId="0" applyNumberFormat="1" applyFont="1" applyFill="1" applyBorder="1" applyAlignment="1">
      <alignment horizontal="center" vertical="center" wrapText="1"/>
    </xf>
    <xf numFmtId="167" fontId="14" fillId="2" borderId="9" xfId="1" applyNumberFormat="1" applyFont="1" applyFill="1" applyBorder="1"/>
    <xf numFmtId="168" fontId="14" fillId="0" borderId="0" xfId="2" applyNumberFormat="1" applyFont="1" applyAlignment="1">
      <alignment horizontal="center" vertical="center" wrapText="1"/>
    </xf>
    <xf numFmtId="10" fontId="14" fillId="11" borderId="9" xfId="2" applyNumberFormat="1" applyFont="1" applyFill="1" applyBorder="1" applyAlignment="1">
      <alignment horizontal="center" vertical="center" wrapText="1"/>
    </xf>
    <xf numFmtId="10" fontId="25" fillId="0" borderId="9" xfId="0" applyNumberFormat="1" applyFont="1" applyBorder="1"/>
    <xf numFmtId="10" fontId="14" fillId="2" borderId="2" xfId="2" applyNumberFormat="1" applyFont="1" applyFill="1" applyBorder="1" applyAlignment="1">
      <alignment horizontal="center"/>
    </xf>
    <xf numFmtId="10" fontId="14" fillId="4" borderId="2" xfId="2" applyNumberFormat="1" applyFont="1" applyFill="1" applyBorder="1" applyAlignment="1">
      <alignment horizontal="center"/>
    </xf>
    <xf numFmtId="10" fontId="14" fillId="3" borderId="2" xfId="2" applyNumberFormat="1" applyFont="1" applyFill="1" applyBorder="1" applyAlignment="1">
      <alignment horizontal="center"/>
    </xf>
    <xf numFmtId="10" fontId="14" fillId="0" borderId="7" xfId="2" applyNumberFormat="1" applyFont="1" applyBorder="1" applyAlignment="1">
      <alignment horizontal="center" vertical="center" wrapText="1"/>
    </xf>
    <xf numFmtId="0" fontId="26" fillId="0" borderId="8" xfId="0" applyFont="1" applyBorder="1"/>
    <xf numFmtId="0" fontId="14" fillId="0" borderId="8" xfId="0" applyFont="1" applyBorder="1"/>
    <xf numFmtId="171" fontId="14" fillId="0" borderId="8" xfId="0" applyNumberFormat="1" applyFont="1" applyBorder="1"/>
    <xf numFmtId="0" fontId="14" fillId="0" borderId="19" xfId="0" applyFont="1" applyBorder="1"/>
    <xf numFmtId="0" fontId="14" fillId="0" borderId="7" xfId="0" applyFont="1" applyFill="1" applyBorder="1"/>
    <xf numFmtId="0" fontId="14" fillId="0" borderId="8" xfId="0" applyFont="1" applyFill="1" applyBorder="1"/>
    <xf numFmtId="0" fontId="14" fillId="0" borderId="19" xfId="0" applyFont="1" applyFill="1" applyBorder="1"/>
    <xf numFmtId="1" fontId="14" fillId="2" borderId="2" xfId="0" applyNumberFormat="1" applyFont="1" applyFill="1" applyBorder="1" applyAlignment="1">
      <alignment horizontal="center"/>
    </xf>
    <xf numFmtId="1" fontId="14" fillId="4" borderId="2" xfId="0" applyNumberFormat="1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1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4" fillId="0" borderId="10" xfId="0" applyFont="1" applyFill="1" applyBorder="1" applyAlignment="1">
      <alignment horizontal="right"/>
    </xf>
    <xf numFmtId="176" fontId="14" fillId="0" borderId="10" xfId="1" applyNumberFormat="1" applyFont="1" applyBorder="1" applyAlignment="1">
      <alignment horizontal="center" vertical="center"/>
    </xf>
    <xf numFmtId="2" fontId="14" fillId="0" borderId="10" xfId="0" applyNumberFormat="1" applyFont="1" applyBorder="1"/>
    <xf numFmtId="10" fontId="23" fillId="0" borderId="0" xfId="2" applyNumberFormat="1" applyFont="1" applyFill="1" applyBorder="1" applyAlignment="1">
      <alignment horizontal="right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right"/>
    </xf>
    <xf numFmtId="49" fontId="38" fillId="0" borderId="0" xfId="1" applyNumberFormat="1" applyFont="1" applyBorder="1" applyAlignment="1">
      <alignment horizontal="right"/>
    </xf>
    <xf numFmtId="1" fontId="38" fillId="0" borderId="0" xfId="0" applyNumberFormat="1" applyFont="1" applyFill="1" applyBorder="1" applyAlignment="1">
      <alignment horizontal="center"/>
    </xf>
    <xf numFmtId="164" fontId="19" fillId="0" borderId="9" xfId="1" applyFont="1" applyFill="1" applyBorder="1" applyAlignment="1">
      <alignment horizontal="center" vertical="center" wrapText="1"/>
    </xf>
    <xf numFmtId="0" fontId="17" fillId="0" borderId="0" xfId="0" applyFont="1" applyFill="1" applyBorder="1"/>
    <xf numFmtId="164" fontId="14" fillId="0" borderId="0" xfId="1" applyFont="1" applyFill="1" applyBorder="1" applyAlignment="1"/>
    <xf numFmtId="0" fontId="37" fillId="5" borderId="0" xfId="0" applyFont="1" applyFill="1" applyBorder="1" applyAlignment="1">
      <alignment horizontal="center" vertical="center" wrapText="1"/>
    </xf>
    <xf numFmtId="0" fontId="37" fillId="5" borderId="0" xfId="0" applyFont="1" applyFill="1" applyBorder="1"/>
    <xf numFmtId="0" fontId="37" fillId="5" borderId="0" xfId="0" applyFont="1" applyFill="1" applyBorder="1" applyAlignment="1">
      <alignment horizontal="right"/>
    </xf>
    <xf numFmtId="1" fontId="37" fillId="5" borderId="0" xfId="0" applyNumberFormat="1" applyFont="1" applyFill="1" applyBorder="1" applyAlignment="1">
      <alignment horizontal="center" vertical="distributed"/>
    </xf>
    <xf numFmtId="0" fontId="14" fillId="0" borderId="9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0" fontId="37" fillId="6" borderId="0" xfId="0" applyFont="1" applyFill="1" applyBorder="1" applyAlignment="1">
      <alignment horizontal="center" vertical="center" wrapText="1"/>
    </xf>
    <xf numFmtId="0" fontId="37" fillId="6" borderId="0" xfId="0" applyFont="1" applyFill="1" applyBorder="1"/>
    <xf numFmtId="0" fontId="37" fillId="6" borderId="0" xfId="0" applyFont="1" applyFill="1" applyBorder="1" applyAlignment="1">
      <alignment horizontal="right"/>
    </xf>
    <xf numFmtId="1" fontId="37" fillId="6" borderId="0" xfId="0" applyNumberFormat="1" applyFont="1" applyFill="1" applyBorder="1" applyAlignment="1">
      <alignment horizontal="center" vertical="distributed"/>
    </xf>
    <xf numFmtId="164" fontId="14" fillId="0" borderId="0" xfId="0" applyNumberFormat="1" applyFont="1" applyFill="1" applyBorder="1" applyAlignment="1">
      <alignment horizontal="left" vertical="center"/>
    </xf>
    <xf numFmtId="165" fontId="37" fillId="7" borderId="0" xfId="0" applyNumberFormat="1" applyFont="1" applyFill="1" applyBorder="1" applyAlignment="1">
      <alignment horizontal="center" vertical="center" wrapText="1"/>
    </xf>
    <xf numFmtId="164" fontId="39" fillId="7" borderId="0" xfId="1" applyFont="1" applyFill="1" applyBorder="1"/>
    <xf numFmtId="164" fontId="37" fillId="7" borderId="0" xfId="1" applyFont="1" applyFill="1" applyBorder="1" applyAlignment="1">
      <alignment horizontal="right"/>
    </xf>
    <xf numFmtId="1" fontId="37" fillId="7" borderId="0" xfId="0" applyNumberFormat="1" applyFont="1" applyFill="1" applyBorder="1" applyAlignment="1">
      <alignment horizontal="center" vertical="distributed"/>
    </xf>
    <xf numFmtId="49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/>
    <xf numFmtId="1" fontId="37" fillId="0" borderId="0" xfId="0" applyNumberFormat="1" applyFont="1" applyBorder="1" applyAlignment="1">
      <alignment horizontal="center"/>
    </xf>
    <xf numFmtId="164" fontId="14" fillId="0" borderId="8" xfId="1" applyFont="1" applyFill="1" applyBorder="1" applyAlignment="1">
      <alignment horizontal="center"/>
    </xf>
    <xf numFmtId="164" fontId="19" fillId="0" borderId="8" xfId="1" applyFont="1" applyFill="1" applyBorder="1" applyAlignment="1"/>
    <xf numFmtId="0" fontId="37" fillId="0" borderId="0" xfId="0" applyFont="1" applyFill="1" applyBorder="1" applyAlignment="1">
      <alignment horizontal="right" vertical="center"/>
    </xf>
    <xf numFmtId="49" fontId="37" fillId="0" borderId="0" xfId="1" applyNumberFormat="1" applyFont="1" applyBorder="1" applyAlignment="1">
      <alignment horizontal="right"/>
    </xf>
    <xf numFmtId="1" fontId="37" fillId="0" borderId="0" xfId="0" applyNumberFormat="1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 vertical="center" wrapText="1"/>
    </xf>
    <xf numFmtId="0" fontId="37" fillId="3" borderId="0" xfId="0" applyFont="1" applyFill="1" applyBorder="1"/>
    <xf numFmtId="0" fontId="37" fillId="3" borderId="0" xfId="0" applyFont="1" applyFill="1" applyBorder="1" applyAlignment="1">
      <alignment horizontal="right"/>
    </xf>
    <xf numFmtId="1" fontId="37" fillId="3" borderId="0" xfId="0" applyNumberFormat="1" applyFont="1" applyFill="1" applyBorder="1" applyAlignment="1">
      <alignment horizontal="center" vertical="distributed"/>
    </xf>
    <xf numFmtId="0" fontId="31" fillId="0" borderId="0" xfId="0" applyFont="1" applyFill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164" fontId="17" fillId="0" borderId="0" xfId="1" applyFont="1" applyFill="1" applyBorder="1" applyAlignment="1">
      <alignment horizontal="center" vertical="center" wrapText="1"/>
    </xf>
    <xf numFmtId="164" fontId="19" fillId="0" borderId="0" xfId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right" vertical="center"/>
    </xf>
    <xf numFmtId="164" fontId="14" fillId="0" borderId="2" xfId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165" fontId="19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/>
    </xf>
    <xf numFmtId="165" fontId="14" fillId="0" borderId="0" xfId="1" applyNumberFormat="1" applyFont="1" applyAlignment="1">
      <alignment horizontal="center" vertical="center" wrapText="1"/>
    </xf>
    <xf numFmtId="164" fontId="19" fillId="0" borderId="0" xfId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164" fontId="14" fillId="11" borderId="0" xfId="0" applyNumberFormat="1" applyFont="1" applyFill="1" applyAlignment="1">
      <alignment horizontal="center" vertical="center" wrapText="1"/>
    </xf>
    <xf numFmtId="164" fontId="19" fillId="0" borderId="2" xfId="0" applyNumberFormat="1" applyFont="1" applyBorder="1"/>
    <xf numFmtId="164" fontId="14" fillId="0" borderId="0" xfId="0" applyNumberFormat="1" applyFont="1" applyAlignment="1">
      <alignment horizontal="center" vertical="center" wrapText="1"/>
    </xf>
    <xf numFmtId="172" fontId="14" fillId="0" borderId="0" xfId="0" applyNumberFormat="1" applyFont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166" fontId="19" fillId="11" borderId="2" xfId="1" applyNumberFormat="1" applyFont="1" applyFill="1" applyBorder="1"/>
    <xf numFmtId="170" fontId="14" fillId="0" borderId="0" xfId="0" applyNumberFormat="1" applyFont="1" applyFill="1" applyBorder="1" applyAlignment="1">
      <alignment horizontal="center" vertical="center" wrapText="1"/>
    </xf>
    <xf numFmtId="9" fontId="14" fillId="0" borderId="0" xfId="2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/>
    <xf numFmtId="166" fontId="14" fillId="0" borderId="0" xfId="0" applyNumberFormat="1" applyFont="1" applyFill="1" applyBorder="1" applyAlignment="1">
      <alignment horizontal="center" vertical="center"/>
    </xf>
    <xf numFmtId="10" fontId="14" fillId="0" borderId="18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/>
    </xf>
    <xf numFmtId="0" fontId="14" fillId="0" borderId="9" xfId="0" applyFont="1" applyFill="1" applyBorder="1"/>
    <xf numFmtId="49" fontId="14" fillId="0" borderId="7" xfId="0" applyNumberFormat="1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4" fillId="0" borderId="7" xfId="0" applyNumberFormat="1" applyFont="1" applyFill="1" applyBorder="1"/>
    <xf numFmtId="0" fontId="14" fillId="0" borderId="8" xfId="0" applyFont="1" applyBorder="1" applyAlignment="1">
      <alignment horizontal="center" vertical="center" wrapText="1"/>
    </xf>
    <xf numFmtId="49" fontId="19" fillId="8" borderId="2" xfId="0" applyNumberFormat="1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9" fillId="14" borderId="2" xfId="0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vertical="center"/>
    </xf>
    <xf numFmtId="175" fontId="14" fillId="0" borderId="2" xfId="0" applyNumberFormat="1" applyFont="1" applyBorder="1" applyAlignment="1">
      <alignment horizontal="center" vertical="center"/>
    </xf>
    <xf numFmtId="10" fontId="14" fillId="0" borderId="2" xfId="2" applyNumberFormat="1" applyFont="1" applyBorder="1" applyAlignment="1">
      <alignment horizontal="center" vertical="center" wrapText="1"/>
    </xf>
    <xf numFmtId="164" fontId="14" fillId="0" borderId="0" xfId="1" applyFont="1" applyBorder="1" applyAlignment="1">
      <alignment horizontal="center" vertical="center" wrapText="1"/>
    </xf>
    <xf numFmtId="168" fontId="14" fillId="0" borderId="0" xfId="0" applyNumberFormat="1" applyFont="1" applyBorder="1" applyAlignment="1">
      <alignment horizontal="center" vertical="center" wrapText="1"/>
    </xf>
    <xf numFmtId="10" fontId="14" fillId="0" borderId="0" xfId="2" applyNumberFormat="1" applyFont="1" applyFill="1" applyAlignment="1">
      <alignment horizontal="center"/>
    </xf>
    <xf numFmtId="178" fontId="14" fillId="0" borderId="0" xfId="0" applyNumberFormat="1" applyFont="1" applyFill="1"/>
    <xf numFmtId="164" fontId="14" fillId="0" borderId="0" xfId="1" applyFont="1"/>
    <xf numFmtId="180" fontId="14" fillId="0" borderId="0" xfId="2" applyNumberFormat="1" applyFont="1" applyFill="1" applyAlignment="1">
      <alignment horizontal="center"/>
    </xf>
    <xf numFmtId="178" fontId="14" fillId="0" borderId="0" xfId="2" applyNumberFormat="1" applyFont="1" applyFill="1"/>
    <xf numFmtId="179" fontId="14" fillId="0" borderId="0" xfId="2" applyNumberFormat="1" applyFont="1" applyFill="1"/>
    <xf numFmtId="11" fontId="14" fillId="0" borderId="0" xfId="2" applyNumberFormat="1" applyFont="1" applyFill="1"/>
    <xf numFmtId="178" fontId="0" fillId="0" borderId="0" xfId="2" applyNumberFormat="1" applyFont="1"/>
    <xf numFmtId="165" fontId="14" fillId="0" borderId="0" xfId="0" applyNumberFormat="1" applyFont="1" applyAlignment="1">
      <alignment horizontal="left" vertical="center"/>
    </xf>
    <xf numFmtId="10" fontId="14" fillId="0" borderId="0" xfId="2" applyNumberFormat="1" applyFont="1" applyBorder="1" applyAlignment="1">
      <alignment horizontal="center" vertical="center" wrapText="1"/>
    </xf>
    <xf numFmtId="0" fontId="40" fillId="0" borderId="0" xfId="0" applyFont="1"/>
    <xf numFmtId="0" fontId="43" fillId="0" borderId="0" xfId="0" applyFont="1"/>
    <xf numFmtId="0" fontId="33" fillId="12" borderId="11" xfId="0" applyFont="1" applyFill="1" applyBorder="1" applyAlignment="1">
      <alignment horizontal="center" vertical="center" wrapText="1"/>
    </xf>
    <xf numFmtId="0" fontId="42" fillId="12" borderId="2" xfId="0" applyFont="1" applyFill="1" applyBorder="1" applyAlignment="1">
      <alignment vertical="center"/>
    </xf>
    <xf numFmtId="0" fontId="49" fillId="12" borderId="2" xfId="0" applyFont="1" applyFill="1" applyBorder="1" applyAlignment="1">
      <alignment vertical="center"/>
    </xf>
    <xf numFmtId="0" fontId="50" fillId="12" borderId="2" xfId="0" applyFont="1" applyFill="1" applyBorder="1" applyAlignment="1">
      <alignment vertical="center"/>
    </xf>
    <xf numFmtId="0" fontId="4" fillId="12" borderId="2" xfId="0" applyFont="1" applyFill="1" applyBorder="1" applyAlignment="1">
      <alignment vertical="center"/>
    </xf>
    <xf numFmtId="0" fontId="32" fillId="12" borderId="0" xfId="0" applyFont="1" applyFill="1" applyAlignment="1">
      <alignment vertical="center" wrapText="1"/>
    </xf>
    <xf numFmtId="0" fontId="31" fillId="12" borderId="0" xfId="0" applyFont="1" applyFill="1" applyAlignment="1">
      <alignment horizontal="center" vertical="center"/>
    </xf>
    <xf numFmtId="175" fontId="49" fillId="12" borderId="0" xfId="0" applyNumberFormat="1" applyFont="1" applyFill="1" applyAlignment="1">
      <alignment horizontal="center" vertical="center"/>
    </xf>
    <xf numFmtId="0" fontId="38" fillId="12" borderId="2" xfId="0" applyFont="1" applyFill="1" applyBorder="1" applyAlignment="1">
      <alignment horizontal="left" vertical="center"/>
    </xf>
    <xf numFmtId="0" fontId="31" fillId="12" borderId="2" xfId="0" applyFont="1" applyFill="1" applyBorder="1" applyAlignment="1">
      <alignment horizontal="center" vertical="center"/>
    </xf>
    <xf numFmtId="175" fontId="49" fillId="12" borderId="2" xfId="0" applyNumberFormat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left" vertical="center"/>
    </xf>
    <xf numFmtId="0" fontId="31" fillId="12" borderId="0" xfId="0" applyFont="1" applyFill="1" applyAlignment="1">
      <alignment vertical="center"/>
    </xf>
    <xf numFmtId="49" fontId="31" fillId="12" borderId="2" xfId="0" applyNumberFormat="1" applyFont="1" applyFill="1" applyBorder="1" applyAlignment="1">
      <alignment horizontal="left" vertical="center"/>
    </xf>
    <xf numFmtId="0" fontId="34" fillId="12" borderId="0" xfId="0" applyFont="1" applyFill="1" applyAlignment="1">
      <alignment horizontal="left" vertical="center"/>
    </xf>
    <xf numFmtId="49" fontId="4" fillId="12" borderId="2" xfId="0" applyNumberFormat="1" applyFont="1" applyFill="1" applyBorder="1" applyAlignment="1">
      <alignment horizontal="left" vertical="center"/>
    </xf>
    <xf numFmtId="49" fontId="4" fillId="12" borderId="2" xfId="0" applyNumberFormat="1" applyFont="1" applyFill="1" applyBorder="1" applyAlignment="1">
      <alignment vertical="center"/>
    </xf>
    <xf numFmtId="0" fontId="42" fillId="12" borderId="0" xfId="0" applyFont="1" applyFill="1" applyAlignment="1">
      <alignment horizontal="left" vertical="center"/>
    </xf>
    <xf numFmtId="0" fontId="14" fillId="12" borderId="0" xfId="0" applyFont="1" applyFill="1"/>
    <xf numFmtId="0" fontId="42" fillId="12" borderId="2" xfId="0" applyFont="1" applyFill="1" applyBorder="1" applyAlignment="1">
      <alignment horizontal="center" vertical="center" wrapText="1"/>
    </xf>
    <xf numFmtId="0" fontId="48" fillId="12" borderId="0" xfId="0" applyFont="1" applyFill="1"/>
    <xf numFmtId="0" fontId="42" fillId="12" borderId="0" xfId="0" applyFont="1" applyFill="1"/>
    <xf numFmtId="175" fontId="51" fillId="12" borderId="0" xfId="0" applyNumberFormat="1" applyFont="1" applyFill="1"/>
    <xf numFmtId="0" fontId="31" fillId="12" borderId="0" xfId="0" applyFont="1" applyFill="1"/>
    <xf numFmtId="175" fontId="49" fillId="12" borderId="0" xfId="0" applyNumberFormat="1" applyFont="1" applyFill="1"/>
    <xf numFmtId="0" fontId="47" fillId="12" borderId="2" xfId="0" applyFont="1" applyFill="1" applyBorder="1" applyAlignment="1">
      <alignment vertical="center" wrapText="1"/>
    </xf>
    <xf numFmtId="49" fontId="3" fillId="12" borderId="2" xfId="0" applyNumberFormat="1" applyFont="1" applyFill="1" applyBorder="1" applyAlignment="1">
      <alignment horizontal="left" vertical="center"/>
    </xf>
    <xf numFmtId="49" fontId="2" fillId="12" borderId="2" xfId="0" applyNumberFormat="1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distributed"/>
    </xf>
    <xf numFmtId="0" fontId="14" fillId="0" borderId="11" xfId="0" applyFont="1" applyBorder="1" applyAlignment="1">
      <alignment horizontal="center" vertical="distributed"/>
    </xf>
    <xf numFmtId="0" fontId="42" fillId="12" borderId="5" xfId="0" applyFont="1" applyFill="1" applyBorder="1" applyAlignment="1">
      <alignment horizontal="center" vertical="top" wrapText="1"/>
    </xf>
    <xf numFmtId="0" fontId="42" fillId="12" borderId="14" xfId="0" applyFont="1" applyFill="1" applyBorder="1" applyAlignment="1">
      <alignment horizontal="center" vertical="top" wrapText="1"/>
    </xf>
    <xf numFmtId="0" fontId="42" fillId="12" borderId="15" xfId="0" applyFont="1" applyFill="1" applyBorder="1" applyAlignment="1">
      <alignment horizontal="center" vertical="top" wrapText="1"/>
    </xf>
    <xf numFmtId="0" fontId="44" fillId="0" borderId="5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008000"/>
      <color rgb="FF009900"/>
      <color rgb="FF0070C0"/>
      <color rgb="FFFFFF99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'Baseline ChM 649'!$J$35:$L$35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'Baseline ChM 649'!$J$36:$L$36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'Baseline ChM 649'!$J$37:$L$37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0"/>
  <sheetViews>
    <sheetView tabSelected="1" topLeftCell="A65" zoomScale="85" zoomScaleNormal="85" workbookViewId="0">
      <selection activeCell="A65" sqref="A65"/>
    </sheetView>
  </sheetViews>
  <sheetFormatPr baseColWidth="10" defaultColWidth="11.453125" defaultRowHeight="13" x14ac:dyDescent="0.3"/>
  <cols>
    <col min="1" max="1" width="1.08984375" style="5" customWidth="1"/>
    <col min="2" max="2" width="44.7265625" style="5" customWidth="1"/>
    <col min="3" max="3" width="4" style="5" customWidth="1"/>
    <col min="4" max="5" width="18.6328125" style="5" customWidth="1"/>
    <col min="6" max="6" width="16.90625" style="5" customWidth="1"/>
    <col min="7" max="7" width="3.453125" style="5" customWidth="1"/>
    <col min="8" max="9" width="18.6328125" style="5" customWidth="1"/>
    <col min="10" max="10" width="13.81640625" style="5" customWidth="1"/>
    <col min="11" max="11" width="2.453125" style="5" customWidth="1"/>
    <col min="12" max="13" width="14.26953125" style="5" customWidth="1"/>
    <col min="14" max="14" width="14.7265625" style="5" bestFit="1" customWidth="1"/>
    <col min="15" max="15" width="14.26953125" style="11" bestFit="1" customWidth="1"/>
    <col min="16" max="16" width="14.26953125" style="11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7265625" style="5" bestFit="1" customWidth="1"/>
    <col min="21" max="22" width="11.453125" style="11"/>
    <col min="23" max="24" width="11.7265625" style="5" bestFit="1" customWidth="1"/>
    <col min="25" max="25" width="12.453125" style="5" bestFit="1" customWidth="1"/>
    <col min="26" max="16384" width="11.453125" style="5"/>
  </cols>
  <sheetData>
    <row r="1" spans="2:31" s="4" customFormat="1" ht="8.25" hidden="1" customHeight="1" thickBot="1" x14ac:dyDescent="0.35">
      <c r="B1" s="86"/>
      <c r="C1" s="87"/>
      <c r="D1" s="86"/>
      <c r="E1" s="88"/>
      <c r="F1" s="5"/>
      <c r="G1" s="5"/>
      <c r="H1" s="89"/>
      <c r="I1" s="89"/>
      <c r="J1" s="89"/>
      <c r="K1" s="89"/>
      <c r="L1" s="7"/>
      <c r="M1" s="12"/>
      <c r="N1" s="12"/>
      <c r="O1" s="2"/>
      <c r="P1" s="2"/>
      <c r="Q1" s="3"/>
      <c r="R1" s="2"/>
      <c r="S1" s="2"/>
      <c r="T1" s="2"/>
      <c r="U1" s="90"/>
      <c r="V1" s="90"/>
      <c r="W1" s="90"/>
      <c r="X1" s="90"/>
      <c r="Y1" s="90"/>
      <c r="Z1" s="90"/>
      <c r="AA1" s="90"/>
      <c r="AB1" s="90"/>
      <c r="AC1" s="90"/>
    </row>
    <row r="2" spans="2:31" ht="24.75" hidden="1" customHeight="1" thickBot="1" x14ac:dyDescent="0.35">
      <c r="B2" s="321" t="s">
        <v>111</v>
      </c>
      <c r="C2" s="322"/>
      <c r="D2" s="322"/>
      <c r="E2" s="322"/>
      <c r="F2" s="323"/>
      <c r="G2" s="91"/>
      <c r="H2" s="92" t="s">
        <v>71</v>
      </c>
      <c r="I2" s="93">
        <v>0.95</v>
      </c>
      <c r="J2" s="91"/>
      <c r="K2" s="6"/>
      <c r="L2" s="7"/>
      <c r="M2" s="8"/>
      <c r="N2" s="8"/>
      <c r="O2" s="9"/>
      <c r="P2" s="9"/>
      <c r="Q2" s="10"/>
      <c r="R2" s="9"/>
      <c r="S2" s="9" t="s">
        <v>112</v>
      </c>
      <c r="T2" s="9" t="s">
        <v>113</v>
      </c>
      <c r="U2" s="9" t="s">
        <v>114</v>
      </c>
      <c r="V2" s="9" t="s">
        <v>115</v>
      </c>
      <c r="W2" s="9"/>
      <c r="X2" s="11"/>
      <c r="Y2" s="11"/>
      <c r="Z2" s="11"/>
      <c r="AA2" s="11"/>
      <c r="AB2" s="11"/>
      <c r="AC2" s="11" t="s">
        <v>116</v>
      </c>
      <c r="AD2" s="11"/>
      <c r="AE2" s="287">
        <v>8.229784350621135E-3</v>
      </c>
    </row>
    <row r="3" spans="2:31" ht="28.5" hidden="1" customHeight="1" x14ac:dyDescent="0.3">
      <c r="B3" s="324" t="s">
        <v>110</v>
      </c>
      <c r="C3" s="325"/>
      <c r="D3" s="325"/>
      <c r="E3" s="325"/>
      <c r="F3" s="326"/>
      <c r="G3" s="94"/>
      <c r="H3" s="94"/>
      <c r="I3" s="94"/>
      <c r="J3" s="94"/>
      <c r="K3" s="6"/>
      <c r="L3" s="7"/>
      <c r="M3" s="8"/>
      <c r="N3" s="8"/>
      <c r="O3" s="9"/>
      <c r="P3" s="9"/>
      <c r="Q3" s="10"/>
      <c r="R3" s="9"/>
      <c r="S3" s="9">
        <v>160</v>
      </c>
      <c r="T3" s="9">
        <v>108</v>
      </c>
      <c r="U3" s="9">
        <f>S3/T3</f>
        <v>1.4814814814814814</v>
      </c>
      <c r="V3" s="11">
        <v>1041674</v>
      </c>
      <c r="W3" s="283">
        <f>U3/V3</f>
        <v>1.4222122098482648E-6</v>
      </c>
      <c r="X3" s="284">
        <f>W3*365</f>
        <v>5.191074565946166E-4</v>
      </c>
      <c r="Y3" s="11"/>
      <c r="Z3" s="11"/>
      <c r="AA3" s="11"/>
      <c r="AB3" s="11"/>
      <c r="AC3" s="11">
        <v>1777</v>
      </c>
      <c r="AD3" s="11">
        <f>AC3/V3</f>
        <v>1.7059079904077476E-3</v>
      </c>
      <c r="AE3" s="5">
        <f>AE2*V3</f>
        <v>8572.7523836489199</v>
      </c>
    </row>
    <row r="4" spans="2:31" ht="10.5" hidden="1" customHeight="1" x14ac:dyDescent="0.3"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8"/>
      <c r="N4" s="278"/>
      <c r="O4" s="9"/>
      <c r="P4" s="9"/>
      <c r="Q4" s="15"/>
      <c r="R4" s="9"/>
      <c r="S4" s="9"/>
      <c r="T4" s="13"/>
      <c r="V4" s="16"/>
      <c r="W4" s="16"/>
      <c r="X4" s="284">
        <f>X3*20%</f>
        <v>1.0382149131892332E-4</v>
      </c>
      <c r="Y4" s="16">
        <f>1/X4</f>
        <v>9631.9171232876724</v>
      </c>
      <c r="Z4" s="17"/>
      <c r="AA4" s="11"/>
      <c r="AB4" s="11"/>
      <c r="AC4" s="11"/>
      <c r="AD4" s="11"/>
    </row>
    <row r="5" spans="2:31" hidden="1" x14ac:dyDescent="0.3">
      <c r="B5" s="95" t="s">
        <v>60</v>
      </c>
      <c r="C5" s="96"/>
      <c r="D5" s="97" t="s">
        <v>20</v>
      </c>
      <c r="E5" s="97" t="s">
        <v>21</v>
      </c>
      <c r="F5" s="98"/>
      <c r="I5" s="99"/>
      <c r="J5" s="278"/>
      <c r="K5" s="99"/>
      <c r="L5" s="100"/>
      <c r="M5" s="8"/>
      <c r="N5" s="100"/>
      <c r="O5" s="9">
        <v>30</v>
      </c>
      <c r="P5" s="9">
        <v>14073</v>
      </c>
      <c r="Q5" s="9"/>
      <c r="R5" s="9"/>
      <c r="S5" s="9"/>
      <c r="T5" s="13"/>
      <c r="V5" s="16"/>
      <c r="W5" s="16"/>
      <c r="X5" s="286">
        <v>1.9999999999999999E-6</v>
      </c>
      <c r="Y5" s="16">
        <f>1/X5</f>
        <v>500000</v>
      </c>
      <c r="Z5" s="17"/>
      <c r="AA5" s="11">
        <v>8</v>
      </c>
      <c r="AB5" s="11">
        <v>1000000</v>
      </c>
      <c r="AC5" s="285">
        <f>AA5/AB5</f>
        <v>7.9999999999999996E-6</v>
      </c>
      <c r="AD5" s="11">
        <f>1/AC5</f>
        <v>125000</v>
      </c>
    </row>
    <row r="6" spans="2:31" hidden="1" x14ac:dyDescent="0.3">
      <c r="B6" s="75"/>
      <c r="C6" s="101"/>
      <c r="D6" s="102" t="s">
        <v>3</v>
      </c>
      <c r="E6" s="102" t="s">
        <v>2</v>
      </c>
      <c r="F6" s="103" t="s">
        <v>22</v>
      </c>
      <c r="I6" s="77"/>
      <c r="J6" s="278"/>
      <c r="K6" s="99"/>
      <c r="L6" s="100"/>
      <c r="M6" s="8"/>
      <c r="N6" s="100"/>
      <c r="O6" s="9">
        <v>9</v>
      </c>
      <c r="P6" s="9">
        <v>17511</v>
      </c>
      <c r="Q6" s="9"/>
      <c r="R6" s="9"/>
      <c r="S6" s="9"/>
      <c r="T6" s="13"/>
      <c r="V6" s="16"/>
      <c r="W6" s="16"/>
      <c r="X6" s="11"/>
      <c r="Y6" s="16">
        <f>X5/X4</f>
        <v>1.9263834246575344E-2</v>
      </c>
      <c r="Z6" s="11"/>
      <c r="AA6" s="11"/>
      <c r="AB6" s="11"/>
      <c r="AC6" s="11"/>
      <c r="AD6" s="11"/>
    </row>
    <row r="7" spans="2:31" ht="12.75" hidden="1" customHeight="1" x14ac:dyDescent="0.3">
      <c r="B7" s="288"/>
      <c r="C7" s="104" t="s">
        <v>72</v>
      </c>
      <c r="D7" s="105">
        <v>28</v>
      </c>
      <c r="E7" s="106">
        <f>F7-D7</f>
        <v>761</v>
      </c>
      <c r="F7" s="107">
        <v>789</v>
      </c>
      <c r="H7" s="289"/>
      <c r="I7" s="77"/>
      <c r="J7" s="289"/>
      <c r="K7" s="99"/>
      <c r="L7" s="289"/>
      <c r="M7" s="8"/>
      <c r="N7" s="100"/>
      <c r="O7" s="9">
        <f>SUM(O5:O6)</f>
        <v>39</v>
      </c>
      <c r="P7" s="9">
        <f>SUM(P5:P6)</f>
        <v>31584</v>
      </c>
      <c r="Q7" s="280">
        <f>O7/P7</f>
        <v>1.2348024316109422E-3</v>
      </c>
      <c r="R7" s="9"/>
      <c r="S7" s="9"/>
      <c r="T7" s="13"/>
      <c r="V7" s="16"/>
      <c r="W7" s="16"/>
      <c r="X7" s="11"/>
      <c r="Y7" s="16"/>
      <c r="Z7" s="11"/>
      <c r="AA7" s="11"/>
      <c r="AB7" s="11"/>
      <c r="AC7" s="11"/>
      <c r="AD7" s="11"/>
    </row>
    <row r="8" spans="2:31" ht="12.75" hidden="1" customHeight="1" x14ac:dyDescent="0.3">
      <c r="B8" s="75"/>
      <c r="C8" s="104" t="s">
        <v>73</v>
      </c>
      <c r="D8" s="105">
        <v>36</v>
      </c>
      <c r="E8" s="106">
        <f>F8-D8</f>
        <v>756</v>
      </c>
      <c r="F8" s="107">
        <v>792</v>
      </c>
      <c r="H8" s="289"/>
      <c r="I8" s="77"/>
      <c r="J8" s="289"/>
      <c r="K8" s="99"/>
      <c r="L8" s="289"/>
      <c r="M8" s="108"/>
      <c r="N8" s="100"/>
      <c r="O8" s="9"/>
      <c r="P8" s="9"/>
      <c r="Q8" s="9"/>
      <c r="R8" s="10">
        <v>0.16500000000000001</v>
      </c>
      <c r="S8" s="9"/>
      <c r="T8" s="13"/>
      <c r="V8" s="16"/>
      <c r="W8" s="16"/>
      <c r="X8" s="11"/>
      <c r="Y8" s="16"/>
      <c r="Z8" s="11"/>
      <c r="AA8" s="11"/>
      <c r="AB8" s="11"/>
      <c r="AC8" s="11"/>
      <c r="AD8" s="11"/>
    </row>
    <row r="9" spans="2:31" hidden="1" x14ac:dyDescent="0.3">
      <c r="B9" s="75"/>
      <c r="C9" s="109" t="s">
        <v>22</v>
      </c>
      <c r="D9" s="110">
        <f>D7+D8</f>
        <v>64</v>
      </c>
      <c r="E9" s="110">
        <f t="shared" ref="E9:F9" si="0">E7+E8</f>
        <v>1517</v>
      </c>
      <c r="F9" s="110">
        <f t="shared" si="0"/>
        <v>1581</v>
      </c>
      <c r="G9" s="279"/>
      <c r="H9" s="99"/>
      <c r="I9" s="99"/>
      <c r="J9" s="94"/>
      <c r="K9" s="99"/>
      <c r="L9" s="100"/>
      <c r="M9" s="108"/>
      <c r="N9" s="100"/>
      <c r="P9" s="21"/>
      <c r="Q9" s="22"/>
      <c r="R9" s="22"/>
      <c r="S9" s="281">
        <f>Q7*R8</f>
        <v>2.0374240121580548E-4</v>
      </c>
      <c r="T9" s="16"/>
      <c r="V9" s="16"/>
      <c r="W9" s="16"/>
      <c r="X9" s="11"/>
      <c r="Y9" s="16"/>
      <c r="Z9" s="11"/>
      <c r="AA9" s="11"/>
      <c r="AB9" s="11"/>
      <c r="AC9" s="11"/>
      <c r="AD9" s="11"/>
    </row>
    <row r="10" spans="2:31" ht="12.75" hidden="1" customHeight="1" x14ac:dyDescent="0.3">
      <c r="B10" s="75"/>
      <c r="C10" s="23"/>
      <c r="D10" s="24"/>
      <c r="E10" s="20"/>
      <c r="F10" s="20"/>
      <c r="G10" s="100"/>
      <c r="H10" s="100"/>
      <c r="I10" s="99"/>
      <c r="J10" s="99"/>
      <c r="K10" s="99"/>
      <c r="L10" s="100"/>
      <c r="M10" s="108"/>
      <c r="N10" s="100"/>
      <c r="P10" s="21"/>
      <c r="Q10" s="22"/>
      <c r="R10" s="22"/>
      <c r="S10" s="22"/>
      <c r="T10" s="16"/>
      <c r="V10" s="16"/>
      <c r="W10" s="16"/>
      <c r="X10" s="11"/>
      <c r="Y10" s="16"/>
      <c r="Z10" s="11"/>
      <c r="AA10" s="11"/>
      <c r="AB10" s="11"/>
      <c r="AC10" s="11"/>
      <c r="AD10" s="11"/>
    </row>
    <row r="11" spans="2:31" s="4" customFormat="1" ht="14.25" hidden="1" customHeight="1" x14ac:dyDescent="0.3">
      <c r="B11" s="111" t="s">
        <v>117</v>
      </c>
      <c r="C11" s="26"/>
      <c r="D11" s="27"/>
      <c r="E11" s="2"/>
      <c r="F11" s="19"/>
      <c r="G11" s="112"/>
      <c r="H11" s="108"/>
      <c r="I11" s="112"/>
      <c r="J11" s="108"/>
      <c r="K11" s="113"/>
      <c r="L11" s="113"/>
      <c r="M11" s="112"/>
      <c r="N11" s="113"/>
      <c r="P11" s="2"/>
      <c r="Q11" s="29"/>
      <c r="R11" s="29"/>
      <c r="S11" s="29"/>
      <c r="T11" s="2"/>
      <c r="U11" s="2"/>
      <c r="V11" s="2"/>
      <c r="W11" s="2"/>
    </row>
    <row r="12" spans="2:31" s="4" customFormat="1" ht="12.75" hidden="1" customHeight="1" x14ac:dyDescent="0.3">
      <c r="B12" s="75" t="s">
        <v>67</v>
      </c>
      <c r="C12" s="26"/>
      <c r="D12" s="27"/>
      <c r="E12" s="2"/>
      <c r="F12" s="19"/>
      <c r="G12" s="112"/>
      <c r="H12" s="108"/>
      <c r="I12" s="112"/>
      <c r="J12" s="108"/>
      <c r="K12" s="114"/>
      <c r="L12" s="113"/>
      <c r="M12" s="113"/>
      <c r="N12" s="113"/>
      <c r="P12" s="2"/>
      <c r="Q12" s="3"/>
      <c r="R12" s="3"/>
      <c r="S12" s="3"/>
      <c r="T12" s="2"/>
      <c r="U12" s="2"/>
      <c r="V12" s="2"/>
      <c r="W12" s="2"/>
    </row>
    <row r="13" spans="2:31" s="4" customFormat="1" ht="54.75" hidden="1" customHeight="1" x14ac:dyDescent="0.3">
      <c r="B13" s="78" t="s">
        <v>25</v>
      </c>
      <c r="C13" s="78" t="s">
        <v>68</v>
      </c>
      <c r="D13" s="78" t="s">
        <v>74</v>
      </c>
      <c r="E13" s="78" t="s">
        <v>69</v>
      </c>
      <c r="F13" s="78" t="s">
        <v>70</v>
      </c>
      <c r="G13" s="78" t="s">
        <v>4</v>
      </c>
      <c r="H13" s="78" t="s">
        <v>75</v>
      </c>
      <c r="I13" s="78" t="s">
        <v>76</v>
      </c>
      <c r="J13" s="108"/>
      <c r="K13" s="115" t="s">
        <v>43</v>
      </c>
      <c r="L13" s="116" t="s">
        <v>0</v>
      </c>
      <c r="M13" s="116" t="s">
        <v>1</v>
      </c>
      <c r="N13" s="113"/>
      <c r="P13" s="2"/>
      <c r="Q13" s="2"/>
      <c r="R13" s="2"/>
      <c r="S13" s="2"/>
      <c r="T13" s="2"/>
      <c r="U13" s="2"/>
      <c r="V13" s="2"/>
      <c r="W13" s="2"/>
    </row>
    <row r="14" spans="2:31" s="4" customFormat="1" ht="12.75" hidden="1" customHeight="1" x14ac:dyDescent="0.3">
      <c r="B14" s="79">
        <f>LN((D7/F7)/(D8/F8))</f>
        <v>-0.24751935731235455</v>
      </c>
      <c r="C14" s="79">
        <f>SQRT((E7/(D7*F7)+(E8/(D8*F8))))</f>
        <v>0.24690486043514168</v>
      </c>
      <c r="D14" s="117">
        <f>-NORMSINV((1-I2)/2)</f>
        <v>1.9599639845400536</v>
      </c>
      <c r="E14" s="80">
        <f>B14-(D14*C14)</f>
        <v>-0.73144399137312066</v>
      </c>
      <c r="F14" s="81">
        <f>B14+(D14*C14)</f>
        <v>0.23640527674841158</v>
      </c>
      <c r="G14" s="118">
        <f>(D7/F7)/(D8/F8)</f>
        <v>0.78073510773130539</v>
      </c>
      <c r="H14" s="118">
        <f>EXP(E14)</f>
        <v>0.48121361984103034</v>
      </c>
      <c r="I14" s="118">
        <f>EXP(F14)</f>
        <v>1.2666875651723613</v>
      </c>
      <c r="J14" s="108"/>
      <c r="K14" s="119">
        <f>1-G14</f>
        <v>0.21926489226869461</v>
      </c>
      <c r="L14" s="118">
        <f>1-H14</f>
        <v>0.51878638015896961</v>
      </c>
      <c r="M14" s="118">
        <f>1-I14</f>
        <v>-0.26668756517236125</v>
      </c>
      <c r="N14" s="120"/>
      <c r="P14" s="2"/>
      <c r="Q14" s="2"/>
      <c r="R14" s="2"/>
      <c r="S14" s="2"/>
      <c r="T14" s="2"/>
      <c r="U14" s="2"/>
      <c r="V14" s="2"/>
      <c r="W14" s="2"/>
    </row>
    <row r="15" spans="2:31" s="4" customFormat="1" ht="12.75" hidden="1" customHeight="1" x14ac:dyDescent="0.3">
      <c r="B15" s="121"/>
      <c r="C15" s="26"/>
      <c r="D15" s="26"/>
      <c r="E15" s="26"/>
      <c r="F15" s="30"/>
      <c r="G15" s="122"/>
      <c r="H15" s="108"/>
      <c r="I15" s="112"/>
      <c r="J15" s="108"/>
      <c r="K15" s="112"/>
      <c r="L15" s="112"/>
      <c r="M15" s="112"/>
      <c r="N15" s="113"/>
      <c r="P15" s="2"/>
      <c r="Q15" s="2"/>
      <c r="R15" s="2"/>
      <c r="S15" s="2"/>
      <c r="T15" s="2"/>
      <c r="U15" s="2"/>
      <c r="V15" s="2"/>
      <c r="W15" s="2"/>
    </row>
    <row r="16" spans="2:31" s="11" customFormat="1" ht="12.75" hidden="1" customHeight="1" x14ac:dyDescent="0.3">
      <c r="B16" s="74"/>
      <c r="C16" s="31"/>
      <c r="D16" s="32"/>
      <c r="E16" s="33"/>
      <c r="F16" s="34"/>
      <c r="G16" s="123"/>
      <c r="H16" s="124"/>
      <c r="I16" s="125"/>
      <c r="J16" s="125"/>
      <c r="K16" s="126"/>
      <c r="L16" s="126"/>
      <c r="M16" s="127"/>
      <c r="N16" s="127"/>
    </row>
    <row r="17" spans="2:30" ht="15.75" hidden="1" customHeight="1" x14ac:dyDescent="0.3">
      <c r="B17" s="37" t="s">
        <v>77</v>
      </c>
      <c r="C17" s="2"/>
      <c r="D17" s="128"/>
      <c r="E17" s="128"/>
      <c r="F17" s="12"/>
      <c r="G17" s="12"/>
      <c r="H17" s="129"/>
      <c r="I17" s="38"/>
      <c r="J17" s="130"/>
      <c r="K17" s="130"/>
      <c r="L17" s="4"/>
      <c r="M17" s="113"/>
      <c r="N17" s="108"/>
      <c r="O17" s="38"/>
      <c r="P17" s="2"/>
      <c r="Q17" s="2"/>
      <c r="R17" s="39"/>
      <c r="S17" s="38"/>
      <c r="T17" s="40"/>
      <c r="U17" s="40"/>
      <c r="V17" s="40"/>
      <c r="W17" s="11"/>
      <c r="X17" s="11"/>
      <c r="Y17" s="11"/>
      <c r="Z17" s="11"/>
      <c r="AA17" s="11"/>
      <c r="AB17" s="11"/>
      <c r="AC17" s="11"/>
    </row>
    <row r="18" spans="2:30" ht="12.75" hidden="1" customHeight="1" x14ac:dyDescent="0.3">
      <c r="B18" s="41" t="s">
        <v>78</v>
      </c>
      <c r="C18" s="2"/>
      <c r="D18" s="38"/>
      <c r="E18" s="38"/>
      <c r="F18" s="2"/>
      <c r="G18" s="2"/>
      <c r="H18" s="39"/>
      <c r="I18" s="38"/>
      <c r="J18" s="40"/>
      <c r="K18" s="40"/>
      <c r="L18" s="40"/>
      <c r="M18" s="113"/>
      <c r="N18" s="108"/>
      <c r="O18" s="2"/>
      <c r="P18" s="2"/>
      <c r="Q18" s="39"/>
      <c r="R18" s="38"/>
      <c r="S18" s="40"/>
      <c r="T18" s="40"/>
      <c r="U18" s="40"/>
      <c r="W18" s="11" t="s">
        <v>27</v>
      </c>
      <c r="X18" s="11"/>
      <c r="Y18" s="11"/>
      <c r="Z18" s="11"/>
      <c r="AA18" s="11"/>
      <c r="AB18" s="11"/>
    </row>
    <row r="19" spans="2:30" ht="25.5" hidden="1" customHeight="1" x14ac:dyDescent="0.3">
      <c r="B19" s="131" t="s">
        <v>79</v>
      </c>
      <c r="C19" s="5" t="s">
        <v>9</v>
      </c>
      <c r="D19" s="4"/>
      <c r="E19" s="5" t="s">
        <v>80</v>
      </c>
      <c r="G19" s="5" t="s">
        <v>7</v>
      </c>
      <c r="I19" s="5" t="s">
        <v>8</v>
      </c>
      <c r="J19" s="40"/>
      <c r="K19" s="40"/>
      <c r="L19" s="40"/>
      <c r="M19" s="113"/>
      <c r="N19" s="126"/>
      <c r="P19" s="5"/>
      <c r="T19" s="11"/>
      <c r="V19" s="5"/>
      <c r="W19" s="5" t="s">
        <v>28</v>
      </c>
      <c r="Y19" s="11"/>
      <c r="Z19" s="11"/>
      <c r="AA19" s="11"/>
      <c r="AB19" s="11"/>
      <c r="AC19" s="11"/>
      <c r="AD19" s="11"/>
    </row>
    <row r="20" spans="2:30" ht="38.25" hidden="1" customHeight="1" x14ac:dyDescent="0.4">
      <c r="B20" s="78" t="s">
        <v>81</v>
      </c>
      <c r="C20" s="78" t="s">
        <v>26</v>
      </c>
      <c r="D20" s="132" t="s">
        <v>10</v>
      </c>
      <c r="E20" s="132" t="s">
        <v>9</v>
      </c>
      <c r="F20" s="132" t="s">
        <v>82</v>
      </c>
      <c r="G20" s="132" t="s">
        <v>7</v>
      </c>
      <c r="H20" s="132" t="s">
        <v>8</v>
      </c>
      <c r="I20" s="133" t="s">
        <v>5</v>
      </c>
      <c r="J20" s="132" t="s">
        <v>83</v>
      </c>
      <c r="K20" s="132" t="s">
        <v>0</v>
      </c>
      <c r="L20" s="132" t="s">
        <v>1</v>
      </c>
      <c r="M20" s="134"/>
      <c r="N20" s="135"/>
      <c r="O20" s="136" t="s">
        <v>13</v>
      </c>
      <c r="P20" s="137" t="s">
        <v>63</v>
      </c>
      <c r="Q20" s="138"/>
      <c r="R20" s="139"/>
      <c r="S20" s="140"/>
      <c r="T20" s="140"/>
      <c r="U20" s="141"/>
      <c r="W20" s="142"/>
      <c r="X20" s="136" t="s">
        <v>64</v>
      </c>
      <c r="Y20" s="137" t="s">
        <v>84</v>
      </c>
      <c r="Z20" s="82"/>
      <c r="AA20" s="82"/>
      <c r="AB20" s="82" t="s">
        <v>85</v>
      </c>
      <c r="AC20" s="82"/>
      <c r="AD20" s="73"/>
    </row>
    <row r="21" spans="2:30" ht="12.75" hidden="1" customHeight="1" x14ac:dyDescent="0.3">
      <c r="B21" s="143">
        <f>D7</f>
        <v>28</v>
      </c>
      <c r="C21" s="144">
        <f>F7</f>
        <v>789</v>
      </c>
      <c r="D21" s="145">
        <f>B21/C21</f>
        <v>3.5487959442332066E-2</v>
      </c>
      <c r="E21" s="146">
        <f>2*B21+I21^2</f>
        <v>59.841458820694122</v>
      </c>
      <c r="F21" s="146">
        <f>I21*SQRT((I21^2)+(4*B21*(1-D21)))</f>
        <v>20.729971873788784</v>
      </c>
      <c r="G21" s="147">
        <f>2*(C21+I21^2)</f>
        <v>1585.6829176413883</v>
      </c>
      <c r="H21" s="148" t="s">
        <v>11</v>
      </c>
      <c r="I21" s="117">
        <f>-NORMSINV((1-I2)/2)</f>
        <v>1.9599639845400536</v>
      </c>
      <c r="J21" s="149">
        <f>D21</f>
        <v>3.5487959442332066E-2</v>
      </c>
      <c r="K21" s="149">
        <f>(E21-F21)/G21</f>
        <v>2.4665389600766724E-2</v>
      </c>
      <c r="L21" s="149">
        <f>(E21+F21)/G21</f>
        <v>5.0811817292153366E-2</v>
      </c>
      <c r="M21" s="134"/>
      <c r="N21" s="150">
        <f>F9/2</f>
        <v>790.5</v>
      </c>
      <c r="O21" s="18" t="s">
        <v>14</v>
      </c>
      <c r="P21" s="2"/>
      <c r="Q21" s="39"/>
      <c r="R21" s="38"/>
      <c r="S21" s="40"/>
      <c r="T21" s="40"/>
      <c r="U21" s="151"/>
      <c r="W21" s="152">
        <f>ABS(D21-D22)</f>
        <v>9.9665860122133895E-3</v>
      </c>
      <c r="X21" s="18" t="s">
        <v>86</v>
      </c>
      <c r="Y21" s="2"/>
      <c r="Z21" s="18"/>
      <c r="AA21" s="18"/>
      <c r="AB21" s="18" t="s">
        <v>87</v>
      </c>
      <c r="AC21" s="18"/>
      <c r="AD21" s="153"/>
    </row>
    <row r="22" spans="2:30" ht="14.25" hidden="1" customHeight="1" x14ac:dyDescent="0.4">
      <c r="B22" s="143">
        <f>D8</f>
        <v>36</v>
      </c>
      <c r="C22" s="144">
        <f>F8</f>
        <v>792</v>
      </c>
      <c r="D22" s="145">
        <f>B22/C22</f>
        <v>4.5454545454545456E-2</v>
      </c>
      <c r="E22" s="146">
        <f>2*B22+I22^2</f>
        <v>75.841458820694129</v>
      </c>
      <c r="F22" s="146">
        <f>I22*SQRT((I22^2)+(4*B22*(1-D22)))</f>
        <v>23.297699069907175</v>
      </c>
      <c r="G22" s="147">
        <f>2*(C22+I22^2)</f>
        <v>1591.6829176413883</v>
      </c>
      <c r="H22" s="148" t="s">
        <v>11</v>
      </c>
      <c r="I22" s="117">
        <f>-NORMSINV((1-I2)/2)</f>
        <v>1.9599639845400536</v>
      </c>
      <c r="J22" s="149">
        <f>D22</f>
        <v>4.5454545454545456E-2</v>
      </c>
      <c r="K22" s="149">
        <f>(E22-F22)/G22</f>
        <v>3.3011449182760687E-2</v>
      </c>
      <c r="L22" s="149">
        <f>(E22+F22)/G22</f>
        <v>6.2285745981058328E-2</v>
      </c>
      <c r="M22" s="134"/>
      <c r="N22" s="154">
        <f>J26</f>
        <v>9.9665860122133895E-3</v>
      </c>
      <c r="O22" s="18" t="s">
        <v>15</v>
      </c>
      <c r="P22" s="18"/>
      <c r="Q22" s="18"/>
      <c r="R22" s="18"/>
      <c r="S22" s="18"/>
      <c r="T22" s="18"/>
      <c r="U22" s="84"/>
      <c r="W22" s="155">
        <f>SQRT((D23*(1-D23)/C21)+(D23*(1-D23)/C22))</f>
        <v>9.9132429542566174E-3</v>
      </c>
      <c r="X22" s="41" t="s">
        <v>88</v>
      </c>
      <c r="Y22" s="18"/>
      <c r="Z22" s="18"/>
      <c r="AA22" s="18"/>
      <c r="AB22" s="18"/>
      <c r="AC22" s="18"/>
      <c r="AD22" s="153"/>
    </row>
    <row r="23" spans="2:30" ht="12.75" hidden="1" customHeight="1" x14ac:dyDescent="0.3">
      <c r="B23" s="143">
        <f>D9</f>
        <v>64</v>
      </c>
      <c r="C23" s="144">
        <f>F9</f>
        <v>1581</v>
      </c>
      <c r="D23" s="145">
        <f>B23/C23</f>
        <v>4.0480708412397218E-2</v>
      </c>
      <c r="E23" s="146">
        <f>2*B23+I23^2</f>
        <v>131.84145882069413</v>
      </c>
      <c r="F23" s="146">
        <f>I23*SQRT((I23^2)+(4*B23*(1-D23)))</f>
        <v>30.957406069028202</v>
      </c>
      <c r="G23" s="147">
        <f>2*(C23+I23^2)</f>
        <v>3169.682917641388</v>
      </c>
      <c r="H23" s="148" t="s">
        <v>11</v>
      </c>
      <c r="I23" s="117">
        <f>-NORMSINV((1-I2)/2)</f>
        <v>1.9599639845400536</v>
      </c>
      <c r="J23" s="149">
        <f>D23</f>
        <v>4.0480708412397218E-2</v>
      </c>
      <c r="K23" s="149">
        <f>(E23-F23)/G23</f>
        <v>3.1827805926636782E-2</v>
      </c>
      <c r="L23" s="149">
        <f>(E23+F23)/G23</f>
        <v>5.1361246257043143E-2</v>
      </c>
      <c r="M23" s="134"/>
      <c r="N23" s="156">
        <f>(B21+B22)/(C21+C22)</f>
        <v>4.0480708412397218E-2</v>
      </c>
      <c r="O23" s="18" t="s">
        <v>6</v>
      </c>
      <c r="P23" s="2"/>
      <c r="Q23" s="39"/>
      <c r="R23" s="38"/>
      <c r="S23" s="40"/>
      <c r="T23" s="40"/>
      <c r="U23" s="153"/>
      <c r="W23" s="157">
        <f>W21/W22</f>
        <v>1.0053809896723924</v>
      </c>
      <c r="X23" s="18" t="s">
        <v>42</v>
      </c>
      <c r="Y23" s="2"/>
      <c r="Z23" s="18"/>
      <c r="AA23" s="18"/>
      <c r="AB23" s="18"/>
      <c r="AC23" s="18"/>
      <c r="AD23" s="153"/>
    </row>
    <row r="24" spans="2:30" ht="15" hidden="1" customHeight="1" x14ac:dyDescent="0.3">
      <c r="B24" s="75"/>
      <c r="C24" s="158" t="s">
        <v>12</v>
      </c>
      <c r="F24" s="35"/>
      <c r="G24" s="125"/>
      <c r="H24" s="125"/>
      <c r="I24" s="125"/>
      <c r="J24" s="125"/>
      <c r="K24" s="126"/>
      <c r="L24" s="100"/>
      <c r="M24" s="134"/>
      <c r="N24" s="159">
        <f>SQRT(N21*N22^2/(2*N23*(1-N23)))-I21</f>
        <v>-0.95458118485915522</v>
      </c>
      <c r="O24" s="18" t="s">
        <v>89</v>
      </c>
      <c r="P24" s="18"/>
      <c r="Q24" s="18"/>
      <c r="R24" s="18"/>
      <c r="S24" s="18"/>
      <c r="T24" s="4"/>
      <c r="U24" s="151"/>
      <c r="W24" s="160">
        <f>NORMSDIST(-W23)</f>
        <v>0.15735671508210672</v>
      </c>
      <c r="X24" s="37" t="s">
        <v>90</v>
      </c>
      <c r="Y24" s="18"/>
      <c r="Z24" s="4"/>
      <c r="AA24" s="4"/>
      <c r="AB24" s="4"/>
      <c r="AC24" s="4"/>
      <c r="AD24" s="84"/>
    </row>
    <row r="25" spans="2:30" ht="13.5" hidden="1" customHeight="1" x14ac:dyDescent="0.3">
      <c r="B25" s="75"/>
      <c r="C25" s="158" t="s">
        <v>91</v>
      </c>
      <c r="D25" s="25"/>
      <c r="E25" s="36"/>
      <c r="F25" s="35"/>
      <c r="G25" s="125"/>
      <c r="H25" s="100"/>
      <c r="I25" s="100"/>
      <c r="J25" s="161"/>
      <c r="K25" s="161"/>
      <c r="L25" s="161"/>
      <c r="M25" s="134"/>
      <c r="N25" s="162">
        <f>NORMSDIST(N24)</f>
        <v>0.16989476789431868</v>
      </c>
      <c r="O25" s="37" t="s">
        <v>16</v>
      </c>
      <c r="P25" s="42"/>
      <c r="Q25" s="18"/>
      <c r="R25" s="18"/>
      <c r="S25" s="18"/>
      <c r="T25" s="18"/>
      <c r="U25" s="153"/>
      <c r="W25" s="163">
        <f>1-W24</f>
        <v>0.84264328491789331</v>
      </c>
      <c r="X25" s="43" t="s">
        <v>92</v>
      </c>
      <c r="Y25" s="42"/>
      <c r="Z25" s="4"/>
      <c r="AA25" s="4"/>
      <c r="AB25" s="4"/>
      <c r="AC25" s="4"/>
      <c r="AD25" s="84"/>
    </row>
    <row r="26" spans="2:30" ht="15" hidden="1" customHeight="1" x14ac:dyDescent="0.35">
      <c r="F26" s="44"/>
      <c r="G26" s="100"/>
      <c r="H26" s="100"/>
      <c r="I26" s="92" t="s">
        <v>23</v>
      </c>
      <c r="J26" s="164">
        <f>D22-D21</f>
        <v>9.9665860122133895E-3</v>
      </c>
      <c r="K26" s="165">
        <f>J26+SQRT((D22-K22)^2+(L21-D21)^2)</f>
        <v>2.9706172234584768E-2</v>
      </c>
      <c r="L26" s="166">
        <f>J26-SQRT((D21-K21)^2+(L22-D22)^2)</f>
        <v>-1.0043844496380044E-2</v>
      </c>
      <c r="M26" s="99"/>
      <c r="N26" s="167">
        <f>1-N25</f>
        <v>0.83010523210568132</v>
      </c>
      <c r="O26" s="168" t="s">
        <v>93</v>
      </c>
      <c r="P26" s="169"/>
      <c r="Q26" s="170"/>
      <c r="R26" s="169"/>
      <c r="S26" s="169"/>
      <c r="T26" s="169"/>
      <c r="U26" s="171"/>
      <c r="W26" s="172"/>
      <c r="X26" s="173"/>
      <c r="Y26" s="169"/>
      <c r="Z26" s="173"/>
      <c r="AA26" s="173"/>
      <c r="AB26" s="173"/>
      <c r="AC26" s="173"/>
      <c r="AD26" s="174"/>
    </row>
    <row r="27" spans="2:30" ht="13.5" hidden="1" customHeight="1" x14ac:dyDescent="0.3">
      <c r="F27" s="45"/>
      <c r="G27" s="100"/>
      <c r="H27" s="100"/>
      <c r="I27" s="92" t="s">
        <v>24</v>
      </c>
      <c r="J27" s="175">
        <f>1/J26</f>
        <v>100.33526011560693</v>
      </c>
      <c r="K27" s="176">
        <f>1/K26</f>
        <v>33.663037839515781</v>
      </c>
      <c r="L27" s="177">
        <f>1/L26</f>
        <v>-99.563468984452655</v>
      </c>
      <c r="M27" s="99"/>
      <c r="N27" s="100"/>
      <c r="O27" s="5"/>
      <c r="P27" s="5"/>
      <c r="U27" s="5"/>
      <c r="V27" s="5"/>
      <c r="W27" s="11"/>
      <c r="X27" s="11"/>
      <c r="Y27" s="11"/>
      <c r="Z27" s="11"/>
      <c r="AA27" s="11"/>
      <c r="AB27" s="11"/>
      <c r="AC27" s="11"/>
    </row>
    <row r="28" spans="2:30" ht="14.25" hidden="1" customHeight="1" x14ac:dyDescent="0.4">
      <c r="G28" s="100"/>
      <c r="H28" s="100"/>
      <c r="K28" s="178"/>
      <c r="L28" s="178"/>
      <c r="M28" s="179"/>
      <c r="N28" s="135"/>
      <c r="O28" s="180"/>
      <c r="P28" s="180" t="s">
        <v>88</v>
      </c>
      <c r="Q28" s="181">
        <f>SQRT((D23*(1-D23)/C21)+(D23*(1-D23)/C22))</f>
        <v>9.9132429542566174E-3</v>
      </c>
      <c r="R28" s="182"/>
      <c r="S28" s="182"/>
      <c r="T28" s="182"/>
      <c r="U28" s="73"/>
      <c r="V28" s="5"/>
    </row>
    <row r="29" spans="2:30" ht="31.5" hidden="1" customHeight="1" x14ac:dyDescent="0.35">
      <c r="F29" s="183"/>
      <c r="G29" s="184"/>
      <c r="H29" s="185" t="s">
        <v>53</v>
      </c>
      <c r="I29" s="186" t="s">
        <v>48</v>
      </c>
      <c r="J29" s="187">
        <f>J27</f>
        <v>100.33526011560693</v>
      </c>
      <c r="K29" s="187">
        <f>K27</f>
        <v>33.663037839515781</v>
      </c>
      <c r="L29" s="187">
        <f>L27</f>
        <v>-99.563468984452655</v>
      </c>
      <c r="M29" s="100"/>
      <c r="N29" s="188" t="s">
        <v>94</v>
      </c>
      <c r="O29" s="189"/>
      <c r="P29" s="18" t="s">
        <v>95</v>
      </c>
      <c r="Q29" s="18"/>
      <c r="R29" s="39"/>
      <c r="S29" s="190" t="s">
        <v>96</v>
      </c>
      <c r="T29" s="18"/>
      <c r="U29" s="153"/>
      <c r="V29" s="5"/>
    </row>
    <row r="30" spans="2:30" s="4" customFormat="1" ht="14.25" hidden="1" customHeight="1" x14ac:dyDescent="0.4">
      <c r="F30" s="47"/>
      <c r="G30" s="191"/>
      <c r="H30" s="192"/>
      <c r="I30" s="193" t="s">
        <v>55</v>
      </c>
      <c r="J30" s="194">
        <f>(1-D22)*J27</f>
        <v>95.774566473988429</v>
      </c>
      <c r="K30" s="194">
        <f>(1-D22)*K27</f>
        <v>32.132899755901427</v>
      </c>
      <c r="L30" s="194">
        <f>(1-D22)*L27</f>
        <v>-95.03785675788663</v>
      </c>
      <c r="M30" s="100"/>
      <c r="N30" s="195"/>
      <c r="O30" s="71" t="s">
        <v>97</v>
      </c>
      <c r="Q30" s="196" t="s">
        <v>98</v>
      </c>
      <c r="R30" s="71" t="s">
        <v>99</v>
      </c>
      <c r="S30" s="18"/>
      <c r="T30" s="18"/>
      <c r="U30" s="84"/>
    </row>
    <row r="31" spans="2:30" s="4" customFormat="1" ht="14.25" hidden="1" customHeight="1" x14ac:dyDescent="0.4">
      <c r="F31" s="48"/>
      <c r="G31" s="197"/>
      <c r="H31" s="198"/>
      <c r="I31" s="199" t="s">
        <v>58</v>
      </c>
      <c r="J31" s="200">
        <f>J27*J26</f>
        <v>1</v>
      </c>
      <c r="K31" s="200">
        <f>K27*K26</f>
        <v>1</v>
      </c>
      <c r="L31" s="200">
        <f>L27*L26</f>
        <v>1</v>
      </c>
      <c r="M31" s="113"/>
      <c r="N31" s="159">
        <f>ABS((J26/Q28))-I21</f>
        <v>-0.95458299486766118</v>
      </c>
      <c r="O31" s="71" t="s">
        <v>100</v>
      </c>
      <c r="P31" s="18"/>
      <c r="Q31" s="18"/>
      <c r="R31" s="38"/>
      <c r="S31" s="40"/>
      <c r="T31" s="40"/>
      <c r="U31" s="151"/>
    </row>
    <row r="32" spans="2:30" s="4" customFormat="1" ht="12.75" hidden="1" customHeight="1" x14ac:dyDescent="0.3">
      <c r="B32" s="201"/>
      <c r="C32" s="49"/>
      <c r="E32" s="28"/>
      <c r="G32" s="202"/>
      <c r="H32" s="203"/>
      <c r="I32" s="204" t="s">
        <v>59</v>
      </c>
      <c r="J32" s="205">
        <f>(D22-J26)*J27</f>
        <v>3.5606936416184967</v>
      </c>
      <c r="K32" s="205">
        <f>(D22-K26)*K27</f>
        <v>0.53013808361435366</v>
      </c>
      <c r="L32" s="205">
        <f>(D22-L26)*L27</f>
        <v>-5.5256122265660297</v>
      </c>
      <c r="M32" s="113"/>
      <c r="N32" s="162">
        <f>NORMSDIST(N31)</f>
        <v>0.16989431004743763</v>
      </c>
      <c r="O32" s="41" t="s">
        <v>101</v>
      </c>
      <c r="P32" s="42"/>
      <c r="Q32" s="18"/>
      <c r="R32" s="18"/>
      <c r="S32" s="18"/>
      <c r="T32" s="18"/>
      <c r="U32" s="84"/>
    </row>
    <row r="33" spans="2:22" s="4" customFormat="1" ht="12.75" hidden="1" customHeight="1" x14ac:dyDescent="0.3">
      <c r="B33" s="201"/>
      <c r="G33" s="206"/>
      <c r="H33" s="207"/>
      <c r="I33" s="207"/>
      <c r="J33" s="208"/>
      <c r="K33" s="208"/>
      <c r="L33" s="208"/>
      <c r="M33" s="113"/>
      <c r="N33" s="167">
        <f>1-N32</f>
        <v>0.8301056899525624</v>
      </c>
      <c r="O33" s="169" t="s">
        <v>102</v>
      </c>
      <c r="P33" s="169"/>
      <c r="Q33" s="170"/>
      <c r="R33" s="209"/>
      <c r="S33" s="210"/>
      <c r="T33" s="210"/>
      <c r="U33" s="171"/>
    </row>
    <row r="34" spans="2:22" s="4" customFormat="1" ht="31.5" hidden="1" customHeight="1" x14ac:dyDescent="0.3">
      <c r="B34" s="121"/>
      <c r="F34" s="27"/>
      <c r="G34" s="211"/>
      <c r="H34" s="185" t="s">
        <v>54</v>
      </c>
      <c r="I34" s="212" t="s">
        <v>103</v>
      </c>
      <c r="J34" s="213">
        <f>ABS(J27)</f>
        <v>100.33526011560693</v>
      </c>
      <c r="K34" s="213">
        <f>ABS(L27)</f>
        <v>99.563468984452655</v>
      </c>
      <c r="L34" s="213">
        <f>ABS(K27)</f>
        <v>33.663037839515781</v>
      </c>
      <c r="M34" s="113"/>
      <c r="N34" s="99"/>
      <c r="O34" s="18"/>
      <c r="P34" s="18"/>
      <c r="Q34" s="18"/>
      <c r="R34" s="18"/>
      <c r="S34" s="18"/>
      <c r="T34" s="18"/>
      <c r="U34" s="18"/>
      <c r="V34" s="18"/>
    </row>
    <row r="35" spans="2:22" s="4" customFormat="1" ht="13.5" hidden="1" customHeight="1" x14ac:dyDescent="0.3">
      <c r="B35" s="121"/>
      <c r="G35" s="191"/>
      <c r="H35" s="192"/>
      <c r="I35" s="193" t="s">
        <v>55</v>
      </c>
      <c r="J35" s="194">
        <f>ABS((1-(D22-J26))*J27)</f>
        <v>96.774566473988429</v>
      </c>
      <c r="K35" s="194">
        <f>ABS((1-(D22-L26))*L27)</f>
        <v>94.03785675788663</v>
      </c>
      <c r="L35" s="194">
        <f>ABS((1-(D22-K26))*K27)</f>
        <v>33.132899755901427</v>
      </c>
      <c r="M35" s="113"/>
      <c r="N35" s="99"/>
      <c r="O35" s="18"/>
      <c r="P35" s="18"/>
      <c r="Q35" s="18"/>
      <c r="R35" s="18"/>
      <c r="S35" s="18"/>
      <c r="T35" s="18"/>
      <c r="U35" s="18"/>
      <c r="V35" s="18"/>
    </row>
    <row r="36" spans="2:22" s="4" customFormat="1" ht="12.75" hidden="1" customHeight="1" x14ac:dyDescent="0.3">
      <c r="B36" s="121"/>
      <c r="F36" s="54"/>
      <c r="G36" s="214"/>
      <c r="H36" s="215"/>
      <c r="I36" s="216" t="s">
        <v>56</v>
      </c>
      <c r="J36" s="217">
        <f>J27*J26</f>
        <v>1</v>
      </c>
      <c r="K36" s="217">
        <f>L27*L26</f>
        <v>1</v>
      </c>
      <c r="L36" s="217">
        <f>K27*K26</f>
        <v>1</v>
      </c>
      <c r="M36" s="113"/>
      <c r="N36" s="99"/>
      <c r="O36" s="18"/>
      <c r="P36" s="18"/>
      <c r="Q36" s="18"/>
      <c r="R36" s="18"/>
      <c r="S36" s="18"/>
      <c r="T36" s="18"/>
      <c r="U36" s="18"/>
      <c r="V36" s="18"/>
    </row>
    <row r="37" spans="2:22" ht="15.75" hidden="1" customHeight="1" x14ac:dyDescent="0.35">
      <c r="B37" s="218" t="s">
        <v>104</v>
      </c>
      <c r="C37" s="55"/>
      <c r="D37" s="55"/>
      <c r="E37" s="55"/>
      <c r="F37" s="50"/>
      <c r="G37" s="202"/>
      <c r="H37" s="203"/>
      <c r="I37" s="204" t="s">
        <v>57</v>
      </c>
      <c r="J37" s="205">
        <f>ABS(D22*J27)</f>
        <v>4.5606936416184967</v>
      </c>
      <c r="K37" s="205">
        <f>ABS(D22*L27)</f>
        <v>4.5256122265660297</v>
      </c>
      <c r="L37" s="205">
        <f>ABS(D22*K27)</f>
        <v>1.5301380836143537</v>
      </c>
      <c r="M37" s="100"/>
      <c r="N37" s="99"/>
      <c r="O37" s="18"/>
      <c r="P37" s="18"/>
      <c r="Q37" s="18"/>
      <c r="R37" s="18"/>
      <c r="S37" s="18"/>
      <c r="T37" s="18"/>
      <c r="U37" s="18"/>
      <c r="V37" s="18"/>
    </row>
    <row r="38" spans="2:22" s="11" customFormat="1" ht="12.75" hidden="1" customHeight="1" x14ac:dyDescent="0.3">
      <c r="B38" s="75"/>
      <c r="C38" s="56" t="s">
        <v>20</v>
      </c>
      <c r="D38" s="57" t="s">
        <v>21</v>
      </c>
      <c r="E38" s="18"/>
      <c r="F38" s="50"/>
      <c r="G38" s="219"/>
      <c r="H38" s="220"/>
      <c r="I38" s="221"/>
      <c r="J38" s="222"/>
      <c r="K38" s="222"/>
      <c r="L38" s="222"/>
      <c r="M38" s="126"/>
      <c r="N38" s="113"/>
      <c r="O38" s="4"/>
      <c r="P38" s="4"/>
      <c r="Q38" s="4"/>
      <c r="R38" s="4"/>
    </row>
    <row r="39" spans="2:22" ht="12.75" hidden="1" customHeight="1" x14ac:dyDescent="0.3">
      <c r="B39" s="223" t="s">
        <v>32</v>
      </c>
      <c r="C39" s="59" t="s">
        <v>3</v>
      </c>
      <c r="D39" s="60" t="s">
        <v>2</v>
      </c>
      <c r="E39" s="61" t="s">
        <v>22</v>
      </c>
      <c r="G39" s="100"/>
      <c r="H39" s="100"/>
      <c r="I39" s="100"/>
      <c r="J39" s="100"/>
      <c r="K39" s="100"/>
      <c r="L39" s="100"/>
      <c r="M39" s="100"/>
      <c r="N39" s="113"/>
      <c r="O39" s="4"/>
      <c r="P39" s="4"/>
      <c r="Q39" s="4"/>
      <c r="R39" s="4"/>
      <c r="U39" s="5"/>
      <c r="V39" s="5"/>
    </row>
    <row r="40" spans="2:22" ht="12.75" hidden="1" customHeight="1" x14ac:dyDescent="0.3">
      <c r="B40" s="224" t="s">
        <v>17</v>
      </c>
      <c r="C40" s="62">
        <f>F7*D9/F9</f>
        <v>31.939278937381403</v>
      </c>
      <c r="D40" s="62">
        <f>F7*E9/F9</f>
        <v>757.06072106261854</v>
      </c>
      <c r="E40" s="62">
        <f>F7</f>
        <v>789</v>
      </c>
      <c r="G40" s="225"/>
      <c r="H40" s="226" t="s">
        <v>30</v>
      </c>
      <c r="I40" s="227">
        <f>CHIINV(0.05,K41)</f>
        <v>3.8414588206941236</v>
      </c>
      <c r="J40" s="100"/>
      <c r="K40" s="100"/>
      <c r="L40" s="100"/>
      <c r="M40" s="100"/>
      <c r="N40" s="113"/>
      <c r="O40" s="51"/>
      <c r="P40" s="51"/>
      <c r="Q40" s="51"/>
      <c r="R40" s="4"/>
      <c r="U40" s="5"/>
      <c r="V40" s="5"/>
    </row>
    <row r="41" spans="2:22" ht="12.75" hidden="1" customHeight="1" x14ac:dyDescent="0.3">
      <c r="B41" s="228" t="s">
        <v>18</v>
      </c>
      <c r="C41" s="62">
        <f>F8*D9/F9</f>
        <v>32.060721062618597</v>
      </c>
      <c r="D41" s="62">
        <f>F8*E9/F9</f>
        <v>759.93927893738146</v>
      </c>
      <c r="E41" s="62">
        <f>F8</f>
        <v>792</v>
      </c>
      <c r="F41" s="11"/>
      <c r="G41" s="229"/>
      <c r="H41" s="229"/>
      <c r="I41" s="230"/>
      <c r="J41" s="231" t="s">
        <v>31</v>
      </c>
      <c r="K41" s="232">
        <f>(COUNT(C40:D40)-1)*(COUNT(C40:C41)-1)</f>
        <v>1</v>
      </c>
      <c r="L41" s="100"/>
      <c r="M41" s="100"/>
      <c r="N41" s="100"/>
      <c r="O41" s="51"/>
      <c r="P41" s="51"/>
      <c r="Q41" s="51"/>
      <c r="R41" s="4"/>
      <c r="U41" s="5"/>
      <c r="V41" s="5"/>
    </row>
    <row r="42" spans="2:22" ht="12.75" hidden="1" customHeight="1" x14ac:dyDescent="0.3">
      <c r="B42" s="233" t="s">
        <v>29</v>
      </c>
      <c r="C42" s="62">
        <f>SUM(C40:C41)</f>
        <v>64</v>
      </c>
      <c r="D42" s="62">
        <f>SUM(D40:D41)</f>
        <v>1517</v>
      </c>
      <c r="E42" s="63">
        <f>SUM(E40:E41)</f>
        <v>1581</v>
      </c>
      <c r="F42" s="11"/>
      <c r="G42" s="126"/>
      <c r="H42" s="234" t="s">
        <v>33</v>
      </c>
      <c r="I42" s="72" t="s">
        <v>34</v>
      </c>
      <c r="J42" s="100"/>
      <c r="K42" s="100"/>
      <c r="L42" s="100"/>
      <c r="M42" s="100"/>
      <c r="N42" s="100"/>
      <c r="O42" s="51"/>
      <c r="P42" s="52"/>
      <c r="Q42" s="51"/>
      <c r="R42" s="4"/>
      <c r="U42" s="5"/>
      <c r="V42" s="5"/>
    </row>
    <row r="43" spans="2:22" ht="12.75" hidden="1" customHeight="1" x14ac:dyDescent="0.3">
      <c r="B43" s="233"/>
      <c r="C43" s="64"/>
      <c r="D43" s="64"/>
      <c r="E43" s="65"/>
      <c r="F43" s="11"/>
      <c r="G43" s="126"/>
      <c r="H43" s="234" t="s">
        <v>35</v>
      </c>
      <c r="I43" s="72" t="s">
        <v>36</v>
      </c>
      <c r="J43" s="100"/>
      <c r="K43" s="100"/>
      <c r="L43" s="100"/>
      <c r="M43" s="100"/>
      <c r="N43" s="100"/>
      <c r="O43" s="53"/>
      <c r="P43" s="53"/>
      <c r="Q43" s="53"/>
      <c r="R43" s="4"/>
      <c r="U43" s="5"/>
      <c r="V43" s="5"/>
    </row>
    <row r="44" spans="2:22" ht="26.25" hidden="1" customHeight="1" x14ac:dyDescent="0.3">
      <c r="B44" s="235"/>
      <c r="C44" s="327" t="s">
        <v>105</v>
      </c>
      <c r="D44" s="328"/>
      <c r="G44" s="100"/>
      <c r="H44" s="236"/>
      <c r="I44" s="100"/>
      <c r="J44" s="100"/>
      <c r="K44" s="100"/>
      <c r="L44" s="100"/>
      <c r="M44" s="100"/>
      <c r="N44" s="100"/>
      <c r="O44" s="5"/>
      <c r="P44" s="5"/>
      <c r="U44" s="5"/>
      <c r="V44" s="5"/>
    </row>
    <row r="45" spans="2:22" ht="12.75" hidden="1" customHeight="1" x14ac:dyDescent="0.3">
      <c r="B45" s="235"/>
      <c r="C45" s="66">
        <f>(D7-C40)^2/C40</f>
        <v>0.48585688414946465</v>
      </c>
      <c r="D45" s="66">
        <f>(E7-D40)^2/D40</f>
        <v>2.0497587729444055E-2</v>
      </c>
      <c r="F45" s="58"/>
      <c r="G45" s="237"/>
      <c r="H45" s="100"/>
      <c r="I45" s="100"/>
      <c r="J45" s="113"/>
      <c r="K45" s="113"/>
      <c r="L45" s="238"/>
      <c r="M45" s="100"/>
      <c r="N45" s="100"/>
      <c r="O45" s="5"/>
      <c r="P45" s="5"/>
      <c r="U45" s="5"/>
      <c r="V45" s="5"/>
    </row>
    <row r="46" spans="2:22" ht="12.75" hidden="1" customHeight="1" x14ac:dyDescent="0.3">
      <c r="B46" s="235"/>
      <c r="C46" s="66">
        <f>(D8-C41)^2/C41</f>
        <v>0.48401651716404992</v>
      </c>
      <c r="D46" s="66">
        <f>(E8-D41)^2/D41</f>
        <v>2.0419945351681009E-2</v>
      </c>
      <c r="E46" s="14"/>
      <c r="F46" s="67" t="s">
        <v>37</v>
      </c>
      <c r="G46" s="239">
        <f>C48-I40</f>
        <v>-2.8306678862994841</v>
      </c>
      <c r="H46" s="100"/>
      <c r="I46" s="100"/>
      <c r="J46" s="113"/>
      <c r="K46" s="113"/>
      <c r="L46" s="100"/>
      <c r="M46" s="100"/>
      <c r="N46" s="100"/>
      <c r="O46" s="5"/>
      <c r="P46" s="5"/>
      <c r="U46" s="5"/>
      <c r="V46" s="5"/>
    </row>
    <row r="47" spans="2:22" ht="12.75" hidden="1" customHeight="1" x14ac:dyDescent="0.3">
      <c r="B47" s="72" t="s">
        <v>39</v>
      </c>
      <c r="D47" s="68"/>
      <c r="G47" s="77" t="s">
        <v>40</v>
      </c>
      <c r="H47" s="100"/>
      <c r="I47" s="100"/>
      <c r="J47" s="113"/>
      <c r="K47" s="113"/>
      <c r="L47" s="100"/>
      <c r="M47" s="100"/>
      <c r="N47" s="100"/>
      <c r="O47" s="5"/>
      <c r="P47" s="5"/>
      <c r="U47" s="5"/>
      <c r="V47" s="5"/>
    </row>
    <row r="48" spans="2:22" ht="13.5" hidden="1" customHeight="1" x14ac:dyDescent="0.3">
      <c r="B48" s="85" t="s">
        <v>38</v>
      </c>
      <c r="C48" s="240">
        <f>SUM(C45:D46)</f>
        <v>1.0107909343946395</v>
      </c>
      <c r="D48" s="18"/>
      <c r="G48" s="77" t="s">
        <v>41</v>
      </c>
      <c r="H48" s="100"/>
      <c r="I48" s="241"/>
      <c r="J48" s="113"/>
      <c r="K48" s="113"/>
      <c r="L48" s="242"/>
      <c r="M48" s="100"/>
      <c r="N48" s="100"/>
      <c r="O48" s="5"/>
      <c r="P48" s="5"/>
      <c r="U48" s="5"/>
      <c r="V48" s="5"/>
    </row>
    <row r="49" spans="2:22" ht="12.75" hidden="1" customHeight="1" x14ac:dyDescent="0.3">
      <c r="B49" s="243" t="s">
        <v>65</v>
      </c>
      <c r="C49" s="244">
        <f>CHIDIST(C48,1)</f>
        <v>0.31471343016421344</v>
      </c>
      <c r="E49" s="18"/>
      <c r="F49" s="18"/>
      <c r="G49" s="99"/>
      <c r="H49" s="245"/>
      <c r="I49" s="99"/>
      <c r="J49" s="113"/>
      <c r="K49" s="113"/>
      <c r="L49" s="99"/>
      <c r="M49" s="100"/>
      <c r="N49" s="100"/>
      <c r="O49" s="5"/>
      <c r="P49" s="5"/>
      <c r="U49" s="5"/>
      <c r="V49" s="5"/>
    </row>
    <row r="50" spans="2:22" s="4" customFormat="1" ht="12.75" hidden="1" customHeight="1" x14ac:dyDescent="0.3">
      <c r="B50" s="121"/>
      <c r="E50" s="69"/>
      <c r="F50" s="69"/>
      <c r="G50" s="113"/>
      <c r="H50" s="113"/>
      <c r="I50" s="246"/>
      <c r="J50" s="113"/>
      <c r="K50" s="113"/>
      <c r="L50" s="113"/>
      <c r="M50" s="113"/>
      <c r="N50" s="113"/>
    </row>
    <row r="51" spans="2:22" ht="13.5" hidden="1" customHeight="1" x14ac:dyDescent="0.3">
      <c r="B51" s="75"/>
      <c r="G51" s="100"/>
      <c r="H51" s="100"/>
      <c r="I51" s="100"/>
      <c r="J51" s="113"/>
      <c r="K51" s="113"/>
      <c r="L51" s="100"/>
      <c r="M51" s="100"/>
      <c r="N51" s="100"/>
      <c r="O51" s="5"/>
      <c r="P51" s="5"/>
      <c r="U51" s="5"/>
      <c r="V51" s="5"/>
    </row>
    <row r="52" spans="2:22" ht="12.75" hidden="1" customHeight="1" x14ac:dyDescent="0.3">
      <c r="B52" s="247" t="s">
        <v>106</v>
      </c>
      <c r="C52" s="83"/>
      <c r="D52" s="83"/>
      <c r="E52" s="83"/>
      <c r="F52" s="83"/>
      <c r="G52" s="83"/>
      <c r="H52" s="248"/>
      <c r="I52" s="100"/>
      <c r="J52" s="249" t="s">
        <v>107</v>
      </c>
      <c r="K52" s="250"/>
      <c r="L52" s="251"/>
      <c r="M52" s="251"/>
      <c r="N52" s="251"/>
      <c r="O52" s="73"/>
      <c r="P52" s="5"/>
      <c r="U52" s="5"/>
      <c r="V52" s="5"/>
    </row>
    <row r="53" spans="2:22" ht="12.75" hidden="1" customHeight="1" x14ac:dyDescent="0.3">
      <c r="B53" s="252">
        <f>I2*100</f>
        <v>95</v>
      </c>
      <c r="C53" s="50"/>
      <c r="D53" s="50"/>
      <c r="E53" s="4"/>
      <c r="F53" s="4"/>
      <c r="G53" s="4"/>
      <c r="H53" s="84"/>
      <c r="I53" s="100"/>
      <c r="J53" s="253"/>
      <c r="K53" s="113"/>
      <c r="L53" s="99"/>
      <c r="M53" s="99"/>
      <c r="N53" s="99"/>
      <c r="O53" s="153"/>
      <c r="P53" s="5"/>
      <c r="U53" s="5"/>
      <c r="V53" s="5"/>
    </row>
    <row r="54" spans="2:22" ht="12.75" hidden="1" customHeight="1" x14ac:dyDescent="0.3">
      <c r="B54" s="254" t="s">
        <v>44</v>
      </c>
      <c r="C54" s="255"/>
      <c r="D54" s="255"/>
      <c r="E54" s="1">
        <f>ROUND(G14,2)</f>
        <v>0.78</v>
      </c>
      <c r="F54" s="46">
        <f>ROUND(J26,4)</f>
        <v>0.01</v>
      </c>
      <c r="G54" s="256">
        <f>ROUND(J27,0)</f>
        <v>100</v>
      </c>
      <c r="H54" s="257"/>
      <c r="I54" s="100"/>
      <c r="J54" s="258" t="s">
        <v>44</v>
      </c>
      <c r="K54" s="4"/>
      <c r="L54" s="4"/>
      <c r="M54" s="4"/>
      <c r="N54" s="99"/>
      <c r="O54" s="153"/>
      <c r="P54" s="5"/>
      <c r="U54" s="5"/>
      <c r="V54" s="5"/>
    </row>
    <row r="55" spans="2:22" ht="12.75" hidden="1" customHeight="1" x14ac:dyDescent="0.3">
      <c r="B55" s="254" t="s">
        <v>46</v>
      </c>
      <c r="C55" s="18"/>
      <c r="D55" s="18"/>
      <c r="E55" s="1">
        <f>ROUND(H14,2)</f>
        <v>0.48</v>
      </c>
      <c r="F55" s="46">
        <f>ROUND(L26,4)</f>
        <v>-0.01</v>
      </c>
      <c r="G55" s="256">
        <f>ROUND(L27,0)</f>
        <v>-100</v>
      </c>
      <c r="H55" s="257"/>
      <c r="I55" s="100"/>
      <c r="J55" s="258" t="s">
        <v>46</v>
      </c>
      <c r="K55" s="259" t="str">
        <f>ROUND(J21,4)*100&amp;J57</f>
        <v>3,55%</v>
      </c>
      <c r="L55" s="259" t="str">
        <f>ROUND(K21,4)*100&amp;J57</f>
        <v>2,47%</v>
      </c>
      <c r="M55" s="259" t="str">
        <f>ROUND(L21,4)*100&amp;J57</f>
        <v>5,08%</v>
      </c>
      <c r="N55" s="76" t="str">
        <f>CONCATENATE(K55," ",J54,L55," ",J58," ",M55,J56)</f>
        <v>3,55% (2,47% a 5,08%)</v>
      </c>
      <c r="O55" s="153"/>
      <c r="P55" s="5"/>
      <c r="U55" s="5"/>
      <c r="V55" s="5"/>
    </row>
    <row r="56" spans="2:22" s="11" customFormat="1" ht="12.75" hidden="1" customHeight="1" x14ac:dyDescent="0.3">
      <c r="B56" s="254" t="s">
        <v>45</v>
      </c>
      <c r="C56" s="255">
        <f>ROUND(D7,0)</f>
        <v>28</v>
      </c>
      <c r="D56" s="255">
        <f>ROUND(D8,0)</f>
        <v>36</v>
      </c>
      <c r="E56" s="1">
        <f>ROUND(I14,2)</f>
        <v>1.27</v>
      </c>
      <c r="F56" s="46">
        <f>ROUND(K26,4)</f>
        <v>2.9700000000000001E-2</v>
      </c>
      <c r="G56" s="256">
        <f>ROUND(K27,0)</f>
        <v>34</v>
      </c>
      <c r="H56" s="260">
        <f>ROUND(N32,4)</f>
        <v>0.1699</v>
      </c>
      <c r="I56" s="126"/>
      <c r="J56" s="258" t="s">
        <v>45</v>
      </c>
      <c r="K56" s="70" t="str">
        <f>ROUND(J22,4)*100&amp;J57</f>
        <v>4,55%</v>
      </c>
      <c r="L56" s="70" t="str">
        <f>ROUND(K22,4)*100&amp;J57</f>
        <v>3,3%</v>
      </c>
      <c r="M56" s="70" t="str">
        <f>ROUND(L22,4)*100&amp;J57</f>
        <v>6,23%</v>
      </c>
      <c r="N56" s="76" t="str">
        <f>CONCATENATE(K56," ",J54,L56," ",J58," ",M56,J56)</f>
        <v>4,55% (3,3% a 6,23%)</v>
      </c>
      <c r="O56" s="84"/>
    </row>
    <row r="57" spans="2:22" ht="12.75" hidden="1" customHeight="1" x14ac:dyDescent="0.3">
      <c r="B57" s="254" t="s">
        <v>47</v>
      </c>
      <c r="C57" s="261" t="s">
        <v>61</v>
      </c>
      <c r="D57" s="261" t="s">
        <v>62</v>
      </c>
      <c r="E57" s="261" t="s">
        <v>4</v>
      </c>
      <c r="F57" s="261" t="s">
        <v>50</v>
      </c>
      <c r="G57" s="262" t="s">
        <v>48</v>
      </c>
      <c r="H57" s="225" t="s">
        <v>51</v>
      </c>
      <c r="I57" s="100"/>
      <c r="J57" s="258" t="s">
        <v>47</v>
      </c>
      <c r="K57" s="70" t="str">
        <f>ROUND(J23,4)*100&amp;J57</f>
        <v>4,05%</v>
      </c>
      <c r="L57" s="70" t="str">
        <f>ROUND(K23,4)*100&amp;J57</f>
        <v>3,18%</v>
      </c>
      <c r="M57" s="70" t="str">
        <f>ROUND(L23,4)*100&amp;J57</f>
        <v>5,14%</v>
      </c>
      <c r="N57" s="76" t="str">
        <f>CONCATENATE(K57," ",J54,L57," ",J58," ",M57,J56)</f>
        <v>4,05% (3,18% a 5,14%)</v>
      </c>
      <c r="O57" s="84"/>
    </row>
    <row r="58" spans="2:22" ht="12.75" hidden="1" customHeight="1" x14ac:dyDescent="0.3">
      <c r="B58" s="263" t="s">
        <v>19</v>
      </c>
      <c r="C58" s="264" t="str">
        <f>CONCATENATE(C56,B59,C21," ",B54,K55,B56)</f>
        <v>28/789 (3,55%)</v>
      </c>
      <c r="D58" s="92" t="str">
        <f>CONCATENATE(D56,B59,C22," ",B54,K56,B56)</f>
        <v>36/792 (4,55%)</v>
      </c>
      <c r="E58" s="264" t="str">
        <f>CONCATENATE(E54," ",B54,E55,B55,E56,B56)</f>
        <v>0,78 (0,48-1,27)</v>
      </c>
      <c r="F58" s="264" t="str">
        <f>CONCATENATE(F54*100,B57," ",B54,F55*100,B57," ",B58," ",F56*100,B57,B56)</f>
        <v>1% (-1% a 2,97%)</v>
      </c>
      <c r="G58" s="225" t="str">
        <f>CONCATENATE(G54," ",B54,G56," ",B58," ",G55,B56)</f>
        <v>100 (34 a -100)</v>
      </c>
      <c r="H58" s="225" t="str">
        <f>CONCATENATE(H56*100,B57)</f>
        <v>16,99%</v>
      </c>
      <c r="I58" s="100"/>
      <c r="J58" s="265" t="s">
        <v>19</v>
      </c>
      <c r="K58" s="18"/>
      <c r="L58" s="18"/>
      <c r="M58" s="18"/>
      <c r="N58" s="99"/>
      <c r="O58" s="153"/>
      <c r="P58" s="5"/>
      <c r="U58" s="5"/>
      <c r="V58" s="5"/>
    </row>
    <row r="59" spans="2:22" ht="13.5" hidden="1" customHeight="1" x14ac:dyDescent="0.3">
      <c r="B59" s="266" t="s">
        <v>49</v>
      </c>
      <c r="C59" s="173"/>
      <c r="D59" s="173"/>
      <c r="E59" s="173"/>
      <c r="F59" s="173"/>
      <c r="G59" s="267"/>
      <c r="H59" s="268"/>
      <c r="I59" s="100"/>
      <c r="J59" s="269" t="s">
        <v>49</v>
      </c>
      <c r="K59" s="173"/>
      <c r="L59" s="173"/>
      <c r="M59" s="173"/>
      <c r="N59" s="270"/>
      <c r="O59" s="171"/>
      <c r="P59" s="5"/>
      <c r="U59" s="5"/>
      <c r="V59" s="5"/>
    </row>
    <row r="60" spans="2:22" hidden="1" x14ac:dyDescent="0.3">
      <c r="B60" s="75"/>
      <c r="G60" s="100"/>
      <c r="H60" s="100"/>
      <c r="I60" s="100"/>
      <c r="J60" s="100"/>
      <c r="K60" s="100"/>
      <c r="L60" s="113"/>
      <c r="M60" s="100"/>
      <c r="N60" s="100"/>
      <c r="O60" s="5"/>
      <c r="P60" s="5"/>
      <c r="T60" s="282" t="e">
        <f>S9/#REF!</f>
        <v>#REF!</v>
      </c>
      <c r="U60" s="5"/>
      <c r="V60" s="5"/>
    </row>
    <row r="61" spans="2:22" ht="27" hidden="1" customHeight="1" x14ac:dyDescent="0.3">
      <c r="B61" s="75"/>
      <c r="C61" s="271" t="s">
        <v>61</v>
      </c>
      <c r="D61" s="271" t="s">
        <v>62</v>
      </c>
      <c r="E61" s="272" t="str">
        <f>CONCATENATE(E57," ",B54,H2," ",B53,B57,B56)</f>
        <v>RR (IC 95%)</v>
      </c>
      <c r="F61" s="272" t="str">
        <f>CONCATENATE(F57," ",B54,H2," ",B53,B57,B56)</f>
        <v>RAR (IC 95%)</v>
      </c>
      <c r="G61" s="272" t="str">
        <f>CONCATENATE(G57," ",B54,H2," ",B53,B57,B56)</f>
        <v>NNT (IC 95%)</v>
      </c>
      <c r="H61" s="272" t="s">
        <v>52</v>
      </c>
      <c r="I61" s="273"/>
      <c r="J61" s="272" t="s">
        <v>66</v>
      </c>
      <c r="L61" s="274" t="s">
        <v>108</v>
      </c>
      <c r="M61" s="274" t="s">
        <v>109</v>
      </c>
      <c r="O61" s="5"/>
      <c r="P61" s="5"/>
      <c r="U61" s="5"/>
      <c r="V61" s="5"/>
    </row>
    <row r="62" spans="2:22" ht="21" hidden="1" customHeight="1" x14ac:dyDescent="0.3">
      <c r="B62" s="75"/>
      <c r="C62" s="92" t="str">
        <f t="shared" ref="C62:H62" si="1">C58</f>
        <v>28/789 (3,55%)</v>
      </c>
      <c r="D62" s="92" t="str">
        <f t="shared" si="1"/>
        <v>36/792 (4,55%)</v>
      </c>
      <c r="E62" s="92" t="str">
        <f t="shared" si="1"/>
        <v>0,78 (0,48-1,27)</v>
      </c>
      <c r="F62" s="92" t="str">
        <f t="shared" si="1"/>
        <v>1% (-1% a 2,97%)</v>
      </c>
      <c r="G62" s="92" t="str">
        <f t="shared" si="1"/>
        <v>100 (34 a -100)</v>
      </c>
      <c r="H62" s="92" t="str">
        <f t="shared" si="1"/>
        <v>16,99%</v>
      </c>
      <c r="I62" s="275"/>
      <c r="J62" s="276">
        <f>C49</f>
        <v>0.31471343016421344</v>
      </c>
      <c r="L62" s="277">
        <f>IF((K26*L26&lt;0),J23,J21)</f>
        <v>4.0480708412397218E-2</v>
      </c>
      <c r="M62" s="277">
        <f>IF((K26*L26&lt;0),J23,J22)</f>
        <v>4.0480708412397218E-2</v>
      </c>
      <c r="O62" s="5"/>
      <c r="P62" s="5"/>
      <c r="U62" s="5"/>
      <c r="V62" s="5"/>
    </row>
    <row r="63" spans="2:22" hidden="1" x14ac:dyDescent="0.3">
      <c r="L63" s="4"/>
    </row>
    <row r="64" spans="2:22" hidden="1" x14ac:dyDescent="0.3">
      <c r="L64" s="4"/>
    </row>
    <row r="66" spans="1:10" x14ac:dyDescent="0.3">
      <c r="B66" s="290" t="s">
        <v>344</v>
      </c>
    </row>
    <row r="67" spans="1:10" ht="13.5" thickBot="1" x14ac:dyDescent="0.35">
      <c r="B67" s="291" t="s">
        <v>118</v>
      </c>
    </row>
    <row r="68" spans="1:10" ht="37" customHeight="1" thickBot="1" x14ac:dyDescent="0.35">
      <c r="A68" s="310"/>
      <c r="B68" s="332" t="s">
        <v>340</v>
      </c>
      <c r="C68" s="333"/>
      <c r="D68" s="333"/>
      <c r="E68" s="333"/>
      <c r="F68" s="333"/>
      <c r="G68" s="333"/>
      <c r="H68" s="333"/>
      <c r="I68" s="333"/>
      <c r="J68" s="334"/>
    </row>
    <row r="69" spans="1:10" ht="7" customHeight="1" thickBot="1" x14ac:dyDescent="0.35">
      <c r="A69" s="310"/>
      <c r="B69" s="310"/>
      <c r="C69" s="310"/>
      <c r="D69" s="310"/>
      <c r="E69" s="310"/>
      <c r="F69" s="310"/>
      <c r="G69" s="310"/>
      <c r="H69" s="310"/>
      <c r="I69" s="310"/>
      <c r="J69" s="310"/>
    </row>
    <row r="70" spans="1:10" ht="34" customHeight="1" thickBot="1" x14ac:dyDescent="0.35">
      <c r="A70" s="310"/>
      <c r="B70" s="310"/>
      <c r="C70" s="310"/>
      <c r="D70" s="329" t="s">
        <v>345</v>
      </c>
      <c r="E70" s="330"/>
      <c r="F70" s="331"/>
      <c r="G70" s="310"/>
      <c r="H70" s="329" t="s">
        <v>346</v>
      </c>
      <c r="I70" s="330"/>
      <c r="J70" s="331"/>
    </row>
    <row r="71" spans="1:10" ht="29" x14ac:dyDescent="0.3">
      <c r="A71" s="310"/>
      <c r="B71" s="317" t="s">
        <v>341</v>
      </c>
      <c r="C71" s="310"/>
      <c r="D71" s="311" t="s">
        <v>122</v>
      </c>
      <c r="E71" s="311" t="s">
        <v>123</v>
      </c>
      <c r="F71" s="292" t="s">
        <v>121</v>
      </c>
      <c r="G71" s="310"/>
      <c r="H71" s="311" t="s">
        <v>119</v>
      </c>
      <c r="I71" s="311" t="s">
        <v>120</v>
      </c>
      <c r="J71" s="292" t="s">
        <v>121</v>
      </c>
    </row>
    <row r="72" spans="1:10" x14ac:dyDescent="0.3">
      <c r="A72" s="310"/>
      <c r="B72" s="312"/>
      <c r="C72" s="310"/>
      <c r="D72" s="312"/>
      <c r="E72" s="312"/>
      <c r="F72" s="312"/>
      <c r="G72" s="310"/>
      <c r="H72" s="312"/>
      <c r="I72" s="312"/>
      <c r="J72" s="312"/>
    </row>
    <row r="73" spans="1:10" ht="14.5" x14ac:dyDescent="0.3">
      <c r="A73" s="310"/>
      <c r="B73" s="293" t="s">
        <v>124</v>
      </c>
      <c r="C73" s="310"/>
      <c r="D73" s="301" t="s">
        <v>319</v>
      </c>
      <c r="E73" s="301" t="s">
        <v>320</v>
      </c>
      <c r="F73" s="294"/>
      <c r="G73" s="310"/>
      <c r="H73" s="301" t="s">
        <v>125</v>
      </c>
      <c r="I73" s="301" t="s">
        <v>126</v>
      </c>
      <c r="J73" s="294"/>
    </row>
    <row r="74" spans="1:10" ht="14.5" x14ac:dyDescent="0.3">
      <c r="A74" s="310"/>
      <c r="B74" s="295" t="s">
        <v>127</v>
      </c>
      <c r="C74" s="310"/>
      <c r="D74" s="301" t="s">
        <v>128</v>
      </c>
      <c r="E74" s="301" t="s">
        <v>129</v>
      </c>
      <c r="F74" s="302">
        <v>0.33223860911452968</v>
      </c>
      <c r="G74" s="310"/>
      <c r="H74" s="301" t="s">
        <v>321</v>
      </c>
      <c r="I74" s="301" t="s">
        <v>322</v>
      </c>
      <c r="J74" s="302">
        <v>0.49729783183977017</v>
      </c>
    </row>
    <row r="75" spans="1:10" ht="14.5" x14ac:dyDescent="0.3">
      <c r="A75" s="310"/>
      <c r="B75" s="295" t="s">
        <v>130</v>
      </c>
      <c r="C75" s="310"/>
      <c r="D75" s="301" t="s">
        <v>131</v>
      </c>
      <c r="E75" s="301" t="s">
        <v>132</v>
      </c>
      <c r="F75" s="302">
        <v>0.33223860911452968</v>
      </c>
      <c r="G75" s="310"/>
      <c r="H75" s="301" t="s">
        <v>323</v>
      </c>
      <c r="I75" s="301" t="s">
        <v>324</v>
      </c>
      <c r="J75" s="302">
        <v>0.49729783183977017</v>
      </c>
    </row>
    <row r="76" spans="1:10" ht="14.5" x14ac:dyDescent="0.35">
      <c r="A76" s="310"/>
      <c r="B76" s="313" t="s">
        <v>133</v>
      </c>
      <c r="C76" s="310"/>
      <c r="D76" s="313"/>
      <c r="E76" s="313"/>
      <c r="F76" s="314"/>
      <c r="G76" s="310"/>
      <c r="H76" s="313"/>
      <c r="I76" s="313"/>
      <c r="J76" s="314"/>
    </row>
    <row r="77" spans="1:10" ht="14.5" x14ac:dyDescent="0.3">
      <c r="A77" s="310"/>
      <c r="B77" s="296" t="s">
        <v>134</v>
      </c>
      <c r="C77" s="310"/>
      <c r="D77" s="301" t="s">
        <v>135</v>
      </c>
      <c r="E77" s="301" t="s">
        <v>136</v>
      </c>
      <c r="F77" s="302">
        <v>0.40743933274787669</v>
      </c>
      <c r="G77" s="310"/>
      <c r="H77" s="301" t="s">
        <v>325</v>
      </c>
      <c r="I77" s="301" t="s">
        <v>326</v>
      </c>
      <c r="J77" s="302">
        <v>0.32749474583624988</v>
      </c>
    </row>
    <row r="78" spans="1:10" ht="14.5" x14ac:dyDescent="0.3">
      <c r="A78" s="310"/>
      <c r="B78" s="296" t="s">
        <v>134</v>
      </c>
      <c r="C78" s="310"/>
      <c r="D78" s="301" t="s">
        <v>137</v>
      </c>
      <c r="E78" s="301" t="s">
        <v>138</v>
      </c>
      <c r="F78" s="302">
        <v>0.40743933274787669</v>
      </c>
      <c r="G78" s="310"/>
      <c r="H78" s="301" t="s">
        <v>327</v>
      </c>
      <c r="I78" s="301" t="s">
        <v>328</v>
      </c>
      <c r="J78" s="302">
        <v>0.32749474583624988</v>
      </c>
    </row>
    <row r="79" spans="1:10" ht="14.5" x14ac:dyDescent="0.3">
      <c r="A79" s="310"/>
      <c r="B79" s="297" t="s">
        <v>139</v>
      </c>
      <c r="C79" s="310"/>
      <c r="D79" s="298"/>
      <c r="E79" s="298"/>
      <c r="F79" s="299"/>
      <c r="G79" s="310"/>
      <c r="H79" s="298"/>
      <c r="I79" s="298"/>
      <c r="J79" s="299"/>
    </row>
    <row r="80" spans="1:10" ht="14.5" x14ac:dyDescent="0.3">
      <c r="A80" s="310"/>
      <c r="B80" s="300" t="s">
        <v>140</v>
      </c>
      <c r="C80" s="310"/>
      <c r="D80" s="301" t="s">
        <v>141</v>
      </c>
      <c r="E80" s="301" t="s">
        <v>142</v>
      </c>
      <c r="F80" s="302">
        <v>0.61702895636094379</v>
      </c>
      <c r="G80" s="310"/>
      <c r="H80" s="301" t="s">
        <v>331</v>
      </c>
      <c r="I80" s="301" t="s">
        <v>332</v>
      </c>
      <c r="J80" s="302">
        <v>0.35127751971305754</v>
      </c>
    </row>
    <row r="81" spans="1:10" ht="14.5" x14ac:dyDescent="0.3">
      <c r="A81" s="310"/>
      <c r="B81" s="300" t="s">
        <v>143</v>
      </c>
      <c r="C81" s="310"/>
      <c r="D81" s="301" t="s">
        <v>144</v>
      </c>
      <c r="E81" s="301" t="s">
        <v>145</v>
      </c>
      <c r="F81" s="302">
        <v>9.9713800659075605E-2</v>
      </c>
      <c r="G81" s="310"/>
      <c r="H81" s="301" t="s">
        <v>335</v>
      </c>
      <c r="I81" s="301" t="s">
        <v>336</v>
      </c>
      <c r="J81" s="302">
        <v>3.2999256561078431E-2</v>
      </c>
    </row>
    <row r="82" spans="1:10" ht="14.5" x14ac:dyDescent="0.3">
      <c r="A82" s="310"/>
      <c r="B82" s="300" t="s">
        <v>146</v>
      </c>
      <c r="C82" s="310"/>
      <c r="D82" s="301" t="s">
        <v>147</v>
      </c>
      <c r="E82" s="301" t="s">
        <v>148</v>
      </c>
      <c r="F82" s="302">
        <v>0.7513134972634633</v>
      </c>
      <c r="G82" s="310"/>
      <c r="H82" s="301" t="s">
        <v>329</v>
      </c>
      <c r="I82" s="301" t="s">
        <v>330</v>
      </c>
      <c r="J82" s="302">
        <v>0.89237066401156195</v>
      </c>
    </row>
    <row r="83" spans="1:10" ht="14.5" x14ac:dyDescent="0.3">
      <c r="A83" s="310"/>
      <c r="B83" s="300" t="s">
        <v>149</v>
      </c>
      <c r="C83" s="310"/>
      <c r="D83" s="301" t="s">
        <v>150</v>
      </c>
      <c r="E83" s="301" t="s">
        <v>151</v>
      </c>
      <c r="F83" s="302">
        <v>0.96602354628470277</v>
      </c>
      <c r="G83" s="310"/>
      <c r="H83" s="301" t="s">
        <v>333</v>
      </c>
      <c r="I83" s="301" t="s">
        <v>334</v>
      </c>
      <c r="J83" s="302">
        <v>0.69968747931025432</v>
      </c>
    </row>
    <row r="84" spans="1:10" ht="14.5" x14ac:dyDescent="0.3">
      <c r="A84" s="310"/>
      <c r="B84" s="300" t="s">
        <v>152</v>
      </c>
      <c r="C84" s="310"/>
      <c r="D84" s="301" t="s">
        <v>153</v>
      </c>
      <c r="E84" s="301" t="s">
        <v>154</v>
      </c>
      <c r="F84" s="302">
        <v>0.25065518415536858</v>
      </c>
      <c r="G84" s="310"/>
      <c r="H84" s="301" t="s">
        <v>337</v>
      </c>
      <c r="I84" s="301" t="s">
        <v>338</v>
      </c>
      <c r="J84" s="302">
        <v>0.31471343016421344</v>
      </c>
    </row>
    <row r="85" spans="1:10" ht="14.5" x14ac:dyDescent="0.3">
      <c r="A85" s="310"/>
      <c r="B85" s="297" t="s">
        <v>155</v>
      </c>
      <c r="C85" s="310"/>
      <c r="D85" s="298"/>
      <c r="E85" s="298"/>
      <c r="F85" s="299"/>
      <c r="G85" s="310"/>
      <c r="H85" s="298"/>
      <c r="I85" s="298"/>
      <c r="J85" s="299"/>
    </row>
    <row r="86" spans="1:10" ht="14.5" x14ac:dyDescent="0.3">
      <c r="A86" s="310"/>
      <c r="B86" s="300" t="s">
        <v>156</v>
      </c>
      <c r="C86" s="310"/>
      <c r="D86" s="301" t="s">
        <v>157</v>
      </c>
      <c r="E86" s="301" t="s">
        <v>158</v>
      </c>
      <c r="F86" s="302">
        <v>0.53621342469971323</v>
      </c>
      <c r="G86" s="310"/>
      <c r="H86" s="301" t="s">
        <v>302</v>
      </c>
      <c r="I86" s="301" t="s">
        <v>303</v>
      </c>
      <c r="J86" s="302">
        <v>0.96755607524821152</v>
      </c>
    </row>
    <row r="87" spans="1:10" ht="14.5" x14ac:dyDescent="0.3">
      <c r="A87" s="310"/>
      <c r="B87" s="300" t="s">
        <v>159</v>
      </c>
      <c r="C87" s="310"/>
      <c r="D87" s="301" t="s">
        <v>160</v>
      </c>
      <c r="E87" s="301" t="s">
        <v>161</v>
      </c>
      <c r="F87" s="302">
        <v>0.87464479654472838</v>
      </c>
      <c r="G87" s="310"/>
      <c r="H87" s="301" t="s">
        <v>304</v>
      </c>
      <c r="I87" s="301" t="s">
        <v>305</v>
      </c>
      <c r="J87" s="302">
        <v>0.97301131844999322</v>
      </c>
    </row>
    <row r="88" spans="1:10" ht="14.5" x14ac:dyDescent="0.3">
      <c r="A88" s="310"/>
      <c r="B88" s="303" t="s">
        <v>162</v>
      </c>
      <c r="C88" s="310"/>
      <c r="D88" s="301" t="s">
        <v>163</v>
      </c>
      <c r="E88" s="301" t="s">
        <v>164</v>
      </c>
      <c r="F88" s="302">
        <v>0.66802170683902951</v>
      </c>
      <c r="G88" s="310"/>
      <c r="H88" s="301" t="s">
        <v>306</v>
      </c>
      <c r="I88" s="301" t="s">
        <v>307</v>
      </c>
      <c r="J88" s="302">
        <v>0.99282296154481631</v>
      </c>
    </row>
    <row r="89" spans="1:10" ht="14.5" x14ac:dyDescent="0.3">
      <c r="A89" s="310"/>
      <c r="B89" s="297" t="s">
        <v>165</v>
      </c>
      <c r="C89" s="310"/>
      <c r="D89" s="304"/>
      <c r="E89" s="304"/>
      <c r="F89" s="299"/>
      <c r="G89" s="310"/>
      <c r="H89" s="304"/>
      <c r="I89" s="304"/>
      <c r="J89" s="299"/>
    </row>
    <row r="90" spans="1:10" ht="14.5" x14ac:dyDescent="0.3">
      <c r="A90" s="310"/>
      <c r="B90" s="305" t="s">
        <v>166</v>
      </c>
      <c r="C90" s="310"/>
      <c r="D90" s="301" t="s">
        <v>167</v>
      </c>
      <c r="E90" s="301" t="s">
        <v>168</v>
      </c>
      <c r="F90" s="302">
        <v>0.7298775857795774</v>
      </c>
      <c r="G90" s="310"/>
      <c r="H90" s="301" t="s">
        <v>308</v>
      </c>
      <c r="I90" s="301" t="s">
        <v>309</v>
      </c>
      <c r="J90" s="302">
        <v>0.65578490923562804</v>
      </c>
    </row>
    <row r="91" spans="1:10" ht="14.5" x14ac:dyDescent="0.3">
      <c r="A91" s="310"/>
      <c r="B91" s="305" t="s">
        <v>169</v>
      </c>
      <c r="C91" s="310"/>
      <c r="D91" s="301" t="s">
        <v>170</v>
      </c>
      <c r="E91" s="301" t="s">
        <v>171</v>
      </c>
      <c r="F91" s="302">
        <v>0.68167197072116381</v>
      </c>
      <c r="G91" s="310"/>
      <c r="H91" s="301" t="s">
        <v>310</v>
      </c>
      <c r="I91" s="301" t="s">
        <v>311</v>
      </c>
      <c r="J91" s="302">
        <v>0.5501261690713577</v>
      </c>
    </row>
    <row r="92" spans="1:10" ht="14.5" x14ac:dyDescent="0.3">
      <c r="A92" s="310"/>
      <c r="B92" s="305" t="s">
        <v>172</v>
      </c>
      <c r="C92" s="310"/>
      <c r="D92" s="301" t="s">
        <v>173</v>
      </c>
      <c r="E92" s="301" t="s">
        <v>174</v>
      </c>
      <c r="F92" s="302" t="s">
        <v>175</v>
      </c>
      <c r="G92" s="310"/>
      <c r="H92" s="301" t="s">
        <v>264</v>
      </c>
      <c r="I92" s="301" t="s">
        <v>312</v>
      </c>
      <c r="J92" s="302">
        <v>0.31853674536739185</v>
      </c>
    </row>
    <row r="93" spans="1:10" ht="14.5" x14ac:dyDescent="0.3">
      <c r="A93" s="310"/>
      <c r="B93" s="306" t="s">
        <v>176</v>
      </c>
      <c r="C93" s="310"/>
      <c r="D93" s="298"/>
      <c r="E93" s="298"/>
      <c r="F93" s="299"/>
      <c r="G93" s="310"/>
      <c r="H93" s="298"/>
      <c r="I93" s="298"/>
      <c r="J93" s="299"/>
    </row>
    <row r="94" spans="1:10" ht="14.5" x14ac:dyDescent="0.3">
      <c r="A94" s="310"/>
      <c r="B94" s="307" t="s">
        <v>177</v>
      </c>
      <c r="C94" s="310"/>
      <c r="D94" s="301" t="s">
        <v>178</v>
      </c>
      <c r="E94" s="301" t="s">
        <v>179</v>
      </c>
      <c r="F94" s="302">
        <v>0.70935998695556146</v>
      </c>
      <c r="G94" s="310"/>
      <c r="H94" s="301" t="s">
        <v>313</v>
      </c>
      <c r="I94" s="301" t="s">
        <v>314</v>
      </c>
      <c r="J94" s="302">
        <v>0.99533759736467775</v>
      </c>
    </row>
    <row r="95" spans="1:10" ht="14.5" x14ac:dyDescent="0.3">
      <c r="A95" s="310"/>
      <c r="B95" s="318" t="s">
        <v>339</v>
      </c>
      <c r="C95" s="310"/>
      <c r="D95" s="301" t="s">
        <v>180</v>
      </c>
      <c r="E95" s="301" t="s">
        <v>181</v>
      </c>
      <c r="F95" s="302">
        <v>0.97314655823802831</v>
      </c>
      <c r="G95" s="310"/>
      <c r="H95" s="301" t="s">
        <v>315</v>
      </c>
      <c r="I95" s="301" t="s">
        <v>316</v>
      </c>
      <c r="J95" s="302">
        <v>0.76047317123896974</v>
      </c>
    </row>
    <row r="96" spans="1:10" ht="14.5" x14ac:dyDescent="0.3">
      <c r="A96" s="310"/>
      <c r="B96" s="308" t="s">
        <v>182</v>
      </c>
      <c r="C96" s="310"/>
      <c r="D96" s="301" t="s">
        <v>183</v>
      </c>
      <c r="E96" s="301" t="s">
        <v>184</v>
      </c>
      <c r="F96" s="302">
        <v>0.6307528671873941</v>
      </c>
      <c r="G96" s="310"/>
      <c r="H96" s="301" t="s">
        <v>317</v>
      </c>
      <c r="I96" s="301" t="s">
        <v>318</v>
      </c>
      <c r="J96" s="302">
        <v>0.73373370185477649</v>
      </c>
    </row>
    <row r="97" spans="1:14" ht="14.5" x14ac:dyDescent="0.3">
      <c r="A97" s="310"/>
      <c r="B97" s="306" t="s">
        <v>185</v>
      </c>
      <c r="C97" s="310"/>
      <c r="D97" s="298"/>
      <c r="E97" s="298"/>
      <c r="F97" s="299"/>
      <c r="G97" s="310"/>
      <c r="H97" s="298"/>
      <c r="I97" s="298"/>
      <c r="J97" s="299"/>
    </row>
    <row r="98" spans="1:14" ht="14.5" x14ac:dyDescent="0.3">
      <c r="A98" s="310"/>
      <c r="B98" s="307" t="s">
        <v>186</v>
      </c>
      <c r="C98" s="310"/>
      <c r="D98" s="301" t="s">
        <v>187</v>
      </c>
      <c r="E98" s="301" t="s">
        <v>188</v>
      </c>
      <c r="F98" s="302">
        <v>0.55333503147567653</v>
      </c>
      <c r="G98" s="310"/>
      <c r="H98" s="301" t="s">
        <v>284</v>
      </c>
      <c r="I98" s="301" t="s">
        <v>285</v>
      </c>
      <c r="J98" s="302">
        <v>0.91719586803897268</v>
      </c>
      <c r="K98" s="11"/>
      <c r="M98" s="11"/>
      <c r="N98" s="11"/>
    </row>
    <row r="99" spans="1:14" ht="14.5" x14ac:dyDescent="0.3">
      <c r="A99" s="310"/>
      <c r="B99" s="307" t="s">
        <v>189</v>
      </c>
      <c r="C99" s="310"/>
      <c r="D99" s="301" t="s">
        <v>190</v>
      </c>
      <c r="E99" s="301" t="s">
        <v>191</v>
      </c>
      <c r="F99" s="302">
        <v>0.55333503147567653</v>
      </c>
      <c r="G99" s="310"/>
      <c r="H99" s="301" t="s">
        <v>286</v>
      </c>
      <c r="I99" s="301" t="s">
        <v>287</v>
      </c>
      <c r="J99" s="302">
        <v>0.97154914229322631</v>
      </c>
    </row>
    <row r="100" spans="1:14" ht="14.5" x14ac:dyDescent="0.3">
      <c r="A100" s="310"/>
      <c r="B100" s="306" t="s">
        <v>192</v>
      </c>
      <c r="C100" s="310"/>
      <c r="D100" s="298"/>
      <c r="E100" s="298"/>
      <c r="F100" s="299"/>
      <c r="G100" s="310"/>
      <c r="H100" s="298"/>
      <c r="I100" s="298"/>
      <c r="J100" s="299"/>
    </row>
    <row r="101" spans="1:14" ht="14.5" x14ac:dyDescent="0.3">
      <c r="A101" s="310"/>
      <c r="B101" s="307" t="s">
        <v>193</v>
      </c>
      <c r="C101" s="310"/>
      <c r="D101" s="301" t="s">
        <v>194</v>
      </c>
      <c r="E101" s="301" t="s">
        <v>195</v>
      </c>
      <c r="F101" s="302">
        <v>0.62904085234060791</v>
      </c>
      <c r="G101" s="310"/>
      <c r="H101" s="301" t="s">
        <v>288</v>
      </c>
      <c r="I101" s="301" t="s">
        <v>289</v>
      </c>
      <c r="J101" s="302">
        <v>0.34494716601681219</v>
      </c>
    </row>
    <row r="102" spans="1:14" ht="14.5" x14ac:dyDescent="0.3">
      <c r="A102" s="310"/>
      <c r="B102" s="307" t="s">
        <v>196</v>
      </c>
      <c r="C102" s="310"/>
      <c r="D102" s="301" t="s">
        <v>197</v>
      </c>
      <c r="E102" s="301" t="s">
        <v>198</v>
      </c>
      <c r="F102" s="302">
        <v>0.62904085234060791</v>
      </c>
      <c r="G102" s="310"/>
      <c r="H102" s="301" t="s">
        <v>290</v>
      </c>
      <c r="I102" s="301" t="s">
        <v>291</v>
      </c>
      <c r="J102" s="302">
        <v>0.34494716601681219</v>
      </c>
    </row>
    <row r="103" spans="1:14" ht="14.5" x14ac:dyDescent="0.3">
      <c r="A103" s="310"/>
      <c r="B103" s="306" t="s">
        <v>199</v>
      </c>
      <c r="C103" s="310"/>
      <c r="D103" s="298"/>
      <c r="E103" s="298"/>
      <c r="F103" s="299"/>
      <c r="G103" s="310"/>
      <c r="H103" s="298"/>
      <c r="I103" s="298"/>
      <c r="J103" s="299"/>
    </row>
    <row r="104" spans="1:14" ht="14.5" x14ac:dyDescent="0.3">
      <c r="A104" s="310"/>
      <c r="B104" s="307" t="s">
        <v>200</v>
      </c>
      <c r="C104" s="310"/>
      <c r="D104" s="301" t="s">
        <v>201</v>
      </c>
      <c r="E104" s="301" t="s">
        <v>202</v>
      </c>
      <c r="F104" s="302">
        <v>0.79317839156331538</v>
      </c>
      <c r="G104" s="310"/>
      <c r="H104" s="301" t="s">
        <v>292</v>
      </c>
      <c r="I104" s="301" t="s">
        <v>293</v>
      </c>
      <c r="J104" s="302">
        <v>0.63132867484885824</v>
      </c>
    </row>
    <row r="105" spans="1:14" ht="14.5" x14ac:dyDescent="0.3">
      <c r="A105" s="310"/>
      <c r="B105" s="307" t="s">
        <v>203</v>
      </c>
      <c r="C105" s="310"/>
      <c r="D105" s="301" t="s">
        <v>204</v>
      </c>
      <c r="E105" s="301" t="s">
        <v>205</v>
      </c>
      <c r="F105" s="302">
        <v>0.53395163026933923</v>
      </c>
      <c r="G105" s="310"/>
      <c r="H105" s="301" t="s">
        <v>294</v>
      </c>
      <c r="I105" s="301" t="s">
        <v>295</v>
      </c>
      <c r="J105" s="302">
        <v>0.36867804583705555</v>
      </c>
    </row>
    <row r="106" spans="1:14" ht="14.5" x14ac:dyDescent="0.3">
      <c r="A106" s="310"/>
      <c r="B106" s="307" t="s">
        <v>206</v>
      </c>
      <c r="C106" s="310"/>
      <c r="D106" s="301" t="s">
        <v>207</v>
      </c>
      <c r="E106" s="301" t="s">
        <v>208</v>
      </c>
      <c r="F106" s="302">
        <v>0.30723835464898069</v>
      </c>
      <c r="G106" s="310"/>
      <c r="H106" s="301" t="s">
        <v>296</v>
      </c>
      <c r="I106" s="301" t="s">
        <v>297</v>
      </c>
      <c r="J106" s="302">
        <v>0.25368454072659724</v>
      </c>
    </row>
    <row r="107" spans="1:14" ht="14.5" x14ac:dyDescent="0.35">
      <c r="A107" s="310"/>
      <c r="B107" s="306" t="s">
        <v>209</v>
      </c>
      <c r="C107" s="310"/>
      <c r="D107" s="298"/>
      <c r="E107" s="313"/>
      <c r="F107" s="314"/>
      <c r="G107" s="310"/>
      <c r="H107" s="298"/>
      <c r="I107" s="313"/>
      <c r="J107" s="314"/>
    </row>
    <row r="108" spans="1:14" ht="14.5" x14ac:dyDescent="0.3">
      <c r="A108" s="310"/>
      <c r="B108" s="319" t="s">
        <v>342</v>
      </c>
      <c r="C108" s="310"/>
      <c r="D108" s="301" t="s">
        <v>210</v>
      </c>
      <c r="E108" s="301" t="s">
        <v>195</v>
      </c>
      <c r="F108" s="302">
        <v>0.68741680444039444</v>
      </c>
      <c r="G108" s="310"/>
      <c r="H108" s="301" t="s">
        <v>298</v>
      </c>
      <c r="I108" s="301" t="s">
        <v>299</v>
      </c>
      <c r="J108" s="302">
        <v>0.26506419170001211</v>
      </c>
    </row>
    <row r="109" spans="1:14" ht="14.5" x14ac:dyDescent="0.3">
      <c r="A109" s="310"/>
      <c r="B109" s="319" t="s">
        <v>343</v>
      </c>
      <c r="C109" s="310"/>
      <c r="D109" s="301" t="s">
        <v>211</v>
      </c>
      <c r="E109" s="301" t="s">
        <v>188</v>
      </c>
      <c r="F109" s="302">
        <v>0.66088896857938706</v>
      </c>
      <c r="G109" s="310"/>
      <c r="H109" s="301" t="s">
        <v>300</v>
      </c>
      <c r="I109" s="301" t="s">
        <v>301</v>
      </c>
      <c r="J109" s="302">
        <v>0.21744154807159624</v>
      </c>
    </row>
    <row r="110" spans="1:14" ht="14.5" x14ac:dyDescent="0.3">
      <c r="A110" s="310"/>
      <c r="B110" s="306" t="s">
        <v>212</v>
      </c>
      <c r="C110" s="310"/>
      <c r="D110" s="298"/>
      <c r="E110" s="298"/>
      <c r="F110" s="299"/>
      <c r="G110" s="310"/>
      <c r="H110" s="298"/>
      <c r="I110" s="298"/>
      <c r="J110" s="299"/>
    </row>
    <row r="111" spans="1:14" ht="14.5" x14ac:dyDescent="0.3">
      <c r="A111" s="310"/>
      <c r="B111" s="296" t="s">
        <v>213</v>
      </c>
      <c r="C111" s="310"/>
      <c r="D111" s="301" t="s">
        <v>214</v>
      </c>
      <c r="E111" s="301" t="s">
        <v>215</v>
      </c>
      <c r="F111" s="302">
        <v>0.14724434135946218</v>
      </c>
      <c r="G111" s="310"/>
      <c r="H111" s="301" t="s">
        <v>260</v>
      </c>
      <c r="I111" s="301" t="s">
        <v>261</v>
      </c>
      <c r="J111" s="302">
        <v>0.10285857590710748</v>
      </c>
    </row>
    <row r="112" spans="1:14" ht="14.5" x14ac:dyDescent="0.3">
      <c r="A112" s="310"/>
      <c r="B112" s="296" t="s">
        <v>216</v>
      </c>
      <c r="C112" s="310"/>
      <c r="D112" s="301" t="s">
        <v>217</v>
      </c>
      <c r="E112" s="301" t="s">
        <v>218</v>
      </c>
      <c r="F112" s="302">
        <v>0.58345098803909567</v>
      </c>
      <c r="G112" s="310"/>
      <c r="H112" s="301" t="s">
        <v>262</v>
      </c>
      <c r="I112" s="301" t="s">
        <v>263</v>
      </c>
      <c r="J112" s="302">
        <v>0.96638229936841302</v>
      </c>
    </row>
    <row r="113" spans="1:10" ht="14.5" x14ac:dyDescent="0.3">
      <c r="A113" s="310"/>
      <c r="B113" s="296" t="s">
        <v>219</v>
      </c>
      <c r="C113" s="310"/>
      <c r="D113" s="301" t="s">
        <v>220</v>
      </c>
      <c r="E113" s="301" t="s">
        <v>174</v>
      </c>
      <c r="F113" s="302">
        <v>0.31249632245658893</v>
      </c>
      <c r="G113" s="310"/>
      <c r="H113" s="301" t="s">
        <v>264</v>
      </c>
      <c r="I113" s="301" t="s">
        <v>265</v>
      </c>
      <c r="J113" s="302">
        <v>0.31623911595871801</v>
      </c>
    </row>
    <row r="114" spans="1:10" ht="14.5" x14ac:dyDescent="0.3">
      <c r="A114" s="310"/>
      <c r="B114" s="309" t="s">
        <v>221</v>
      </c>
      <c r="C114" s="310"/>
      <c r="D114" s="298"/>
      <c r="E114" s="298"/>
      <c r="F114" s="299"/>
      <c r="G114" s="310"/>
      <c r="H114" s="298"/>
      <c r="I114" s="298"/>
      <c r="J114" s="299"/>
    </row>
    <row r="115" spans="1:10" ht="14.5" x14ac:dyDescent="0.3">
      <c r="A115" s="310"/>
      <c r="B115" s="307" t="s">
        <v>193</v>
      </c>
      <c r="C115" s="310"/>
      <c r="D115" s="301" t="s">
        <v>222</v>
      </c>
      <c r="E115" s="301" t="s">
        <v>223</v>
      </c>
      <c r="F115" s="302">
        <v>0.69293066148265559</v>
      </c>
      <c r="G115" s="310"/>
      <c r="H115" s="301" t="s">
        <v>266</v>
      </c>
      <c r="I115" s="301" t="s">
        <v>267</v>
      </c>
      <c r="J115" s="302">
        <v>0.53055195162284496</v>
      </c>
    </row>
    <row r="116" spans="1:10" ht="14.5" x14ac:dyDescent="0.3">
      <c r="A116" s="310"/>
      <c r="B116" s="307" t="s">
        <v>196</v>
      </c>
      <c r="C116" s="310"/>
      <c r="D116" s="301" t="s">
        <v>224</v>
      </c>
      <c r="E116" s="301" t="s">
        <v>225</v>
      </c>
      <c r="F116" s="302">
        <v>0.69293066148265559</v>
      </c>
      <c r="G116" s="310"/>
      <c r="H116" s="301" t="s">
        <v>268</v>
      </c>
      <c r="I116" s="301" t="s">
        <v>269</v>
      </c>
      <c r="J116" s="302">
        <v>0.53055195162284496</v>
      </c>
    </row>
    <row r="117" spans="1:10" ht="14.5" x14ac:dyDescent="0.35">
      <c r="A117" s="310"/>
      <c r="B117" s="309" t="s">
        <v>226</v>
      </c>
      <c r="C117" s="310"/>
      <c r="D117" s="315"/>
      <c r="E117" s="315"/>
      <c r="F117" s="316"/>
      <c r="G117" s="310"/>
      <c r="H117" s="315"/>
      <c r="I117" s="315"/>
      <c r="J117" s="316"/>
    </row>
    <row r="118" spans="1:10" ht="14.5" x14ac:dyDescent="0.3">
      <c r="A118" s="310"/>
      <c r="B118" s="300" t="s">
        <v>227</v>
      </c>
      <c r="C118" s="310"/>
      <c r="D118" s="301" t="s">
        <v>228</v>
      </c>
      <c r="E118" s="301" t="s">
        <v>229</v>
      </c>
      <c r="F118" s="302">
        <v>0.90734442707404073</v>
      </c>
      <c r="G118" s="310"/>
      <c r="H118" s="301" t="s">
        <v>270</v>
      </c>
      <c r="I118" s="301" t="s">
        <v>271</v>
      </c>
      <c r="J118" s="302">
        <v>0.74931173625635417</v>
      </c>
    </row>
    <row r="119" spans="1:10" ht="14.5" x14ac:dyDescent="0.3">
      <c r="A119" s="310"/>
      <c r="B119" s="300" t="s">
        <v>230</v>
      </c>
      <c r="C119" s="310"/>
      <c r="D119" s="301" t="s">
        <v>231</v>
      </c>
      <c r="E119" s="301" t="s">
        <v>232</v>
      </c>
      <c r="F119" s="302">
        <v>0.92168279763244343</v>
      </c>
      <c r="G119" s="310"/>
      <c r="H119" s="301" t="s">
        <v>272</v>
      </c>
      <c r="I119" s="301" t="s">
        <v>273</v>
      </c>
      <c r="J119" s="302">
        <v>0.33689681828264867</v>
      </c>
    </row>
    <row r="120" spans="1:10" ht="14.5" x14ac:dyDescent="0.3">
      <c r="A120" s="310"/>
      <c r="B120" s="300" t="s">
        <v>233</v>
      </c>
      <c r="C120" s="310"/>
      <c r="D120" s="301" t="s">
        <v>234</v>
      </c>
      <c r="E120" s="301" t="s">
        <v>235</v>
      </c>
      <c r="F120" s="302">
        <v>0.33359344769709298</v>
      </c>
      <c r="G120" s="310"/>
      <c r="H120" s="301" t="s">
        <v>274</v>
      </c>
      <c r="I120" s="301" t="s">
        <v>275</v>
      </c>
      <c r="J120" s="302">
        <v>0.30498171895457044</v>
      </c>
    </row>
    <row r="121" spans="1:10" ht="14.5" x14ac:dyDescent="0.3">
      <c r="A121" s="310"/>
      <c r="B121" s="300" t="s">
        <v>236</v>
      </c>
      <c r="C121" s="310"/>
      <c r="D121" s="301" t="s">
        <v>237</v>
      </c>
      <c r="E121" s="301" t="s">
        <v>238</v>
      </c>
      <c r="F121" s="302">
        <v>0.74325665830237519</v>
      </c>
      <c r="G121" s="310"/>
      <c r="H121" s="301" t="s">
        <v>276</v>
      </c>
      <c r="I121" s="301" t="s">
        <v>277</v>
      </c>
      <c r="J121" s="302">
        <v>0.91875549712284277</v>
      </c>
    </row>
    <row r="122" spans="1:10" ht="14.5" x14ac:dyDescent="0.35">
      <c r="A122" s="310"/>
      <c r="B122" s="309" t="s">
        <v>239</v>
      </c>
      <c r="C122" s="310"/>
      <c r="D122" s="315"/>
      <c r="E122" s="315"/>
      <c r="F122" s="316"/>
      <c r="G122" s="310"/>
      <c r="H122" s="315"/>
      <c r="I122" s="315"/>
      <c r="J122" s="316"/>
    </row>
    <row r="123" spans="1:10" ht="14.5" x14ac:dyDescent="0.3">
      <c r="A123" s="310"/>
      <c r="B123" s="300" t="s">
        <v>240</v>
      </c>
      <c r="C123" s="310"/>
      <c r="D123" s="301" t="s">
        <v>241</v>
      </c>
      <c r="E123" s="301" t="s">
        <v>242</v>
      </c>
      <c r="F123" s="302">
        <v>0.417139174759944</v>
      </c>
      <c r="G123" s="310"/>
      <c r="H123" s="301" t="s">
        <v>278</v>
      </c>
      <c r="I123" s="301" t="s">
        <v>279</v>
      </c>
      <c r="J123" s="302">
        <v>0.24147800822260898</v>
      </c>
    </row>
    <row r="124" spans="1:10" ht="14.5" x14ac:dyDescent="0.3">
      <c r="A124" s="310"/>
      <c r="B124" s="296" t="s">
        <v>243</v>
      </c>
      <c r="C124" s="310"/>
      <c r="D124" s="301" t="s">
        <v>244</v>
      </c>
      <c r="E124" s="301" t="s">
        <v>245</v>
      </c>
      <c r="F124" s="302">
        <v>0.68529714367350869</v>
      </c>
      <c r="G124" s="310"/>
      <c r="H124" s="301" t="s">
        <v>280</v>
      </c>
      <c r="I124" s="301" t="s">
        <v>281</v>
      </c>
      <c r="J124" s="302">
        <v>0.75005800499528741</v>
      </c>
    </row>
    <row r="125" spans="1:10" ht="14.5" x14ac:dyDescent="0.3">
      <c r="A125" s="310"/>
      <c r="B125" s="300" t="s">
        <v>246</v>
      </c>
      <c r="C125" s="310"/>
      <c r="D125" s="301" t="s">
        <v>247</v>
      </c>
      <c r="E125" s="301" t="s">
        <v>248</v>
      </c>
      <c r="F125" s="302">
        <v>0.21563308549322258</v>
      </c>
      <c r="G125" s="310"/>
      <c r="H125" s="301" t="s">
        <v>282</v>
      </c>
      <c r="I125" s="301" t="s">
        <v>283</v>
      </c>
      <c r="J125" s="302">
        <v>0.14002772658104429</v>
      </c>
    </row>
    <row r="126" spans="1:10" ht="14.5" x14ac:dyDescent="0.35">
      <c r="A126" s="310"/>
      <c r="B126" s="309" t="s">
        <v>249</v>
      </c>
      <c r="C126" s="310"/>
      <c r="D126" s="315"/>
      <c r="E126" s="315"/>
      <c r="F126" s="316"/>
      <c r="G126" s="310"/>
      <c r="H126" s="315"/>
      <c r="I126" s="315"/>
      <c r="J126" s="316"/>
    </row>
    <row r="127" spans="1:10" ht="14.5" x14ac:dyDescent="0.3">
      <c r="A127" s="310"/>
      <c r="B127" s="300" t="s">
        <v>250</v>
      </c>
      <c r="C127" s="310"/>
      <c r="D127" s="301" t="s">
        <v>252</v>
      </c>
      <c r="E127" s="301" t="s">
        <v>254</v>
      </c>
      <c r="F127" s="302">
        <v>0.6683681956070302</v>
      </c>
      <c r="G127" s="310"/>
      <c r="H127" s="301" t="s">
        <v>256</v>
      </c>
      <c r="I127" s="301" t="s">
        <v>257</v>
      </c>
      <c r="J127" s="302">
        <v>0.68429940662378885</v>
      </c>
    </row>
    <row r="128" spans="1:10" ht="14.5" x14ac:dyDescent="0.3">
      <c r="A128" s="310"/>
      <c r="B128" s="300" t="s">
        <v>251</v>
      </c>
      <c r="C128" s="310"/>
      <c r="D128" s="301" t="s">
        <v>253</v>
      </c>
      <c r="E128" s="301" t="s">
        <v>255</v>
      </c>
      <c r="F128" s="302">
        <v>0.6683681956070302</v>
      </c>
      <c r="G128" s="310"/>
      <c r="H128" s="301" t="s">
        <v>258</v>
      </c>
      <c r="I128" s="301" t="s">
        <v>259</v>
      </c>
      <c r="J128" s="302">
        <v>0.68429940662378885</v>
      </c>
    </row>
    <row r="129" spans="1:10" ht="8.5" customHeight="1" x14ac:dyDescent="0.35">
      <c r="A129" s="310"/>
      <c r="B129" s="315"/>
      <c r="C129" s="315"/>
      <c r="D129" s="315"/>
      <c r="E129" s="315"/>
      <c r="F129" s="310"/>
      <c r="G129" s="310"/>
      <c r="H129" s="310"/>
      <c r="I129" s="310"/>
      <c r="J129" s="310"/>
    </row>
    <row r="130" spans="1:10" ht="39.5" customHeight="1" x14ac:dyDescent="0.3">
      <c r="A130" s="310"/>
      <c r="B130" s="320" t="s">
        <v>347</v>
      </c>
      <c r="C130" s="320"/>
      <c r="D130" s="320"/>
      <c r="E130" s="320"/>
      <c r="F130" s="320"/>
      <c r="G130" s="320"/>
      <c r="H130" s="320"/>
      <c r="I130" s="320"/>
      <c r="J130" s="320"/>
    </row>
  </sheetData>
  <mergeCells count="7">
    <mergeCell ref="B130:J130"/>
    <mergeCell ref="B2:F2"/>
    <mergeCell ref="B3:F3"/>
    <mergeCell ref="C44:D44"/>
    <mergeCell ref="D70:F70"/>
    <mergeCell ref="H70:J70"/>
    <mergeCell ref="B68:J68"/>
  </mergeCells>
  <phoneticPr fontId="6" type="noConversion"/>
  <pageMargins left="0.17" right="0.17" top="0.21" bottom="0.7" header="0" footer="0"/>
  <pageSetup paperSize="9" scale="85" orientation="landscape" r:id="rId1"/>
  <headerFooter alignWithMargins="0"/>
  <ignoredErrors>
    <ignoredError sqref="B90:B9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Baseline ChM 649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2021-11-25T17:01:17Z</dcterms:modified>
</cp:coreProperties>
</file>