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20328-Galo\0-Datos\10-Temas publc\20220112-VÑ CASPIAN\"/>
    </mc:Choice>
  </mc:AlternateContent>
  <xr:revisionPtr revIDLastSave="0" documentId="13_ncr:1_{ED922010-C5A1-4036-8BC8-D2A3A58B9BEA}" xr6:coauthVersionLast="47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NNT desde HR" sheetId="12" r:id="rId1"/>
    <sheet name="EA por Inc Acumul" sheetId="1" r:id="rId2"/>
    <sheet name="Respuestas por Inc Acumul" sheetId="11" r:id="rId3"/>
  </sheets>
  <definedNames>
    <definedName name="ArticleComments" localSheetId="1">'EA por Inc Acumul'!#REF!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2" l="1"/>
  <c r="E27" i="12"/>
  <c r="E26" i="12"/>
  <c r="D26" i="12"/>
  <c r="D30" i="12" s="1"/>
  <c r="D34" i="12" s="1"/>
  <c r="F5" i="12"/>
  <c r="F10" i="12" s="1"/>
  <c r="E30" i="12" l="1"/>
  <c r="E34" i="12" s="1"/>
  <c r="F13" i="12"/>
  <c r="F11" i="12"/>
  <c r="C28" i="12" s="1"/>
  <c r="D10" i="12"/>
  <c r="E10" i="12"/>
  <c r="E13" i="12" l="1"/>
  <c r="D11" i="12"/>
  <c r="C26" i="12" s="1"/>
  <c r="G14" i="12"/>
  <c r="G19" i="12" s="1"/>
  <c r="F27" i="12"/>
  <c r="G13" i="12"/>
  <c r="E11" i="12"/>
  <c r="C27" i="12" s="1"/>
  <c r="C30" i="12" l="1"/>
  <c r="C34" i="12" s="1"/>
  <c r="G22" i="12"/>
  <c r="F28" i="12"/>
  <c r="K34" i="12" s="1"/>
  <c r="F14" i="12"/>
  <c r="F22" i="12" s="1"/>
  <c r="G17" i="12"/>
  <c r="G28" i="12"/>
  <c r="G23" i="12"/>
  <c r="G16" i="12"/>
  <c r="G21" i="12"/>
  <c r="G18" i="12"/>
  <c r="G24" i="12"/>
  <c r="E14" i="12"/>
  <c r="E19" i="12" s="1"/>
  <c r="F26" i="12"/>
  <c r="E22" i="12" l="1"/>
  <c r="F19" i="12"/>
  <c r="E18" i="12"/>
  <c r="E24" i="12"/>
  <c r="E17" i="12"/>
  <c r="E23" i="12"/>
  <c r="E16" i="12"/>
  <c r="G26" i="12"/>
  <c r="E21" i="12"/>
  <c r="F24" i="12"/>
  <c r="F17" i="12"/>
  <c r="F23" i="12"/>
  <c r="F16" i="12"/>
  <c r="G27" i="12"/>
  <c r="F21" i="12"/>
  <c r="F18" i="12"/>
  <c r="L34" i="12"/>
  <c r="F30" i="12"/>
  <c r="F34" i="12" s="1"/>
  <c r="G30" i="12" l="1"/>
  <c r="G34" i="12" s="1"/>
  <c r="D56" i="11" l="1"/>
  <c r="C56" i="11"/>
  <c r="B53" i="11"/>
  <c r="G61" i="11" s="1"/>
  <c r="E41" i="11"/>
  <c r="E40" i="11"/>
  <c r="I23" i="11"/>
  <c r="I22" i="11"/>
  <c r="C22" i="11"/>
  <c r="B22" i="11"/>
  <c r="I21" i="11"/>
  <c r="C21" i="11"/>
  <c r="B21" i="11"/>
  <c r="G14" i="11"/>
  <c r="E54" i="11" s="1"/>
  <c r="D14" i="11"/>
  <c r="B14" i="11"/>
  <c r="F9" i="11"/>
  <c r="N21" i="11" s="1"/>
  <c r="D9" i="11"/>
  <c r="E8" i="11"/>
  <c r="E7" i="11"/>
  <c r="P82" i="1"/>
  <c r="O82" i="1"/>
  <c r="P80" i="1"/>
  <c r="O80" i="1"/>
  <c r="P79" i="1"/>
  <c r="O79" i="1"/>
  <c r="P77" i="1"/>
  <c r="O77" i="1"/>
  <c r="P76" i="1"/>
  <c r="O76" i="1"/>
  <c r="P74" i="1"/>
  <c r="O74" i="1"/>
  <c r="P73" i="1"/>
  <c r="O73" i="1"/>
  <c r="P95" i="1"/>
  <c r="O95" i="1"/>
  <c r="P93" i="1"/>
  <c r="O93" i="1"/>
  <c r="P92" i="1"/>
  <c r="O92" i="1"/>
  <c r="P90" i="1"/>
  <c r="O90" i="1"/>
  <c r="P89" i="1"/>
  <c r="O89" i="1"/>
  <c r="O87" i="1"/>
  <c r="P87" i="1"/>
  <c r="G22" i="11" l="1"/>
  <c r="C14" i="11"/>
  <c r="F14" i="11" s="1"/>
  <c r="I14" i="11" s="1"/>
  <c r="E56" i="11" s="1"/>
  <c r="C41" i="11"/>
  <c r="C46" i="11" s="1"/>
  <c r="E21" i="11"/>
  <c r="E22" i="11"/>
  <c r="E42" i="11"/>
  <c r="G21" i="11"/>
  <c r="E9" i="11"/>
  <c r="B23" i="11"/>
  <c r="C23" i="11"/>
  <c r="G23" i="11" s="1"/>
  <c r="D21" i="11"/>
  <c r="F21" i="11" s="1"/>
  <c r="E61" i="11"/>
  <c r="C40" i="11"/>
  <c r="K14" i="11"/>
  <c r="F61" i="11"/>
  <c r="N23" i="11"/>
  <c r="D22" i="11"/>
  <c r="E14" i="11" l="1"/>
  <c r="H14" i="11" s="1"/>
  <c r="L14" i="11" s="1"/>
  <c r="L21" i="11"/>
  <c r="M55" i="11" s="1"/>
  <c r="M14" i="11"/>
  <c r="K21" i="11"/>
  <c r="L55" i="11" s="1"/>
  <c r="D41" i="11"/>
  <c r="D46" i="11" s="1"/>
  <c r="D40" i="11"/>
  <c r="K41" i="11" s="1"/>
  <c r="I40" i="11" s="1"/>
  <c r="J22" i="11"/>
  <c r="K56" i="11" s="1"/>
  <c r="J26" i="11"/>
  <c r="F22" i="11"/>
  <c r="C45" i="11"/>
  <c r="C42" i="11"/>
  <c r="W21" i="11"/>
  <c r="J21" i="11"/>
  <c r="K55" i="11" s="1"/>
  <c r="E23" i="11"/>
  <c r="D23" i="11"/>
  <c r="F23" i="11" s="1"/>
  <c r="E55" i="11" l="1"/>
  <c r="E58" i="11" s="1"/>
  <c r="E62" i="11" s="1"/>
  <c r="Q28" i="11"/>
  <c r="N31" i="11" s="1"/>
  <c r="N32" i="11" s="1"/>
  <c r="J23" i="11"/>
  <c r="K57" i="11" s="1"/>
  <c r="W22" i="11"/>
  <c r="W23" i="11" s="1"/>
  <c r="W24" i="11" s="1"/>
  <c r="W25" i="11" s="1"/>
  <c r="K23" i="11"/>
  <c r="L57" i="11" s="1"/>
  <c r="L23" i="11"/>
  <c r="M57" i="11" s="1"/>
  <c r="D58" i="11"/>
  <c r="D62" i="11" s="1"/>
  <c r="L22" i="11"/>
  <c r="M56" i="11" s="1"/>
  <c r="K22" i="11"/>
  <c r="L56" i="11" s="1"/>
  <c r="F54" i="11"/>
  <c r="J27" i="11"/>
  <c r="J32" i="11" s="1"/>
  <c r="N22" i="11"/>
  <c r="N24" i="11" s="1"/>
  <c r="N25" i="11" s="1"/>
  <c r="N26" i="11" s="1"/>
  <c r="N55" i="11"/>
  <c r="C58" i="11"/>
  <c r="C62" i="11" s="1"/>
  <c r="D42" i="11"/>
  <c r="D45" i="11"/>
  <c r="C48" i="11" s="1"/>
  <c r="P86" i="1"/>
  <c r="O86" i="1"/>
  <c r="L26" i="11" l="1"/>
  <c r="F55" i="11" s="1"/>
  <c r="N56" i="11"/>
  <c r="G46" i="11"/>
  <c r="C49" i="11"/>
  <c r="J62" i="11" s="1"/>
  <c r="K26" i="11"/>
  <c r="J34" i="11"/>
  <c r="G54" i="11"/>
  <c r="J31" i="11"/>
  <c r="J36" i="11"/>
  <c r="J29" i="11"/>
  <c r="J30" i="11"/>
  <c r="J37" i="11"/>
  <c r="J35" i="11"/>
  <c r="N33" i="11"/>
  <c r="H56" i="11"/>
  <c r="H58" i="11" s="1"/>
  <c r="H62" i="11" s="1"/>
  <c r="N57" i="11"/>
  <c r="E8" i="1"/>
  <c r="E7" i="1"/>
  <c r="L27" i="11" l="1"/>
  <c r="L32" i="11" s="1"/>
  <c r="K27" i="11"/>
  <c r="F56" i="11"/>
  <c r="F58" i="11" s="1"/>
  <c r="F62" i="11" s="1"/>
  <c r="M62" i="11"/>
  <c r="L62" i="11"/>
  <c r="L35" i="11"/>
  <c r="K32" i="11"/>
  <c r="K35" i="11" l="1"/>
  <c r="K36" i="11"/>
  <c r="K37" i="11"/>
  <c r="L30" i="11"/>
  <c r="G55" i="11"/>
  <c r="K34" i="11"/>
  <c r="L29" i="11"/>
  <c r="L31" i="11"/>
  <c r="G56" i="11"/>
  <c r="K29" i="11"/>
  <c r="L36" i="11"/>
  <c r="K31" i="11"/>
  <c r="L34" i="11"/>
  <c r="K30" i="11"/>
  <c r="L37" i="11"/>
  <c r="D9" i="1"/>
  <c r="B23" i="1" s="1"/>
  <c r="D56" i="1"/>
  <c r="B53" i="1"/>
  <c r="G61" i="1" s="1"/>
  <c r="E41" i="1"/>
  <c r="E40" i="1"/>
  <c r="I23" i="1"/>
  <c r="I22" i="1"/>
  <c r="C22" i="1"/>
  <c r="B22" i="1"/>
  <c r="I21" i="1"/>
  <c r="C21" i="1"/>
  <c r="D14" i="1"/>
  <c r="F9" i="1"/>
  <c r="C23" i="1" s="1"/>
  <c r="B14" i="1"/>
  <c r="G14" i="1"/>
  <c r="E54" i="1" s="1"/>
  <c r="B21" i="1"/>
  <c r="C56" i="1"/>
  <c r="G58" i="11" l="1"/>
  <c r="G62" i="11" s="1"/>
  <c r="F61" i="1"/>
  <c r="G23" i="1"/>
  <c r="E61" i="1"/>
  <c r="G22" i="1"/>
  <c r="E23" i="1"/>
  <c r="N23" i="1"/>
  <c r="E22" i="1"/>
  <c r="E42" i="1"/>
  <c r="N21" i="1"/>
  <c r="C40" i="1"/>
  <c r="E9" i="1"/>
  <c r="D41" i="1" s="1"/>
  <c r="D46" i="1" s="1"/>
  <c r="C41" i="1"/>
  <c r="C46" i="1" s="1"/>
  <c r="D23" i="1"/>
  <c r="Q28" i="1" s="1"/>
  <c r="E21" i="1"/>
  <c r="C14" i="1"/>
  <c r="E14" i="1" s="1"/>
  <c r="H14" i="1" s="1"/>
  <c r="K14" i="1"/>
  <c r="D22" i="1"/>
  <c r="G21" i="1"/>
  <c r="D21" i="1"/>
  <c r="F21" i="1" s="1"/>
  <c r="F23" i="1" l="1"/>
  <c r="K23" i="1" s="1"/>
  <c r="L57" i="1" s="1"/>
  <c r="C45" i="1"/>
  <c r="C42" i="1"/>
  <c r="D40" i="1"/>
  <c r="K41" i="1" s="1"/>
  <c r="I40" i="1" s="1"/>
  <c r="W22" i="1"/>
  <c r="J23" i="1"/>
  <c r="K57" i="1" s="1"/>
  <c r="E55" i="1"/>
  <c r="L14" i="1"/>
  <c r="J22" i="1"/>
  <c r="K56" i="1" s="1"/>
  <c r="J26" i="1"/>
  <c r="F22" i="1"/>
  <c r="F14" i="1"/>
  <c r="I14" i="1" s="1"/>
  <c r="W21" i="1"/>
  <c r="J21" i="1"/>
  <c r="K55" i="1" s="1"/>
  <c r="L21" i="1"/>
  <c r="M55" i="1" s="1"/>
  <c r="K21" i="1"/>
  <c r="L55" i="1" s="1"/>
  <c r="L23" i="1" l="1"/>
  <c r="M57" i="1" s="1"/>
  <c r="N57" i="1" s="1"/>
  <c r="D42" i="1"/>
  <c r="D45" i="1"/>
  <c r="C48" i="1" s="1"/>
  <c r="G46" i="1" s="1"/>
  <c r="W23" i="1"/>
  <c r="W24" i="1" s="1"/>
  <c r="W25" i="1" s="1"/>
  <c r="D58" i="1"/>
  <c r="D62" i="1" s="1"/>
  <c r="N31" i="1"/>
  <c r="N32" i="1" s="1"/>
  <c r="N22" i="1"/>
  <c r="N24" i="1" s="1"/>
  <c r="N25" i="1" s="1"/>
  <c r="N26" i="1" s="1"/>
  <c r="J27" i="1"/>
  <c r="F54" i="1"/>
  <c r="N55" i="1"/>
  <c r="C58" i="1"/>
  <c r="C62" i="1" s="1"/>
  <c r="E56" i="1"/>
  <c r="E58" i="1" s="1"/>
  <c r="E62" i="1" s="1"/>
  <c r="M14" i="1"/>
  <c r="K22" i="1"/>
  <c r="L56" i="1" s="1"/>
  <c r="L22" i="1"/>
  <c r="M56" i="1" s="1"/>
  <c r="C49" i="1" l="1"/>
  <c r="J62" i="1" s="1"/>
  <c r="N56" i="1"/>
  <c r="H56" i="1"/>
  <c r="H58" i="1" s="1"/>
  <c r="H62" i="1" s="1"/>
  <c r="N33" i="1"/>
  <c r="G54" i="1"/>
  <c r="J29" i="1"/>
  <c r="J36" i="1"/>
  <c r="J31" i="1"/>
  <c r="J34" i="1"/>
  <c r="J37" i="1"/>
  <c r="J30" i="1"/>
  <c r="J35" i="1"/>
  <c r="J32" i="1"/>
  <c r="K26" i="1"/>
  <c r="L26" i="1"/>
  <c r="L27" i="1" l="1"/>
  <c r="K35" i="1" s="1"/>
  <c r="F55" i="1"/>
  <c r="F56" i="1"/>
  <c r="L62" i="1"/>
  <c r="K27" i="1"/>
  <c r="L35" i="1" s="1"/>
  <c r="M62" i="1"/>
  <c r="F58" i="1" l="1"/>
  <c r="F62" i="1" s="1"/>
  <c r="L32" i="1"/>
  <c r="L31" i="1"/>
  <c r="K36" i="1"/>
  <c r="G55" i="1"/>
  <c r="K34" i="1"/>
  <c r="L29" i="1"/>
  <c r="K37" i="1"/>
  <c r="L30" i="1"/>
  <c r="L34" i="1"/>
  <c r="K31" i="1"/>
  <c r="K29" i="1"/>
  <c r="G56" i="1"/>
  <c r="L36" i="1"/>
  <c r="L37" i="1"/>
  <c r="K30" i="1"/>
  <c r="K32" i="1"/>
  <c r="G58" i="1" l="1"/>
  <c r="G62" i="1" s="1"/>
</calcChain>
</file>

<file path=xl/sharedStrings.xml><?xml version="1.0" encoding="utf-8"?>
<sst xmlns="http://schemas.openxmlformats.org/spreadsheetml/2006/main" count="610" uniqueCount="317">
  <si>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</si>
  <si>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</si>
  <si>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</si>
  <si>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</si>
  <si>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</si>
  <si>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</si>
  <si>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</si>
  <si>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</si>
  <si>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</si>
  <si>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</si>
  <si>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</si>
  <si>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</si>
  <si>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</si>
  <si>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</si>
  <si>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</si>
  <si>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</si>
  <si>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</si>
  <si>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</si>
  <si>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</si>
  <si>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</si>
  <si>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</si>
  <si>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</si>
  <si>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</si>
  <si>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</si>
  <si>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</si>
  <si>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</si>
  <si>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</si>
  <si>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</si>
  <si>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</si>
  <si>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</si>
  <si>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</si>
  <si>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</si>
  <si>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</si>
  <si>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</si>
  <si>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</si>
  <si>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</si>
  <si>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</si>
  <si>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</si>
  <si>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</si>
  <si>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</si>
  <si>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</si>
  <si>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</si>
  <si>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Permanecerán sanos sin tomar el fármaco</t>
  </si>
  <si>
    <t>Enfermarán incluso tomando el fármaco</t>
  </si>
  <si>
    <t>Z α/2 = Dif Proporc / EE Dif proporc</t>
  </si>
  <si>
    <t>RRR</t>
  </si>
  <si>
    <t xml:space="preserve">NNT = 1 / RAR = </t>
  </si>
  <si>
    <t>RAR (IC 95%)</t>
  </si>
  <si>
    <t>NNT (IC 95%)</t>
  </si>
  <si>
    <t>(</t>
  </si>
  <si>
    <t>)</t>
  </si>
  <si>
    <t>-</t>
  </si>
  <si>
    <t>%</t>
  </si>
  <si>
    <t>RR (IC 95%)</t>
  </si>
  <si>
    <t>RAR (IC95%)</t>
  </si>
  <si>
    <t>HR (IC 95%)</t>
  </si>
  <si>
    <t>NNT</t>
  </si>
  <si>
    <t>/</t>
  </si>
  <si>
    <t>RAR</t>
  </si>
  <si>
    <t>potencia</t>
  </si>
  <si>
    <t>Potencia</t>
  </si>
  <si>
    <t>Permanecerán sanos por tomar el fármaco</t>
  </si>
  <si>
    <t>Enfermarán por tomar el fármaco</t>
  </si>
  <si>
    <t>Enfermarán incluso sin tomar el fármaco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</si>
  <si>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</si>
  <si>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</si>
  <si>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</si>
  <si>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</si>
  <si>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</si>
  <si>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</si>
  <si>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</si>
  <si>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</si>
  <si>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</si>
  <si>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</si>
  <si>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</si>
  <si>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</si>
  <si>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t>% RA interv</t>
  </si>
  <si>
    <t>% RA control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</si>
  <si>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</si>
  <si>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</si>
  <si>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</si>
  <si>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</si>
  <si>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</si>
  <si>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</si>
  <si>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>Cálculo por incidencias acumuladas de RR, RAR, NNT con sus IC 95%, potencia estadística y valor de p</t>
  </si>
  <si>
    <t>Cálculo de RAR y NNT a partir del HR y el % RA en el grupo control</t>
  </si>
  <si>
    <t>% RA control =</t>
  </si>
  <si>
    <t>100% - % RA control =</t>
  </si>
  <si>
    <t>Estimación puntual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</si>
  <si>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</si>
  <si>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</si>
  <si>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</si>
  <si>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</si>
  <si>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</si>
  <si>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</si>
  <si>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</si>
  <si>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</si>
  <si>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</si>
  <si>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</si>
  <si>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</si>
  <si>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</si>
  <si>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</si>
  <si>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</si>
  <si>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</si>
  <si>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</si>
  <si>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</si>
  <si>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</si>
  <si>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</si>
  <si>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</si>
  <si>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</si>
  <si>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</si>
  <si>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</si>
  <si>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</si>
  <si>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</si>
  <si>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</si>
  <si>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</si>
  <si>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</si>
  <si>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</si>
  <si>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</si>
  <si>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</si>
  <si>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</si>
  <si>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</si>
  <si>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</si>
  <si>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</si>
  <si>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</si>
  <si>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</si>
  <si>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</si>
  <si>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</si>
  <si>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</si>
  <si>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</si>
  <si>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</si>
  <si>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</si>
  <si>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</si>
  <si>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 xml:space="preserve">S </t>
    </r>
    <r>
      <rPr>
        <i/>
        <vertAlign val="subscript"/>
        <sz val="10"/>
        <rFont val="Calibri"/>
        <family val="2"/>
      </rPr>
      <t>intervención</t>
    </r>
    <r>
      <rPr>
        <i/>
        <sz val="10"/>
        <rFont val="Calibri"/>
        <family val="2"/>
      </rPr>
      <t xml:space="preserve"> = S 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</si>
  <si>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t>complementario de Supervivencia = % Eventos interv (LI IC - LS IC)</t>
  </si>
  <si>
    <t>% Interv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</si>
  <si>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</si>
  <si>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</si>
  <si>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t>Lím Inf del IC 95%</t>
  </si>
  <si>
    <t>Lím Sup del IC 95%</t>
  </si>
  <si>
    <t>Nº Eventos crudos (%)</t>
  </si>
  <si>
    <t>Hoja información al usuario (FACT BOX)</t>
  </si>
  <si>
    <t>Medidas del efecto obtenidas por incidencias acumuladas.</t>
  </si>
  <si>
    <t>Progresión de enfermedad o muerte</t>
  </si>
  <si>
    <t>Mortalidad global</t>
  </si>
  <si>
    <r>
      <rPr>
        <b/>
        <sz val="10"/>
        <color rgb="FF0000FF"/>
        <rFont val="Calibri"/>
        <family val="2"/>
        <scheme val="minor"/>
      </rPr>
      <t>(**)</t>
    </r>
    <r>
      <rPr>
        <sz val="10"/>
        <rFont val="Calibri"/>
        <family val="2"/>
        <scheme val="minor"/>
      </rPr>
      <t xml:space="preserve"> La FDA define un evento adverso grave (serious adverse event, SAE) cuando el resultado del paciente es uno de los siguientes: 1) Muerte;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</si>
  <si>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r>
      <rPr>
        <b/>
        <sz val="10"/>
        <color rgb="FF0000FF"/>
        <rFont val="Calibri"/>
        <family val="2"/>
      </rPr>
      <t xml:space="preserve">(*) </t>
    </r>
    <r>
      <rPr>
        <b/>
        <u/>
        <sz val="10"/>
        <rFont val="Calibri"/>
        <family val="2"/>
      </rPr>
      <t>Grado 1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Leve; asintomáticos o síntomas leves; solamente observaciones clínicas o diagnósticas; intervención no indicada. </t>
    </r>
    <r>
      <rPr>
        <b/>
        <u/>
        <sz val="10"/>
        <rFont val="Calibri"/>
        <family val="2"/>
      </rPr>
      <t>Grado 2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Moderado; intervención mínima, local o no invasiva indicada; limitación apropiada para la edad de las </t>
    </r>
    <r>
      <rPr>
        <sz val="10"/>
        <color rgb="FF000000"/>
        <rFont val="Calibri"/>
        <family val="2"/>
      </rPr>
      <t>actividades de la vida diaria (AVD) instrumentales (</t>
    </r>
    <r>
      <rPr>
        <sz val="10"/>
        <rFont val="Calibri"/>
        <family val="2"/>
      </rPr>
      <t xml:space="preserve">preparar comidas, comprar comestibles o ropa, usar el teléfono, administrar dinero, etc.). </t>
    </r>
    <r>
      <rPr>
        <b/>
        <u/>
        <sz val="10"/>
        <rFont val="Calibri"/>
        <family val="2"/>
      </rPr>
      <t>Grado 3</t>
    </r>
    <r>
      <rPr>
        <b/>
        <sz val="10"/>
        <rFont val="Calibri"/>
        <family val="2"/>
      </rPr>
      <t xml:space="preserve">: </t>
    </r>
    <r>
      <rPr>
        <sz val="10"/>
        <rFont val="Calibri"/>
        <family val="2"/>
      </rPr>
      <t xml:space="preserve">Grave o médicamente significativo, pero no inmediatamente amenazante de la vida; hospitalización o prolongación de la hospitalización indicada; limitación o incapacitación para las actividades de la vida diaria (AVD) de autocuidado (bañarse, vestirse y desvestirse, alimentarse, usar el baño, tomar medicamentos y no postrarse en cama. </t>
    </r>
    <r>
      <rPr>
        <b/>
        <u/>
        <sz val="10"/>
        <rFont val="Calibri"/>
        <family val="2"/>
      </rPr>
      <t>Grado 4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Consecuencias amenazantes de la vida; intervención urgente indicada. </t>
    </r>
    <r>
      <rPr>
        <b/>
        <u/>
        <sz val="10"/>
        <rFont val="Calibri"/>
        <family val="2"/>
      </rPr>
      <t>Grado 5</t>
    </r>
    <r>
      <rPr>
        <b/>
        <sz val="10"/>
        <rFont val="Calibri"/>
        <family val="2"/>
      </rPr>
      <t xml:space="preserve">: </t>
    </r>
    <r>
      <rPr>
        <sz val="10"/>
        <rFont val="Calibri"/>
        <family val="2"/>
      </rPr>
      <t>Muerte relacionada con algún efecto adverso.</t>
    </r>
  </si>
  <si>
    <t>Grupo C: Pt-ET, n= 269</t>
  </si>
  <si>
    <t>Grupo C: Pt-ET, n= 266</t>
  </si>
  <si>
    <t>Grupo de intervención</t>
  </si>
  <si>
    <t>Grupo de control</t>
  </si>
  <si>
    <t>Grupo C: Pt-ET</t>
  </si>
  <si>
    <t>240/266 (90,23%)</t>
  </si>
  <si>
    <t>239/266 (89,85%)</t>
  </si>
  <si>
    <t>-0,38% (-5,55% a 4,81%)</t>
  </si>
  <si>
    <t>-266 (21 a -18)</t>
  </si>
  <si>
    <t>237/265 (89,43%)</t>
  </si>
  <si>
    <t>0,42% (-4,86% a 5,68%)</t>
  </si>
  <si>
    <t>241 (18 a -21)</t>
  </si>
  <si>
    <t>121/265 (45,66%)</t>
  </si>
  <si>
    <t>138/266 (51,88%)</t>
  </si>
  <si>
    <t>0,88 (0,74-1,05)</t>
  </si>
  <si>
    <t>6,22% (-2,14% a 14,71%)</t>
  </si>
  <si>
    <t>16 (7 a -47)</t>
  </si>
  <si>
    <t>147/266 (55,26%)</t>
  </si>
  <si>
    <t>1,07 (0,91-1,25)</t>
  </si>
  <si>
    <t>-3,38% (-11,83% a 4,99%)</t>
  </si>
  <si>
    <t>-30 (20 a -8)</t>
  </si>
  <si>
    <t>Todos los EA de cualquier grado</t>
  </si>
  <si>
    <r>
      <t xml:space="preserve">Todos los EA "serious" (grave) </t>
    </r>
    <r>
      <rPr>
        <b/>
        <sz val="11"/>
        <color rgb="FF0000FF"/>
        <rFont val="Calibri"/>
        <family val="2"/>
        <scheme val="minor"/>
      </rPr>
      <t>(**)</t>
    </r>
  </si>
  <si>
    <r>
      <t xml:space="preserve">Todos los EA Grados 3 ó 4 </t>
    </r>
    <r>
      <rPr>
        <i/>
        <sz val="12"/>
        <color rgb="FF0000FF"/>
        <rFont val="Calibri"/>
        <family val="2"/>
        <scheme val="minor"/>
      </rPr>
      <t>(*)</t>
    </r>
  </si>
  <si>
    <t>Todos los EA "serious" Grados 3 ó 4</t>
  </si>
  <si>
    <t>67/266 (25,19%)</t>
  </si>
  <si>
    <t>50/266 (18,8%)</t>
  </si>
  <si>
    <t>1,34 (0,97-1,85)</t>
  </si>
  <si>
    <t>-6,39% (-13,44% a 0,59%)</t>
  </si>
  <si>
    <t>-16 (170 a -7)</t>
  </si>
  <si>
    <t>35/265 (13,21%)</t>
  </si>
  <si>
    <t>5,59% (-0,65% a 11,85%)</t>
  </si>
  <si>
    <t>18 (8 a -154)</t>
  </si>
  <si>
    <t>55/266 (20,68%)</t>
  </si>
  <si>
    <t>Todos los EA que motivan el abandono del tratamiento</t>
  </si>
  <si>
    <t>Todos los EA que motivan el abandono del tratamiento Grados 3 ó 4</t>
  </si>
  <si>
    <t>45/266 (16,92%)</t>
  </si>
  <si>
    <t>1,22 (0,86-1,74)</t>
  </si>
  <si>
    <t>-3,76% (-10,42% a 2,87%)</t>
  </si>
  <si>
    <t>-27 (35 a -10)</t>
  </si>
  <si>
    <t>43/266 (16,17%)</t>
  </si>
  <si>
    <t>13/266 (4,89%)</t>
  </si>
  <si>
    <t>3,31 (1,82-6,01)</t>
  </si>
  <si>
    <t>-11,28% (-16,41% a -5,98%)</t>
  </si>
  <si>
    <t>-9 (-17 a -6)</t>
  </si>
  <si>
    <t>26/266 (9,77%)</t>
  </si>
  <si>
    <t>4/266 (1,5%)</t>
  </si>
  <si>
    <t>6,5 (2,3-18,37)</t>
  </si>
  <si>
    <t>-8,27% (-12,06% a -4,01%)</t>
  </si>
  <si>
    <t>-12 (-25 a -8)</t>
  </si>
  <si>
    <t>Cualquier EA que conduce a la muerte</t>
  </si>
  <si>
    <t>12/266 (4,51%)</t>
  </si>
  <si>
    <t>2/266 (0,75%)</t>
  </si>
  <si>
    <t>6 (1,36-26,55)</t>
  </si>
  <si>
    <t>-3,76% (-6,49% a -0,51%)</t>
  </si>
  <si>
    <t>-27 (-198 a -15)</t>
  </si>
  <si>
    <t>25/265 (9,43%)</t>
  </si>
  <si>
    <t>0,56 (0,35-0,88)</t>
  </si>
  <si>
    <t>7,48% (1,7% a 13,25%)</t>
  </si>
  <si>
    <t>13 (8 a 59)</t>
  </si>
  <si>
    <t>16/265 (6,04%)</t>
  </si>
  <si>
    <t>1,24 (0,61-2,52)</t>
  </si>
  <si>
    <t>-1,15% (-5,16% a 2,92%)</t>
  </si>
  <si>
    <t>-87 (34 a -19)</t>
  </si>
  <si>
    <t>3/265 (1,13%)</t>
  </si>
  <si>
    <t>0,75 (0,17-3,33)</t>
  </si>
  <si>
    <t>0,37% (-2,04% a 2,7%)</t>
  </si>
  <si>
    <t>269 (37 a -49)</t>
  </si>
  <si>
    <t>6/265 (2,26%)</t>
  </si>
  <si>
    <t>3,01 (0,61-14,79)</t>
  </si>
  <si>
    <t>-1,51% (-3,81% a 1,13%)</t>
  </si>
  <si>
    <t>-66 (88 a -26)</t>
  </si>
  <si>
    <t>Respuesta completa</t>
  </si>
  <si>
    <t>8/268 (2,99%)</t>
  </si>
  <si>
    <t>2/269 (0,74%)</t>
  </si>
  <si>
    <t>4,01 (0,86-18,73)</t>
  </si>
  <si>
    <t>-2,24% (-4,66% a 0,6%)</t>
  </si>
  <si>
    <t>-45 (166 a -21)</t>
  </si>
  <si>
    <t>Respuesta parcial</t>
  </si>
  <si>
    <t>148/268 (55,22%)</t>
  </si>
  <si>
    <t>154/269 (57,25%)</t>
  </si>
  <si>
    <t>0,96 (0,83-1,12)</t>
  </si>
  <si>
    <t>2,03% (-6,29% a 10,38%)</t>
  </si>
  <si>
    <t>49 (10 a -16)</t>
  </si>
  <si>
    <t>Nº de pacientes con evento por cada 100 tratados con:</t>
  </si>
  <si>
    <t>a los 12 meses</t>
  </si>
  <si>
    <t>a los 24 meses</t>
  </si>
  <si>
    <t>a los 6 meses</t>
  </si>
  <si>
    <t>ECA CASPIAN, Tabla S5: Resumen de respuesta del tumor; Apéndice, pág 15</t>
  </si>
  <si>
    <t>7/268 (2,61%)</t>
  </si>
  <si>
    <t>3,51 (0,74-16,76)</t>
  </si>
  <si>
    <t>-1,87% (-4,22% a 0,87%)</t>
  </si>
  <si>
    <t>-54 (116 a -24)</t>
  </si>
  <si>
    <t>175/268 (65,3%)</t>
  </si>
  <si>
    <t>1,14 (1-1,31)</t>
  </si>
  <si>
    <t>-8,05% (-16,29% a 0,03%)</t>
  </si>
  <si>
    <t>-12 (2931 a -6)</t>
  </si>
  <si>
    <t>Nº de pacientes con respuesta de cada 100 tratados con:</t>
  </si>
  <si>
    <t>Goldman JW, Paz-Ares L, Dvorkin M, Chen Y, on behalf of the CASPIAN investigators. Durvalumab, with or without tremelimumab, plus platinum-etoposide versus platinum-etoposide alone in first-line treatment of extensive-stage small-cell lung cancer (CASPIAN): updated results from a randomised, controlled, open-label, phase 3 trial. Lancet Oncol. 2021 Jan;22(1):51-65.</t>
  </si>
  <si>
    <t>Medidas del efecto obtenidas por incidencias acumuladas</t>
  </si>
  <si>
    <r>
      <rPr>
        <b/>
        <sz val="16"/>
        <color indexed="60"/>
        <rFont val="Calibri"/>
        <family val="2"/>
      </rPr>
      <t xml:space="preserve">Tabla nnt-3: </t>
    </r>
    <r>
      <rPr>
        <b/>
        <sz val="16"/>
        <rFont val="Calibri"/>
        <family val="2"/>
      </rPr>
      <t>Respuesta parcial y completa del tumor.</t>
    </r>
  </si>
  <si>
    <t>ECA CASPIAN; Tabla S7: Resumen de efectos adversos relacionados con el tratamiento; Apéndice, pág 27</t>
  </si>
  <si>
    <r>
      <rPr>
        <b/>
        <sz val="16"/>
        <color indexed="60"/>
        <rFont val="Calibri"/>
        <family val="2"/>
      </rPr>
      <t xml:space="preserve">Tabla nnt-2: </t>
    </r>
    <r>
      <rPr>
        <b/>
        <sz val="16"/>
        <rFont val="Calibri"/>
        <family val="2"/>
      </rPr>
      <t>Efectos adversos (EA) relacionados con el tratamiento de entre los registrados por los investigadores.</t>
    </r>
  </si>
  <si>
    <t>EA relacionados con el tratamiento</t>
  </si>
  <si>
    <t>1,00 (0,94-1,05)</t>
  </si>
  <si>
    <t>0,70 (0,47-1,05)</t>
  </si>
  <si>
    <t>1,00 (0,95-1,06)</t>
  </si>
  <si>
    <t>Mediana de tiempo que permanecen en respuesta completa o parcial entre los que tuvieron respuesta</t>
  </si>
  <si>
    <t>61 de los 156</t>
  </si>
  <si>
    <t>37 de los 156</t>
  </si>
  <si>
    <t>10 de los 156</t>
  </si>
  <si>
    <t>Respuesta global (completa + parcial)</t>
  </si>
  <si>
    <t>156/268 (58,21%)</t>
  </si>
  <si>
    <t>156/269 (57,99%)</t>
  </si>
  <si>
    <t>1 (0,87-1,16)</t>
  </si>
  <si>
    <t>-0,22% (-8,51% a 8,07%)</t>
  </si>
  <si>
    <t>-462 (12 a -12)</t>
  </si>
  <si>
    <t>182/268 (67,91%)</t>
  </si>
  <si>
    <t>1,17 (1,03-1,33)</t>
  </si>
  <si>
    <t>-9,92% (-18,09% a -1,93%)</t>
  </si>
  <si>
    <t>-10 (-52 a -6)</t>
  </si>
  <si>
    <t>Se mantienen en respuesta global o completa</t>
  </si>
  <si>
    <t>50 de los 156</t>
  </si>
  <si>
    <t>4 de los 156</t>
  </si>
  <si>
    <t>70 de los 182</t>
  </si>
  <si>
    <t>40 de los 182</t>
  </si>
  <si>
    <t>12 de los 182</t>
  </si>
  <si>
    <t>5,1 meses entre los 182 con respuesta</t>
  </si>
  <si>
    <t>5,1 meses entre los 156 con respuesta</t>
  </si>
  <si>
    <t>5,2 meses entre los 156 con respuesta</t>
  </si>
  <si>
    <t>En 18 meses</t>
  </si>
  <si>
    <t>Medidas del efecto, calculadas desde los HR crudos obtenidos mediante la Función de Supervivencia K-M elaborada paso a paso</t>
  </si>
  <si>
    <t>HR (sólo estimación puntual, sin IC)</t>
  </si>
  <si>
    <t>RAR (sólo estimación puntual, sin IC)</t>
  </si>
  <si>
    <t>NNT (sólo estimación puntual, sin IC)</t>
  </si>
  <si>
    <t>Valor de p (calculada por log-rank)</t>
  </si>
  <si>
    <t>A los 12 meses</t>
  </si>
  <si>
    <r>
      <rPr>
        <i/>
        <sz val="10"/>
        <color rgb="FF008000"/>
        <rFont val="Calibri"/>
        <family val="2"/>
        <scheme val="minor"/>
      </rPr>
      <t>p &lt; 0,05</t>
    </r>
    <r>
      <rPr>
        <sz val="10"/>
        <color rgb="FF008000"/>
        <rFont val="Calibri"/>
        <family val="2"/>
        <scheme val="minor"/>
      </rPr>
      <t xml:space="preserve"> </t>
    </r>
  </si>
  <si>
    <t>En 12 meses</t>
  </si>
  <si>
    <t>A los 18 meses</t>
  </si>
  <si>
    <t>A los 24 meses</t>
  </si>
  <si>
    <t>En 24 meses</t>
  </si>
  <si>
    <r>
      <rPr>
        <i/>
        <sz val="10"/>
        <color rgb="FFFF9933"/>
        <rFont val="Calibri"/>
        <family val="2"/>
        <scheme val="minor"/>
      </rPr>
      <t>p &gt; 0,05</t>
    </r>
    <r>
      <rPr>
        <sz val="10"/>
        <color rgb="FFFF9933"/>
        <rFont val="Calibri"/>
        <family val="2"/>
        <scheme val="minor"/>
      </rPr>
      <t xml:space="preserve"> </t>
    </r>
  </si>
  <si>
    <t>A los 30 meses</t>
  </si>
  <si>
    <t>En 30 meses</t>
  </si>
  <si>
    <r>
      <rPr>
        <i/>
        <sz val="10"/>
        <color rgb="FFFF9933"/>
        <rFont val="Calibri"/>
        <family val="2"/>
        <scheme val="minor"/>
      </rPr>
      <t>p &gt; 0,06</t>
    </r>
    <r>
      <rPr>
        <sz val="10"/>
        <color rgb="FFFF9933"/>
        <rFont val="Calibri"/>
        <family val="2"/>
        <scheme val="minor"/>
      </rPr>
      <t/>
    </r>
  </si>
  <si>
    <t>A los 6 meses</t>
  </si>
  <si>
    <t>En 6 meses</t>
  </si>
  <si>
    <t>90,52%</t>
  </si>
  <si>
    <t>53 a 56</t>
  </si>
  <si>
    <t>83 a 94</t>
  </si>
  <si>
    <t>87 a 96</t>
  </si>
  <si>
    <t>88 a 97</t>
  </si>
  <si>
    <t>56 a 61</t>
  </si>
  <si>
    <t>69 a 75</t>
  </si>
  <si>
    <t>76 a 88</t>
  </si>
  <si>
    <t>81 a 91</t>
  </si>
  <si>
    <t>% Eventos (= 1 - Supervivencia K-M)</t>
  </si>
  <si>
    <t>ECA CASPIAN, en cortes temporales de segumiento trimestrales desde los 3 a los 30 meses</t>
  </si>
  <si>
    <t>Grupo B: Pt-ET + Durval, n= 265</t>
  </si>
  <si>
    <t>Grupo B: Pt-ET + Durval</t>
  </si>
  <si>
    <t>Grupo A: Pt-ET + (Durval + Tremelim), n= 266</t>
  </si>
  <si>
    <t>Grupo A: Pt-ET + (Durval + Tremelim)</t>
  </si>
  <si>
    <t>Grupo B: Pt-ET + Durval, n= 268</t>
  </si>
  <si>
    <t>Grupo A: Pt-ET + (Durval + Tremelim), n= 268</t>
  </si>
  <si>
    <r>
      <rPr>
        <b/>
        <sz val="14"/>
        <color indexed="60"/>
        <rFont val="Calibri"/>
        <family val="2"/>
      </rPr>
      <t xml:space="preserve">Tabla nnt-1 (sin IC 95%, y con el % de eventos = 1 - Supervivencia K-M): </t>
    </r>
    <r>
      <rPr>
        <b/>
        <sz val="14"/>
        <rFont val="Calibri"/>
        <family val="2"/>
      </rPr>
      <t>Pacientes de 63 años [IQR, 57 a 68] con Cancer de pulmón microcítico en estadio extenso, a los que se trata en 1ª línea.</t>
    </r>
  </si>
  <si>
    <t>20210101-ECA Caspian m30, CPM-ex, 1L Pt-ET [Dur-Tre vs Dur vs Nada]. Goldman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</si>
  <si>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 xml:space="preserve">IC: </t>
    </r>
    <r>
      <rPr>
        <sz val="10"/>
        <rFont val="Calibri"/>
        <family val="2"/>
      </rPr>
      <t xml:space="preserve">intervalo de confianza;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RR: riesgo relativo (por incidencias acumuladas); </t>
    </r>
    <r>
      <rPr>
        <b/>
        <sz val="10"/>
        <rFont val="Calibri"/>
        <family val="2"/>
      </rPr>
      <t xml:space="preserve">Pt-ET: </t>
    </r>
    <r>
      <rPr>
        <sz val="10"/>
        <rFont val="Calibri"/>
        <family val="2"/>
      </rPr>
      <t xml:space="preserve">quimioterapia con platino más etopósido; </t>
    </r>
    <r>
      <rPr>
        <b/>
        <sz val="10"/>
        <rFont val="Calibri"/>
        <family val="2"/>
      </rPr>
      <t>Duval:</t>
    </r>
    <r>
      <rPr>
        <sz val="10"/>
        <rFont val="Calibri"/>
        <family val="2"/>
      </rPr>
      <t xml:space="preserve"> durvalumab; </t>
    </r>
    <r>
      <rPr>
        <b/>
        <sz val="10"/>
        <rFont val="Calibri"/>
        <family val="2"/>
      </rPr>
      <t>Tremelim:</t>
    </r>
    <r>
      <rPr>
        <sz val="10"/>
        <rFont val="Calibri"/>
        <family val="2"/>
      </rPr>
      <t xml:space="preserve"> tremelimumab.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</si>
  <si>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 xml:space="preserve">EA: </t>
    </r>
    <r>
      <rPr>
        <sz val="10"/>
        <rFont val="Calibri"/>
        <family val="2"/>
      </rPr>
      <t xml:space="preserve">efecto adverso; </t>
    </r>
    <r>
      <rPr>
        <b/>
        <sz val="10"/>
        <rFont val="Calibri"/>
        <family val="2"/>
      </rPr>
      <t xml:space="preserve">IC: </t>
    </r>
    <r>
      <rPr>
        <sz val="10"/>
        <rFont val="Calibri"/>
        <family val="2"/>
      </rPr>
      <t xml:space="preserve">intervalo de confianza;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 xml:space="preserve">RR: </t>
    </r>
    <r>
      <rPr>
        <sz val="10"/>
        <rFont val="Calibri"/>
        <family val="2"/>
      </rPr>
      <t xml:space="preserve">riesgo relativo (por incidencias acumuladas); </t>
    </r>
    <r>
      <rPr>
        <b/>
        <sz val="10"/>
        <rFont val="Calibri"/>
        <family val="2"/>
      </rPr>
      <t xml:space="preserve">Pt-ET: </t>
    </r>
    <r>
      <rPr>
        <sz val="10"/>
        <rFont val="Calibri"/>
        <family val="2"/>
      </rPr>
      <t xml:space="preserve">quimioterapia con platino más etopósido; </t>
    </r>
    <r>
      <rPr>
        <b/>
        <sz val="10"/>
        <rFont val="Calibri"/>
        <family val="2"/>
      </rPr>
      <t>Duval:</t>
    </r>
    <r>
      <rPr>
        <sz val="10"/>
        <rFont val="Calibri"/>
        <family val="2"/>
      </rPr>
      <t xml:space="preserve"> durvalumab; </t>
    </r>
    <r>
      <rPr>
        <b/>
        <sz val="10"/>
        <rFont val="Calibri"/>
        <family val="2"/>
      </rPr>
      <t>Tremelim:</t>
    </r>
    <r>
      <rPr>
        <sz val="10"/>
        <rFont val="Calibri"/>
        <family val="2"/>
      </rPr>
      <t xml:space="preserve"> tremelimumab.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</si>
  <si>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HR:</t>
    </r>
    <r>
      <rPr>
        <sz val="10"/>
        <rFont val="Calibri"/>
        <family val="2"/>
      </rPr>
      <t xml:space="preserve"> hazard ratio; </t>
    </r>
    <r>
      <rPr>
        <b/>
        <sz val="10"/>
        <rFont val="Calibri"/>
        <family val="2"/>
      </rPr>
      <t xml:space="preserve">IC: </t>
    </r>
    <r>
      <rPr>
        <sz val="10"/>
        <rFont val="Calibri"/>
        <family val="2"/>
      </rPr>
      <t xml:space="preserve">intervalo de confianza; </t>
    </r>
    <r>
      <rPr>
        <b/>
        <sz val="10"/>
        <rFont val="Calibri"/>
        <family val="2"/>
      </rPr>
      <t xml:space="preserve">K-M: </t>
    </r>
    <r>
      <rPr>
        <sz val="10"/>
        <rFont val="Calibri"/>
        <family val="2"/>
      </rPr>
      <t xml:space="preserve">Función de Supervivencia de Kaplan y Meier;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Pt-ET:</t>
    </r>
    <r>
      <rPr>
        <sz val="10"/>
        <rFont val="Calibri"/>
        <family val="2"/>
      </rPr>
      <t xml:space="preserve"> quimioterapia con platino más etopósido; </t>
    </r>
    <r>
      <rPr>
        <b/>
        <sz val="10"/>
        <rFont val="Calibri"/>
        <family val="2"/>
      </rPr>
      <t>Duval:</t>
    </r>
    <r>
      <rPr>
        <sz val="10"/>
        <rFont val="Calibri"/>
        <family val="2"/>
      </rPr>
      <t xml:space="preserve"> durvalumab; </t>
    </r>
    <r>
      <rPr>
        <b/>
        <sz val="10"/>
        <rFont val="Calibri"/>
        <family val="2"/>
      </rPr>
      <t>Tremelim</t>
    </r>
    <r>
      <rPr>
        <sz val="10"/>
        <rFont val="Calibri"/>
        <family val="2"/>
      </rPr>
      <t>: tremelimumab.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</si>
</sst>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\ _€_-;\-* #,##0.000\ _€_-;_-* &quot;-&quot;???\ _€_-;_-@_-"/>
    <numFmt numFmtId="172" formatCode="_-* #,##0.0\ _€_-;\-* #,##0.0\ _€_-;_-* &quot;-&quot;??\ _€_-;_-@_-"/>
    <numFmt numFmtId="173" formatCode="_-* #,##0.0\ _€_-;\-* #,##0.0\ _€_-;_-* &quot;-&quot;?\ _€_-;_-@_-"/>
    <numFmt numFmtId="174" formatCode="0.0000%"/>
    <numFmt numFmtId="175" formatCode="_-* #,##0.0000\ _€_-;\-* #,##0.0000\ _€_-;_-* &quot;-&quot;?\ _€_-;_-@_-"/>
    <numFmt numFmtId="176" formatCode="0.000"/>
    <numFmt numFmtId="177" formatCode="0.0000"/>
    <numFmt numFmtId="178" formatCode="#,##0.00_ ;\-#,##0.00\ "/>
  </numFmts>
  <fonts count="8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u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8.1"/>
      <color indexed="63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3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vertAlign val="subscript"/>
      <sz val="10"/>
      <name val="Calibri"/>
      <family val="2"/>
    </font>
    <font>
      <b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u/>
      <sz val="10"/>
      <name val="Calibri"/>
      <family val="2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rgb="FF008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i/>
      <sz val="11"/>
      <color rgb="FF008000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0000FF"/>
      <name val="Calibri"/>
      <family val="2"/>
    </font>
    <font>
      <b/>
      <i/>
      <sz val="12"/>
      <color rgb="FF008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name val="Calibri"/>
      <family val="2"/>
    </font>
    <font>
      <b/>
      <sz val="16"/>
      <color indexed="60"/>
      <name val="Calibri"/>
      <family val="2"/>
    </font>
    <font>
      <b/>
      <sz val="11"/>
      <name val="Calibri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8"/>
      <name val="Arial"/>
      <family val="2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FF9933"/>
      <name val="Calibri"/>
      <family val="2"/>
      <scheme val="minor"/>
    </font>
    <font>
      <i/>
      <sz val="10"/>
      <color rgb="FFFF9933"/>
      <name val="Calibri"/>
      <family val="2"/>
      <scheme val="minor"/>
    </font>
    <font>
      <b/>
      <sz val="18"/>
      <color rgb="FF92D050"/>
      <name val="Calibri"/>
      <family val="2"/>
      <scheme val="minor"/>
    </font>
    <font>
      <sz val="14"/>
      <color rgb="FF0099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7">
    <xf numFmtId="0" fontId="0" fillId="0" borderId="0" xfId="0"/>
    <xf numFmtId="2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/>
    <xf numFmtId="2" fontId="11" fillId="0" borderId="0" xfId="0" applyNumberFormat="1" applyFont="1"/>
    <xf numFmtId="10" fontId="11" fillId="0" borderId="0" xfId="2" applyNumberFormat="1" applyFont="1" applyBorder="1" applyAlignment="1">
      <alignment horizontal="center"/>
    </xf>
    <xf numFmtId="10" fontId="12" fillId="0" borderId="0" xfId="2" applyNumberFormat="1" applyFont="1" applyBorder="1" applyAlignment="1">
      <alignment horizontal="center"/>
    </xf>
    <xf numFmtId="0" fontId="13" fillId="0" borderId="0" xfId="0" applyFont="1" applyFill="1" applyBorder="1" applyAlignment="1">
      <alignment vertical="distributed"/>
    </xf>
    <xf numFmtId="0" fontId="11" fillId="0" borderId="0" xfId="0" applyFont="1" applyFill="1" applyAlignment="1">
      <alignment horizontal="center"/>
    </xf>
    <xf numFmtId="10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Border="1" applyAlignment="1">
      <alignment horizontal="center"/>
    </xf>
    <xf numFmtId="18" fontId="11" fillId="0" borderId="0" xfId="1" applyNumberFormat="1" applyFont="1" applyBorder="1" applyAlignment="1">
      <alignment horizontal="center"/>
    </xf>
    <xf numFmtId="164" fontId="11" fillId="0" borderId="0" xfId="1" applyFont="1" applyFill="1" applyAlignment="1">
      <alignment horizontal="center"/>
    </xf>
    <xf numFmtId="164" fontId="11" fillId="0" borderId="0" xfId="0" applyNumberFormat="1" applyFont="1"/>
    <xf numFmtId="164" fontId="14" fillId="0" borderId="0" xfId="1" applyFont="1" applyFill="1" applyBorder="1" applyAlignment="1">
      <alignment horizontal="center"/>
    </xf>
    <xf numFmtId="164" fontId="11" fillId="0" borderId="0" xfId="1" applyFont="1" applyFill="1"/>
    <xf numFmtId="0" fontId="15" fillId="0" borderId="0" xfId="0" applyFont="1" applyFill="1"/>
    <xf numFmtId="0" fontId="11" fillId="0" borderId="0" xfId="0" applyFont="1" applyBorder="1"/>
    <xf numFmtId="164" fontId="11" fillId="0" borderId="0" xfId="1" applyFont="1" applyFill="1" applyBorder="1"/>
    <xf numFmtId="0" fontId="11" fillId="0" borderId="0" xfId="0" applyFont="1" applyBorder="1" applyAlignment="1">
      <alignment horizontal="right"/>
    </xf>
    <xf numFmtId="10" fontId="11" fillId="0" borderId="0" xfId="2" applyNumberFormat="1" applyFont="1" applyFill="1"/>
    <xf numFmtId="10" fontId="11" fillId="0" borderId="0" xfId="0" applyNumberFormat="1" applyFont="1" applyFill="1"/>
    <xf numFmtId="0" fontId="19" fillId="0" borderId="0" xfId="0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/>
    <xf numFmtId="10" fontId="11" fillId="0" borderId="0" xfId="2" applyNumberFormat="1" applyFont="1" applyFill="1" applyBorder="1" applyAlignment="1">
      <alignment horizontal="center"/>
    </xf>
    <xf numFmtId="164" fontId="17" fillId="0" borderId="0" xfId="1" applyFont="1" applyFill="1" applyBorder="1"/>
    <xf numFmtId="0" fontId="16" fillId="0" borderId="0" xfId="0" applyFont="1" applyFill="1" applyAlignment="1">
      <alignment horizontal="center"/>
    </xf>
    <xf numFmtId="164" fontId="17" fillId="0" borderId="0" xfId="1" applyFont="1" applyFill="1" applyAlignment="1">
      <alignment horizontal="right"/>
    </xf>
    <xf numFmtId="0" fontId="17" fillId="0" borderId="0" xfId="0" applyFont="1" applyFill="1" applyBorder="1"/>
    <xf numFmtId="164" fontId="11" fillId="0" borderId="0" xfId="0" applyNumberFormat="1" applyFont="1" applyFill="1"/>
    <xf numFmtId="172" fontId="11" fillId="0" borderId="0" xfId="0" applyNumberFormat="1" applyFont="1" applyFill="1" applyBorder="1"/>
    <xf numFmtId="0" fontId="16" fillId="0" borderId="0" xfId="0" applyFont="1" applyBorder="1"/>
    <xf numFmtId="0" fontId="16" fillId="0" borderId="0" xfId="0" applyFont="1" applyFill="1" applyBorder="1" applyAlignment="1">
      <alignment horizontal="left"/>
    </xf>
    <xf numFmtId="164" fontId="11" fillId="0" borderId="0" xfId="1" applyFont="1" applyFill="1" applyBorder="1" applyAlignment="1">
      <alignment horizontal="center"/>
    </xf>
    <xf numFmtId="170" fontId="11" fillId="0" borderId="0" xfId="1" applyNumberFormat="1" applyFont="1" applyFill="1" applyBorder="1" applyAlignment="1">
      <alignment horizontal="center"/>
    </xf>
    <xf numFmtId="164" fontId="16" fillId="0" borderId="0" xfId="1" applyFont="1" applyFill="1" applyBorder="1" applyAlignment="1"/>
    <xf numFmtId="0" fontId="12" fillId="0" borderId="0" xfId="0" applyFont="1" applyAlignment="1">
      <alignment horizontal="right"/>
    </xf>
    <xf numFmtId="0" fontId="11" fillId="0" borderId="0" xfId="0" applyFont="1" applyFill="1" applyBorder="1" applyAlignment="1">
      <alignment horizontal="left"/>
    </xf>
    <xf numFmtId="170" fontId="11" fillId="0" borderId="0" xfId="0" applyNumberFormat="1" applyFont="1" applyBorder="1"/>
    <xf numFmtId="0" fontId="23" fillId="0" borderId="0" xfId="0" applyFont="1" applyBorder="1"/>
    <xf numFmtId="49" fontId="24" fillId="0" borderId="0" xfId="0" applyNumberFormat="1" applyFont="1"/>
    <xf numFmtId="10" fontId="11" fillId="0" borderId="0" xfId="0" applyNumberFormat="1" applyFont="1"/>
    <xf numFmtId="10" fontId="11" fillId="0" borderId="0" xfId="0" applyNumberFormat="1" applyFont="1" applyFill="1" applyBorder="1"/>
    <xf numFmtId="165" fontId="11" fillId="0" borderId="0" xfId="1" applyNumberFormat="1" applyFont="1"/>
    <xf numFmtId="10" fontId="20" fillId="0" borderId="0" xfId="2" applyNumberFormat="1" applyFont="1" applyFill="1" applyBorder="1" applyAlignment="1">
      <alignment horizontal="center"/>
    </xf>
    <xf numFmtId="165" fontId="20" fillId="0" borderId="0" xfId="1" applyNumberFormat="1" applyFont="1" applyFill="1" applyBorder="1" applyAlignment="1">
      <alignment horizontal="center"/>
    </xf>
    <xf numFmtId="166" fontId="11" fillId="0" borderId="0" xfId="0" applyNumberFormat="1" applyFont="1" applyFill="1" applyBorder="1"/>
    <xf numFmtId="49" fontId="11" fillId="0" borderId="0" xfId="0" applyNumberFormat="1" applyFont="1" applyFill="1" applyBorder="1"/>
    <xf numFmtId="165" fontId="16" fillId="0" borderId="0" xfId="0" applyNumberFormat="1" applyFont="1" applyFill="1" applyBorder="1"/>
    <xf numFmtId="165" fontId="16" fillId="0" borderId="0" xfId="0" applyNumberFormat="1" applyFont="1" applyFill="1" applyBorder="1" applyAlignment="1">
      <alignment horizontal="center"/>
    </xf>
    <xf numFmtId="165" fontId="25" fillId="0" borderId="0" xfId="0" applyNumberFormat="1" applyFont="1" applyFill="1" applyBorder="1"/>
    <xf numFmtId="49" fontId="12" fillId="0" borderId="0" xfId="0" applyNumberFormat="1" applyFont="1"/>
    <xf numFmtId="0" fontId="26" fillId="0" borderId="0" xfId="0" applyFont="1" applyFill="1" applyBorder="1"/>
    <xf numFmtId="0" fontId="11" fillId="0" borderId="1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6" fillId="0" borderId="0" xfId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2" fillId="0" borderId="6" xfId="1" applyNumberFormat="1" applyFont="1" applyFill="1" applyBorder="1"/>
    <xf numFmtId="165" fontId="13" fillId="0" borderId="6" xfId="1" applyNumberFormat="1" applyFont="1" applyFill="1" applyBorder="1"/>
    <xf numFmtId="165" fontId="12" fillId="0" borderId="0" xfId="1" applyNumberFormat="1" applyFont="1" applyFill="1" applyBorder="1"/>
    <xf numFmtId="165" fontId="13" fillId="0" borderId="0" xfId="1" applyNumberFormat="1" applyFont="1" applyFill="1" applyBorder="1"/>
    <xf numFmtId="164" fontId="27" fillId="0" borderId="6" xfId="1" applyFont="1" applyBorder="1"/>
    <xf numFmtId="0" fontId="13" fillId="0" borderId="0" xfId="0" applyFont="1" applyBorder="1" applyAlignment="1">
      <alignment horizontal="right"/>
    </xf>
    <xf numFmtId="164" fontId="11" fillId="0" borderId="0" xfId="1" applyFont="1" applyBorder="1"/>
    <xf numFmtId="0" fontId="16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 vertical="distributed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10" fontId="16" fillId="0" borderId="0" xfId="2" applyNumberFormat="1" applyFont="1" applyFill="1" applyBorder="1"/>
    <xf numFmtId="0" fontId="11" fillId="0" borderId="0" xfId="0" applyFont="1" applyBorder="1" applyAlignment="1">
      <alignment horizontal="left" vertical="center"/>
    </xf>
    <xf numFmtId="0" fontId="30" fillId="0" borderId="0" xfId="0" applyFont="1"/>
    <xf numFmtId="9" fontId="11" fillId="0" borderId="0" xfId="0" applyNumberFormat="1" applyFont="1" applyBorder="1"/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2" fontId="11" fillId="9" borderId="10" xfId="0" applyNumberFormat="1" applyFont="1" applyFill="1" applyBorder="1" applyAlignment="1">
      <alignment horizontal="center" vertical="center"/>
    </xf>
    <xf numFmtId="2" fontId="11" fillId="9" borderId="11" xfId="0" applyNumberFormat="1" applyFont="1" applyFill="1" applyBorder="1" applyAlignment="1">
      <alignment horizontal="center" vertical="center"/>
    </xf>
    <xf numFmtId="0" fontId="11" fillId="0" borderId="29" xfId="0" applyFont="1" applyBorder="1"/>
    <xf numFmtId="0" fontId="11" fillId="0" borderId="0" xfId="0" applyFont="1" applyFill="1" applyAlignment="1">
      <alignment horizontal="left" vertical="center"/>
    </xf>
    <xf numFmtId="0" fontId="35" fillId="0" borderId="0" xfId="0" applyFont="1"/>
    <xf numFmtId="0" fontId="16" fillId="0" borderId="10" xfId="0" applyFont="1" applyBorder="1" applyAlignment="1">
      <alignment horizontal="right" vertical="center"/>
    </xf>
    <xf numFmtId="49" fontId="25" fillId="0" borderId="2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10" fontId="11" fillId="0" borderId="27" xfId="2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/>
    <xf numFmtId="164" fontId="14" fillId="0" borderId="0" xfId="1" applyFont="1" applyFill="1" applyBorder="1" applyAlignment="1"/>
    <xf numFmtId="167" fontId="11" fillId="0" borderId="0" xfId="1" applyNumberFormat="1" applyFont="1" applyFill="1"/>
    <xf numFmtId="0" fontId="11" fillId="0" borderId="0" xfId="0" applyFont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2" fontId="11" fillId="0" borderId="6" xfId="1" applyNumberFormat="1" applyFont="1" applyBorder="1" applyAlignment="1">
      <alignment horizontal="center" vertical="center" wrapText="1"/>
    </xf>
    <xf numFmtId="2" fontId="11" fillId="0" borderId="6" xfId="1" applyNumberFormat="1" applyFont="1" applyFill="1" applyBorder="1" applyAlignment="1">
      <alignment horizontal="center" vertical="center" wrapText="1"/>
    </xf>
    <xf numFmtId="2" fontId="11" fillId="0" borderId="8" xfId="1" applyNumberFormat="1" applyFont="1" applyFill="1" applyBorder="1" applyAlignment="1">
      <alignment horizontal="center" vertical="center" wrapText="1"/>
    </xf>
    <xf numFmtId="0" fontId="11" fillId="0" borderId="16" xfId="0" applyFont="1" applyBorder="1"/>
    <xf numFmtId="0" fontId="11" fillId="0" borderId="16" xfId="0" applyFont="1" applyFill="1" applyBorder="1"/>
    <xf numFmtId="0" fontId="11" fillId="0" borderId="30" xfId="0" applyFont="1" applyFill="1" applyBorder="1"/>
    <xf numFmtId="0" fontId="16" fillId="0" borderId="0" xfId="0" applyFont="1" applyBorder="1" applyAlignment="1">
      <alignment horizontal="left" vertical="center"/>
    </xf>
    <xf numFmtId="165" fontId="16" fillId="0" borderId="0" xfId="1" applyNumberFormat="1" applyFont="1" applyFill="1" applyBorder="1" applyAlignment="1"/>
    <xf numFmtId="165" fontId="38" fillId="0" borderId="0" xfId="1" applyNumberFormat="1" applyFont="1" applyFill="1" applyBorder="1" applyAlignment="1"/>
    <xf numFmtId="165" fontId="3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/>
    <xf numFmtId="0" fontId="20" fillId="0" borderId="0" xfId="0" applyFont="1" applyFill="1" applyBorder="1" applyAlignment="1">
      <alignment horizontal="right"/>
    </xf>
    <xf numFmtId="0" fontId="24" fillId="0" borderId="0" xfId="0" applyFont="1" applyBorder="1" applyAlignment="1">
      <alignment vertical="distributed"/>
    </xf>
    <xf numFmtId="0" fontId="11" fillId="0" borderId="6" xfId="0" applyFont="1" applyBorder="1" applyAlignment="1">
      <alignment horizontal="center" vertical="center"/>
    </xf>
    <xf numFmtId="9" fontId="11" fillId="10" borderId="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166" fontId="11" fillId="0" borderId="0" xfId="0" applyNumberFormat="1" applyFont="1" applyBorder="1" applyAlignment="1">
      <alignment horizontal="left" vertical="center"/>
    </xf>
    <xf numFmtId="172" fontId="16" fillId="0" borderId="18" xfId="1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9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13" xfId="0" applyFont="1" applyBorder="1"/>
    <xf numFmtId="0" fontId="16" fillId="0" borderId="28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8" xfId="0" applyFont="1" applyBorder="1" applyAlignment="1">
      <alignment horizontal="right"/>
    </xf>
    <xf numFmtId="165" fontId="11" fillId="9" borderId="6" xfId="0" applyNumberFormat="1" applyFont="1" applyFill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165" fontId="11" fillId="9" borderId="6" xfId="1" applyNumberFormat="1" applyFont="1" applyFill="1" applyBorder="1" applyAlignment="1">
      <alignment vertical="center"/>
    </xf>
    <xf numFmtId="164" fontId="11" fillId="0" borderId="0" xfId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right"/>
    </xf>
    <xf numFmtId="165" fontId="16" fillId="0" borderId="13" xfId="0" applyNumberFormat="1" applyFont="1" applyBorder="1" applyAlignment="1">
      <alignment horizontal="right"/>
    </xf>
    <xf numFmtId="165" fontId="16" fillId="0" borderId="19" xfId="0" applyNumberFormat="1" applyFont="1" applyBorder="1" applyAlignment="1">
      <alignment horizontal="right"/>
    </xf>
    <xf numFmtId="165" fontId="16" fillId="0" borderId="38" xfId="0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2" applyNumberFormat="1" applyFont="1" applyFill="1" applyBorder="1" applyAlignment="1">
      <alignment horizontal="center" vertical="center" wrapText="1"/>
    </xf>
    <xf numFmtId="164" fontId="16" fillId="0" borderId="7" xfId="1" applyFont="1" applyFill="1" applyBorder="1" applyAlignment="1">
      <alignment horizontal="center" vertical="center" wrapText="1"/>
    </xf>
    <xf numFmtId="164" fontId="16" fillId="0" borderId="7" xfId="1" applyFont="1" applyBorder="1" applyAlignment="1">
      <alignment horizontal="center" vertical="center" wrapText="1"/>
    </xf>
    <xf numFmtId="178" fontId="11" fillId="0" borderId="6" xfId="1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 wrapText="1"/>
    </xf>
    <xf numFmtId="168" fontId="16" fillId="0" borderId="6" xfId="2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center" vertical="center" wrapText="1"/>
    </xf>
    <xf numFmtId="169" fontId="11" fillId="0" borderId="0" xfId="1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164" fontId="11" fillId="0" borderId="0" xfId="1" applyFont="1" applyBorder="1" applyAlignment="1">
      <alignment horizontal="center"/>
    </xf>
    <xf numFmtId="170" fontId="11" fillId="0" borderId="0" xfId="1" applyNumberFormat="1" applyFont="1" applyBorder="1" applyAlignment="1">
      <alignment horizontal="center"/>
    </xf>
    <xf numFmtId="10" fontId="16" fillId="0" borderId="0" xfId="2" applyNumberFormat="1" applyFont="1" applyFill="1" applyBorder="1" applyAlignment="1"/>
    <xf numFmtId="0" fontId="25" fillId="0" borderId="0" xfId="0" applyFont="1"/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wrapText="1"/>
    </xf>
    <xf numFmtId="164" fontId="21" fillId="0" borderId="16" xfId="1" applyFont="1" applyFill="1" applyBorder="1" applyAlignment="1">
      <alignment horizontal="right"/>
    </xf>
    <xf numFmtId="0" fontId="11" fillId="0" borderId="16" xfId="0" applyFont="1" applyFill="1" applyBorder="1" applyAlignment="1">
      <alignment horizontal="left"/>
    </xf>
    <xf numFmtId="170" fontId="11" fillId="0" borderId="16" xfId="1" applyNumberFormat="1" applyFont="1" applyFill="1" applyBorder="1" applyAlignment="1">
      <alignment horizontal="center"/>
    </xf>
    <xf numFmtId="164" fontId="11" fillId="0" borderId="16" xfId="1" applyFont="1" applyFill="1" applyBorder="1" applyAlignment="1">
      <alignment horizontal="center"/>
    </xf>
    <xf numFmtId="164" fontId="16" fillId="0" borderId="16" xfId="1" applyFont="1" applyFill="1" applyBorder="1" applyAlignment="1"/>
    <xf numFmtId="164" fontId="16" fillId="0" borderId="29" xfId="1" applyFont="1" applyFill="1" applyBorder="1" applyAlignment="1"/>
    <xf numFmtId="0" fontId="11" fillId="0" borderId="18" xfId="0" applyFont="1" applyFill="1" applyBorder="1"/>
    <xf numFmtId="165" fontId="16" fillId="0" borderId="6" xfId="0" applyNumberFormat="1" applyFont="1" applyFill="1" applyBorder="1" applyAlignment="1">
      <alignment horizontal="center"/>
    </xf>
    <xf numFmtId="1" fontId="16" fillId="0" borderId="6" xfId="0" applyNumberFormat="1" applyFont="1" applyFill="1" applyBorder="1" applyAlignment="1">
      <alignment horizontal="center"/>
    </xf>
    <xf numFmtId="10" fontId="16" fillId="0" borderId="6" xfId="2" applyNumberFormat="1" applyFont="1" applyBorder="1" applyAlignment="1">
      <alignment horizontal="center"/>
    </xf>
    <xf numFmtId="164" fontId="16" fillId="0" borderId="6" xfId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0" fontId="16" fillId="13" borderId="6" xfId="2" applyNumberFormat="1" applyFont="1" applyFill="1" applyBorder="1" applyAlignment="1"/>
    <xf numFmtId="1" fontId="11" fillId="0" borderId="15" xfId="0" applyNumberFormat="1" applyFont="1" applyFill="1" applyBorder="1" applyAlignment="1">
      <alignment horizontal="center" vertical="center" wrapText="1"/>
    </xf>
    <xf numFmtId="164" fontId="16" fillId="0" borderId="30" xfId="1" applyFont="1" applyFill="1" applyBorder="1" applyAlignment="1"/>
    <xf numFmtId="10" fontId="11" fillId="0" borderId="15" xfId="2" applyNumberFormat="1" applyFont="1" applyFill="1" applyBorder="1"/>
    <xf numFmtId="0" fontId="11" fillId="0" borderId="30" xfId="0" applyFont="1" applyBorder="1"/>
    <xf numFmtId="2" fontId="11" fillId="0" borderId="15" xfId="1" applyNumberFormat="1" applyFont="1" applyFill="1" applyBorder="1" applyAlignment="1">
      <alignment horizontal="center" vertical="center" wrapText="1"/>
    </xf>
    <xf numFmtId="175" fontId="11" fillId="0" borderId="15" xfId="0" applyNumberFormat="1" applyFont="1" applyBorder="1"/>
    <xf numFmtId="168" fontId="11" fillId="0" borderId="15" xfId="2" applyNumberFormat="1" applyFont="1" applyFill="1" applyBorder="1" applyAlignment="1">
      <alignment horizontal="center" vertical="center" wrapText="1"/>
    </xf>
    <xf numFmtId="166" fontId="16" fillId="0" borderId="15" xfId="1" applyNumberFormat="1" applyFont="1" applyFill="1" applyBorder="1"/>
    <xf numFmtId="0" fontId="16" fillId="0" borderId="0" xfId="0" applyFont="1" applyAlignment="1">
      <alignment horizontal="left"/>
    </xf>
    <xf numFmtId="176" fontId="11" fillId="0" borderId="15" xfId="0" applyNumberFormat="1" applyFont="1" applyFill="1" applyBorder="1" applyAlignment="1">
      <alignment horizontal="center" vertical="center" wrapText="1"/>
    </xf>
    <xf numFmtId="167" fontId="11" fillId="2" borderId="15" xfId="1" applyNumberFormat="1" applyFont="1" applyFill="1" applyBorder="1"/>
    <xf numFmtId="168" fontId="11" fillId="0" borderId="0" xfId="2" applyNumberFormat="1" applyFont="1" applyAlignment="1">
      <alignment horizontal="center" vertical="center" wrapText="1"/>
    </xf>
    <xf numFmtId="10" fontId="11" fillId="11" borderId="15" xfId="2" applyNumberFormat="1" applyFont="1" applyFill="1" applyBorder="1" applyAlignment="1">
      <alignment horizontal="center" vertical="center" wrapText="1"/>
    </xf>
    <xf numFmtId="10" fontId="22" fillId="0" borderId="15" xfId="0" applyNumberFormat="1" applyFont="1" applyBorder="1"/>
    <xf numFmtId="10" fontId="11" fillId="2" borderId="6" xfId="2" applyNumberFormat="1" applyFont="1" applyFill="1" applyBorder="1" applyAlignment="1">
      <alignment horizontal="center"/>
    </xf>
    <xf numFmtId="10" fontId="11" fillId="4" borderId="6" xfId="2" applyNumberFormat="1" applyFont="1" applyFill="1" applyBorder="1" applyAlignment="1">
      <alignment horizontal="center"/>
    </xf>
    <xf numFmtId="10" fontId="11" fillId="3" borderId="6" xfId="2" applyNumberFormat="1" applyFont="1" applyFill="1" applyBorder="1" applyAlignment="1">
      <alignment horizontal="center"/>
    </xf>
    <xf numFmtId="10" fontId="11" fillId="0" borderId="13" xfId="2" applyNumberFormat="1" applyFont="1" applyBorder="1" applyAlignment="1">
      <alignment horizontal="center" vertical="center" wrapText="1"/>
    </xf>
    <xf numFmtId="0" fontId="23" fillId="0" borderId="14" xfId="0" applyFont="1" applyBorder="1"/>
    <xf numFmtId="0" fontId="11" fillId="0" borderId="14" xfId="0" applyFont="1" applyBorder="1"/>
    <xf numFmtId="171" fontId="11" fillId="0" borderId="14" xfId="0" applyNumberFormat="1" applyFont="1" applyBorder="1"/>
    <xf numFmtId="0" fontId="11" fillId="0" borderId="38" xfId="0" applyFont="1" applyBorder="1"/>
    <xf numFmtId="0" fontId="11" fillId="0" borderId="13" xfId="0" applyFont="1" applyFill="1" applyBorder="1"/>
    <xf numFmtId="0" fontId="11" fillId="0" borderId="14" xfId="0" applyFont="1" applyFill="1" applyBorder="1"/>
    <xf numFmtId="0" fontId="11" fillId="0" borderId="38" xfId="0" applyFont="1" applyFill="1" applyBorder="1"/>
    <xf numFmtId="1" fontId="11" fillId="2" borderId="6" xfId="0" applyNumberFormat="1" applyFont="1" applyFill="1" applyBorder="1" applyAlignment="1">
      <alignment horizontal="center"/>
    </xf>
    <xf numFmtId="1" fontId="11" fillId="4" borderId="6" xfId="0" applyNumberFormat="1" applyFont="1" applyFill="1" applyBorder="1" applyAlignment="1">
      <alignment horizontal="center"/>
    </xf>
    <xf numFmtId="1" fontId="11" fillId="3" borderId="6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1" fillId="0" borderId="16" xfId="0" applyFont="1" applyFill="1" applyBorder="1" applyAlignment="1">
      <alignment horizontal="right"/>
    </xf>
    <xf numFmtId="177" fontId="11" fillId="0" borderId="16" xfId="1" applyNumberFormat="1" applyFont="1" applyBorder="1" applyAlignment="1">
      <alignment horizontal="center" vertical="center"/>
    </xf>
    <xf numFmtId="2" fontId="11" fillId="0" borderId="16" xfId="0" applyNumberFormat="1" applyFont="1" applyBorder="1"/>
    <xf numFmtId="10" fontId="20" fillId="0" borderId="0" xfId="2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right"/>
    </xf>
    <xf numFmtId="49" fontId="41" fillId="0" borderId="0" xfId="1" applyNumberFormat="1" applyFont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164" fontId="16" fillId="0" borderId="15" xfId="1" applyFont="1" applyFill="1" applyBorder="1" applyAlignment="1">
      <alignment horizontal="center" vertical="center" wrapText="1"/>
    </xf>
    <xf numFmtId="0" fontId="14" fillId="0" borderId="0" xfId="0" applyFont="1" applyFill="1" applyBorder="1"/>
    <xf numFmtId="164" fontId="11" fillId="0" borderId="0" xfId="1" applyFont="1" applyFill="1" applyBorder="1" applyAlignment="1"/>
    <xf numFmtId="0" fontId="40" fillId="5" borderId="0" xfId="0" applyFont="1" applyFill="1" applyBorder="1" applyAlignment="1">
      <alignment horizontal="center" vertical="center" wrapText="1"/>
    </xf>
    <xf numFmtId="0" fontId="40" fillId="5" borderId="0" xfId="0" applyFont="1" applyFill="1" applyBorder="1"/>
    <xf numFmtId="0" fontId="40" fillId="5" borderId="0" xfId="0" applyFont="1" applyFill="1" applyBorder="1" applyAlignment="1">
      <alignment horizontal="right"/>
    </xf>
    <xf numFmtId="1" fontId="40" fillId="5" borderId="0" xfId="0" applyNumberFormat="1" applyFont="1" applyFill="1" applyBorder="1" applyAlignment="1">
      <alignment horizontal="center" vertical="distributed"/>
    </xf>
    <xf numFmtId="0" fontId="11" fillId="0" borderId="15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40" fillId="6" borderId="0" xfId="0" applyFont="1" applyFill="1" applyBorder="1" applyAlignment="1">
      <alignment horizontal="center" vertical="center" wrapText="1"/>
    </xf>
    <xf numFmtId="0" fontId="40" fillId="6" borderId="0" xfId="0" applyFont="1" applyFill="1" applyBorder="1"/>
    <xf numFmtId="0" fontId="40" fillId="6" borderId="0" xfId="0" applyFont="1" applyFill="1" applyBorder="1" applyAlignment="1">
      <alignment horizontal="right"/>
    </xf>
    <xf numFmtId="1" fontId="40" fillId="6" borderId="0" xfId="0" applyNumberFormat="1" applyFont="1" applyFill="1" applyBorder="1" applyAlignment="1">
      <alignment horizontal="center" vertical="distributed"/>
    </xf>
    <xf numFmtId="164" fontId="11" fillId="0" borderId="0" xfId="0" applyNumberFormat="1" applyFont="1" applyFill="1" applyBorder="1" applyAlignment="1">
      <alignment horizontal="left" vertical="center"/>
    </xf>
    <xf numFmtId="165" fontId="40" fillId="7" borderId="0" xfId="0" applyNumberFormat="1" applyFont="1" applyFill="1" applyBorder="1" applyAlignment="1">
      <alignment horizontal="center" vertical="center" wrapText="1"/>
    </xf>
    <xf numFmtId="164" fontId="42" fillId="7" borderId="0" xfId="1" applyFont="1" applyFill="1" applyBorder="1"/>
    <xf numFmtId="164" fontId="40" fillId="7" borderId="0" xfId="1" applyFont="1" applyFill="1" applyBorder="1" applyAlignment="1">
      <alignment horizontal="right"/>
    </xf>
    <xf numFmtId="1" fontId="40" fillId="7" borderId="0" xfId="0" applyNumberFormat="1" applyFont="1" applyFill="1" applyBorder="1" applyAlignment="1">
      <alignment horizontal="center" vertical="distributed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/>
    <xf numFmtId="1" fontId="40" fillId="0" borderId="0" xfId="0" applyNumberFormat="1" applyFont="1" applyBorder="1" applyAlignment="1">
      <alignment horizontal="center"/>
    </xf>
    <xf numFmtId="164" fontId="11" fillId="0" borderId="14" xfId="1" applyFont="1" applyFill="1" applyBorder="1" applyAlignment="1">
      <alignment horizontal="center"/>
    </xf>
    <xf numFmtId="164" fontId="16" fillId="0" borderId="14" xfId="1" applyFont="1" applyFill="1" applyBorder="1" applyAlignment="1"/>
    <xf numFmtId="0" fontId="40" fillId="0" borderId="0" xfId="0" applyFont="1" applyFill="1" applyBorder="1" applyAlignment="1">
      <alignment horizontal="right" vertical="center"/>
    </xf>
    <xf numFmtId="49" fontId="40" fillId="0" borderId="0" xfId="1" applyNumberFormat="1" applyFont="1" applyBorder="1" applyAlignment="1">
      <alignment horizontal="right"/>
    </xf>
    <xf numFmtId="1" fontId="40" fillId="0" borderId="0" xfId="0" applyNumberFormat="1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 vertical="center" wrapText="1"/>
    </xf>
    <xf numFmtId="0" fontId="40" fillId="3" borderId="0" xfId="0" applyFont="1" applyFill="1" applyBorder="1"/>
    <xf numFmtId="0" fontId="40" fillId="3" borderId="0" xfId="0" applyFont="1" applyFill="1" applyBorder="1" applyAlignment="1">
      <alignment horizontal="right"/>
    </xf>
    <xf numFmtId="1" fontId="40" fillId="3" borderId="0" xfId="0" applyNumberFormat="1" applyFont="1" applyFill="1" applyBorder="1" applyAlignment="1">
      <alignment horizontal="center" vertical="distributed"/>
    </xf>
    <xf numFmtId="0" fontId="33" fillId="0" borderId="0" xfId="0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horizontal="center" vertical="center" wrapText="1"/>
    </xf>
    <xf numFmtId="164" fontId="16" fillId="0" borderId="0" xfId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 vertical="center"/>
    </xf>
    <xf numFmtId="164" fontId="11" fillId="0" borderId="6" xfId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165" fontId="16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27" fillId="0" borderId="3" xfId="0" applyFont="1" applyBorder="1" applyAlignment="1">
      <alignment horizontal="left" vertical="center"/>
    </xf>
    <xf numFmtId="165" fontId="11" fillId="0" borderId="0" xfId="1" applyNumberFormat="1" applyFont="1" applyAlignment="1">
      <alignment horizontal="center" vertical="center" wrapText="1"/>
    </xf>
    <xf numFmtId="164" fontId="16" fillId="0" borderId="0" xfId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4" fontId="11" fillId="11" borderId="0" xfId="0" applyNumberFormat="1" applyFont="1" applyFill="1" applyAlignment="1">
      <alignment horizontal="center" vertical="center" wrapText="1"/>
    </xf>
    <xf numFmtId="164" fontId="16" fillId="0" borderId="6" xfId="0" applyNumberFormat="1" applyFont="1" applyBorder="1"/>
    <xf numFmtId="164" fontId="11" fillId="0" borderId="0" xfId="0" applyNumberFormat="1" applyFont="1" applyAlignment="1">
      <alignment horizontal="center" vertical="center" wrapText="1"/>
    </xf>
    <xf numFmtId="172" fontId="11" fillId="0" borderId="0" xfId="0" applyNumberFormat="1" applyFont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166" fontId="16" fillId="11" borderId="6" xfId="1" applyNumberFormat="1" applyFont="1" applyFill="1" applyBorder="1"/>
    <xf numFmtId="170" fontId="11" fillId="0" borderId="0" xfId="0" applyNumberFormat="1" applyFont="1" applyFill="1" applyBorder="1" applyAlignment="1">
      <alignment horizontal="center" vertical="center" wrapText="1"/>
    </xf>
    <xf numFmtId="9" fontId="11" fillId="0" borderId="0" xfId="2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/>
    <xf numFmtId="166" fontId="11" fillId="0" borderId="0" xfId="0" applyNumberFormat="1" applyFont="1" applyFill="1" applyBorder="1" applyAlignment="1">
      <alignment horizontal="center" vertical="center"/>
    </xf>
    <xf numFmtId="10" fontId="11" fillId="0" borderId="30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/>
    </xf>
    <xf numFmtId="0" fontId="11" fillId="0" borderId="15" xfId="0" applyFont="1" applyFill="1" applyBorder="1"/>
    <xf numFmtId="49" fontId="11" fillId="0" borderId="13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/>
    <xf numFmtId="0" fontId="11" fillId="0" borderId="14" xfId="0" applyFont="1" applyBorder="1" applyAlignment="1">
      <alignment horizontal="center" vertical="center" wrapText="1"/>
    </xf>
    <xf numFmtId="49" fontId="16" fillId="8" borderId="6" xfId="0" applyNumberFormat="1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6" fontId="11" fillId="0" borderId="0" xfId="0" applyNumberFormat="1" applyFont="1" applyAlignment="1">
      <alignment vertical="center"/>
    </xf>
    <xf numFmtId="176" fontId="11" fillId="0" borderId="6" xfId="0" applyNumberFormat="1" applyFont="1" applyBorder="1" applyAlignment="1">
      <alignment horizontal="center" vertical="center"/>
    </xf>
    <xf numFmtId="10" fontId="11" fillId="0" borderId="6" xfId="2" applyNumberFormat="1" applyFont="1" applyBorder="1" applyAlignment="1">
      <alignment horizontal="center" vertical="center" wrapText="1"/>
    </xf>
    <xf numFmtId="10" fontId="12" fillId="0" borderId="0" xfId="2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74" fontId="11" fillId="0" borderId="0" xfId="2" applyNumberFormat="1" applyFont="1" applyAlignment="1">
      <alignment horizontal="center" vertical="center"/>
    </xf>
    <xf numFmtId="10" fontId="11" fillId="0" borderId="0" xfId="2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left" vertical="center"/>
    </xf>
    <xf numFmtId="168" fontId="11" fillId="0" borderId="0" xfId="2" applyNumberFormat="1" applyFont="1" applyBorder="1" applyAlignment="1">
      <alignment horizontal="center"/>
    </xf>
    <xf numFmtId="10" fontId="11" fillId="0" borderId="6" xfId="2" applyNumberFormat="1" applyFont="1" applyFill="1" applyBorder="1" applyAlignment="1">
      <alignment horizontal="center"/>
    </xf>
    <xf numFmtId="49" fontId="11" fillId="0" borderId="6" xfId="1" applyNumberFormat="1" applyFont="1" applyFill="1" applyBorder="1" applyAlignment="1">
      <alignment horizontal="right"/>
    </xf>
    <xf numFmtId="164" fontId="14" fillId="0" borderId="19" xfId="1" applyFont="1" applyFill="1" applyBorder="1" applyAlignment="1"/>
    <xf numFmtId="10" fontId="11" fillId="0" borderId="16" xfId="2" applyNumberFormat="1" applyFont="1" applyFill="1" applyBorder="1" applyAlignment="1">
      <alignment horizontal="center"/>
    </xf>
    <xf numFmtId="10" fontId="11" fillId="0" borderId="6" xfId="2" applyNumberFormat="1" applyFont="1" applyBorder="1" applyAlignment="1">
      <alignment horizontal="center" vertical="distributed"/>
    </xf>
    <xf numFmtId="0" fontId="16" fillId="8" borderId="7" xfId="0" applyFont="1" applyFill="1" applyBorder="1" applyAlignment="1">
      <alignment horizontal="center" vertical="center"/>
    </xf>
    <xf numFmtId="10" fontId="32" fillId="0" borderId="6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distributed"/>
    </xf>
    <xf numFmtId="0" fontId="45" fillId="0" borderId="0" xfId="0" applyFont="1"/>
    <xf numFmtId="0" fontId="11" fillId="0" borderId="0" xfId="0" applyFont="1" applyFill="1" applyAlignment="1">
      <alignment horizontal="center" vertical="center"/>
    </xf>
    <xf numFmtId="0" fontId="46" fillId="0" borderId="0" xfId="0" applyFont="1"/>
    <xf numFmtId="0" fontId="11" fillId="0" borderId="0" xfId="0" applyFont="1" applyBorder="1" applyAlignment="1">
      <alignment horizontal="center" vertical="center"/>
    </xf>
    <xf numFmtId="166" fontId="11" fillId="12" borderId="0" xfId="0" applyNumberFormat="1" applyFont="1" applyFill="1" applyBorder="1"/>
    <xf numFmtId="0" fontId="11" fillId="12" borderId="0" xfId="0" applyFont="1" applyFill="1" applyAlignment="1">
      <alignment horizontal="center" vertical="center"/>
    </xf>
    <xf numFmtId="0" fontId="16" fillId="12" borderId="0" xfId="0" applyFont="1" applyFill="1" applyBorder="1" applyAlignment="1">
      <alignment horizontal="center" vertical="center" wrapText="1"/>
    </xf>
    <xf numFmtId="0" fontId="16" fillId="12" borderId="0" xfId="0" applyFont="1" applyFill="1" applyBorder="1" applyAlignment="1">
      <alignment horizontal="center" vertical="center"/>
    </xf>
    <xf numFmtId="176" fontId="11" fillId="12" borderId="0" xfId="0" applyNumberFormat="1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/>
    </xf>
    <xf numFmtId="0" fontId="33" fillId="12" borderId="6" xfId="0" applyFont="1" applyFill="1" applyBorder="1" applyAlignment="1">
      <alignment horizontal="center" vertical="center"/>
    </xf>
    <xf numFmtId="10" fontId="33" fillId="12" borderId="6" xfId="0" applyNumberFormat="1" applyFont="1" applyFill="1" applyBorder="1" applyAlignment="1">
      <alignment horizontal="center" vertical="center"/>
    </xf>
    <xf numFmtId="176" fontId="11" fillId="12" borderId="0" xfId="0" applyNumberFormat="1" applyFont="1" applyFill="1" applyBorder="1" applyAlignment="1">
      <alignment horizontal="center" vertical="center"/>
    </xf>
    <xf numFmtId="9" fontId="11" fillId="12" borderId="0" xfId="2" applyNumberFormat="1" applyFont="1" applyFill="1" applyAlignment="1">
      <alignment horizontal="center" vertical="center"/>
    </xf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168" fontId="11" fillId="12" borderId="0" xfId="2" applyNumberFormat="1" applyFont="1" applyFill="1"/>
    <xf numFmtId="0" fontId="48" fillId="12" borderId="0" xfId="0" applyFont="1" applyFill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 wrapText="1"/>
    </xf>
    <xf numFmtId="9" fontId="11" fillId="0" borderId="0" xfId="2" applyFont="1" applyFill="1" applyAlignment="1">
      <alignment horizontal="center"/>
    </xf>
    <xf numFmtId="0" fontId="33" fillId="12" borderId="0" xfId="0" applyFont="1" applyFill="1" applyBorder="1" applyAlignment="1">
      <alignment horizontal="center" vertical="center"/>
    </xf>
    <xf numFmtId="165" fontId="11" fillId="0" borderId="0" xfId="0" applyNumberFormat="1" applyFont="1" applyFill="1"/>
    <xf numFmtId="0" fontId="16" fillId="0" borderId="0" xfId="0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9" fontId="16" fillId="0" borderId="0" xfId="2" applyFont="1" applyFill="1" applyAlignment="1">
      <alignment horizontal="center"/>
    </xf>
    <xf numFmtId="10" fontId="11" fillId="0" borderId="0" xfId="0" applyNumberFormat="1" applyFont="1" applyAlignment="1">
      <alignment horizontal="right" vertical="center"/>
    </xf>
    <xf numFmtId="0" fontId="24" fillId="12" borderId="0" xfId="0" applyFont="1" applyFill="1" applyAlignment="1">
      <alignment horizontal="left" vertical="center"/>
    </xf>
    <xf numFmtId="1" fontId="53" fillId="12" borderId="6" xfId="0" applyNumberFormat="1" applyFont="1" applyFill="1" applyBorder="1" applyAlignment="1">
      <alignment horizontal="center" vertical="center"/>
    </xf>
    <xf numFmtId="0" fontId="44" fillId="0" borderId="0" xfId="0" applyFont="1"/>
    <xf numFmtId="0" fontId="16" fillId="11" borderId="6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 wrapText="1"/>
    </xf>
    <xf numFmtId="0" fontId="11" fillId="12" borderId="0" xfId="0" applyFont="1" applyFill="1" applyAlignment="1">
      <alignment vertical="center"/>
    </xf>
    <xf numFmtId="0" fontId="34" fillId="12" borderId="0" xfId="0" applyFont="1" applyFill="1" applyBorder="1" applyAlignment="1">
      <alignment horizontal="left" vertical="center" wrapText="1"/>
    </xf>
    <xf numFmtId="49" fontId="16" fillId="12" borderId="0" xfId="0" applyNumberFormat="1" applyFont="1" applyFill="1" applyBorder="1" applyAlignment="1">
      <alignment horizontal="center" vertical="center" wrapText="1"/>
    </xf>
    <xf numFmtId="0" fontId="26" fillId="12" borderId="0" xfId="0" applyFont="1" applyFill="1" applyBorder="1" applyAlignment="1">
      <alignment horizontal="left" vertical="center" wrapText="1"/>
    </xf>
    <xf numFmtId="1" fontId="60" fillId="12" borderId="0" xfId="0" applyNumberFormat="1" applyFont="1" applyFill="1" applyBorder="1" applyAlignment="1">
      <alignment horizontal="center" vertical="center"/>
    </xf>
    <xf numFmtId="1" fontId="59" fillId="12" borderId="0" xfId="0" applyNumberFormat="1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left" vertical="center" wrapText="1"/>
    </xf>
    <xf numFmtId="0" fontId="25" fillId="12" borderId="0" xfId="0" applyFont="1" applyFill="1" applyBorder="1" applyAlignment="1">
      <alignment horizontal="right" vertical="center" wrapText="1"/>
    </xf>
    <xf numFmtId="176" fontId="25" fillId="0" borderId="6" xfId="0" applyNumberFormat="1" applyFont="1" applyBorder="1" applyAlignment="1">
      <alignment horizontal="right" vertical="center"/>
    </xf>
    <xf numFmtId="0" fontId="25" fillId="0" borderId="0" xfId="0" applyFont="1" applyAlignment="1">
      <alignment horizontal="right"/>
    </xf>
    <xf numFmtId="10" fontId="25" fillId="0" borderId="6" xfId="2" applyNumberFormat="1" applyFont="1" applyBorder="1" applyAlignment="1">
      <alignment horizontal="right" vertical="center" wrapText="1"/>
    </xf>
    <xf numFmtId="0" fontId="25" fillId="12" borderId="0" xfId="0" applyFont="1" applyFill="1" applyAlignment="1">
      <alignment horizontal="right" vertical="center"/>
    </xf>
    <xf numFmtId="0" fontId="26" fillId="12" borderId="32" xfId="0" applyFont="1" applyFill="1" applyBorder="1" applyAlignment="1">
      <alignment horizontal="left" vertical="center" wrapText="1"/>
    </xf>
    <xf numFmtId="0" fontId="33" fillId="12" borderId="41" xfId="0" applyFont="1" applyFill="1" applyBorder="1" applyAlignment="1">
      <alignment horizontal="center" vertical="center"/>
    </xf>
    <xf numFmtId="10" fontId="33" fillId="12" borderId="33" xfId="0" applyNumberFormat="1" applyFont="1" applyFill="1" applyBorder="1" applyAlignment="1">
      <alignment horizontal="center" vertical="center"/>
    </xf>
    <xf numFmtId="0" fontId="64" fillId="12" borderId="22" xfId="0" applyFont="1" applyFill="1" applyBorder="1" applyAlignment="1">
      <alignment horizontal="right" vertical="center" wrapText="1"/>
    </xf>
    <xf numFmtId="0" fontId="50" fillId="12" borderId="21" xfId="0" applyFont="1" applyFill="1" applyBorder="1" applyAlignment="1">
      <alignment horizontal="right" vertical="center"/>
    </xf>
    <xf numFmtId="0" fontId="66" fillId="10" borderId="21" xfId="0" applyFont="1" applyFill="1" applyBorder="1" applyAlignment="1">
      <alignment horizontal="right" vertical="center"/>
    </xf>
    <xf numFmtId="10" fontId="50" fillId="12" borderId="26" xfId="0" applyNumberFormat="1" applyFont="1" applyFill="1" applyBorder="1" applyAlignment="1">
      <alignment horizontal="right" vertical="center"/>
    </xf>
    <xf numFmtId="0" fontId="26" fillId="12" borderId="31" xfId="0" applyFont="1" applyFill="1" applyBorder="1" applyAlignment="1">
      <alignment horizontal="left" vertical="center" wrapText="1"/>
    </xf>
    <xf numFmtId="0" fontId="33" fillId="12" borderId="24" xfId="0" applyFont="1" applyFill="1" applyBorder="1" applyAlignment="1">
      <alignment horizontal="center" vertical="center"/>
    </xf>
    <xf numFmtId="0" fontId="54" fillId="10" borderId="24" xfId="0" applyFont="1" applyFill="1" applyBorder="1" applyAlignment="1">
      <alignment horizontal="center" vertical="center"/>
    </xf>
    <xf numFmtId="10" fontId="33" fillId="12" borderId="25" xfId="0" applyNumberFormat="1" applyFont="1" applyFill="1" applyBorder="1" applyAlignment="1">
      <alignment horizontal="center" vertical="center"/>
    </xf>
    <xf numFmtId="1" fontId="24" fillId="12" borderId="32" xfId="0" applyNumberFormat="1" applyFont="1" applyFill="1" applyBorder="1" applyAlignment="1">
      <alignment horizontal="center" vertical="center"/>
    </xf>
    <xf numFmtId="1" fontId="24" fillId="12" borderId="33" xfId="0" applyNumberFormat="1" applyFont="1" applyFill="1" applyBorder="1" applyAlignment="1">
      <alignment horizontal="center" vertical="center"/>
    </xf>
    <xf numFmtId="1" fontId="51" fillId="12" borderId="43" xfId="0" applyNumberFormat="1" applyFont="1" applyFill="1" applyBorder="1" applyAlignment="1">
      <alignment horizontal="right" vertical="center"/>
    </xf>
    <xf numFmtId="1" fontId="51" fillId="12" borderId="44" xfId="0" applyNumberFormat="1" applyFont="1" applyFill="1" applyBorder="1" applyAlignment="1">
      <alignment horizontal="right" vertical="center"/>
    </xf>
    <xf numFmtId="1" fontId="63" fillId="12" borderId="43" xfId="0" applyNumberFormat="1" applyFont="1" applyFill="1" applyBorder="1" applyAlignment="1">
      <alignment horizontal="right" vertical="center"/>
    </xf>
    <xf numFmtId="1" fontId="62" fillId="12" borderId="44" xfId="0" applyNumberFormat="1" applyFont="1" applyFill="1" applyBorder="1" applyAlignment="1">
      <alignment horizontal="right" vertical="center"/>
    </xf>
    <xf numFmtId="1" fontId="56" fillId="12" borderId="31" xfId="0" applyNumberFormat="1" applyFont="1" applyFill="1" applyBorder="1" applyAlignment="1">
      <alignment horizontal="center" vertical="center"/>
    </xf>
    <xf numFmtId="1" fontId="57" fillId="12" borderId="25" xfId="0" applyNumberFormat="1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right" vertical="center"/>
    </xf>
    <xf numFmtId="0" fontId="33" fillId="0" borderId="41" xfId="0" applyFont="1" applyBorder="1" applyAlignment="1">
      <alignment horizontal="center" vertical="center"/>
    </xf>
    <xf numFmtId="10" fontId="33" fillId="0" borderId="33" xfId="0" applyNumberFormat="1" applyFont="1" applyBorder="1" applyAlignment="1">
      <alignment horizontal="center" vertical="center"/>
    </xf>
    <xf numFmtId="0" fontId="24" fillId="12" borderId="0" xfId="0" applyFont="1" applyFill="1" applyBorder="1" applyAlignment="1">
      <alignment horizontal="center" vertical="center" wrapText="1"/>
    </xf>
    <xf numFmtId="0" fontId="16" fillId="12" borderId="0" xfId="0" applyFont="1" applyFill="1"/>
    <xf numFmtId="166" fontId="16" fillId="12" borderId="0" xfId="0" applyNumberFormat="1" applyFont="1" applyFill="1" applyBorder="1"/>
    <xf numFmtId="176" fontId="16" fillId="12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/>
    <xf numFmtId="0" fontId="58" fillId="10" borderId="21" xfId="0" applyFont="1" applyFill="1" applyBorder="1" applyAlignment="1">
      <alignment horizontal="right" vertical="center"/>
    </xf>
    <xf numFmtId="1" fontId="62" fillId="12" borderId="43" xfId="0" applyNumberFormat="1" applyFont="1" applyFill="1" applyBorder="1" applyAlignment="1">
      <alignment horizontal="right" vertical="center"/>
    </xf>
    <xf numFmtId="1" fontId="63" fillId="12" borderId="44" xfId="0" applyNumberFormat="1" applyFont="1" applyFill="1" applyBorder="1" applyAlignment="1">
      <alignment horizontal="right" vertical="center"/>
    </xf>
    <xf numFmtId="0" fontId="33" fillId="0" borderId="24" xfId="0" applyFont="1" applyFill="1" applyBorder="1" applyAlignment="1">
      <alignment horizontal="center" vertical="center"/>
    </xf>
    <xf numFmtId="1" fontId="24" fillId="12" borderId="31" xfId="0" applyNumberFormat="1" applyFont="1" applyFill="1" applyBorder="1" applyAlignment="1">
      <alignment horizontal="center" vertical="center"/>
    </xf>
    <xf numFmtId="1" fontId="24" fillId="12" borderId="25" xfId="0" applyNumberFormat="1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26" fillId="12" borderId="6" xfId="0" applyFont="1" applyFill="1" applyBorder="1" applyAlignment="1">
      <alignment horizontal="left" vertical="center" wrapText="1"/>
    </xf>
    <xf numFmtId="10" fontId="33" fillId="12" borderId="0" xfId="0" applyNumberFormat="1" applyFont="1" applyFill="1" applyBorder="1" applyAlignment="1">
      <alignment horizontal="center" vertical="center"/>
    </xf>
    <xf numFmtId="1" fontId="24" fillId="12" borderId="0" xfId="0" applyNumberFormat="1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right" vertical="center"/>
    </xf>
    <xf numFmtId="10" fontId="50" fillId="12" borderId="0" xfId="0" applyNumberFormat="1" applyFont="1" applyFill="1" applyBorder="1" applyAlignment="1">
      <alignment horizontal="right" vertical="center"/>
    </xf>
    <xf numFmtId="1" fontId="63" fillId="12" borderId="0" xfId="0" applyNumberFormat="1" applyFont="1" applyFill="1" applyBorder="1" applyAlignment="1">
      <alignment horizontal="right" vertical="center"/>
    </xf>
    <xf numFmtId="1" fontId="62" fillId="12" borderId="0" xfId="0" applyNumberFormat="1" applyFont="1" applyFill="1" applyBorder="1" applyAlignment="1">
      <alignment horizontal="right" vertical="center"/>
    </xf>
    <xf numFmtId="176" fontId="11" fillId="12" borderId="6" xfId="0" applyNumberFormat="1" applyFont="1" applyFill="1" applyBorder="1" applyAlignment="1">
      <alignment horizontal="center" vertical="center"/>
    </xf>
    <xf numFmtId="10" fontId="11" fillId="12" borderId="6" xfId="2" applyNumberFormat="1" applyFont="1" applyFill="1" applyBorder="1" applyAlignment="1">
      <alignment horizontal="center" vertical="center" wrapText="1"/>
    </xf>
    <xf numFmtId="0" fontId="11" fillId="12" borderId="0" xfId="0" applyFont="1" applyFill="1" applyBorder="1"/>
    <xf numFmtId="10" fontId="11" fillId="12" borderId="0" xfId="2" applyNumberFormat="1" applyFont="1" applyFill="1" applyBorder="1" applyAlignment="1">
      <alignment horizontal="center" vertical="center" wrapText="1"/>
    </xf>
    <xf numFmtId="176" fontId="25" fillId="12" borderId="0" xfId="0" applyNumberFormat="1" applyFont="1" applyFill="1" applyBorder="1" applyAlignment="1">
      <alignment horizontal="right" vertical="center"/>
    </xf>
    <xf numFmtId="0" fontId="25" fillId="12" borderId="0" xfId="0" applyFont="1" applyFill="1" applyBorder="1" applyAlignment="1">
      <alignment horizontal="right"/>
    </xf>
    <xf numFmtId="10" fontId="25" fillId="12" borderId="0" xfId="2" applyNumberFormat="1" applyFont="1" applyFill="1" applyBorder="1" applyAlignment="1">
      <alignment horizontal="right" vertical="center" wrapText="1"/>
    </xf>
    <xf numFmtId="0" fontId="26" fillId="12" borderId="0" xfId="0" applyFont="1" applyFill="1" applyBorder="1" applyAlignment="1">
      <alignment horizontal="left" vertical="center"/>
    </xf>
    <xf numFmtId="0" fontId="26" fillId="12" borderId="6" xfId="0" applyFont="1" applyFill="1" applyBorder="1" applyAlignment="1">
      <alignment horizontal="right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 wrapText="1"/>
    </xf>
    <xf numFmtId="49" fontId="34" fillId="0" borderId="26" xfId="0" applyNumberFormat="1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24" fillId="14" borderId="31" xfId="0" applyFont="1" applyFill="1" applyBorder="1" applyAlignment="1">
      <alignment horizontal="center" vertical="center" wrapText="1"/>
    </xf>
    <xf numFmtId="0" fontId="24" fillId="14" borderId="25" xfId="0" applyFont="1" applyFill="1" applyBorder="1" applyAlignment="1">
      <alignment horizontal="center" vertical="center" wrapText="1"/>
    </xf>
    <xf numFmtId="0" fontId="26" fillId="12" borderId="6" xfId="0" applyFont="1" applyFill="1" applyBorder="1" applyAlignment="1">
      <alignment horizontal="center" vertical="center"/>
    </xf>
    <xf numFmtId="0" fontId="26" fillId="12" borderId="6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 wrapText="1"/>
    </xf>
    <xf numFmtId="0" fontId="70" fillId="14" borderId="31" xfId="0" applyFont="1" applyFill="1" applyBorder="1" applyAlignment="1">
      <alignment horizontal="center" vertical="center" wrapText="1"/>
    </xf>
    <xf numFmtId="0" fontId="70" fillId="14" borderId="25" xfId="0" applyFont="1" applyFill="1" applyBorder="1" applyAlignment="1">
      <alignment horizontal="center" vertical="center" wrapText="1"/>
    </xf>
    <xf numFmtId="0" fontId="70" fillId="15" borderId="31" xfId="0" applyFont="1" applyFill="1" applyBorder="1" applyAlignment="1">
      <alignment horizontal="center" vertical="center" wrapText="1"/>
    </xf>
    <xf numFmtId="0" fontId="70" fillId="15" borderId="25" xfId="0" applyFont="1" applyFill="1" applyBorder="1" applyAlignment="1">
      <alignment horizontal="center" vertical="center" wrapText="1"/>
    </xf>
    <xf numFmtId="0" fontId="26" fillId="12" borderId="41" xfId="0" applyFont="1" applyFill="1" applyBorder="1" applyAlignment="1">
      <alignment horizontal="center" vertical="center"/>
    </xf>
    <xf numFmtId="0" fontId="64" fillId="12" borderId="42" xfId="0" applyFont="1" applyFill="1" applyBorder="1" applyAlignment="1">
      <alignment horizontal="right" vertical="center"/>
    </xf>
    <xf numFmtId="0" fontId="26" fillId="0" borderId="41" xfId="0" applyFont="1" applyBorder="1" applyAlignment="1">
      <alignment horizontal="center" vertical="center"/>
    </xf>
    <xf numFmtId="0" fontId="64" fillId="12" borderId="21" xfId="0" applyFont="1" applyFill="1" applyBorder="1" applyAlignment="1">
      <alignment horizontal="right" vertical="center"/>
    </xf>
    <xf numFmtId="0" fontId="26" fillId="12" borderId="24" xfId="0" applyFont="1" applyFill="1" applyBorder="1" applyAlignment="1">
      <alignment horizontal="center" vertical="center"/>
    </xf>
    <xf numFmtId="0" fontId="47" fillId="0" borderId="0" xfId="0" applyFont="1"/>
    <xf numFmtId="1" fontId="24" fillId="12" borderId="6" xfId="0" applyNumberFormat="1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left" vertical="center" wrapText="1"/>
    </xf>
    <xf numFmtId="0" fontId="64" fillId="12" borderId="6" xfId="0" applyFont="1" applyFill="1" applyBorder="1" applyAlignment="1">
      <alignment horizontal="right" vertical="center" wrapText="1"/>
    </xf>
    <xf numFmtId="0" fontId="64" fillId="12" borderId="6" xfId="0" applyFont="1" applyFill="1" applyBorder="1" applyAlignment="1">
      <alignment horizontal="center" vertical="center"/>
    </xf>
    <xf numFmtId="0" fontId="50" fillId="12" borderId="6" xfId="0" applyFont="1" applyFill="1" applyBorder="1" applyAlignment="1">
      <alignment horizontal="center" vertical="center"/>
    </xf>
    <xf numFmtId="10" fontId="50" fillId="12" borderId="6" xfId="0" applyNumberFormat="1" applyFont="1" applyFill="1" applyBorder="1" applyAlignment="1">
      <alignment horizontal="center" vertical="center"/>
    </xf>
    <xf numFmtId="1" fontId="51" fillId="12" borderId="6" xfId="0" applyNumberFormat="1" applyFont="1" applyFill="1" applyBorder="1" applyAlignment="1">
      <alignment horizontal="right" vertical="center"/>
    </xf>
    <xf numFmtId="1" fontId="57" fillId="12" borderId="6" xfId="0" applyNumberFormat="1" applyFont="1" applyFill="1" applyBorder="1" applyAlignment="1">
      <alignment horizontal="center" vertical="center"/>
    </xf>
    <xf numFmtId="1" fontId="56" fillId="12" borderId="6" xfId="0" applyNumberFormat="1" applyFont="1" applyFill="1" applyBorder="1" applyAlignment="1">
      <alignment horizontal="center" vertical="center"/>
    </xf>
    <xf numFmtId="0" fontId="24" fillId="15" borderId="31" xfId="0" applyFont="1" applyFill="1" applyBorder="1" applyAlignment="1">
      <alignment horizontal="center" vertical="center" wrapText="1"/>
    </xf>
    <xf numFmtId="0" fontId="24" fillId="15" borderId="25" xfId="0" applyFont="1" applyFill="1" applyBorder="1" applyAlignment="1">
      <alignment horizontal="center" vertical="center" wrapText="1"/>
    </xf>
    <xf numFmtId="0" fontId="33" fillId="12" borderId="6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distributed"/>
    </xf>
    <xf numFmtId="0" fontId="12" fillId="0" borderId="0" xfId="0" applyFont="1" applyAlignment="1">
      <alignment horizontal="left" vertical="center" wrapText="1"/>
    </xf>
    <xf numFmtId="173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90"/>
    </xf>
    <xf numFmtId="49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vertical="center" textRotation="90"/>
    </xf>
    <xf numFmtId="1" fontId="16" fillId="0" borderId="0" xfId="0" applyNumberFormat="1" applyFont="1" applyAlignment="1">
      <alignment horizontal="center"/>
    </xf>
    <xf numFmtId="10" fontId="22" fillId="0" borderId="0" xfId="0" applyNumberFormat="1" applyFont="1"/>
    <xf numFmtId="0" fontId="23" fillId="0" borderId="0" xfId="0" applyFont="1"/>
    <xf numFmtId="0" fontId="11" fillId="0" borderId="8" xfId="0" applyFont="1" applyBorder="1"/>
    <xf numFmtId="0" fontId="11" fillId="0" borderId="23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1" fontId="11" fillId="0" borderId="6" xfId="0" applyNumberFormat="1" applyFont="1" applyBorder="1" applyAlignment="1">
      <alignment horizontal="center"/>
    </xf>
    <xf numFmtId="0" fontId="11" fillId="0" borderId="12" xfId="0" applyFont="1" applyBorder="1"/>
    <xf numFmtId="0" fontId="11" fillId="0" borderId="6" xfId="0" applyFont="1" applyBorder="1" applyAlignment="1">
      <alignment horizontal="right"/>
    </xf>
    <xf numFmtId="1" fontId="25" fillId="0" borderId="0" xfId="0" applyNumberFormat="1" applyFont="1" applyAlignment="1">
      <alignment horizontal="center"/>
    </xf>
    <xf numFmtId="0" fontId="11" fillId="0" borderId="19" xfId="0" applyFont="1" applyBorder="1"/>
    <xf numFmtId="0" fontId="11" fillId="0" borderId="19" xfId="0" applyFont="1" applyBorder="1" applyAlignment="1">
      <alignment horizontal="right"/>
    </xf>
    <xf numFmtId="0" fontId="11" fillId="0" borderId="6" xfId="0" applyFont="1" applyBorder="1"/>
    <xf numFmtId="49" fontId="11" fillId="0" borderId="0" xfId="0" applyNumberFormat="1" applyFont="1"/>
    <xf numFmtId="1" fontId="11" fillId="0" borderId="0" xfId="0" applyNumberFormat="1" applyFont="1"/>
    <xf numFmtId="165" fontId="11" fillId="0" borderId="0" xfId="0" applyNumberFormat="1" applyFont="1"/>
    <xf numFmtId="165" fontId="16" fillId="0" borderId="0" xfId="0" applyNumberFormat="1" applyFont="1"/>
    <xf numFmtId="165" fontId="16" fillId="0" borderId="0" xfId="0" applyNumberFormat="1" applyFont="1" applyAlignment="1">
      <alignment horizontal="center"/>
    </xf>
    <xf numFmtId="0" fontId="11" fillId="0" borderId="28" xfId="0" applyFont="1" applyBorder="1"/>
    <xf numFmtId="0" fontId="11" fillId="0" borderId="16" xfId="0" applyFont="1" applyBorder="1" applyAlignment="1">
      <alignment horizontal="right"/>
    </xf>
    <xf numFmtId="1" fontId="11" fillId="0" borderId="17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11" fillId="0" borderId="18" xfId="0" applyFont="1" applyBorder="1"/>
    <xf numFmtId="2" fontId="11" fillId="0" borderId="16" xfId="0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0" fontId="11" fillId="0" borderId="15" xfId="0" applyFont="1" applyBorder="1"/>
    <xf numFmtId="2" fontId="11" fillId="0" borderId="0" xfId="0" applyNumberFormat="1" applyFont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0" fontId="11" fillId="0" borderId="13" xfId="0" applyFont="1" applyBorder="1"/>
    <xf numFmtId="0" fontId="73" fillId="12" borderId="0" xfId="0" applyFont="1" applyFill="1" applyAlignment="1">
      <alignment horizontal="left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 wrapText="1"/>
    </xf>
    <xf numFmtId="0" fontId="34" fillId="12" borderId="0" xfId="0" applyFont="1" applyFill="1" applyAlignment="1">
      <alignment horizontal="left" vertical="center" wrapText="1"/>
    </xf>
    <xf numFmtId="49" fontId="44" fillId="12" borderId="0" xfId="0" applyNumberFormat="1" applyFont="1" applyFill="1" applyAlignment="1">
      <alignment horizontal="center" vertical="center" wrapText="1"/>
    </xf>
    <xf numFmtId="49" fontId="16" fillId="12" borderId="0" xfId="0" applyNumberFormat="1" applyFont="1" applyFill="1" applyAlignment="1">
      <alignment horizontal="center" vertical="center" wrapText="1"/>
    </xf>
    <xf numFmtId="0" fontId="34" fillId="12" borderId="0" xfId="0" applyFont="1" applyFill="1" applyAlignment="1">
      <alignment horizontal="center" vertical="distributed"/>
    </xf>
    <xf numFmtId="0" fontId="34" fillId="12" borderId="0" xfId="0" applyFont="1" applyFill="1" applyAlignment="1">
      <alignment horizontal="center" vertical="center" wrapText="1"/>
    </xf>
    <xf numFmtId="9" fontId="48" fillId="12" borderId="0" xfId="2" applyFont="1" applyFill="1" applyAlignment="1">
      <alignment horizontal="center" vertical="center"/>
    </xf>
    <xf numFmtId="0" fontId="33" fillId="12" borderId="0" xfId="0" applyFont="1" applyFill="1" applyAlignment="1">
      <alignment horizontal="center" vertical="center"/>
    </xf>
    <xf numFmtId="0" fontId="33" fillId="12" borderId="0" xfId="0" applyFont="1" applyFill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168" fontId="16" fillId="12" borderId="11" xfId="2" applyNumberFormat="1" applyFont="1" applyFill="1" applyBorder="1" applyAlignment="1">
      <alignment horizontal="center" vertical="center" wrapText="1"/>
    </xf>
    <xf numFmtId="0" fontId="26" fillId="12" borderId="6" xfId="0" applyFont="1" applyFill="1" applyBorder="1" applyAlignment="1">
      <alignment horizontal="left" vertical="center"/>
    </xf>
    <xf numFmtId="0" fontId="52" fillId="12" borderId="0" xfId="0" applyFont="1" applyFill="1" applyAlignment="1">
      <alignment horizontal="center" vertical="center"/>
    </xf>
    <xf numFmtId="9" fontId="76" fillId="12" borderId="6" xfId="2" applyFont="1" applyFill="1" applyBorder="1" applyAlignment="1">
      <alignment horizontal="center" vertical="center"/>
    </xf>
    <xf numFmtId="9" fontId="11" fillId="12" borderId="0" xfId="2" applyFont="1" applyFill="1" applyAlignment="1">
      <alignment horizontal="center" vertical="center"/>
    </xf>
    <xf numFmtId="0" fontId="33" fillId="12" borderId="0" xfId="0" applyFont="1" applyFill="1" applyAlignment="1">
      <alignment horizontal="center"/>
    </xf>
    <xf numFmtId="9" fontId="78" fillId="12" borderId="6" xfId="2" applyFont="1" applyFill="1" applyBorder="1" applyAlignment="1">
      <alignment horizontal="center" vertical="center"/>
    </xf>
    <xf numFmtId="1" fontId="72" fillId="12" borderId="0" xfId="0" applyNumberFormat="1" applyFont="1" applyFill="1" applyBorder="1" applyAlignment="1">
      <alignment horizontal="center" vertical="center"/>
    </xf>
    <xf numFmtId="9" fontId="11" fillId="12" borderId="0" xfId="0" applyNumberFormat="1" applyFont="1" applyFill="1"/>
    <xf numFmtId="9" fontId="78" fillId="12" borderId="0" xfId="2" applyFont="1" applyFill="1" applyBorder="1" applyAlignment="1">
      <alignment horizontal="center" vertical="center"/>
    </xf>
    <xf numFmtId="1" fontId="80" fillId="12" borderId="6" xfId="0" applyNumberFormat="1" applyFont="1" applyFill="1" applyBorder="1" applyAlignment="1">
      <alignment horizontal="center" vertical="center"/>
    </xf>
    <xf numFmtId="10" fontId="11" fillId="9" borderId="27" xfId="2" applyNumberFormat="1" applyFont="1" applyFill="1" applyBorder="1" applyAlignment="1">
      <alignment horizontal="right" vertical="center"/>
    </xf>
    <xf numFmtId="10" fontId="26" fillId="12" borderId="6" xfId="0" applyNumberFormat="1" applyFont="1" applyFill="1" applyBorder="1" applyAlignment="1">
      <alignment horizontal="center" vertical="center"/>
    </xf>
    <xf numFmtId="0" fontId="26" fillId="12" borderId="0" xfId="0" applyFont="1" applyFill="1" applyAlignment="1">
      <alignment horizontal="center"/>
    </xf>
    <xf numFmtId="168" fontId="26" fillId="12" borderId="6" xfId="0" applyNumberFormat="1" applyFont="1" applyFill="1" applyBorder="1" applyAlignment="1">
      <alignment horizontal="center" vertical="center"/>
    </xf>
    <xf numFmtId="168" fontId="26" fillId="12" borderId="0" xfId="0" applyNumberFormat="1" applyFont="1" applyFill="1" applyAlignment="1">
      <alignment horizontal="center"/>
    </xf>
    <xf numFmtId="168" fontId="33" fillId="12" borderId="6" xfId="0" applyNumberFormat="1" applyFont="1" applyFill="1" applyBorder="1" applyAlignment="1">
      <alignment horizontal="center" vertical="center"/>
    </xf>
    <xf numFmtId="168" fontId="33" fillId="12" borderId="0" xfId="0" applyNumberFormat="1" applyFont="1" applyFill="1" applyAlignment="1">
      <alignment horizontal="center"/>
    </xf>
    <xf numFmtId="0" fontId="81" fillId="10" borderId="6" xfId="0" applyFont="1" applyFill="1" applyBorder="1" applyAlignment="1">
      <alignment horizontal="center" vertical="center"/>
    </xf>
    <xf numFmtId="1" fontId="72" fillId="12" borderId="8" xfId="0" applyNumberFormat="1" applyFont="1" applyFill="1" applyBorder="1" applyAlignment="1">
      <alignment horizontal="center" vertical="center"/>
    </xf>
    <xf numFmtId="1" fontId="72" fillId="12" borderId="17" xfId="0" applyNumberFormat="1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distributed"/>
    </xf>
    <xf numFmtId="0" fontId="24" fillId="0" borderId="20" xfId="0" applyFont="1" applyBorder="1" applyAlignment="1">
      <alignment horizontal="left" vertical="distributed"/>
    </xf>
    <xf numFmtId="0" fontId="24" fillId="0" borderId="27" xfId="0" applyFont="1" applyBorder="1" applyAlignment="1">
      <alignment horizontal="left" vertical="distributed"/>
    </xf>
    <xf numFmtId="0" fontId="12" fillId="0" borderId="34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distributed"/>
    </xf>
    <xf numFmtId="0" fontId="24" fillId="0" borderId="20" xfId="0" applyFont="1" applyBorder="1" applyAlignment="1">
      <alignment horizontal="center" vertical="distributed"/>
    </xf>
    <xf numFmtId="0" fontId="24" fillId="0" borderId="27" xfId="0" applyFont="1" applyBorder="1" applyAlignment="1">
      <alignment horizontal="center" vertical="distributed"/>
    </xf>
    <xf numFmtId="0" fontId="73" fillId="14" borderId="10" xfId="0" applyFont="1" applyFill="1" applyBorder="1" applyAlignment="1">
      <alignment horizontal="left" vertical="center" wrapText="1"/>
    </xf>
    <xf numFmtId="0" fontId="73" fillId="14" borderId="9" xfId="0" applyFont="1" applyFill="1" applyBorder="1" applyAlignment="1">
      <alignment horizontal="left" vertical="center" wrapText="1"/>
    </xf>
    <xf numFmtId="0" fontId="73" fillId="14" borderId="20" xfId="0" applyFont="1" applyFill="1" applyBorder="1" applyAlignment="1">
      <alignment horizontal="left" vertical="center" wrapText="1"/>
    </xf>
    <xf numFmtId="0" fontId="73" fillId="14" borderId="27" xfId="0" applyFont="1" applyFill="1" applyBorder="1" applyAlignment="1">
      <alignment horizontal="left" vertical="center" wrapText="1"/>
    </xf>
    <xf numFmtId="0" fontId="24" fillId="14" borderId="10" xfId="0" applyFont="1" applyFill="1" applyBorder="1" applyAlignment="1">
      <alignment horizontal="center" vertical="center" wrapText="1"/>
    </xf>
    <xf numFmtId="0" fontId="24" fillId="14" borderId="27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distributed"/>
    </xf>
    <xf numFmtId="0" fontId="11" fillId="0" borderId="17" xfId="0" applyFont="1" applyBorder="1" applyAlignment="1">
      <alignment horizontal="center" vertical="distributed"/>
    </xf>
    <xf numFmtId="0" fontId="10" fillId="0" borderId="6" xfId="0" applyFont="1" applyBorder="1" applyAlignment="1">
      <alignment horizontal="left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24" fillId="15" borderId="27" xfId="0" applyFont="1" applyFill="1" applyBorder="1" applyAlignment="1">
      <alignment horizontal="center" vertical="center" wrapText="1"/>
    </xf>
    <xf numFmtId="0" fontId="67" fillId="15" borderId="10" xfId="0" applyFont="1" applyFill="1" applyBorder="1" applyAlignment="1">
      <alignment horizontal="left" vertical="center" wrapText="1"/>
    </xf>
    <xf numFmtId="0" fontId="67" fillId="15" borderId="20" xfId="0" applyFont="1" applyFill="1" applyBorder="1" applyAlignment="1">
      <alignment horizontal="left" vertical="center" wrapText="1"/>
    </xf>
    <xf numFmtId="0" fontId="67" fillId="15" borderId="27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67" fillId="14" borderId="10" xfId="0" applyFont="1" applyFill="1" applyBorder="1" applyAlignment="1">
      <alignment horizontal="left" vertical="center" wrapText="1"/>
    </xf>
    <xf numFmtId="0" fontId="67" fillId="14" borderId="20" xfId="0" applyFont="1" applyFill="1" applyBorder="1" applyAlignment="1">
      <alignment horizontal="left" vertical="center" wrapText="1"/>
    </xf>
    <xf numFmtId="0" fontId="67" fillId="14" borderId="27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9900"/>
      <color rgb="FFFFFF99"/>
      <color rgb="FF008000"/>
      <color rgb="FFFFCCFF"/>
      <color rgb="FFFF9933"/>
      <color rgb="FFFF6600"/>
      <color rgb="FF0000FF"/>
      <color rgb="FFCCFFFF"/>
      <color rgb="FF0070C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7C-4791-B771-D1443381380B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7C-4791-B771-D1443381380B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7C-4791-B771-D1443381380B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'EA por Inc Acumul'!$J$35:$L$35</c:f>
            </c:numRef>
          </c:val>
          <c:extLst>
            <c:ext xmlns:c16="http://schemas.microsoft.com/office/drawing/2014/chart" uri="{C3380CC4-5D6E-409C-BE32-E72D297353CC}">
              <c16:uniqueId val="{00000003-307C-4791-B771-D1443381380B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7C-4791-B771-D1443381380B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7C-4791-B771-D1443381380B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7C-4791-B771-D1443381380B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'EA por Inc Acumul'!$J$36:$L$36</c:f>
            </c:numRef>
          </c:val>
          <c:extLst>
            <c:ext xmlns:c16="http://schemas.microsoft.com/office/drawing/2014/chart" uri="{C3380CC4-5D6E-409C-BE32-E72D297353CC}">
              <c16:uniqueId val="{00000007-307C-4791-B771-D1443381380B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7C-4791-B771-D1443381380B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7C-4791-B771-D1443381380B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7C-4791-B771-D1443381380B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'EA por Inc Acumul'!$J$37:$L$37</c:f>
            </c:numRef>
          </c:val>
          <c:extLst>
            <c:ext xmlns:c16="http://schemas.microsoft.com/office/drawing/2014/chart" uri="{C3380CC4-5D6E-409C-BE32-E72D297353CC}">
              <c16:uniqueId val="{0000000B-307C-4791-B771-D14433813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'EA por Inc Acumul'!$J$35:$L$35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'EA por Inc Acumul'!$J$36:$L$36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'EA por Inc Acumul'!$J$37:$L$37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C8-4EB9-847D-84ECDE28B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B0-420F-8848-3B680FEA4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8-4CBD-939C-8C320F53D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3-4F9B-A642-DF3E3FB61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1A8E27FA-BDB9-42AA-8E8F-96DC9B7ECA5F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" name="Line 48">
          <a:extLst>
            <a:ext uri="{FF2B5EF4-FFF2-40B4-BE49-F238E27FC236}">
              <a16:creationId xmlns:a16="http://schemas.microsoft.com/office/drawing/2014/main" id="{62103DFC-E2FD-49ED-A775-BC449E5FF631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4" name="Line 48">
          <a:extLst>
            <a:ext uri="{FF2B5EF4-FFF2-40B4-BE49-F238E27FC236}">
              <a16:creationId xmlns:a16="http://schemas.microsoft.com/office/drawing/2014/main" id="{0F1B2C63-54E1-4EF4-A02E-D4012542877D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5" name="Line 48">
          <a:extLst>
            <a:ext uri="{FF2B5EF4-FFF2-40B4-BE49-F238E27FC236}">
              <a16:creationId xmlns:a16="http://schemas.microsoft.com/office/drawing/2014/main" id="{2A5991A5-BB94-44B5-A9DF-2F7013DD39E4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6" name="Line 48">
          <a:extLst>
            <a:ext uri="{FF2B5EF4-FFF2-40B4-BE49-F238E27FC236}">
              <a16:creationId xmlns:a16="http://schemas.microsoft.com/office/drawing/2014/main" id="{EDFEE161-5D6F-416E-B040-AF53C02BFBC1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7" name="Line 48">
          <a:extLst>
            <a:ext uri="{FF2B5EF4-FFF2-40B4-BE49-F238E27FC236}">
              <a16:creationId xmlns:a16="http://schemas.microsoft.com/office/drawing/2014/main" id="{1593ACFC-6B87-46D3-9B02-B12E61DB9A2D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8" name="Line 48">
          <a:extLst>
            <a:ext uri="{FF2B5EF4-FFF2-40B4-BE49-F238E27FC236}">
              <a16:creationId xmlns:a16="http://schemas.microsoft.com/office/drawing/2014/main" id="{A30BF79B-E114-426A-833D-92D258EA0502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9" name="Line 48">
          <a:extLst>
            <a:ext uri="{FF2B5EF4-FFF2-40B4-BE49-F238E27FC236}">
              <a16:creationId xmlns:a16="http://schemas.microsoft.com/office/drawing/2014/main" id="{83619BD4-CEEC-4BCF-AB66-6C6A351189AB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0" name="Line 48">
          <a:extLst>
            <a:ext uri="{FF2B5EF4-FFF2-40B4-BE49-F238E27FC236}">
              <a16:creationId xmlns:a16="http://schemas.microsoft.com/office/drawing/2014/main" id="{3BB63947-BE90-49C2-A6D7-72E8692A40FA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1" name="Line 48">
          <a:extLst>
            <a:ext uri="{FF2B5EF4-FFF2-40B4-BE49-F238E27FC236}">
              <a16:creationId xmlns:a16="http://schemas.microsoft.com/office/drawing/2014/main" id="{EDB9A041-E0D3-41F6-B83D-48882F40E0CD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2" name="Line 48">
          <a:extLst>
            <a:ext uri="{FF2B5EF4-FFF2-40B4-BE49-F238E27FC236}">
              <a16:creationId xmlns:a16="http://schemas.microsoft.com/office/drawing/2014/main" id="{8D1EBE9E-AED0-4210-9B60-CB1309358821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3" name="Line 48">
          <a:extLst>
            <a:ext uri="{FF2B5EF4-FFF2-40B4-BE49-F238E27FC236}">
              <a16:creationId xmlns:a16="http://schemas.microsoft.com/office/drawing/2014/main" id="{10B0FEAC-8581-4C1A-A78B-7D3A6026A663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4" name="Line 48">
          <a:extLst>
            <a:ext uri="{FF2B5EF4-FFF2-40B4-BE49-F238E27FC236}">
              <a16:creationId xmlns:a16="http://schemas.microsoft.com/office/drawing/2014/main" id="{718AFF16-4FA4-4BB8-9C33-D8B8FD6E2EDA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5" name="Line 48">
          <a:extLst>
            <a:ext uri="{FF2B5EF4-FFF2-40B4-BE49-F238E27FC236}">
              <a16:creationId xmlns:a16="http://schemas.microsoft.com/office/drawing/2014/main" id="{1B49B0E9-8FB5-4ABA-BE07-C7F3996D6954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6" name="Line 48">
          <a:extLst>
            <a:ext uri="{FF2B5EF4-FFF2-40B4-BE49-F238E27FC236}">
              <a16:creationId xmlns:a16="http://schemas.microsoft.com/office/drawing/2014/main" id="{5946E708-2A7D-47A8-92AA-D35A3604AC46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7" name="Line 48">
          <a:extLst>
            <a:ext uri="{FF2B5EF4-FFF2-40B4-BE49-F238E27FC236}">
              <a16:creationId xmlns:a16="http://schemas.microsoft.com/office/drawing/2014/main" id="{F9D890BB-5AC3-4E4B-BDF8-365708C76E42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8" name="Line 48">
          <a:extLst>
            <a:ext uri="{FF2B5EF4-FFF2-40B4-BE49-F238E27FC236}">
              <a16:creationId xmlns:a16="http://schemas.microsoft.com/office/drawing/2014/main" id="{1CC68423-33B4-4023-9B85-BC8C25995ED2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9" name="Line 48">
          <a:extLst>
            <a:ext uri="{FF2B5EF4-FFF2-40B4-BE49-F238E27FC236}">
              <a16:creationId xmlns:a16="http://schemas.microsoft.com/office/drawing/2014/main" id="{53BA60A9-54D0-4F56-B115-86DE0BFD31B0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0" name="Line 48">
          <a:extLst>
            <a:ext uri="{FF2B5EF4-FFF2-40B4-BE49-F238E27FC236}">
              <a16:creationId xmlns:a16="http://schemas.microsoft.com/office/drawing/2014/main" id="{E4BD0C81-99BF-4695-9C2F-959B440F0290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1" name="Line 48">
          <a:extLst>
            <a:ext uri="{FF2B5EF4-FFF2-40B4-BE49-F238E27FC236}">
              <a16:creationId xmlns:a16="http://schemas.microsoft.com/office/drawing/2014/main" id="{9E8CBBBF-9B59-40BD-BCAA-CA2036AA372C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2" name="Line 48">
          <a:extLst>
            <a:ext uri="{FF2B5EF4-FFF2-40B4-BE49-F238E27FC236}">
              <a16:creationId xmlns:a16="http://schemas.microsoft.com/office/drawing/2014/main" id="{3773CE6C-E790-4FC2-BFC4-24E922C0A6F9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3" name="Line 48">
          <a:extLst>
            <a:ext uri="{FF2B5EF4-FFF2-40B4-BE49-F238E27FC236}">
              <a16:creationId xmlns:a16="http://schemas.microsoft.com/office/drawing/2014/main" id="{49089419-6473-44DA-B829-5FB2ED3A7021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4" name="Line 48">
          <a:extLst>
            <a:ext uri="{FF2B5EF4-FFF2-40B4-BE49-F238E27FC236}">
              <a16:creationId xmlns:a16="http://schemas.microsoft.com/office/drawing/2014/main" id="{DAD727C6-A1DC-467E-995A-46A35728BDF6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5" name="Line 48">
          <a:extLst>
            <a:ext uri="{FF2B5EF4-FFF2-40B4-BE49-F238E27FC236}">
              <a16:creationId xmlns:a16="http://schemas.microsoft.com/office/drawing/2014/main" id="{B0E046CB-4135-4C72-B33B-9E4E3321EC60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6" name="Line 48">
          <a:extLst>
            <a:ext uri="{FF2B5EF4-FFF2-40B4-BE49-F238E27FC236}">
              <a16:creationId xmlns:a16="http://schemas.microsoft.com/office/drawing/2014/main" id="{326113A0-3DFD-4C53-ABC9-D179F870CFCB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7" name="Line 48">
          <a:extLst>
            <a:ext uri="{FF2B5EF4-FFF2-40B4-BE49-F238E27FC236}">
              <a16:creationId xmlns:a16="http://schemas.microsoft.com/office/drawing/2014/main" id="{F81827F3-06E7-45B0-8772-DE6F8D1D2114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8" name="Line 48">
          <a:extLst>
            <a:ext uri="{FF2B5EF4-FFF2-40B4-BE49-F238E27FC236}">
              <a16:creationId xmlns:a16="http://schemas.microsoft.com/office/drawing/2014/main" id="{499DCF6B-D4CC-4B94-A35B-BCAEABBA4FE4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9" name="Line 48">
          <a:extLst>
            <a:ext uri="{FF2B5EF4-FFF2-40B4-BE49-F238E27FC236}">
              <a16:creationId xmlns:a16="http://schemas.microsoft.com/office/drawing/2014/main" id="{17C80D26-C570-4D05-BC8B-B1556CCA765A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0" name="Line 48">
          <a:extLst>
            <a:ext uri="{FF2B5EF4-FFF2-40B4-BE49-F238E27FC236}">
              <a16:creationId xmlns:a16="http://schemas.microsoft.com/office/drawing/2014/main" id="{10E22C6F-95B4-4E94-B217-125E105D1EAD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1" name="Line 48">
          <a:extLst>
            <a:ext uri="{FF2B5EF4-FFF2-40B4-BE49-F238E27FC236}">
              <a16:creationId xmlns:a16="http://schemas.microsoft.com/office/drawing/2014/main" id="{90530032-F399-46E7-A04E-732B61F90EAD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2" name="Line 48">
          <a:extLst>
            <a:ext uri="{FF2B5EF4-FFF2-40B4-BE49-F238E27FC236}">
              <a16:creationId xmlns:a16="http://schemas.microsoft.com/office/drawing/2014/main" id="{D00045FF-BB54-4144-B185-D8EBCE309950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3" name="Line 48">
          <a:extLst>
            <a:ext uri="{FF2B5EF4-FFF2-40B4-BE49-F238E27FC236}">
              <a16:creationId xmlns:a16="http://schemas.microsoft.com/office/drawing/2014/main" id="{03D9F9A6-B613-4B47-B98F-E4E07C5C8D50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4" name="Line 48">
          <a:extLst>
            <a:ext uri="{FF2B5EF4-FFF2-40B4-BE49-F238E27FC236}">
              <a16:creationId xmlns:a16="http://schemas.microsoft.com/office/drawing/2014/main" id="{F5AA7D1E-BE9D-4B28-85B7-DE52CE28D4C3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5" name="Line 48">
          <a:extLst>
            <a:ext uri="{FF2B5EF4-FFF2-40B4-BE49-F238E27FC236}">
              <a16:creationId xmlns:a16="http://schemas.microsoft.com/office/drawing/2014/main" id="{CA4F03E8-38CC-4EBD-8394-E9CC197C25A6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6" name="Line 48">
          <a:extLst>
            <a:ext uri="{FF2B5EF4-FFF2-40B4-BE49-F238E27FC236}">
              <a16:creationId xmlns:a16="http://schemas.microsoft.com/office/drawing/2014/main" id="{698FC323-70D9-4530-8793-55C00C17D514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7" name="Line 48">
          <a:extLst>
            <a:ext uri="{FF2B5EF4-FFF2-40B4-BE49-F238E27FC236}">
              <a16:creationId xmlns:a16="http://schemas.microsoft.com/office/drawing/2014/main" id="{547C240F-4678-4B58-840B-8B5D5D3A2D21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8" name="Line 48">
          <a:extLst>
            <a:ext uri="{FF2B5EF4-FFF2-40B4-BE49-F238E27FC236}">
              <a16:creationId xmlns:a16="http://schemas.microsoft.com/office/drawing/2014/main" id="{56EBE8BD-2FB6-412A-89CB-C2184E227039}"/>
            </a:ext>
          </a:extLst>
        </xdr:cNvPr>
        <xdr:cNvSpPr>
          <a:spLocks noChangeShapeType="1"/>
        </xdr:cNvSpPr>
      </xdr:nvSpPr>
      <xdr:spPr bwMode="auto">
        <a:xfrm>
          <a:off x="4219575" y="1082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257175</xdr:colOff>
      <xdr:row>27</xdr:row>
      <xdr:rowOff>76200</xdr:rowOff>
    </xdr:from>
    <xdr:to>
      <xdr:col>30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38100</xdr:rowOff>
    </xdr:to>
    <xdr:graphicFrame macro="">
      <xdr:nvGraphicFramePr>
        <xdr:cNvPr id="2" name="Gráfico 10">
          <a:extLst>
            <a:ext uri="{FF2B5EF4-FFF2-40B4-BE49-F238E27FC236}">
              <a16:creationId xmlns:a16="http://schemas.microsoft.com/office/drawing/2014/main" id="{B4A9FA0F-4C9B-4EBF-9E5C-7C32B653B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3" name="Gráfico 11">
          <a:extLst>
            <a:ext uri="{FF2B5EF4-FFF2-40B4-BE49-F238E27FC236}">
              <a16:creationId xmlns:a16="http://schemas.microsoft.com/office/drawing/2014/main" id="{6FF8F16E-4AB2-4362-A6F9-0D7B688B0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4" name="Gráfico 12">
          <a:extLst>
            <a:ext uri="{FF2B5EF4-FFF2-40B4-BE49-F238E27FC236}">
              <a16:creationId xmlns:a16="http://schemas.microsoft.com/office/drawing/2014/main" id="{5C8E8CE3-4F9C-4535-BE36-284902077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28575</xdr:rowOff>
    </xdr:to>
    <xdr:graphicFrame macro="">
      <xdr:nvGraphicFramePr>
        <xdr:cNvPr id="5" name="Gráfico 13">
          <a:extLst>
            <a:ext uri="{FF2B5EF4-FFF2-40B4-BE49-F238E27FC236}">
              <a16:creationId xmlns:a16="http://schemas.microsoft.com/office/drawing/2014/main" id="{8215E52A-057E-444C-A15A-9EB89E875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257175</xdr:colOff>
      <xdr:row>27</xdr:row>
      <xdr:rowOff>76200</xdr:rowOff>
    </xdr:from>
    <xdr:to>
      <xdr:col>30</xdr:col>
      <xdr:colOff>695325</xdr:colOff>
      <xdr:row>52</xdr:row>
      <xdr:rowOff>0</xdr:rowOff>
    </xdr:to>
    <xdr:graphicFrame macro="">
      <xdr:nvGraphicFramePr>
        <xdr:cNvPr id="6" name="Gráfico 88">
          <a:extLst>
            <a:ext uri="{FF2B5EF4-FFF2-40B4-BE49-F238E27FC236}">
              <a16:creationId xmlns:a16="http://schemas.microsoft.com/office/drawing/2014/main" id="{BC54FB6C-1935-4DA6-A536-3A5ACFBAA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24478-83B4-40D3-808D-9101D7BCABC2}">
  <dimension ref="A1:W68"/>
  <sheetViews>
    <sheetView tabSelected="1" zoomScale="70" zoomScaleNormal="70" workbookViewId="0">
      <selection activeCell="B1" sqref="B1"/>
    </sheetView>
  </sheetViews>
  <sheetFormatPr baseColWidth="10" defaultRowHeight="13" x14ac:dyDescent="0.3"/>
  <cols>
    <col min="1" max="1" width="0.7265625" style="5" customWidth="1"/>
    <col min="2" max="2" width="35" style="5" customWidth="1"/>
    <col min="3" max="3" width="22.81640625" style="5" customWidth="1"/>
    <col min="4" max="4" width="18.26953125" style="5" customWidth="1"/>
    <col min="5" max="5" width="20.26953125" style="5" customWidth="1"/>
    <col min="6" max="6" width="22.08984375" style="5" customWidth="1"/>
    <col min="7" max="7" width="18" style="5" customWidth="1"/>
    <col min="8" max="8" width="1.08984375" style="5" customWidth="1"/>
    <col min="9" max="9" width="15.7265625" style="5" customWidth="1"/>
    <col min="10" max="10" width="3" style="5" customWidth="1"/>
    <col min="11" max="11" width="15.81640625" style="5" hidden="1" customWidth="1"/>
    <col min="12" max="12" width="16.36328125" style="5" hidden="1" customWidth="1"/>
    <col min="13" max="13" width="4" style="5" hidden="1" customWidth="1"/>
    <col min="14" max="14" width="22" style="5" customWidth="1"/>
    <col min="15" max="15" width="18.7265625" style="5" customWidth="1"/>
    <col min="16" max="16" width="11.08984375" style="5" customWidth="1"/>
    <col min="17" max="258" width="10.90625" style="5"/>
    <col min="259" max="259" width="12.81640625" style="5" customWidth="1"/>
    <col min="260" max="260" width="18.26953125" style="5" customWidth="1"/>
    <col min="261" max="261" width="13.7265625" style="5" customWidth="1"/>
    <col min="262" max="262" width="16.453125" style="5" customWidth="1"/>
    <col min="263" max="263" width="20.7265625" style="5" customWidth="1"/>
    <col min="264" max="264" width="23.81640625" style="5" customWidth="1"/>
    <col min="265" max="265" width="18.81640625" style="5" customWidth="1"/>
    <col min="266" max="266" width="8.26953125" style="5" customWidth="1"/>
    <col min="267" max="267" width="14.54296875" style="5" bestFit="1" customWidth="1"/>
    <col min="268" max="268" width="14.1796875" style="5" bestFit="1" customWidth="1"/>
    <col min="269" max="269" width="10.90625" style="5"/>
    <col min="270" max="270" width="15.54296875" style="5" customWidth="1"/>
    <col min="271" max="271" width="10.90625" style="5"/>
    <col min="272" max="272" width="13.81640625" style="5" bestFit="1" customWidth="1"/>
    <col min="273" max="514" width="10.90625" style="5"/>
    <col min="515" max="515" width="12.81640625" style="5" customWidth="1"/>
    <col min="516" max="516" width="18.26953125" style="5" customWidth="1"/>
    <col min="517" max="517" width="13.7265625" style="5" customWidth="1"/>
    <col min="518" max="518" width="16.453125" style="5" customWidth="1"/>
    <col min="519" max="519" width="20.7265625" style="5" customWidth="1"/>
    <col min="520" max="520" width="23.81640625" style="5" customWidth="1"/>
    <col min="521" max="521" width="18.81640625" style="5" customWidth="1"/>
    <col min="522" max="522" width="8.26953125" style="5" customWidth="1"/>
    <col min="523" max="523" width="14.54296875" style="5" bestFit="1" customWidth="1"/>
    <col min="524" max="524" width="14.1796875" style="5" bestFit="1" customWidth="1"/>
    <col min="525" max="525" width="10.90625" style="5"/>
    <col min="526" max="526" width="15.54296875" style="5" customWidth="1"/>
    <col min="527" max="527" width="10.90625" style="5"/>
    <col min="528" max="528" width="13.81640625" style="5" bestFit="1" customWidth="1"/>
    <col min="529" max="770" width="10.90625" style="5"/>
    <col min="771" max="771" width="12.81640625" style="5" customWidth="1"/>
    <col min="772" max="772" width="18.26953125" style="5" customWidth="1"/>
    <col min="773" max="773" width="13.7265625" style="5" customWidth="1"/>
    <col min="774" max="774" width="16.453125" style="5" customWidth="1"/>
    <col min="775" max="775" width="20.7265625" style="5" customWidth="1"/>
    <col min="776" max="776" width="23.81640625" style="5" customWidth="1"/>
    <col min="777" max="777" width="18.81640625" style="5" customWidth="1"/>
    <col min="778" max="778" width="8.26953125" style="5" customWidth="1"/>
    <col min="779" max="779" width="14.54296875" style="5" bestFit="1" customWidth="1"/>
    <col min="780" max="780" width="14.1796875" style="5" bestFit="1" customWidth="1"/>
    <col min="781" max="781" width="10.90625" style="5"/>
    <col min="782" max="782" width="15.54296875" style="5" customWidth="1"/>
    <col min="783" max="783" width="10.90625" style="5"/>
    <col min="784" max="784" width="13.81640625" style="5" bestFit="1" customWidth="1"/>
    <col min="785" max="1026" width="10.90625" style="5"/>
    <col min="1027" max="1027" width="12.81640625" style="5" customWidth="1"/>
    <col min="1028" max="1028" width="18.26953125" style="5" customWidth="1"/>
    <col min="1029" max="1029" width="13.7265625" style="5" customWidth="1"/>
    <col min="1030" max="1030" width="16.453125" style="5" customWidth="1"/>
    <col min="1031" max="1031" width="20.7265625" style="5" customWidth="1"/>
    <col min="1032" max="1032" width="23.81640625" style="5" customWidth="1"/>
    <col min="1033" max="1033" width="18.81640625" style="5" customWidth="1"/>
    <col min="1034" max="1034" width="8.26953125" style="5" customWidth="1"/>
    <col min="1035" max="1035" width="14.54296875" style="5" bestFit="1" customWidth="1"/>
    <col min="1036" max="1036" width="14.1796875" style="5" bestFit="1" customWidth="1"/>
    <col min="1037" max="1037" width="10.90625" style="5"/>
    <col min="1038" max="1038" width="15.54296875" style="5" customWidth="1"/>
    <col min="1039" max="1039" width="10.90625" style="5"/>
    <col min="1040" max="1040" width="13.81640625" style="5" bestFit="1" customWidth="1"/>
    <col min="1041" max="1282" width="10.90625" style="5"/>
    <col min="1283" max="1283" width="12.81640625" style="5" customWidth="1"/>
    <col min="1284" max="1284" width="18.26953125" style="5" customWidth="1"/>
    <col min="1285" max="1285" width="13.7265625" style="5" customWidth="1"/>
    <col min="1286" max="1286" width="16.453125" style="5" customWidth="1"/>
    <col min="1287" max="1287" width="20.7265625" style="5" customWidth="1"/>
    <col min="1288" max="1288" width="23.81640625" style="5" customWidth="1"/>
    <col min="1289" max="1289" width="18.81640625" style="5" customWidth="1"/>
    <col min="1290" max="1290" width="8.26953125" style="5" customWidth="1"/>
    <col min="1291" max="1291" width="14.54296875" style="5" bestFit="1" customWidth="1"/>
    <col min="1292" max="1292" width="14.1796875" style="5" bestFit="1" customWidth="1"/>
    <col min="1293" max="1293" width="10.90625" style="5"/>
    <col min="1294" max="1294" width="15.54296875" style="5" customWidth="1"/>
    <col min="1295" max="1295" width="10.90625" style="5"/>
    <col min="1296" max="1296" width="13.81640625" style="5" bestFit="1" customWidth="1"/>
    <col min="1297" max="1538" width="10.90625" style="5"/>
    <col min="1539" max="1539" width="12.81640625" style="5" customWidth="1"/>
    <col min="1540" max="1540" width="18.26953125" style="5" customWidth="1"/>
    <col min="1541" max="1541" width="13.7265625" style="5" customWidth="1"/>
    <col min="1542" max="1542" width="16.453125" style="5" customWidth="1"/>
    <col min="1543" max="1543" width="20.7265625" style="5" customWidth="1"/>
    <col min="1544" max="1544" width="23.81640625" style="5" customWidth="1"/>
    <col min="1545" max="1545" width="18.81640625" style="5" customWidth="1"/>
    <col min="1546" max="1546" width="8.26953125" style="5" customWidth="1"/>
    <col min="1547" max="1547" width="14.54296875" style="5" bestFit="1" customWidth="1"/>
    <col min="1548" max="1548" width="14.1796875" style="5" bestFit="1" customWidth="1"/>
    <col min="1549" max="1549" width="10.90625" style="5"/>
    <col min="1550" max="1550" width="15.54296875" style="5" customWidth="1"/>
    <col min="1551" max="1551" width="10.90625" style="5"/>
    <col min="1552" max="1552" width="13.81640625" style="5" bestFit="1" customWidth="1"/>
    <col min="1553" max="1794" width="10.90625" style="5"/>
    <col min="1795" max="1795" width="12.81640625" style="5" customWidth="1"/>
    <col min="1796" max="1796" width="18.26953125" style="5" customWidth="1"/>
    <col min="1797" max="1797" width="13.7265625" style="5" customWidth="1"/>
    <col min="1798" max="1798" width="16.453125" style="5" customWidth="1"/>
    <col min="1799" max="1799" width="20.7265625" style="5" customWidth="1"/>
    <col min="1800" max="1800" width="23.81640625" style="5" customWidth="1"/>
    <col min="1801" max="1801" width="18.81640625" style="5" customWidth="1"/>
    <col min="1802" max="1802" width="8.26953125" style="5" customWidth="1"/>
    <col min="1803" max="1803" width="14.54296875" style="5" bestFit="1" customWidth="1"/>
    <col min="1804" max="1804" width="14.1796875" style="5" bestFit="1" customWidth="1"/>
    <col min="1805" max="1805" width="10.90625" style="5"/>
    <col min="1806" max="1806" width="15.54296875" style="5" customWidth="1"/>
    <col min="1807" max="1807" width="10.90625" style="5"/>
    <col min="1808" max="1808" width="13.81640625" style="5" bestFit="1" customWidth="1"/>
    <col min="1809" max="2050" width="10.90625" style="5"/>
    <col min="2051" max="2051" width="12.81640625" style="5" customWidth="1"/>
    <col min="2052" max="2052" width="18.26953125" style="5" customWidth="1"/>
    <col min="2053" max="2053" width="13.7265625" style="5" customWidth="1"/>
    <col min="2054" max="2054" width="16.453125" style="5" customWidth="1"/>
    <col min="2055" max="2055" width="20.7265625" style="5" customWidth="1"/>
    <col min="2056" max="2056" width="23.81640625" style="5" customWidth="1"/>
    <col min="2057" max="2057" width="18.81640625" style="5" customWidth="1"/>
    <col min="2058" max="2058" width="8.26953125" style="5" customWidth="1"/>
    <col min="2059" max="2059" width="14.54296875" style="5" bestFit="1" customWidth="1"/>
    <col min="2060" max="2060" width="14.1796875" style="5" bestFit="1" customWidth="1"/>
    <col min="2061" max="2061" width="10.90625" style="5"/>
    <col min="2062" max="2062" width="15.54296875" style="5" customWidth="1"/>
    <col min="2063" max="2063" width="10.90625" style="5"/>
    <col min="2064" max="2064" width="13.81640625" style="5" bestFit="1" customWidth="1"/>
    <col min="2065" max="2306" width="10.90625" style="5"/>
    <col min="2307" max="2307" width="12.81640625" style="5" customWidth="1"/>
    <col min="2308" max="2308" width="18.26953125" style="5" customWidth="1"/>
    <col min="2309" max="2309" width="13.7265625" style="5" customWidth="1"/>
    <col min="2310" max="2310" width="16.453125" style="5" customWidth="1"/>
    <col min="2311" max="2311" width="20.7265625" style="5" customWidth="1"/>
    <col min="2312" max="2312" width="23.81640625" style="5" customWidth="1"/>
    <col min="2313" max="2313" width="18.81640625" style="5" customWidth="1"/>
    <col min="2314" max="2314" width="8.26953125" style="5" customWidth="1"/>
    <col min="2315" max="2315" width="14.54296875" style="5" bestFit="1" customWidth="1"/>
    <col min="2316" max="2316" width="14.1796875" style="5" bestFit="1" customWidth="1"/>
    <col min="2317" max="2317" width="10.90625" style="5"/>
    <col min="2318" max="2318" width="15.54296875" style="5" customWidth="1"/>
    <col min="2319" max="2319" width="10.90625" style="5"/>
    <col min="2320" max="2320" width="13.81640625" style="5" bestFit="1" customWidth="1"/>
    <col min="2321" max="2562" width="10.90625" style="5"/>
    <col min="2563" max="2563" width="12.81640625" style="5" customWidth="1"/>
    <col min="2564" max="2564" width="18.26953125" style="5" customWidth="1"/>
    <col min="2565" max="2565" width="13.7265625" style="5" customWidth="1"/>
    <col min="2566" max="2566" width="16.453125" style="5" customWidth="1"/>
    <col min="2567" max="2567" width="20.7265625" style="5" customWidth="1"/>
    <col min="2568" max="2568" width="23.81640625" style="5" customWidth="1"/>
    <col min="2569" max="2569" width="18.81640625" style="5" customWidth="1"/>
    <col min="2570" max="2570" width="8.26953125" style="5" customWidth="1"/>
    <col min="2571" max="2571" width="14.54296875" style="5" bestFit="1" customWidth="1"/>
    <col min="2572" max="2572" width="14.1796875" style="5" bestFit="1" customWidth="1"/>
    <col min="2573" max="2573" width="10.90625" style="5"/>
    <col min="2574" max="2574" width="15.54296875" style="5" customWidth="1"/>
    <col min="2575" max="2575" width="10.90625" style="5"/>
    <col min="2576" max="2576" width="13.81640625" style="5" bestFit="1" customWidth="1"/>
    <col min="2577" max="2818" width="10.90625" style="5"/>
    <col min="2819" max="2819" width="12.81640625" style="5" customWidth="1"/>
    <col min="2820" max="2820" width="18.26953125" style="5" customWidth="1"/>
    <col min="2821" max="2821" width="13.7265625" style="5" customWidth="1"/>
    <col min="2822" max="2822" width="16.453125" style="5" customWidth="1"/>
    <col min="2823" max="2823" width="20.7265625" style="5" customWidth="1"/>
    <col min="2824" max="2824" width="23.81640625" style="5" customWidth="1"/>
    <col min="2825" max="2825" width="18.81640625" style="5" customWidth="1"/>
    <col min="2826" max="2826" width="8.26953125" style="5" customWidth="1"/>
    <col min="2827" max="2827" width="14.54296875" style="5" bestFit="1" customWidth="1"/>
    <col min="2828" max="2828" width="14.1796875" style="5" bestFit="1" customWidth="1"/>
    <col min="2829" max="2829" width="10.90625" style="5"/>
    <col min="2830" max="2830" width="15.54296875" style="5" customWidth="1"/>
    <col min="2831" max="2831" width="10.90625" style="5"/>
    <col min="2832" max="2832" width="13.81640625" style="5" bestFit="1" customWidth="1"/>
    <col min="2833" max="3074" width="10.90625" style="5"/>
    <col min="3075" max="3075" width="12.81640625" style="5" customWidth="1"/>
    <col min="3076" max="3076" width="18.26953125" style="5" customWidth="1"/>
    <col min="3077" max="3077" width="13.7265625" style="5" customWidth="1"/>
    <col min="3078" max="3078" width="16.453125" style="5" customWidth="1"/>
    <col min="3079" max="3079" width="20.7265625" style="5" customWidth="1"/>
    <col min="3080" max="3080" width="23.81640625" style="5" customWidth="1"/>
    <col min="3081" max="3081" width="18.81640625" style="5" customWidth="1"/>
    <col min="3082" max="3082" width="8.26953125" style="5" customWidth="1"/>
    <col min="3083" max="3083" width="14.54296875" style="5" bestFit="1" customWidth="1"/>
    <col min="3084" max="3084" width="14.1796875" style="5" bestFit="1" customWidth="1"/>
    <col min="3085" max="3085" width="10.90625" style="5"/>
    <col min="3086" max="3086" width="15.54296875" style="5" customWidth="1"/>
    <col min="3087" max="3087" width="10.90625" style="5"/>
    <col min="3088" max="3088" width="13.81640625" style="5" bestFit="1" customWidth="1"/>
    <col min="3089" max="3330" width="10.90625" style="5"/>
    <col min="3331" max="3331" width="12.81640625" style="5" customWidth="1"/>
    <col min="3332" max="3332" width="18.26953125" style="5" customWidth="1"/>
    <col min="3333" max="3333" width="13.7265625" style="5" customWidth="1"/>
    <col min="3334" max="3334" width="16.453125" style="5" customWidth="1"/>
    <col min="3335" max="3335" width="20.7265625" style="5" customWidth="1"/>
    <col min="3336" max="3336" width="23.81640625" style="5" customWidth="1"/>
    <col min="3337" max="3337" width="18.81640625" style="5" customWidth="1"/>
    <col min="3338" max="3338" width="8.26953125" style="5" customWidth="1"/>
    <col min="3339" max="3339" width="14.54296875" style="5" bestFit="1" customWidth="1"/>
    <col min="3340" max="3340" width="14.1796875" style="5" bestFit="1" customWidth="1"/>
    <col min="3341" max="3341" width="10.90625" style="5"/>
    <col min="3342" max="3342" width="15.54296875" style="5" customWidth="1"/>
    <col min="3343" max="3343" width="10.90625" style="5"/>
    <col min="3344" max="3344" width="13.81640625" style="5" bestFit="1" customWidth="1"/>
    <col min="3345" max="3586" width="10.90625" style="5"/>
    <col min="3587" max="3587" width="12.81640625" style="5" customWidth="1"/>
    <col min="3588" max="3588" width="18.26953125" style="5" customWidth="1"/>
    <col min="3589" max="3589" width="13.7265625" style="5" customWidth="1"/>
    <col min="3590" max="3590" width="16.453125" style="5" customWidth="1"/>
    <col min="3591" max="3591" width="20.7265625" style="5" customWidth="1"/>
    <col min="3592" max="3592" width="23.81640625" style="5" customWidth="1"/>
    <col min="3593" max="3593" width="18.81640625" style="5" customWidth="1"/>
    <col min="3594" max="3594" width="8.26953125" style="5" customWidth="1"/>
    <col min="3595" max="3595" width="14.54296875" style="5" bestFit="1" customWidth="1"/>
    <col min="3596" max="3596" width="14.1796875" style="5" bestFit="1" customWidth="1"/>
    <col min="3597" max="3597" width="10.90625" style="5"/>
    <col min="3598" max="3598" width="15.54296875" style="5" customWidth="1"/>
    <col min="3599" max="3599" width="10.90625" style="5"/>
    <col min="3600" max="3600" width="13.81640625" style="5" bestFit="1" customWidth="1"/>
    <col min="3601" max="3842" width="10.90625" style="5"/>
    <col min="3843" max="3843" width="12.81640625" style="5" customWidth="1"/>
    <col min="3844" max="3844" width="18.26953125" style="5" customWidth="1"/>
    <col min="3845" max="3845" width="13.7265625" style="5" customWidth="1"/>
    <col min="3846" max="3846" width="16.453125" style="5" customWidth="1"/>
    <col min="3847" max="3847" width="20.7265625" style="5" customWidth="1"/>
    <col min="3848" max="3848" width="23.81640625" style="5" customWidth="1"/>
    <col min="3849" max="3849" width="18.81640625" style="5" customWidth="1"/>
    <col min="3850" max="3850" width="8.26953125" style="5" customWidth="1"/>
    <col min="3851" max="3851" width="14.54296875" style="5" bestFit="1" customWidth="1"/>
    <col min="3852" max="3852" width="14.1796875" style="5" bestFit="1" customWidth="1"/>
    <col min="3853" max="3853" width="10.90625" style="5"/>
    <col min="3854" max="3854" width="15.54296875" style="5" customWidth="1"/>
    <col min="3855" max="3855" width="10.90625" style="5"/>
    <col min="3856" max="3856" width="13.81640625" style="5" bestFit="1" customWidth="1"/>
    <col min="3857" max="4098" width="10.90625" style="5"/>
    <col min="4099" max="4099" width="12.81640625" style="5" customWidth="1"/>
    <col min="4100" max="4100" width="18.26953125" style="5" customWidth="1"/>
    <col min="4101" max="4101" width="13.7265625" style="5" customWidth="1"/>
    <col min="4102" max="4102" width="16.453125" style="5" customWidth="1"/>
    <col min="4103" max="4103" width="20.7265625" style="5" customWidth="1"/>
    <col min="4104" max="4104" width="23.81640625" style="5" customWidth="1"/>
    <col min="4105" max="4105" width="18.81640625" style="5" customWidth="1"/>
    <col min="4106" max="4106" width="8.26953125" style="5" customWidth="1"/>
    <col min="4107" max="4107" width="14.54296875" style="5" bestFit="1" customWidth="1"/>
    <col min="4108" max="4108" width="14.1796875" style="5" bestFit="1" customWidth="1"/>
    <col min="4109" max="4109" width="10.90625" style="5"/>
    <col min="4110" max="4110" width="15.54296875" style="5" customWidth="1"/>
    <col min="4111" max="4111" width="10.90625" style="5"/>
    <col min="4112" max="4112" width="13.81640625" style="5" bestFit="1" customWidth="1"/>
    <col min="4113" max="4354" width="10.90625" style="5"/>
    <col min="4355" max="4355" width="12.81640625" style="5" customWidth="1"/>
    <col min="4356" max="4356" width="18.26953125" style="5" customWidth="1"/>
    <col min="4357" max="4357" width="13.7265625" style="5" customWidth="1"/>
    <col min="4358" max="4358" width="16.453125" style="5" customWidth="1"/>
    <col min="4359" max="4359" width="20.7265625" style="5" customWidth="1"/>
    <col min="4360" max="4360" width="23.81640625" style="5" customWidth="1"/>
    <col min="4361" max="4361" width="18.81640625" style="5" customWidth="1"/>
    <col min="4362" max="4362" width="8.26953125" style="5" customWidth="1"/>
    <col min="4363" max="4363" width="14.54296875" style="5" bestFit="1" customWidth="1"/>
    <col min="4364" max="4364" width="14.1796875" style="5" bestFit="1" customWidth="1"/>
    <col min="4365" max="4365" width="10.90625" style="5"/>
    <col min="4366" max="4366" width="15.54296875" style="5" customWidth="1"/>
    <col min="4367" max="4367" width="10.90625" style="5"/>
    <col min="4368" max="4368" width="13.81640625" style="5" bestFit="1" customWidth="1"/>
    <col min="4369" max="4610" width="10.90625" style="5"/>
    <col min="4611" max="4611" width="12.81640625" style="5" customWidth="1"/>
    <col min="4612" max="4612" width="18.26953125" style="5" customWidth="1"/>
    <col min="4613" max="4613" width="13.7265625" style="5" customWidth="1"/>
    <col min="4614" max="4614" width="16.453125" style="5" customWidth="1"/>
    <col min="4615" max="4615" width="20.7265625" style="5" customWidth="1"/>
    <col min="4616" max="4616" width="23.81640625" style="5" customWidth="1"/>
    <col min="4617" max="4617" width="18.81640625" style="5" customWidth="1"/>
    <col min="4618" max="4618" width="8.26953125" style="5" customWidth="1"/>
    <col min="4619" max="4619" width="14.54296875" style="5" bestFit="1" customWidth="1"/>
    <col min="4620" max="4620" width="14.1796875" style="5" bestFit="1" customWidth="1"/>
    <col min="4621" max="4621" width="10.90625" style="5"/>
    <col min="4622" max="4622" width="15.54296875" style="5" customWidth="1"/>
    <col min="4623" max="4623" width="10.90625" style="5"/>
    <col min="4624" max="4624" width="13.81640625" style="5" bestFit="1" customWidth="1"/>
    <col min="4625" max="4866" width="10.90625" style="5"/>
    <col min="4867" max="4867" width="12.81640625" style="5" customWidth="1"/>
    <col min="4868" max="4868" width="18.26953125" style="5" customWidth="1"/>
    <col min="4869" max="4869" width="13.7265625" style="5" customWidth="1"/>
    <col min="4870" max="4870" width="16.453125" style="5" customWidth="1"/>
    <col min="4871" max="4871" width="20.7265625" style="5" customWidth="1"/>
    <col min="4872" max="4872" width="23.81640625" style="5" customWidth="1"/>
    <col min="4873" max="4873" width="18.81640625" style="5" customWidth="1"/>
    <col min="4874" max="4874" width="8.26953125" style="5" customWidth="1"/>
    <col min="4875" max="4875" width="14.54296875" style="5" bestFit="1" customWidth="1"/>
    <col min="4876" max="4876" width="14.1796875" style="5" bestFit="1" customWidth="1"/>
    <col min="4877" max="4877" width="10.90625" style="5"/>
    <col min="4878" max="4878" width="15.54296875" style="5" customWidth="1"/>
    <col min="4879" max="4879" width="10.90625" style="5"/>
    <col min="4880" max="4880" width="13.81640625" style="5" bestFit="1" customWidth="1"/>
    <col min="4881" max="5122" width="10.90625" style="5"/>
    <col min="5123" max="5123" width="12.81640625" style="5" customWidth="1"/>
    <col min="5124" max="5124" width="18.26953125" style="5" customWidth="1"/>
    <col min="5125" max="5125" width="13.7265625" style="5" customWidth="1"/>
    <col min="5126" max="5126" width="16.453125" style="5" customWidth="1"/>
    <col min="5127" max="5127" width="20.7265625" style="5" customWidth="1"/>
    <col min="5128" max="5128" width="23.81640625" style="5" customWidth="1"/>
    <col min="5129" max="5129" width="18.81640625" style="5" customWidth="1"/>
    <col min="5130" max="5130" width="8.26953125" style="5" customWidth="1"/>
    <col min="5131" max="5131" width="14.54296875" style="5" bestFit="1" customWidth="1"/>
    <col min="5132" max="5132" width="14.1796875" style="5" bestFit="1" customWidth="1"/>
    <col min="5133" max="5133" width="10.90625" style="5"/>
    <col min="5134" max="5134" width="15.54296875" style="5" customWidth="1"/>
    <col min="5135" max="5135" width="10.90625" style="5"/>
    <col min="5136" max="5136" width="13.81640625" style="5" bestFit="1" customWidth="1"/>
    <col min="5137" max="5378" width="10.90625" style="5"/>
    <col min="5379" max="5379" width="12.81640625" style="5" customWidth="1"/>
    <col min="5380" max="5380" width="18.26953125" style="5" customWidth="1"/>
    <col min="5381" max="5381" width="13.7265625" style="5" customWidth="1"/>
    <col min="5382" max="5382" width="16.453125" style="5" customWidth="1"/>
    <col min="5383" max="5383" width="20.7265625" style="5" customWidth="1"/>
    <col min="5384" max="5384" width="23.81640625" style="5" customWidth="1"/>
    <col min="5385" max="5385" width="18.81640625" style="5" customWidth="1"/>
    <col min="5386" max="5386" width="8.26953125" style="5" customWidth="1"/>
    <col min="5387" max="5387" width="14.54296875" style="5" bestFit="1" customWidth="1"/>
    <col min="5388" max="5388" width="14.1796875" style="5" bestFit="1" customWidth="1"/>
    <col min="5389" max="5389" width="10.90625" style="5"/>
    <col min="5390" max="5390" width="15.54296875" style="5" customWidth="1"/>
    <col min="5391" max="5391" width="10.90625" style="5"/>
    <col min="5392" max="5392" width="13.81640625" style="5" bestFit="1" customWidth="1"/>
    <col min="5393" max="5634" width="10.90625" style="5"/>
    <col min="5635" max="5635" width="12.81640625" style="5" customWidth="1"/>
    <col min="5636" max="5636" width="18.26953125" style="5" customWidth="1"/>
    <col min="5637" max="5637" width="13.7265625" style="5" customWidth="1"/>
    <col min="5638" max="5638" width="16.453125" style="5" customWidth="1"/>
    <col min="5639" max="5639" width="20.7265625" style="5" customWidth="1"/>
    <col min="5640" max="5640" width="23.81640625" style="5" customWidth="1"/>
    <col min="5641" max="5641" width="18.81640625" style="5" customWidth="1"/>
    <col min="5642" max="5642" width="8.26953125" style="5" customWidth="1"/>
    <col min="5643" max="5643" width="14.54296875" style="5" bestFit="1" customWidth="1"/>
    <col min="5644" max="5644" width="14.1796875" style="5" bestFit="1" customWidth="1"/>
    <col min="5645" max="5645" width="10.90625" style="5"/>
    <col min="5646" max="5646" width="15.54296875" style="5" customWidth="1"/>
    <col min="5647" max="5647" width="10.90625" style="5"/>
    <col min="5648" max="5648" width="13.81640625" style="5" bestFit="1" customWidth="1"/>
    <col min="5649" max="5890" width="10.90625" style="5"/>
    <col min="5891" max="5891" width="12.81640625" style="5" customWidth="1"/>
    <col min="5892" max="5892" width="18.26953125" style="5" customWidth="1"/>
    <col min="5893" max="5893" width="13.7265625" style="5" customWidth="1"/>
    <col min="5894" max="5894" width="16.453125" style="5" customWidth="1"/>
    <col min="5895" max="5895" width="20.7265625" style="5" customWidth="1"/>
    <col min="5896" max="5896" width="23.81640625" style="5" customWidth="1"/>
    <col min="5897" max="5897" width="18.81640625" style="5" customWidth="1"/>
    <col min="5898" max="5898" width="8.26953125" style="5" customWidth="1"/>
    <col min="5899" max="5899" width="14.54296875" style="5" bestFit="1" customWidth="1"/>
    <col min="5900" max="5900" width="14.1796875" style="5" bestFit="1" customWidth="1"/>
    <col min="5901" max="5901" width="10.90625" style="5"/>
    <col min="5902" max="5902" width="15.54296875" style="5" customWidth="1"/>
    <col min="5903" max="5903" width="10.90625" style="5"/>
    <col min="5904" max="5904" width="13.81640625" style="5" bestFit="1" customWidth="1"/>
    <col min="5905" max="6146" width="10.90625" style="5"/>
    <col min="6147" max="6147" width="12.81640625" style="5" customWidth="1"/>
    <col min="6148" max="6148" width="18.26953125" style="5" customWidth="1"/>
    <col min="6149" max="6149" width="13.7265625" style="5" customWidth="1"/>
    <col min="6150" max="6150" width="16.453125" style="5" customWidth="1"/>
    <col min="6151" max="6151" width="20.7265625" style="5" customWidth="1"/>
    <col min="6152" max="6152" width="23.81640625" style="5" customWidth="1"/>
    <col min="6153" max="6153" width="18.81640625" style="5" customWidth="1"/>
    <col min="6154" max="6154" width="8.26953125" style="5" customWidth="1"/>
    <col min="6155" max="6155" width="14.54296875" style="5" bestFit="1" customWidth="1"/>
    <col min="6156" max="6156" width="14.1796875" style="5" bestFit="1" customWidth="1"/>
    <col min="6157" max="6157" width="10.90625" style="5"/>
    <col min="6158" max="6158" width="15.54296875" style="5" customWidth="1"/>
    <col min="6159" max="6159" width="10.90625" style="5"/>
    <col min="6160" max="6160" width="13.81640625" style="5" bestFit="1" customWidth="1"/>
    <col min="6161" max="6402" width="10.90625" style="5"/>
    <col min="6403" max="6403" width="12.81640625" style="5" customWidth="1"/>
    <col min="6404" max="6404" width="18.26953125" style="5" customWidth="1"/>
    <col min="6405" max="6405" width="13.7265625" style="5" customWidth="1"/>
    <col min="6406" max="6406" width="16.453125" style="5" customWidth="1"/>
    <col min="6407" max="6407" width="20.7265625" style="5" customWidth="1"/>
    <col min="6408" max="6408" width="23.81640625" style="5" customWidth="1"/>
    <col min="6409" max="6409" width="18.81640625" style="5" customWidth="1"/>
    <col min="6410" max="6410" width="8.26953125" style="5" customWidth="1"/>
    <col min="6411" max="6411" width="14.54296875" style="5" bestFit="1" customWidth="1"/>
    <col min="6412" max="6412" width="14.1796875" style="5" bestFit="1" customWidth="1"/>
    <col min="6413" max="6413" width="10.90625" style="5"/>
    <col min="6414" max="6414" width="15.54296875" style="5" customWidth="1"/>
    <col min="6415" max="6415" width="10.90625" style="5"/>
    <col min="6416" max="6416" width="13.81640625" style="5" bestFit="1" customWidth="1"/>
    <col min="6417" max="6658" width="10.90625" style="5"/>
    <col min="6659" max="6659" width="12.81640625" style="5" customWidth="1"/>
    <col min="6660" max="6660" width="18.26953125" style="5" customWidth="1"/>
    <col min="6661" max="6661" width="13.7265625" style="5" customWidth="1"/>
    <col min="6662" max="6662" width="16.453125" style="5" customWidth="1"/>
    <col min="6663" max="6663" width="20.7265625" style="5" customWidth="1"/>
    <col min="6664" max="6664" width="23.81640625" style="5" customWidth="1"/>
    <col min="6665" max="6665" width="18.81640625" style="5" customWidth="1"/>
    <col min="6666" max="6666" width="8.26953125" style="5" customWidth="1"/>
    <col min="6667" max="6667" width="14.54296875" style="5" bestFit="1" customWidth="1"/>
    <col min="6668" max="6668" width="14.1796875" style="5" bestFit="1" customWidth="1"/>
    <col min="6669" max="6669" width="10.90625" style="5"/>
    <col min="6670" max="6670" width="15.54296875" style="5" customWidth="1"/>
    <col min="6671" max="6671" width="10.90625" style="5"/>
    <col min="6672" max="6672" width="13.81640625" style="5" bestFit="1" customWidth="1"/>
    <col min="6673" max="6914" width="10.90625" style="5"/>
    <col min="6915" max="6915" width="12.81640625" style="5" customWidth="1"/>
    <col min="6916" max="6916" width="18.26953125" style="5" customWidth="1"/>
    <col min="6917" max="6917" width="13.7265625" style="5" customWidth="1"/>
    <col min="6918" max="6918" width="16.453125" style="5" customWidth="1"/>
    <col min="6919" max="6919" width="20.7265625" style="5" customWidth="1"/>
    <col min="6920" max="6920" width="23.81640625" style="5" customWidth="1"/>
    <col min="6921" max="6921" width="18.81640625" style="5" customWidth="1"/>
    <col min="6922" max="6922" width="8.26953125" style="5" customWidth="1"/>
    <col min="6923" max="6923" width="14.54296875" style="5" bestFit="1" customWidth="1"/>
    <col min="6924" max="6924" width="14.1796875" style="5" bestFit="1" customWidth="1"/>
    <col min="6925" max="6925" width="10.90625" style="5"/>
    <col min="6926" max="6926" width="15.54296875" style="5" customWidth="1"/>
    <col min="6927" max="6927" width="10.90625" style="5"/>
    <col min="6928" max="6928" width="13.81640625" style="5" bestFit="1" customWidth="1"/>
    <col min="6929" max="7170" width="10.90625" style="5"/>
    <col min="7171" max="7171" width="12.81640625" style="5" customWidth="1"/>
    <col min="7172" max="7172" width="18.26953125" style="5" customWidth="1"/>
    <col min="7173" max="7173" width="13.7265625" style="5" customWidth="1"/>
    <col min="7174" max="7174" width="16.453125" style="5" customWidth="1"/>
    <col min="7175" max="7175" width="20.7265625" style="5" customWidth="1"/>
    <col min="7176" max="7176" width="23.81640625" style="5" customWidth="1"/>
    <col min="7177" max="7177" width="18.81640625" style="5" customWidth="1"/>
    <col min="7178" max="7178" width="8.26953125" style="5" customWidth="1"/>
    <col min="7179" max="7179" width="14.54296875" style="5" bestFit="1" customWidth="1"/>
    <col min="7180" max="7180" width="14.1796875" style="5" bestFit="1" customWidth="1"/>
    <col min="7181" max="7181" width="10.90625" style="5"/>
    <col min="7182" max="7182" width="15.54296875" style="5" customWidth="1"/>
    <col min="7183" max="7183" width="10.90625" style="5"/>
    <col min="7184" max="7184" width="13.81640625" style="5" bestFit="1" customWidth="1"/>
    <col min="7185" max="7426" width="10.90625" style="5"/>
    <col min="7427" max="7427" width="12.81640625" style="5" customWidth="1"/>
    <col min="7428" max="7428" width="18.26953125" style="5" customWidth="1"/>
    <col min="7429" max="7429" width="13.7265625" style="5" customWidth="1"/>
    <col min="7430" max="7430" width="16.453125" style="5" customWidth="1"/>
    <col min="7431" max="7431" width="20.7265625" style="5" customWidth="1"/>
    <col min="7432" max="7432" width="23.81640625" style="5" customWidth="1"/>
    <col min="7433" max="7433" width="18.81640625" style="5" customWidth="1"/>
    <col min="7434" max="7434" width="8.26953125" style="5" customWidth="1"/>
    <col min="7435" max="7435" width="14.54296875" style="5" bestFit="1" customWidth="1"/>
    <col min="7436" max="7436" width="14.1796875" style="5" bestFit="1" customWidth="1"/>
    <col min="7437" max="7437" width="10.90625" style="5"/>
    <col min="7438" max="7438" width="15.54296875" style="5" customWidth="1"/>
    <col min="7439" max="7439" width="10.90625" style="5"/>
    <col min="7440" max="7440" width="13.81640625" style="5" bestFit="1" customWidth="1"/>
    <col min="7441" max="7682" width="10.90625" style="5"/>
    <col min="7683" max="7683" width="12.81640625" style="5" customWidth="1"/>
    <col min="7684" max="7684" width="18.26953125" style="5" customWidth="1"/>
    <col min="7685" max="7685" width="13.7265625" style="5" customWidth="1"/>
    <col min="7686" max="7686" width="16.453125" style="5" customWidth="1"/>
    <col min="7687" max="7687" width="20.7265625" style="5" customWidth="1"/>
    <col min="7688" max="7688" width="23.81640625" style="5" customWidth="1"/>
    <col min="7689" max="7689" width="18.81640625" style="5" customWidth="1"/>
    <col min="7690" max="7690" width="8.26953125" style="5" customWidth="1"/>
    <col min="7691" max="7691" width="14.54296875" style="5" bestFit="1" customWidth="1"/>
    <col min="7692" max="7692" width="14.1796875" style="5" bestFit="1" customWidth="1"/>
    <col min="7693" max="7693" width="10.90625" style="5"/>
    <col min="7694" max="7694" width="15.54296875" style="5" customWidth="1"/>
    <col min="7695" max="7695" width="10.90625" style="5"/>
    <col min="7696" max="7696" width="13.81640625" style="5" bestFit="1" customWidth="1"/>
    <col min="7697" max="7938" width="10.90625" style="5"/>
    <col min="7939" max="7939" width="12.81640625" style="5" customWidth="1"/>
    <col min="7940" max="7940" width="18.26953125" style="5" customWidth="1"/>
    <col min="7941" max="7941" width="13.7265625" style="5" customWidth="1"/>
    <col min="7942" max="7942" width="16.453125" style="5" customWidth="1"/>
    <col min="7943" max="7943" width="20.7265625" style="5" customWidth="1"/>
    <col min="7944" max="7944" width="23.81640625" style="5" customWidth="1"/>
    <col min="7945" max="7945" width="18.81640625" style="5" customWidth="1"/>
    <col min="7946" max="7946" width="8.26953125" style="5" customWidth="1"/>
    <col min="7947" max="7947" width="14.54296875" style="5" bestFit="1" customWidth="1"/>
    <col min="7948" max="7948" width="14.1796875" style="5" bestFit="1" customWidth="1"/>
    <col min="7949" max="7949" width="10.90625" style="5"/>
    <col min="7950" max="7950" width="15.54296875" style="5" customWidth="1"/>
    <col min="7951" max="7951" width="10.90625" style="5"/>
    <col min="7952" max="7952" width="13.81640625" style="5" bestFit="1" customWidth="1"/>
    <col min="7953" max="8194" width="10.90625" style="5"/>
    <col min="8195" max="8195" width="12.81640625" style="5" customWidth="1"/>
    <col min="8196" max="8196" width="18.26953125" style="5" customWidth="1"/>
    <col min="8197" max="8197" width="13.7265625" style="5" customWidth="1"/>
    <col min="8198" max="8198" width="16.453125" style="5" customWidth="1"/>
    <col min="8199" max="8199" width="20.7265625" style="5" customWidth="1"/>
    <col min="8200" max="8200" width="23.81640625" style="5" customWidth="1"/>
    <col min="8201" max="8201" width="18.81640625" style="5" customWidth="1"/>
    <col min="8202" max="8202" width="8.26953125" style="5" customWidth="1"/>
    <col min="8203" max="8203" width="14.54296875" style="5" bestFit="1" customWidth="1"/>
    <col min="8204" max="8204" width="14.1796875" style="5" bestFit="1" customWidth="1"/>
    <col min="8205" max="8205" width="10.90625" style="5"/>
    <col min="8206" max="8206" width="15.54296875" style="5" customWidth="1"/>
    <col min="8207" max="8207" width="10.90625" style="5"/>
    <col min="8208" max="8208" width="13.81640625" style="5" bestFit="1" customWidth="1"/>
    <col min="8209" max="8450" width="10.90625" style="5"/>
    <col min="8451" max="8451" width="12.81640625" style="5" customWidth="1"/>
    <col min="8452" max="8452" width="18.26953125" style="5" customWidth="1"/>
    <col min="8453" max="8453" width="13.7265625" style="5" customWidth="1"/>
    <col min="8454" max="8454" width="16.453125" style="5" customWidth="1"/>
    <col min="8455" max="8455" width="20.7265625" style="5" customWidth="1"/>
    <col min="8456" max="8456" width="23.81640625" style="5" customWidth="1"/>
    <col min="8457" max="8457" width="18.81640625" style="5" customWidth="1"/>
    <col min="8458" max="8458" width="8.26953125" style="5" customWidth="1"/>
    <col min="8459" max="8459" width="14.54296875" style="5" bestFit="1" customWidth="1"/>
    <col min="8460" max="8460" width="14.1796875" style="5" bestFit="1" customWidth="1"/>
    <col min="8461" max="8461" width="10.90625" style="5"/>
    <col min="8462" max="8462" width="15.54296875" style="5" customWidth="1"/>
    <col min="8463" max="8463" width="10.90625" style="5"/>
    <col min="8464" max="8464" width="13.81640625" style="5" bestFit="1" customWidth="1"/>
    <col min="8465" max="8706" width="10.90625" style="5"/>
    <col min="8707" max="8707" width="12.81640625" style="5" customWidth="1"/>
    <col min="8708" max="8708" width="18.26953125" style="5" customWidth="1"/>
    <col min="8709" max="8709" width="13.7265625" style="5" customWidth="1"/>
    <col min="8710" max="8710" width="16.453125" style="5" customWidth="1"/>
    <col min="8711" max="8711" width="20.7265625" style="5" customWidth="1"/>
    <col min="8712" max="8712" width="23.81640625" style="5" customWidth="1"/>
    <col min="8713" max="8713" width="18.81640625" style="5" customWidth="1"/>
    <col min="8714" max="8714" width="8.26953125" style="5" customWidth="1"/>
    <col min="8715" max="8715" width="14.54296875" style="5" bestFit="1" customWidth="1"/>
    <col min="8716" max="8716" width="14.1796875" style="5" bestFit="1" customWidth="1"/>
    <col min="8717" max="8717" width="10.90625" style="5"/>
    <col min="8718" max="8718" width="15.54296875" style="5" customWidth="1"/>
    <col min="8719" max="8719" width="10.90625" style="5"/>
    <col min="8720" max="8720" width="13.81640625" style="5" bestFit="1" customWidth="1"/>
    <col min="8721" max="8962" width="10.90625" style="5"/>
    <col min="8963" max="8963" width="12.81640625" style="5" customWidth="1"/>
    <col min="8964" max="8964" width="18.26953125" style="5" customWidth="1"/>
    <col min="8965" max="8965" width="13.7265625" style="5" customWidth="1"/>
    <col min="8966" max="8966" width="16.453125" style="5" customWidth="1"/>
    <col min="8967" max="8967" width="20.7265625" style="5" customWidth="1"/>
    <col min="8968" max="8968" width="23.81640625" style="5" customWidth="1"/>
    <col min="8969" max="8969" width="18.81640625" style="5" customWidth="1"/>
    <col min="8970" max="8970" width="8.26953125" style="5" customWidth="1"/>
    <col min="8971" max="8971" width="14.54296875" style="5" bestFit="1" customWidth="1"/>
    <col min="8972" max="8972" width="14.1796875" style="5" bestFit="1" customWidth="1"/>
    <col min="8973" max="8973" width="10.90625" style="5"/>
    <col min="8974" max="8974" width="15.54296875" style="5" customWidth="1"/>
    <col min="8975" max="8975" width="10.90625" style="5"/>
    <col min="8976" max="8976" width="13.81640625" style="5" bestFit="1" customWidth="1"/>
    <col min="8977" max="9218" width="10.90625" style="5"/>
    <col min="9219" max="9219" width="12.81640625" style="5" customWidth="1"/>
    <col min="9220" max="9220" width="18.26953125" style="5" customWidth="1"/>
    <col min="9221" max="9221" width="13.7265625" style="5" customWidth="1"/>
    <col min="9222" max="9222" width="16.453125" style="5" customWidth="1"/>
    <col min="9223" max="9223" width="20.7265625" style="5" customWidth="1"/>
    <col min="9224" max="9224" width="23.81640625" style="5" customWidth="1"/>
    <col min="9225" max="9225" width="18.81640625" style="5" customWidth="1"/>
    <col min="9226" max="9226" width="8.26953125" style="5" customWidth="1"/>
    <col min="9227" max="9227" width="14.54296875" style="5" bestFit="1" customWidth="1"/>
    <col min="9228" max="9228" width="14.1796875" style="5" bestFit="1" customWidth="1"/>
    <col min="9229" max="9229" width="10.90625" style="5"/>
    <col min="9230" max="9230" width="15.54296875" style="5" customWidth="1"/>
    <col min="9231" max="9231" width="10.90625" style="5"/>
    <col min="9232" max="9232" width="13.81640625" style="5" bestFit="1" customWidth="1"/>
    <col min="9233" max="9474" width="10.90625" style="5"/>
    <col min="9475" max="9475" width="12.81640625" style="5" customWidth="1"/>
    <col min="9476" max="9476" width="18.26953125" style="5" customWidth="1"/>
    <col min="9477" max="9477" width="13.7265625" style="5" customWidth="1"/>
    <col min="9478" max="9478" width="16.453125" style="5" customWidth="1"/>
    <col min="9479" max="9479" width="20.7265625" style="5" customWidth="1"/>
    <col min="9480" max="9480" width="23.81640625" style="5" customWidth="1"/>
    <col min="9481" max="9481" width="18.81640625" style="5" customWidth="1"/>
    <col min="9482" max="9482" width="8.26953125" style="5" customWidth="1"/>
    <col min="9483" max="9483" width="14.54296875" style="5" bestFit="1" customWidth="1"/>
    <col min="9484" max="9484" width="14.1796875" style="5" bestFit="1" customWidth="1"/>
    <col min="9485" max="9485" width="10.90625" style="5"/>
    <col min="9486" max="9486" width="15.54296875" style="5" customWidth="1"/>
    <col min="9487" max="9487" width="10.90625" style="5"/>
    <col min="9488" max="9488" width="13.81640625" style="5" bestFit="1" customWidth="1"/>
    <col min="9489" max="9730" width="10.90625" style="5"/>
    <col min="9731" max="9731" width="12.81640625" style="5" customWidth="1"/>
    <col min="9732" max="9732" width="18.26953125" style="5" customWidth="1"/>
    <col min="9733" max="9733" width="13.7265625" style="5" customWidth="1"/>
    <col min="9734" max="9734" width="16.453125" style="5" customWidth="1"/>
    <col min="9735" max="9735" width="20.7265625" style="5" customWidth="1"/>
    <col min="9736" max="9736" width="23.81640625" style="5" customWidth="1"/>
    <col min="9737" max="9737" width="18.81640625" style="5" customWidth="1"/>
    <col min="9738" max="9738" width="8.26953125" style="5" customWidth="1"/>
    <col min="9739" max="9739" width="14.54296875" style="5" bestFit="1" customWidth="1"/>
    <col min="9740" max="9740" width="14.1796875" style="5" bestFit="1" customWidth="1"/>
    <col min="9741" max="9741" width="10.90625" style="5"/>
    <col min="9742" max="9742" width="15.54296875" style="5" customWidth="1"/>
    <col min="9743" max="9743" width="10.90625" style="5"/>
    <col min="9744" max="9744" width="13.81640625" style="5" bestFit="1" customWidth="1"/>
    <col min="9745" max="9986" width="10.90625" style="5"/>
    <col min="9987" max="9987" width="12.81640625" style="5" customWidth="1"/>
    <col min="9988" max="9988" width="18.26953125" style="5" customWidth="1"/>
    <col min="9989" max="9989" width="13.7265625" style="5" customWidth="1"/>
    <col min="9990" max="9990" width="16.453125" style="5" customWidth="1"/>
    <col min="9991" max="9991" width="20.7265625" style="5" customWidth="1"/>
    <col min="9992" max="9992" width="23.81640625" style="5" customWidth="1"/>
    <col min="9993" max="9993" width="18.81640625" style="5" customWidth="1"/>
    <col min="9994" max="9994" width="8.26953125" style="5" customWidth="1"/>
    <col min="9995" max="9995" width="14.54296875" style="5" bestFit="1" customWidth="1"/>
    <col min="9996" max="9996" width="14.1796875" style="5" bestFit="1" customWidth="1"/>
    <col min="9997" max="9997" width="10.90625" style="5"/>
    <col min="9998" max="9998" width="15.54296875" style="5" customWidth="1"/>
    <col min="9999" max="9999" width="10.90625" style="5"/>
    <col min="10000" max="10000" width="13.81640625" style="5" bestFit="1" customWidth="1"/>
    <col min="10001" max="10242" width="10.90625" style="5"/>
    <col min="10243" max="10243" width="12.81640625" style="5" customWidth="1"/>
    <col min="10244" max="10244" width="18.26953125" style="5" customWidth="1"/>
    <col min="10245" max="10245" width="13.7265625" style="5" customWidth="1"/>
    <col min="10246" max="10246" width="16.453125" style="5" customWidth="1"/>
    <col min="10247" max="10247" width="20.7265625" style="5" customWidth="1"/>
    <col min="10248" max="10248" width="23.81640625" style="5" customWidth="1"/>
    <col min="10249" max="10249" width="18.81640625" style="5" customWidth="1"/>
    <col min="10250" max="10250" width="8.26953125" style="5" customWidth="1"/>
    <col min="10251" max="10251" width="14.54296875" style="5" bestFit="1" customWidth="1"/>
    <col min="10252" max="10252" width="14.1796875" style="5" bestFit="1" customWidth="1"/>
    <col min="10253" max="10253" width="10.90625" style="5"/>
    <col min="10254" max="10254" width="15.54296875" style="5" customWidth="1"/>
    <col min="10255" max="10255" width="10.90625" style="5"/>
    <col min="10256" max="10256" width="13.81640625" style="5" bestFit="1" customWidth="1"/>
    <col min="10257" max="10498" width="10.90625" style="5"/>
    <col min="10499" max="10499" width="12.81640625" style="5" customWidth="1"/>
    <col min="10500" max="10500" width="18.26953125" style="5" customWidth="1"/>
    <col min="10501" max="10501" width="13.7265625" style="5" customWidth="1"/>
    <col min="10502" max="10502" width="16.453125" style="5" customWidth="1"/>
    <col min="10503" max="10503" width="20.7265625" style="5" customWidth="1"/>
    <col min="10504" max="10504" width="23.81640625" style="5" customWidth="1"/>
    <col min="10505" max="10505" width="18.81640625" style="5" customWidth="1"/>
    <col min="10506" max="10506" width="8.26953125" style="5" customWidth="1"/>
    <col min="10507" max="10507" width="14.54296875" style="5" bestFit="1" customWidth="1"/>
    <col min="10508" max="10508" width="14.1796875" style="5" bestFit="1" customWidth="1"/>
    <col min="10509" max="10509" width="10.90625" style="5"/>
    <col min="10510" max="10510" width="15.54296875" style="5" customWidth="1"/>
    <col min="10511" max="10511" width="10.90625" style="5"/>
    <col min="10512" max="10512" width="13.81640625" style="5" bestFit="1" customWidth="1"/>
    <col min="10513" max="10754" width="10.90625" style="5"/>
    <col min="10755" max="10755" width="12.81640625" style="5" customWidth="1"/>
    <col min="10756" max="10756" width="18.26953125" style="5" customWidth="1"/>
    <col min="10757" max="10757" width="13.7265625" style="5" customWidth="1"/>
    <col min="10758" max="10758" width="16.453125" style="5" customWidth="1"/>
    <col min="10759" max="10759" width="20.7265625" style="5" customWidth="1"/>
    <col min="10760" max="10760" width="23.81640625" style="5" customWidth="1"/>
    <col min="10761" max="10761" width="18.81640625" style="5" customWidth="1"/>
    <col min="10762" max="10762" width="8.26953125" style="5" customWidth="1"/>
    <col min="10763" max="10763" width="14.54296875" style="5" bestFit="1" customWidth="1"/>
    <col min="10764" max="10764" width="14.1796875" style="5" bestFit="1" customWidth="1"/>
    <col min="10765" max="10765" width="10.90625" style="5"/>
    <col min="10766" max="10766" width="15.54296875" style="5" customWidth="1"/>
    <col min="10767" max="10767" width="10.90625" style="5"/>
    <col min="10768" max="10768" width="13.81640625" style="5" bestFit="1" customWidth="1"/>
    <col min="10769" max="11010" width="10.90625" style="5"/>
    <col min="11011" max="11011" width="12.81640625" style="5" customWidth="1"/>
    <col min="11012" max="11012" width="18.26953125" style="5" customWidth="1"/>
    <col min="11013" max="11013" width="13.7265625" style="5" customWidth="1"/>
    <col min="11014" max="11014" width="16.453125" style="5" customWidth="1"/>
    <col min="11015" max="11015" width="20.7265625" style="5" customWidth="1"/>
    <col min="11016" max="11016" width="23.81640625" style="5" customWidth="1"/>
    <col min="11017" max="11017" width="18.81640625" style="5" customWidth="1"/>
    <col min="11018" max="11018" width="8.26953125" style="5" customWidth="1"/>
    <col min="11019" max="11019" width="14.54296875" style="5" bestFit="1" customWidth="1"/>
    <col min="11020" max="11020" width="14.1796875" style="5" bestFit="1" customWidth="1"/>
    <col min="11021" max="11021" width="10.90625" style="5"/>
    <col min="11022" max="11022" width="15.54296875" style="5" customWidth="1"/>
    <col min="11023" max="11023" width="10.90625" style="5"/>
    <col min="11024" max="11024" width="13.81640625" style="5" bestFit="1" customWidth="1"/>
    <col min="11025" max="11266" width="10.90625" style="5"/>
    <col min="11267" max="11267" width="12.81640625" style="5" customWidth="1"/>
    <col min="11268" max="11268" width="18.26953125" style="5" customWidth="1"/>
    <col min="11269" max="11269" width="13.7265625" style="5" customWidth="1"/>
    <col min="11270" max="11270" width="16.453125" style="5" customWidth="1"/>
    <col min="11271" max="11271" width="20.7265625" style="5" customWidth="1"/>
    <col min="11272" max="11272" width="23.81640625" style="5" customWidth="1"/>
    <col min="11273" max="11273" width="18.81640625" style="5" customWidth="1"/>
    <col min="11274" max="11274" width="8.26953125" style="5" customWidth="1"/>
    <col min="11275" max="11275" width="14.54296875" style="5" bestFit="1" customWidth="1"/>
    <col min="11276" max="11276" width="14.1796875" style="5" bestFit="1" customWidth="1"/>
    <col min="11277" max="11277" width="10.90625" style="5"/>
    <col min="11278" max="11278" width="15.54296875" style="5" customWidth="1"/>
    <col min="11279" max="11279" width="10.90625" style="5"/>
    <col min="11280" max="11280" width="13.81640625" style="5" bestFit="1" customWidth="1"/>
    <col min="11281" max="11522" width="10.90625" style="5"/>
    <col min="11523" max="11523" width="12.81640625" style="5" customWidth="1"/>
    <col min="11524" max="11524" width="18.26953125" style="5" customWidth="1"/>
    <col min="11525" max="11525" width="13.7265625" style="5" customWidth="1"/>
    <col min="11526" max="11526" width="16.453125" style="5" customWidth="1"/>
    <col min="11527" max="11527" width="20.7265625" style="5" customWidth="1"/>
    <col min="11528" max="11528" width="23.81640625" style="5" customWidth="1"/>
    <col min="11529" max="11529" width="18.81640625" style="5" customWidth="1"/>
    <col min="11530" max="11530" width="8.26953125" style="5" customWidth="1"/>
    <col min="11531" max="11531" width="14.54296875" style="5" bestFit="1" customWidth="1"/>
    <col min="11532" max="11532" width="14.1796875" style="5" bestFit="1" customWidth="1"/>
    <col min="11533" max="11533" width="10.90625" style="5"/>
    <col min="11534" max="11534" width="15.54296875" style="5" customWidth="1"/>
    <col min="11535" max="11535" width="10.90625" style="5"/>
    <col min="11536" max="11536" width="13.81640625" style="5" bestFit="1" customWidth="1"/>
    <col min="11537" max="11778" width="10.90625" style="5"/>
    <col min="11779" max="11779" width="12.81640625" style="5" customWidth="1"/>
    <col min="11780" max="11780" width="18.26953125" style="5" customWidth="1"/>
    <col min="11781" max="11781" width="13.7265625" style="5" customWidth="1"/>
    <col min="11782" max="11782" width="16.453125" style="5" customWidth="1"/>
    <col min="11783" max="11783" width="20.7265625" style="5" customWidth="1"/>
    <col min="11784" max="11784" width="23.81640625" style="5" customWidth="1"/>
    <col min="11785" max="11785" width="18.81640625" style="5" customWidth="1"/>
    <col min="11786" max="11786" width="8.26953125" style="5" customWidth="1"/>
    <col min="11787" max="11787" width="14.54296875" style="5" bestFit="1" customWidth="1"/>
    <col min="11788" max="11788" width="14.1796875" style="5" bestFit="1" customWidth="1"/>
    <col min="11789" max="11789" width="10.90625" style="5"/>
    <col min="11790" max="11790" width="15.54296875" style="5" customWidth="1"/>
    <col min="11791" max="11791" width="10.90625" style="5"/>
    <col min="11792" max="11792" width="13.81640625" style="5" bestFit="1" customWidth="1"/>
    <col min="11793" max="12034" width="10.90625" style="5"/>
    <col min="12035" max="12035" width="12.81640625" style="5" customWidth="1"/>
    <col min="12036" max="12036" width="18.26953125" style="5" customWidth="1"/>
    <col min="12037" max="12037" width="13.7265625" style="5" customWidth="1"/>
    <col min="12038" max="12038" width="16.453125" style="5" customWidth="1"/>
    <col min="12039" max="12039" width="20.7265625" style="5" customWidth="1"/>
    <col min="12040" max="12040" width="23.81640625" style="5" customWidth="1"/>
    <col min="12041" max="12041" width="18.81640625" style="5" customWidth="1"/>
    <col min="12042" max="12042" width="8.26953125" style="5" customWidth="1"/>
    <col min="12043" max="12043" width="14.54296875" style="5" bestFit="1" customWidth="1"/>
    <col min="12044" max="12044" width="14.1796875" style="5" bestFit="1" customWidth="1"/>
    <col min="12045" max="12045" width="10.90625" style="5"/>
    <col min="12046" max="12046" width="15.54296875" style="5" customWidth="1"/>
    <col min="12047" max="12047" width="10.90625" style="5"/>
    <col min="12048" max="12048" width="13.81640625" style="5" bestFit="1" customWidth="1"/>
    <col min="12049" max="12290" width="10.90625" style="5"/>
    <col min="12291" max="12291" width="12.81640625" style="5" customWidth="1"/>
    <col min="12292" max="12292" width="18.26953125" style="5" customWidth="1"/>
    <col min="12293" max="12293" width="13.7265625" style="5" customWidth="1"/>
    <col min="12294" max="12294" width="16.453125" style="5" customWidth="1"/>
    <col min="12295" max="12295" width="20.7265625" style="5" customWidth="1"/>
    <col min="12296" max="12296" width="23.81640625" style="5" customWidth="1"/>
    <col min="12297" max="12297" width="18.81640625" style="5" customWidth="1"/>
    <col min="12298" max="12298" width="8.26953125" style="5" customWidth="1"/>
    <col min="12299" max="12299" width="14.54296875" style="5" bestFit="1" customWidth="1"/>
    <col min="12300" max="12300" width="14.1796875" style="5" bestFit="1" customWidth="1"/>
    <col min="12301" max="12301" width="10.90625" style="5"/>
    <col min="12302" max="12302" width="15.54296875" style="5" customWidth="1"/>
    <col min="12303" max="12303" width="10.90625" style="5"/>
    <col min="12304" max="12304" width="13.81640625" style="5" bestFit="1" customWidth="1"/>
    <col min="12305" max="12546" width="10.90625" style="5"/>
    <col min="12547" max="12547" width="12.81640625" style="5" customWidth="1"/>
    <col min="12548" max="12548" width="18.26953125" style="5" customWidth="1"/>
    <col min="12549" max="12549" width="13.7265625" style="5" customWidth="1"/>
    <col min="12550" max="12550" width="16.453125" style="5" customWidth="1"/>
    <col min="12551" max="12551" width="20.7265625" style="5" customWidth="1"/>
    <col min="12552" max="12552" width="23.81640625" style="5" customWidth="1"/>
    <col min="12553" max="12553" width="18.81640625" style="5" customWidth="1"/>
    <col min="12554" max="12554" width="8.26953125" style="5" customWidth="1"/>
    <col min="12555" max="12555" width="14.54296875" style="5" bestFit="1" customWidth="1"/>
    <col min="12556" max="12556" width="14.1796875" style="5" bestFit="1" customWidth="1"/>
    <col min="12557" max="12557" width="10.90625" style="5"/>
    <col min="12558" max="12558" width="15.54296875" style="5" customWidth="1"/>
    <col min="12559" max="12559" width="10.90625" style="5"/>
    <col min="12560" max="12560" width="13.81640625" style="5" bestFit="1" customWidth="1"/>
    <col min="12561" max="12802" width="10.90625" style="5"/>
    <col min="12803" max="12803" width="12.81640625" style="5" customWidth="1"/>
    <col min="12804" max="12804" width="18.26953125" style="5" customWidth="1"/>
    <col min="12805" max="12805" width="13.7265625" style="5" customWidth="1"/>
    <col min="12806" max="12806" width="16.453125" style="5" customWidth="1"/>
    <col min="12807" max="12807" width="20.7265625" style="5" customWidth="1"/>
    <col min="12808" max="12808" width="23.81640625" style="5" customWidth="1"/>
    <col min="12809" max="12809" width="18.81640625" style="5" customWidth="1"/>
    <col min="12810" max="12810" width="8.26953125" style="5" customWidth="1"/>
    <col min="12811" max="12811" width="14.54296875" style="5" bestFit="1" customWidth="1"/>
    <col min="12812" max="12812" width="14.1796875" style="5" bestFit="1" customWidth="1"/>
    <col min="12813" max="12813" width="10.90625" style="5"/>
    <col min="12814" max="12814" width="15.54296875" style="5" customWidth="1"/>
    <col min="12815" max="12815" width="10.90625" style="5"/>
    <col min="12816" max="12816" width="13.81640625" style="5" bestFit="1" customWidth="1"/>
    <col min="12817" max="13058" width="10.90625" style="5"/>
    <col min="13059" max="13059" width="12.81640625" style="5" customWidth="1"/>
    <col min="13060" max="13060" width="18.26953125" style="5" customWidth="1"/>
    <col min="13061" max="13061" width="13.7265625" style="5" customWidth="1"/>
    <col min="13062" max="13062" width="16.453125" style="5" customWidth="1"/>
    <col min="13063" max="13063" width="20.7265625" style="5" customWidth="1"/>
    <col min="13064" max="13064" width="23.81640625" style="5" customWidth="1"/>
    <col min="13065" max="13065" width="18.81640625" style="5" customWidth="1"/>
    <col min="13066" max="13066" width="8.26953125" style="5" customWidth="1"/>
    <col min="13067" max="13067" width="14.54296875" style="5" bestFit="1" customWidth="1"/>
    <col min="13068" max="13068" width="14.1796875" style="5" bestFit="1" customWidth="1"/>
    <col min="13069" max="13069" width="10.90625" style="5"/>
    <col min="13070" max="13070" width="15.54296875" style="5" customWidth="1"/>
    <col min="13071" max="13071" width="10.90625" style="5"/>
    <col min="13072" max="13072" width="13.81640625" style="5" bestFit="1" customWidth="1"/>
    <col min="13073" max="13314" width="10.90625" style="5"/>
    <col min="13315" max="13315" width="12.81640625" style="5" customWidth="1"/>
    <col min="13316" max="13316" width="18.26953125" style="5" customWidth="1"/>
    <col min="13317" max="13317" width="13.7265625" style="5" customWidth="1"/>
    <col min="13318" max="13318" width="16.453125" style="5" customWidth="1"/>
    <col min="13319" max="13319" width="20.7265625" style="5" customWidth="1"/>
    <col min="13320" max="13320" width="23.81640625" style="5" customWidth="1"/>
    <col min="13321" max="13321" width="18.81640625" style="5" customWidth="1"/>
    <col min="13322" max="13322" width="8.26953125" style="5" customWidth="1"/>
    <col min="13323" max="13323" width="14.54296875" style="5" bestFit="1" customWidth="1"/>
    <col min="13324" max="13324" width="14.1796875" style="5" bestFit="1" customWidth="1"/>
    <col min="13325" max="13325" width="10.90625" style="5"/>
    <col min="13326" max="13326" width="15.54296875" style="5" customWidth="1"/>
    <col min="13327" max="13327" width="10.90625" style="5"/>
    <col min="13328" max="13328" width="13.81640625" style="5" bestFit="1" customWidth="1"/>
    <col min="13329" max="13570" width="10.90625" style="5"/>
    <col min="13571" max="13571" width="12.81640625" style="5" customWidth="1"/>
    <col min="13572" max="13572" width="18.26953125" style="5" customWidth="1"/>
    <col min="13573" max="13573" width="13.7265625" style="5" customWidth="1"/>
    <col min="13574" max="13574" width="16.453125" style="5" customWidth="1"/>
    <col min="13575" max="13575" width="20.7265625" style="5" customWidth="1"/>
    <col min="13576" max="13576" width="23.81640625" style="5" customWidth="1"/>
    <col min="13577" max="13577" width="18.81640625" style="5" customWidth="1"/>
    <col min="13578" max="13578" width="8.26953125" style="5" customWidth="1"/>
    <col min="13579" max="13579" width="14.54296875" style="5" bestFit="1" customWidth="1"/>
    <col min="13580" max="13580" width="14.1796875" style="5" bestFit="1" customWidth="1"/>
    <col min="13581" max="13581" width="10.90625" style="5"/>
    <col min="13582" max="13582" width="15.54296875" style="5" customWidth="1"/>
    <col min="13583" max="13583" width="10.90625" style="5"/>
    <col min="13584" max="13584" width="13.81640625" style="5" bestFit="1" customWidth="1"/>
    <col min="13585" max="13826" width="10.90625" style="5"/>
    <col min="13827" max="13827" width="12.81640625" style="5" customWidth="1"/>
    <col min="13828" max="13828" width="18.26953125" style="5" customWidth="1"/>
    <col min="13829" max="13829" width="13.7265625" style="5" customWidth="1"/>
    <col min="13830" max="13830" width="16.453125" style="5" customWidth="1"/>
    <col min="13831" max="13831" width="20.7265625" style="5" customWidth="1"/>
    <col min="13832" max="13832" width="23.81640625" style="5" customWidth="1"/>
    <col min="13833" max="13833" width="18.81640625" style="5" customWidth="1"/>
    <col min="13834" max="13834" width="8.26953125" style="5" customWidth="1"/>
    <col min="13835" max="13835" width="14.54296875" style="5" bestFit="1" customWidth="1"/>
    <col min="13836" max="13836" width="14.1796875" style="5" bestFit="1" customWidth="1"/>
    <col min="13837" max="13837" width="10.90625" style="5"/>
    <col min="13838" max="13838" width="15.54296875" style="5" customWidth="1"/>
    <col min="13839" max="13839" width="10.90625" style="5"/>
    <col min="13840" max="13840" width="13.81640625" style="5" bestFit="1" customWidth="1"/>
    <col min="13841" max="14082" width="10.90625" style="5"/>
    <col min="14083" max="14083" width="12.81640625" style="5" customWidth="1"/>
    <col min="14084" max="14084" width="18.26953125" style="5" customWidth="1"/>
    <col min="14085" max="14085" width="13.7265625" style="5" customWidth="1"/>
    <col min="14086" max="14086" width="16.453125" style="5" customWidth="1"/>
    <col min="14087" max="14087" width="20.7265625" style="5" customWidth="1"/>
    <col min="14088" max="14088" width="23.81640625" style="5" customWidth="1"/>
    <col min="14089" max="14089" width="18.81640625" style="5" customWidth="1"/>
    <col min="14090" max="14090" width="8.26953125" style="5" customWidth="1"/>
    <col min="14091" max="14091" width="14.54296875" style="5" bestFit="1" customWidth="1"/>
    <col min="14092" max="14092" width="14.1796875" style="5" bestFit="1" customWidth="1"/>
    <col min="14093" max="14093" width="10.90625" style="5"/>
    <col min="14094" max="14094" width="15.54296875" style="5" customWidth="1"/>
    <col min="14095" max="14095" width="10.90625" style="5"/>
    <col min="14096" max="14096" width="13.81640625" style="5" bestFit="1" customWidth="1"/>
    <col min="14097" max="14338" width="10.90625" style="5"/>
    <col min="14339" max="14339" width="12.81640625" style="5" customWidth="1"/>
    <col min="14340" max="14340" width="18.26953125" style="5" customWidth="1"/>
    <col min="14341" max="14341" width="13.7265625" style="5" customWidth="1"/>
    <col min="14342" max="14342" width="16.453125" style="5" customWidth="1"/>
    <col min="14343" max="14343" width="20.7265625" style="5" customWidth="1"/>
    <col min="14344" max="14344" width="23.81640625" style="5" customWidth="1"/>
    <col min="14345" max="14345" width="18.81640625" style="5" customWidth="1"/>
    <col min="14346" max="14346" width="8.26953125" style="5" customWidth="1"/>
    <col min="14347" max="14347" width="14.54296875" style="5" bestFit="1" customWidth="1"/>
    <col min="14348" max="14348" width="14.1796875" style="5" bestFit="1" customWidth="1"/>
    <col min="14349" max="14349" width="10.90625" style="5"/>
    <col min="14350" max="14350" width="15.54296875" style="5" customWidth="1"/>
    <col min="14351" max="14351" width="10.90625" style="5"/>
    <col min="14352" max="14352" width="13.81640625" style="5" bestFit="1" customWidth="1"/>
    <col min="14353" max="14594" width="10.90625" style="5"/>
    <col min="14595" max="14595" width="12.81640625" style="5" customWidth="1"/>
    <col min="14596" max="14596" width="18.26953125" style="5" customWidth="1"/>
    <col min="14597" max="14597" width="13.7265625" style="5" customWidth="1"/>
    <col min="14598" max="14598" width="16.453125" style="5" customWidth="1"/>
    <col min="14599" max="14599" width="20.7265625" style="5" customWidth="1"/>
    <col min="14600" max="14600" width="23.81640625" style="5" customWidth="1"/>
    <col min="14601" max="14601" width="18.81640625" style="5" customWidth="1"/>
    <col min="14602" max="14602" width="8.26953125" style="5" customWidth="1"/>
    <col min="14603" max="14603" width="14.54296875" style="5" bestFit="1" customWidth="1"/>
    <col min="14604" max="14604" width="14.1796875" style="5" bestFit="1" customWidth="1"/>
    <col min="14605" max="14605" width="10.90625" style="5"/>
    <col min="14606" max="14606" width="15.54296875" style="5" customWidth="1"/>
    <col min="14607" max="14607" width="10.90625" style="5"/>
    <col min="14608" max="14608" width="13.81640625" style="5" bestFit="1" customWidth="1"/>
    <col min="14609" max="14850" width="10.90625" style="5"/>
    <col min="14851" max="14851" width="12.81640625" style="5" customWidth="1"/>
    <col min="14852" max="14852" width="18.26953125" style="5" customWidth="1"/>
    <col min="14853" max="14853" width="13.7265625" style="5" customWidth="1"/>
    <col min="14854" max="14854" width="16.453125" style="5" customWidth="1"/>
    <col min="14855" max="14855" width="20.7265625" style="5" customWidth="1"/>
    <col min="14856" max="14856" width="23.81640625" style="5" customWidth="1"/>
    <col min="14857" max="14857" width="18.81640625" style="5" customWidth="1"/>
    <col min="14858" max="14858" width="8.26953125" style="5" customWidth="1"/>
    <col min="14859" max="14859" width="14.54296875" style="5" bestFit="1" customWidth="1"/>
    <col min="14860" max="14860" width="14.1796875" style="5" bestFit="1" customWidth="1"/>
    <col min="14861" max="14861" width="10.90625" style="5"/>
    <col min="14862" max="14862" width="15.54296875" style="5" customWidth="1"/>
    <col min="14863" max="14863" width="10.90625" style="5"/>
    <col min="14864" max="14864" width="13.81640625" style="5" bestFit="1" customWidth="1"/>
    <col min="14865" max="15106" width="10.90625" style="5"/>
    <col min="15107" max="15107" width="12.81640625" style="5" customWidth="1"/>
    <col min="15108" max="15108" width="18.26953125" style="5" customWidth="1"/>
    <col min="15109" max="15109" width="13.7265625" style="5" customWidth="1"/>
    <col min="15110" max="15110" width="16.453125" style="5" customWidth="1"/>
    <col min="15111" max="15111" width="20.7265625" style="5" customWidth="1"/>
    <col min="15112" max="15112" width="23.81640625" style="5" customWidth="1"/>
    <col min="15113" max="15113" width="18.81640625" style="5" customWidth="1"/>
    <col min="15114" max="15114" width="8.26953125" style="5" customWidth="1"/>
    <col min="15115" max="15115" width="14.54296875" style="5" bestFit="1" customWidth="1"/>
    <col min="15116" max="15116" width="14.1796875" style="5" bestFit="1" customWidth="1"/>
    <col min="15117" max="15117" width="10.90625" style="5"/>
    <col min="15118" max="15118" width="15.54296875" style="5" customWidth="1"/>
    <col min="15119" max="15119" width="10.90625" style="5"/>
    <col min="15120" max="15120" width="13.81640625" style="5" bestFit="1" customWidth="1"/>
    <col min="15121" max="15362" width="10.90625" style="5"/>
    <col min="15363" max="15363" width="12.81640625" style="5" customWidth="1"/>
    <col min="15364" max="15364" width="18.26953125" style="5" customWidth="1"/>
    <col min="15365" max="15365" width="13.7265625" style="5" customWidth="1"/>
    <col min="15366" max="15366" width="16.453125" style="5" customWidth="1"/>
    <col min="15367" max="15367" width="20.7265625" style="5" customWidth="1"/>
    <col min="15368" max="15368" width="23.81640625" style="5" customWidth="1"/>
    <col min="15369" max="15369" width="18.81640625" style="5" customWidth="1"/>
    <col min="15370" max="15370" width="8.26953125" style="5" customWidth="1"/>
    <col min="15371" max="15371" width="14.54296875" style="5" bestFit="1" customWidth="1"/>
    <col min="15372" max="15372" width="14.1796875" style="5" bestFit="1" customWidth="1"/>
    <col min="15373" max="15373" width="10.90625" style="5"/>
    <col min="15374" max="15374" width="15.54296875" style="5" customWidth="1"/>
    <col min="15375" max="15375" width="10.90625" style="5"/>
    <col min="15376" max="15376" width="13.81640625" style="5" bestFit="1" customWidth="1"/>
    <col min="15377" max="15618" width="10.90625" style="5"/>
    <col min="15619" max="15619" width="12.81640625" style="5" customWidth="1"/>
    <col min="15620" max="15620" width="18.26953125" style="5" customWidth="1"/>
    <col min="15621" max="15621" width="13.7265625" style="5" customWidth="1"/>
    <col min="15622" max="15622" width="16.453125" style="5" customWidth="1"/>
    <col min="15623" max="15623" width="20.7265625" style="5" customWidth="1"/>
    <col min="15624" max="15624" width="23.81640625" style="5" customWidth="1"/>
    <col min="15625" max="15625" width="18.81640625" style="5" customWidth="1"/>
    <col min="15626" max="15626" width="8.26953125" style="5" customWidth="1"/>
    <col min="15627" max="15627" width="14.54296875" style="5" bestFit="1" customWidth="1"/>
    <col min="15628" max="15628" width="14.1796875" style="5" bestFit="1" customWidth="1"/>
    <col min="15629" max="15629" width="10.90625" style="5"/>
    <col min="15630" max="15630" width="15.54296875" style="5" customWidth="1"/>
    <col min="15631" max="15631" width="10.90625" style="5"/>
    <col min="15632" max="15632" width="13.81640625" style="5" bestFit="1" customWidth="1"/>
    <col min="15633" max="15874" width="10.90625" style="5"/>
    <col min="15875" max="15875" width="12.81640625" style="5" customWidth="1"/>
    <col min="15876" max="15876" width="18.26953125" style="5" customWidth="1"/>
    <col min="15877" max="15877" width="13.7265625" style="5" customWidth="1"/>
    <col min="15878" max="15878" width="16.453125" style="5" customWidth="1"/>
    <col min="15879" max="15879" width="20.7265625" style="5" customWidth="1"/>
    <col min="15880" max="15880" width="23.81640625" style="5" customWidth="1"/>
    <col min="15881" max="15881" width="18.81640625" style="5" customWidth="1"/>
    <col min="15882" max="15882" width="8.26953125" style="5" customWidth="1"/>
    <col min="15883" max="15883" width="14.54296875" style="5" bestFit="1" customWidth="1"/>
    <col min="15884" max="15884" width="14.1796875" style="5" bestFit="1" customWidth="1"/>
    <col min="15885" max="15885" width="10.90625" style="5"/>
    <col min="15886" max="15886" width="15.54296875" style="5" customWidth="1"/>
    <col min="15887" max="15887" width="10.90625" style="5"/>
    <col min="15888" max="15888" width="13.81640625" style="5" bestFit="1" customWidth="1"/>
    <col min="15889" max="16130" width="10.90625" style="5"/>
    <col min="16131" max="16131" width="12.81640625" style="5" customWidth="1"/>
    <col min="16132" max="16132" width="18.26953125" style="5" customWidth="1"/>
    <col min="16133" max="16133" width="13.7265625" style="5" customWidth="1"/>
    <col min="16134" max="16134" width="16.453125" style="5" customWidth="1"/>
    <col min="16135" max="16135" width="20.7265625" style="5" customWidth="1"/>
    <col min="16136" max="16136" width="23.81640625" style="5" customWidth="1"/>
    <col min="16137" max="16137" width="18.81640625" style="5" customWidth="1"/>
    <col min="16138" max="16138" width="8.26953125" style="5" customWidth="1"/>
    <col min="16139" max="16139" width="14.54296875" style="5" bestFit="1" customWidth="1"/>
    <col min="16140" max="16140" width="14.1796875" style="5" bestFit="1" customWidth="1"/>
    <col min="16141" max="16141" width="10.90625" style="5"/>
    <col min="16142" max="16142" width="15.54296875" style="5" customWidth="1"/>
    <col min="16143" max="16143" width="10.90625" style="5"/>
    <col min="16144" max="16144" width="13.81640625" style="5" bestFit="1" customWidth="1"/>
    <col min="16145" max="16383" width="10.90625" style="5"/>
    <col min="16384" max="16384" width="11.453125" style="5" customWidth="1"/>
  </cols>
  <sheetData>
    <row r="1" spans="1:13" ht="9" customHeight="1" thickBot="1" x14ac:dyDescent="0.35"/>
    <row r="2" spans="1:13" ht="20.25" customHeight="1" thickBot="1" x14ac:dyDescent="0.35">
      <c r="B2" s="521" t="s">
        <v>85</v>
      </c>
      <c r="C2" s="522"/>
      <c r="D2" s="522"/>
      <c r="E2" s="522"/>
      <c r="F2" s="522"/>
      <c r="G2" s="523"/>
      <c r="H2" s="445"/>
      <c r="I2" s="445"/>
      <c r="J2" s="16"/>
    </row>
    <row r="3" spans="1:13" ht="31.5" customHeight="1" x14ac:dyDescent="0.3">
      <c r="B3" s="524" t="s">
        <v>137</v>
      </c>
      <c r="C3" s="525"/>
      <c r="D3" s="525"/>
      <c r="E3" s="525"/>
      <c r="F3" s="525"/>
      <c r="G3" s="526"/>
      <c r="H3" s="446"/>
      <c r="I3" s="446"/>
      <c r="J3" s="447"/>
    </row>
    <row r="4" spans="1:13" ht="16.5" customHeight="1" thickBot="1" x14ac:dyDescent="0.7">
      <c r="A4" s="88"/>
      <c r="J4" s="447"/>
    </row>
    <row r="5" spans="1:13" ht="19.5" customHeight="1" thickBot="1" x14ac:dyDescent="0.35">
      <c r="A5" s="93"/>
      <c r="B5" s="89" t="s">
        <v>86</v>
      </c>
      <c r="C5" s="510">
        <v>0.68600000000000005</v>
      </c>
      <c r="D5" s="90" t="s">
        <v>82</v>
      </c>
      <c r="E5" s="91" t="s">
        <v>87</v>
      </c>
      <c r="F5" s="92">
        <f>1-C5</f>
        <v>0.31399999999999995</v>
      </c>
      <c r="G5" s="97"/>
      <c r="H5" s="97"/>
      <c r="I5" s="97"/>
      <c r="J5" s="299"/>
    </row>
    <row r="6" spans="1:13" ht="13.5" thickBot="1" x14ac:dyDescent="0.35">
      <c r="A6" s="300"/>
      <c r="B6" s="97"/>
      <c r="C6" s="97"/>
      <c r="G6" s="97"/>
      <c r="H6" s="97"/>
      <c r="I6" s="97"/>
      <c r="J6" s="448"/>
    </row>
    <row r="7" spans="1:13" ht="21" customHeight="1" thickBot="1" x14ac:dyDescent="0.35">
      <c r="A7" s="300"/>
      <c r="B7" s="301"/>
      <c r="C7" s="97"/>
      <c r="D7" s="527" t="s">
        <v>55</v>
      </c>
      <c r="E7" s="528"/>
      <c r="F7" s="529"/>
      <c r="G7" s="97"/>
      <c r="H7" s="97"/>
      <c r="I7" s="97"/>
      <c r="J7" s="449"/>
    </row>
    <row r="8" spans="1:13" ht="20.149999999999999" customHeight="1" thickBot="1" x14ac:dyDescent="0.35">
      <c r="A8" s="300"/>
      <c r="B8" s="302"/>
      <c r="C8" s="97"/>
      <c r="D8" s="82" t="s">
        <v>88</v>
      </c>
      <c r="E8" s="83" t="s">
        <v>138</v>
      </c>
      <c r="F8" s="82" t="s">
        <v>139</v>
      </c>
      <c r="G8" s="120"/>
      <c r="H8" s="120"/>
      <c r="I8" s="120"/>
      <c r="J8" s="303"/>
    </row>
    <row r="9" spans="1:13" ht="20.149999999999999" customHeight="1" thickBot="1" x14ac:dyDescent="0.35">
      <c r="A9" s="300"/>
      <c r="B9" s="97"/>
      <c r="C9" s="97"/>
      <c r="D9" s="84">
        <v>0.75</v>
      </c>
      <c r="E9" s="85">
        <v>0.62</v>
      </c>
      <c r="F9" s="85">
        <v>0.91</v>
      </c>
      <c r="G9" s="97"/>
      <c r="H9" s="97"/>
      <c r="I9" s="97"/>
      <c r="J9" s="304"/>
      <c r="K9" s="120"/>
      <c r="L9" s="93"/>
    </row>
    <row r="10" spans="1:13" ht="30.75" hidden="1" customHeight="1" x14ac:dyDescent="0.4">
      <c r="A10" s="305"/>
      <c r="B10" s="450"/>
      <c r="C10" s="451" t="s">
        <v>133</v>
      </c>
      <c r="D10" s="7">
        <f>F5^D9</f>
        <v>0.41946645529778775</v>
      </c>
      <c r="E10" s="306">
        <f>F5^E9</f>
        <v>0.48763669799563025</v>
      </c>
      <c r="F10" s="306">
        <f>F5^F9</f>
        <v>0.34850256569583138</v>
      </c>
      <c r="H10" s="97"/>
      <c r="I10" s="97"/>
      <c r="J10" s="452"/>
    </row>
    <row r="11" spans="1:13" ht="30.75" hidden="1" customHeight="1" x14ac:dyDescent="0.3">
      <c r="A11" s="305"/>
      <c r="B11" s="450"/>
      <c r="C11" s="355" t="s">
        <v>134</v>
      </c>
      <c r="D11" s="7">
        <f>1-D10</f>
        <v>0.58053354470221219</v>
      </c>
      <c r="E11" s="7">
        <f>1-E10</f>
        <v>0.51236330200436975</v>
      </c>
      <c r="F11" s="7">
        <f>1-F10</f>
        <v>0.65149743430416862</v>
      </c>
      <c r="H11" s="97"/>
      <c r="I11" s="97"/>
      <c r="J11" s="452"/>
      <c r="L11" s="16"/>
    </row>
    <row r="12" spans="1:13" ht="30.75" hidden="1" customHeight="1" x14ac:dyDescent="0.3">
      <c r="A12" s="305"/>
      <c r="C12" s="43"/>
      <c r="H12" s="97"/>
      <c r="I12" s="97"/>
      <c r="J12" s="453"/>
      <c r="L12" s="78"/>
      <c r="M12" s="180"/>
    </row>
    <row r="13" spans="1:13" ht="30.75" hidden="1" customHeight="1" x14ac:dyDescent="0.4">
      <c r="A13" s="305"/>
      <c r="B13" s="456"/>
      <c r="C13" s="457" t="s">
        <v>83</v>
      </c>
      <c r="D13" s="458" t="s">
        <v>23</v>
      </c>
      <c r="E13" s="307">
        <f>D10-F5</f>
        <v>0.10546645529778781</v>
      </c>
      <c r="F13" s="307">
        <f>F10-F5</f>
        <v>3.4502565695831433E-2</v>
      </c>
      <c r="G13" s="307">
        <f>E10-F5</f>
        <v>0.17363669799563031</v>
      </c>
      <c r="H13" s="97"/>
      <c r="I13" s="97"/>
      <c r="J13" s="452"/>
      <c r="L13" s="454"/>
      <c r="M13" s="455"/>
    </row>
    <row r="14" spans="1:13" ht="30.75" hidden="1" customHeight="1" x14ac:dyDescent="0.3">
      <c r="A14" s="305"/>
      <c r="B14" s="456"/>
      <c r="C14" s="459" t="s">
        <v>46</v>
      </c>
      <c r="D14" s="458" t="s">
        <v>24</v>
      </c>
      <c r="E14" s="460">
        <f>1/E13</f>
        <v>9.4816877762362353</v>
      </c>
      <c r="F14" s="460">
        <f>1/G13</f>
        <v>5.7591512136746905</v>
      </c>
      <c r="G14" s="460">
        <f>1/F13</f>
        <v>28.983351812610824</v>
      </c>
      <c r="H14" s="97"/>
      <c r="I14" s="97"/>
    </row>
    <row r="15" spans="1:13" ht="30.75" hidden="1" customHeight="1" x14ac:dyDescent="0.3">
      <c r="A15" s="305"/>
      <c r="H15" s="97"/>
      <c r="I15" s="97"/>
    </row>
    <row r="16" spans="1:13" ht="30.75" hidden="1" customHeight="1" x14ac:dyDescent="0.3">
      <c r="A16" s="305"/>
      <c r="B16" s="461"/>
      <c r="C16" s="462" t="s">
        <v>64</v>
      </c>
      <c r="D16" s="308" t="s">
        <v>65</v>
      </c>
      <c r="E16" s="463">
        <f>E14</f>
        <v>9.4816877762362353</v>
      </c>
      <c r="F16" s="463">
        <f>F14</f>
        <v>5.7591512136746905</v>
      </c>
      <c r="G16" s="463">
        <f>G14</f>
        <v>28.983351812610824</v>
      </c>
      <c r="H16" s="97"/>
      <c r="I16" s="97"/>
    </row>
    <row r="17" spans="1:13" ht="30.75" hidden="1" customHeight="1" x14ac:dyDescent="0.3">
      <c r="A17" s="305"/>
      <c r="B17" s="464"/>
      <c r="C17" s="464"/>
      <c r="D17" s="465" t="s">
        <v>42</v>
      </c>
      <c r="E17" s="460">
        <f>(1-C5)*E14</f>
        <v>2.9772499617381776</v>
      </c>
      <c r="F17" s="460">
        <f>(1-C5)*F14</f>
        <v>1.8083734810938525</v>
      </c>
      <c r="G17" s="460">
        <f>(1-C5)*G14</f>
        <v>9.1007724691597964</v>
      </c>
      <c r="H17" s="97"/>
      <c r="I17" s="97"/>
      <c r="K17" s="48"/>
    </row>
    <row r="18" spans="1:13" ht="30.75" hidden="1" customHeight="1" x14ac:dyDescent="0.3">
      <c r="A18" s="305"/>
      <c r="B18" s="466"/>
      <c r="C18" s="466"/>
      <c r="D18" s="462" t="s">
        <v>61</v>
      </c>
      <c r="E18" s="460">
        <f>E14*E13</f>
        <v>1</v>
      </c>
      <c r="F18" s="460">
        <f>F14*G13</f>
        <v>1</v>
      </c>
      <c r="G18" s="460">
        <f>G14*F13</f>
        <v>1</v>
      </c>
      <c r="H18" s="97"/>
      <c r="I18" s="97"/>
    </row>
    <row r="19" spans="1:13" ht="30.75" hidden="1" customHeight="1" x14ac:dyDescent="0.3">
      <c r="A19" s="305"/>
      <c r="B19" s="466"/>
      <c r="C19" s="466"/>
      <c r="D19" s="462" t="s">
        <v>43</v>
      </c>
      <c r="E19" s="460">
        <f>(C5-E13)*E14</f>
        <v>5.5044378144980577</v>
      </c>
      <c r="F19" s="460">
        <f>(C5-G13)*F14</f>
        <v>2.9507777325808382</v>
      </c>
      <c r="G19" s="460">
        <f>(C5-F13)*G14</f>
        <v>18.882579343451027</v>
      </c>
      <c r="H19" s="97"/>
      <c r="I19" s="97"/>
    </row>
    <row r="20" spans="1:13" ht="30.75" hidden="1" customHeight="1" x14ac:dyDescent="0.3">
      <c r="A20" s="305"/>
      <c r="B20" s="467"/>
      <c r="C20" s="467"/>
      <c r="D20" s="467"/>
      <c r="E20" s="468"/>
      <c r="F20" s="468"/>
      <c r="G20" s="468"/>
      <c r="H20" s="97"/>
      <c r="I20" s="97"/>
      <c r="L20" s="469"/>
      <c r="M20" s="470"/>
    </row>
    <row r="21" spans="1:13" ht="30.75" hidden="1" customHeight="1" x14ac:dyDescent="0.3">
      <c r="A21" s="305"/>
      <c r="B21" s="461"/>
      <c r="C21" s="462" t="s">
        <v>66</v>
      </c>
      <c r="D21" s="308" t="s">
        <v>67</v>
      </c>
      <c r="E21" s="463">
        <f>E14</f>
        <v>9.4816877762362353</v>
      </c>
      <c r="F21" s="463">
        <f>F14</f>
        <v>5.7591512136746905</v>
      </c>
      <c r="G21" s="463">
        <f>G14</f>
        <v>28.983351812610824</v>
      </c>
      <c r="H21" s="97"/>
      <c r="I21" s="97"/>
      <c r="K21" s="469"/>
      <c r="L21" s="469"/>
      <c r="M21" s="471"/>
    </row>
    <row r="22" spans="1:13" ht="30.75" hidden="1" customHeight="1" x14ac:dyDescent="0.3">
      <c r="A22" s="305"/>
      <c r="B22" s="472"/>
      <c r="C22" s="472"/>
      <c r="D22" s="473" t="s">
        <v>42</v>
      </c>
      <c r="E22" s="460">
        <f>ABS((1-(C5-E13))*E14)</f>
        <v>3.977249961738178</v>
      </c>
      <c r="F22" s="460">
        <f>ABS((1-(C5-G13))*F14)</f>
        <v>2.8083734810938523</v>
      </c>
      <c r="G22" s="460">
        <f>ABS((1-(C5-F13))*G14)</f>
        <v>10.100772469159796</v>
      </c>
      <c r="H22" s="97"/>
      <c r="I22" s="97"/>
      <c r="K22" s="469"/>
      <c r="L22" s="469"/>
      <c r="M22" s="470"/>
    </row>
    <row r="23" spans="1:13" ht="30.75" hidden="1" customHeight="1" x14ac:dyDescent="0.3">
      <c r="A23" s="305"/>
      <c r="D23" s="27" t="s">
        <v>62</v>
      </c>
      <c r="E23" s="474">
        <f>E14*E13</f>
        <v>1</v>
      </c>
      <c r="F23" s="460">
        <f>F14*G13</f>
        <v>1</v>
      </c>
      <c r="G23" s="460">
        <f>G14*F13</f>
        <v>1</v>
      </c>
      <c r="H23" s="97"/>
      <c r="I23" s="97"/>
    </row>
    <row r="24" spans="1:13" ht="30.75" hidden="1" customHeight="1" x14ac:dyDescent="0.3">
      <c r="A24" s="305"/>
      <c r="B24" s="464"/>
      <c r="C24" s="309"/>
      <c r="D24" s="465" t="s">
        <v>63</v>
      </c>
      <c r="E24" s="460">
        <f>ABS(C5*E14)</f>
        <v>6.5044378144980577</v>
      </c>
      <c r="F24" s="460">
        <f>ABS(C5*F14)</f>
        <v>3.9507777325808382</v>
      </c>
      <c r="G24" s="460">
        <f>ABS(C5*G14)</f>
        <v>19.882579343451027</v>
      </c>
      <c r="H24" s="97"/>
      <c r="I24" s="97"/>
      <c r="K24" s="6"/>
      <c r="L24" s="6"/>
      <c r="M24" s="6"/>
    </row>
    <row r="25" spans="1:13" ht="30.75" hidden="1" customHeight="1" x14ac:dyDescent="0.3">
      <c r="A25" s="305"/>
      <c r="C25" s="95"/>
      <c r="D25" s="62"/>
      <c r="E25" s="475"/>
      <c r="F25" s="475"/>
      <c r="G25" s="475"/>
      <c r="H25" s="97"/>
      <c r="I25" s="97"/>
      <c r="K25" s="6"/>
      <c r="L25" s="6"/>
      <c r="M25" s="6"/>
    </row>
    <row r="26" spans="1:13" ht="30.75" hidden="1" customHeight="1" x14ac:dyDescent="0.3">
      <c r="A26" s="305"/>
      <c r="B26" s="476" t="s">
        <v>49</v>
      </c>
      <c r="C26" s="48">
        <f>ROUND(D11,4)</f>
        <v>0.58050000000000002</v>
      </c>
      <c r="D26" s="48">
        <f>ROUND(C5,4)</f>
        <v>0.68600000000000005</v>
      </c>
      <c r="E26" s="477">
        <f>ROUND(D9,2)</f>
        <v>0.75</v>
      </c>
      <c r="F26" s="310">
        <f>ROUND(E13,4)</f>
        <v>0.1055</v>
      </c>
      <c r="G26" s="478">
        <f>ROUND(E14,0)</f>
        <v>9</v>
      </c>
      <c r="H26" s="97"/>
      <c r="I26" s="97"/>
      <c r="K26" s="6"/>
      <c r="L26" s="6"/>
    </row>
    <row r="27" spans="1:13" ht="30.75" hidden="1" customHeight="1" x14ac:dyDescent="0.3">
      <c r="A27" s="305"/>
      <c r="B27" s="479" t="s">
        <v>51</v>
      </c>
      <c r="C27" s="48">
        <f>ROUND(E11,4)</f>
        <v>0.51239999999999997</v>
      </c>
      <c r="E27" s="480">
        <f>ROUND(E9,2)</f>
        <v>0.62</v>
      </c>
      <c r="F27" s="31">
        <f>ROUND(F13,4)</f>
        <v>3.4500000000000003E-2</v>
      </c>
      <c r="G27" s="481">
        <f>ROUND(F14,0)</f>
        <v>6</v>
      </c>
      <c r="H27" s="97"/>
      <c r="I27" s="97"/>
      <c r="K27" s="6"/>
      <c r="L27" s="6"/>
    </row>
    <row r="28" spans="1:13" ht="30.75" hidden="1" customHeight="1" x14ac:dyDescent="0.3">
      <c r="A28" s="305"/>
      <c r="B28" s="479" t="s">
        <v>50</v>
      </c>
      <c r="C28" s="48">
        <f>ROUND(F11,4)</f>
        <v>0.65149999999999997</v>
      </c>
      <c r="E28" s="480">
        <f>ROUND(F9,2)</f>
        <v>0.91</v>
      </c>
      <c r="F28" s="31">
        <f>ROUND(G13,4)</f>
        <v>0.1736</v>
      </c>
      <c r="G28" s="481">
        <f>ROUND(G14,0)</f>
        <v>29</v>
      </c>
      <c r="H28" s="97"/>
      <c r="I28" s="97"/>
      <c r="K28" s="6"/>
      <c r="L28" s="6"/>
    </row>
    <row r="29" spans="1:13" ht="30.75" hidden="1" customHeight="1" x14ac:dyDescent="0.3">
      <c r="A29" s="305"/>
      <c r="B29" s="479" t="s">
        <v>52</v>
      </c>
      <c r="C29" s="458" t="s">
        <v>76</v>
      </c>
      <c r="D29" s="458" t="s">
        <v>77</v>
      </c>
      <c r="E29" s="458" t="s">
        <v>55</v>
      </c>
      <c r="F29" s="458" t="s">
        <v>54</v>
      </c>
      <c r="G29" s="458" t="s">
        <v>48</v>
      </c>
      <c r="H29" s="97"/>
      <c r="I29" s="97"/>
      <c r="K29" s="6"/>
      <c r="L29" s="6"/>
    </row>
    <row r="30" spans="1:13" ht="30.75" hidden="1" customHeight="1" x14ac:dyDescent="0.3">
      <c r="A30" s="305"/>
      <c r="B30" s="482" t="s">
        <v>19</v>
      </c>
      <c r="C30" s="458" t="str">
        <f>CONCATENATE(C26*100,B29," ",B26,C27*100,B29,B27,C28*100,B29,B28)</f>
        <v>58,05% (51,24%-65,15%)</v>
      </c>
      <c r="D30" s="458" t="str">
        <f>CONCATENATE(D26*100,B29)</f>
        <v>68,6%</v>
      </c>
      <c r="E30" s="458" t="str">
        <f>CONCATENATE(E26," ",B26,E27,B27,E28,B28)</f>
        <v>0,75 (0,62-0,91)</v>
      </c>
      <c r="F30" s="458" t="str">
        <f>CONCATENATE(F26*100,B29," ",B26,F27*100,B29," ",B30," ",F28*100,B29,B28)</f>
        <v>10,55% (3,45% a 17,36%)</v>
      </c>
      <c r="G30" s="458" t="str">
        <f>CONCATENATE(G26," ",B26,G27," ",B30," ",G28,B28)</f>
        <v>9 (6 a 29)</v>
      </c>
      <c r="H30" s="97"/>
      <c r="I30" s="97"/>
      <c r="K30" s="6"/>
      <c r="L30" s="6"/>
    </row>
    <row r="31" spans="1:13" ht="30.75" hidden="1" customHeight="1" x14ac:dyDescent="0.3">
      <c r="A31" s="305"/>
      <c r="C31" s="66"/>
      <c r="H31" s="97"/>
      <c r="I31" s="97"/>
      <c r="K31" s="6"/>
      <c r="L31" s="6"/>
    </row>
    <row r="32" spans="1:13" x14ac:dyDescent="0.3">
      <c r="A32" s="305"/>
      <c r="D32" s="48"/>
      <c r="H32" s="97"/>
      <c r="I32" s="97"/>
      <c r="K32" s="6"/>
      <c r="L32" s="6"/>
    </row>
    <row r="33" spans="1:22" ht="18.75" customHeight="1" x14ac:dyDescent="0.3">
      <c r="A33" s="305"/>
      <c r="C33" s="312" t="s">
        <v>76</v>
      </c>
      <c r="D33" s="312" t="s">
        <v>77</v>
      </c>
      <c r="E33" s="312" t="s">
        <v>55</v>
      </c>
      <c r="F33" s="312" t="s">
        <v>47</v>
      </c>
      <c r="G33" s="312" t="s">
        <v>48</v>
      </c>
      <c r="H33" s="97"/>
      <c r="I33" s="97"/>
      <c r="K33" s="344" t="s">
        <v>135</v>
      </c>
      <c r="L33" s="344" t="s">
        <v>132</v>
      </c>
      <c r="N33" s="27"/>
    </row>
    <row r="34" spans="1:22" ht="27.75" customHeight="1" x14ac:dyDescent="0.3">
      <c r="A34" s="305"/>
      <c r="B34" s="302"/>
      <c r="C34" s="75" t="str">
        <f>C30</f>
        <v>58,05% (51,24%-65,15%)</v>
      </c>
      <c r="D34" s="313" t="str">
        <f>D30</f>
        <v>68,6%</v>
      </c>
      <c r="E34" s="314" t="str">
        <f>E30</f>
        <v>0,75 (0,62-0,91)</v>
      </c>
      <c r="F34" s="75" t="str">
        <f>F30</f>
        <v>10,55% (3,45% a 17,36%)</v>
      </c>
      <c r="G34" s="75" t="str">
        <f>G30</f>
        <v>9 (6 a 29)</v>
      </c>
      <c r="H34" s="97"/>
      <c r="I34" s="97"/>
      <c r="K34" s="311">
        <f>IF((F27*F28&lt;0),(C26+D26)/2,C26)</f>
        <v>0.58050000000000002</v>
      </c>
      <c r="L34" s="311">
        <f>IF((F27*F28&lt;0),(C26+D26)/2,D26)</f>
        <v>0.68600000000000005</v>
      </c>
      <c r="N34" s="27"/>
    </row>
    <row r="35" spans="1:22" x14ac:dyDescent="0.3">
      <c r="B35" s="50"/>
      <c r="G35" s="97"/>
      <c r="H35" s="97"/>
      <c r="I35" s="97"/>
      <c r="N35" s="27"/>
      <c r="O35" s="96"/>
    </row>
    <row r="36" spans="1:22" ht="14.5" x14ac:dyDescent="0.35">
      <c r="A36" s="315"/>
      <c r="B36" s="343" t="s">
        <v>313</v>
      </c>
      <c r="G36" s="97"/>
      <c r="H36" s="97"/>
      <c r="I36" s="97"/>
      <c r="J36" s="66"/>
    </row>
    <row r="37" spans="1:22" ht="14.5" x14ac:dyDescent="0.35">
      <c r="A37" s="317"/>
      <c r="B37" s="432" t="s">
        <v>245</v>
      </c>
      <c r="J37" s="66"/>
    </row>
    <row r="38" spans="1:22" ht="13.5" thickBot="1" x14ac:dyDescent="0.35">
      <c r="A38" s="329"/>
      <c r="B38" s="329"/>
      <c r="C38" s="507"/>
      <c r="D38" s="507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</row>
    <row r="39" spans="1:22" ht="37.5" customHeight="1" thickBot="1" x14ac:dyDescent="0.35">
      <c r="A39" s="329"/>
      <c r="B39" s="530" t="s">
        <v>312</v>
      </c>
      <c r="C39" s="531"/>
      <c r="D39" s="531"/>
      <c r="E39" s="532"/>
      <c r="F39" s="532"/>
      <c r="G39" s="533"/>
      <c r="H39" s="483"/>
      <c r="I39" s="483"/>
      <c r="J39" s="330"/>
      <c r="K39" s="329"/>
      <c r="L39" s="329"/>
      <c r="M39" s="329"/>
      <c r="N39" s="534" t="s">
        <v>141</v>
      </c>
      <c r="O39" s="535"/>
      <c r="P39" s="329"/>
    </row>
    <row r="40" spans="1:22" ht="37.5" customHeight="1" thickBot="1" x14ac:dyDescent="0.35">
      <c r="A40" s="329"/>
      <c r="B40" s="536" t="s">
        <v>305</v>
      </c>
      <c r="C40" s="484" t="s">
        <v>149</v>
      </c>
      <c r="D40" s="485" t="s">
        <v>150</v>
      </c>
      <c r="E40" s="538" t="s">
        <v>278</v>
      </c>
      <c r="F40" s="538"/>
      <c r="G40" s="539"/>
      <c r="H40" s="497"/>
      <c r="I40" s="497"/>
      <c r="J40" s="330"/>
      <c r="K40" s="329"/>
      <c r="L40" s="329"/>
      <c r="M40" s="329"/>
      <c r="N40" s="540" t="s">
        <v>231</v>
      </c>
      <c r="O40" s="541"/>
      <c r="P40" s="329"/>
    </row>
    <row r="41" spans="1:22" ht="41" customHeight="1" thickBot="1" x14ac:dyDescent="0.35">
      <c r="A41" s="329"/>
      <c r="B41" s="537"/>
      <c r="C41" s="486" t="s">
        <v>304</v>
      </c>
      <c r="D41" s="486" t="s">
        <v>304</v>
      </c>
      <c r="E41" s="498" t="s">
        <v>279</v>
      </c>
      <c r="F41" s="498" t="s">
        <v>280</v>
      </c>
      <c r="G41" s="487" t="s">
        <v>281</v>
      </c>
      <c r="H41" s="494"/>
      <c r="I41" s="499" t="s">
        <v>282</v>
      </c>
      <c r="J41" s="330"/>
      <c r="K41" s="329"/>
      <c r="L41" s="331"/>
      <c r="M41" s="329"/>
      <c r="N41" s="488" t="s">
        <v>94</v>
      </c>
      <c r="O41" s="489" t="s">
        <v>95</v>
      </c>
      <c r="P41" s="329"/>
    </row>
    <row r="42" spans="1:22" ht="14.5" customHeight="1" thickBot="1" x14ac:dyDescent="0.35">
      <c r="A42" s="329"/>
      <c r="B42" s="490"/>
      <c r="C42" s="491"/>
      <c r="D42" s="492"/>
      <c r="E42" s="493"/>
      <c r="F42" s="493"/>
      <c r="G42" s="494"/>
      <c r="H42" s="494"/>
      <c r="I42" s="331"/>
      <c r="J42" s="330"/>
      <c r="K42" s="329"/>
      <c r="L42" s="331"/>
      <c r="M42" s="329"/>
      <c r="N42" s="97"/>
      <c r="O42" s="120"/>
      <c r="P42" s="329"/>
    </row>
    <row r="43" spans="1:22" ht="43" customHeight="1" thickBot="1" x14ac:dyDescent="0.35">
      <c r="A43" s="329"/>
      <c r="B43" s="341"/>
      <c r="C43" s="417" t="s">
        <v>306</v>
      </c>
      <c r="D43" s="418" t="s">
        <v>148</v>
      </c>
      <c r="F43" s="332"/>
      <c r="G43" s="332"/>
      <c r="H43" s="332"/>
      <c r="I43" s="495"/>
      <c r="J43" s="332"/>
      <c r="K43" s="329"/>
      <c r="L43" s="495"/>
      <c r="M43" s="329"/>
      <c r="N43" s="417" t="s">
        <v>307</v>
      </c>
      <c r="O43" s="418" t="s">
        <v>151</v>
      </c>
      <c r="P43" s="329"/>
    </row>
    <row r="44" spans="1:22" ht="20" customHeight="1" x14ac:dyDescent="0.3">
      <c r="A44" s="329"/>
      <c r="B44" s="341" t="s">
        <v>143</v>
      </c>
      <c r="C44" s="341"/>
      <c r="D44" s="341"/>
      <c r="E44" s="341"/>
      <c r="F44" s="341"/>
      <c r="G44" s="332"/>
      <c r="H44" s="332"/>
      <c r="I44" s="495"/>
      <c r="J44" s="332"/>
      <c r="K44" s="329"/>
      <c r="L44" s="495"/>
      <c r="M44" s="329"/>
      <c r="N44" s="329"/>
      <c r="O44" s="329"/>
      <c r="P44" s="329"/>
      <c r="Q44" s="329"/>
      <c r="R44" s="329"/>
      <c r="S44" s="329"/>
      <c r="T44" s="329"/>
      <c r="U44" s="329"/>
      <c r="V44" s="329"/>
    </row>
    <row r="45" spans="1:22" ht="23.5" x14ac:dyDescent="0.3">
      <c r="A45" s="329"/>
      <c r="B45" s="500" t="s">
        <v>293</v>
      </c>
      <c r="C45" s="511">
        <v>0.56179999999999997</v>
      </c>
      <c r="D45" s="511">
        <v>0.52759999999999996</v>
      </c>
      <c r="E45" s="325">
        <v>1.1000000000000001</v>
      </c>
      <c r="F45" s="326">
        <v>-3.4200000000000001E-2</v>
      </c>
      <c r="G45" s="325">
        <v>-29</v>
      </c>
      <c r="H45" s="501"/>
      <c r="I45" s="505" t="s">
        <v>289</v>
      </c>
      <c r="J45" s="332"/>
      <c r="K45" s="329"/>
      <c r="L45" s="503"/>
      <c r="M45" s="329"/>
      <c r="N45" s="518" t="s">
        <v>296</v>
      </c>
      <c r="O45" s="519"/>
      <c r="P45" s="346" t="s">
        <v>294</v>
      </c>
      <c r="Q45" s="329"/>
      <c r="R45" s="329"/>
      <c r="S45" s="329"/>
      <c r="T45" s="329"/>
      <c r="U45" s="329"/>
      <c r="V45" s="329"/>
    </row>
    <row r="46" spans="1:22" ht="23.5" x14ac:dyDescent="0.3">
      <c r="A46" s="329"/>
      <c r="B46" s="500" t="s">
        <v>283</v>
      </c>
      <c r="C46" s="511">
        <v>0.82709999999999995</v>
      </c>
      <c r="D46" s="511">
        <v>0.94379999999999997</v>
      </c>
      <c r="E46" s="325">
        <v>0.61</v>
      </c>
      <c r="F46" s="326">
        <v>0.1167</v>
      </c>
      <c r="G46" s="325">
        <v>9</v>
      </c>
      <c r="H46" s="501"/>
      <c r="I46" s="505" t="s">
        <v>289</v>
      </c>
      <c r="J46" s="332"/>
      <c r="K46" s="329"/>
      <c r="L46" s="503"/>
      <c r="M46" s="329"/>
      <c r="N46" s="518" t="s">
        <v>297</v>
      </c>
      <c r="O46" s="519"/>
      <c r="P46" s="346" t="s">
        <v>285</v>
      </c>
      <c r="Q46" s="329"/>
      <c r="R46" s="329"/>
      <c r="S46" s="329"/>
      <c r="T46" s="329"/>
      <c r="U46" s="329"/>
      <c r="V46" s="329"/>
    </row>
    <row r="47" spans="1:22" ht="23.5" x14ac:dyDescent="0.3">
      <c r="A47" s="329"/>
      <c r="B47" s="500" t="s">
        <v>286</v>
      </c>
      <c r="C47" s="511">
        <v>0.86880000000000002</v>
      </c>
      <c r="D47" s="511">
        <v>0.96360000000000001</v>
      </c>
      <c r="E47" s="325">
        <v>0.61</v>
      </c>
      <c r="F47" s="326">
        <v>9.4700000000000006E-2</v>
      </c>
      <c r="G47" s="517">
        <v>11</v>
      </c>
      <c r="H47" s="501"/>
      <c r="I47" s="502" t="s">
        <v>284</v>
      </c>
      <c r="J47" s="332"/>
      <c r="K47" s="329"/>
      <c r="L47" s="503"/>
      <c r="M47" s="329"/>
      <c r="N47" s="509">
        <v>87</v>
      </c>
      <c r="O47" s="342">
        <v>96.356105311833602</v>
      </c>
      <c r="P47" s="346" t="s">
        <v>277</v>
      </c>
      <c r="Q47" s="329"/>
      <c r="R47" s="329"/>
      <c r="S47" s="329"/>
      <c r="T47" s="329"/>
      <c r="U47" s="329"/>
      <c r="V47" s="329"/>
    </row>
    <row r="48" spans="1:22" ht="23.5" x14ac:dyDescent="0.3">
      <c r="A48" s="329"/>
      <c r="B48" s="500" t="s">
        <v>287</v>
      </c>
      <c r="C48" s="511">
        <v>0.88200000000000001</v>
      </c>
      <c r="D48" s="511">
        <v>0.96879999999999999</v>
      </c>
      <c r="E48" s="325">
        <v>0.62</v>
      </c>
      <c r="F48" s="326">
        <v>8.6800000000000002E-2</v>
      </c>
      <c r="G48" s="325">
        <v>12</v>
      </c>
      <c r="H48" s="501"/>
      <c r="I48" s="505" t="s">
        <v>289</v>
      </c>
      <c r="J48" s="332"/>
      <c r="K48" s="329"/>
      <c r="L48" s="503"/>
      <c r="M48" s="329"/>
      <c r="N48" s="518" t="s">
        <v>299</v>
      </c>
      <c r="O48" s="519"/>
      <c r="P48" s="346" t="s">
        <v>288</v>
      </c>
      <c r="Q48" s="329"/>
      <c r="R48" s="329"/>
      <c r="S48" s="329"/>
      <c r="T48" s="329"/>
      <c r="U48" s="329"/>
      <c r="V48" s="329"/>
    </row>
    <row r="49" spans="1:23" ht="20" customHeight="1" x14ac:dyDescent="0.35">
      <c r="A49" s="329"/>
      <c r="B49" s="341" t="s">
        <v>144</v>
      </c>
      <c r="C49" s="512"/>
      <c r="D49" s="512"/>
      <c r="E49" s="504"/>
      <c r="F49" s="504"/>
      <c r="G49" s="504"/>
      <c r="H49" s="504"/>
      <c r="I49" s="503"/>
      <c r="J49" s="332"/>
      <c r="K49" s="329"/>
      <c r="L49" s="503"/>
      <c r="M49" s="329"/>
      <c r="N49" s="329"/>
      <c r="O49" s="329"/>
      <c r="P49" s="329"/>
      <c r="Q49" s="329"/>
      <c r="R49" s="329"/>
      <c r="S49" s="329"/>
      <c r="T49" s="329"/>
      <c r="U49" s="329"/>
      <c r="V49" s="329"/>
    </row>
    <row r="50" spans="1:23" ht="23.5" x14ac:dyDescent="0.3">
      <c r="A50" s="329"/>
      <c r="B50" s="500" t="s">
        <v>283</v>
      </c>
      <c r="C50" s="511">
        <v>0.47220000000000001</v>
      </c>
      <c r="D50" s="511">
        <v>0.60650000000000004</v>
      </c>
      <c r="E50" s="325">
        <v>0.69</v>
      </c>
      <c r="F50" s="326">
        <v>0.1343</v>
      </c>
      <c r="G50" s="517">
        <v>7</v>
      </c>
      <c r="H50" s="496"/>
      <c r="I50" s="502" t="s">
        <v>284</v>
      </c>
      <c r="J50" s="332"/>
      <c r="K50" s="329"/>
      <c r="L50" s="495"/>
      <c r="M50" s="329"/>
      <c r="N50" s="509">
        <v>47.220573829726696</v>
      </c>
      <c r="O50" s="342">
        <v>60.652351555845343</v>
      </c>
      <c r="P50" s="346" t="s">
        <v>285</v>
      </c>
      <c r="Q50" s="329"/>
      <c r="R50" s="329"/>
      <c r="S50" s="329"/>
      <c r="T50" s="329"/>
      <c r="U50" s="329"/>
      <c r="V50" s="329"/>
      <c r="W50" s="329"/>
    </row>
    <row r="51" spans="1:23" ht="23.5" x14ac:dyDescent="0.3">
      <c r="A51" s="329"/>
      <c r="B51" s="500" t="s">
        <v>286</v>
      </c>
      <c r="C51" s="511">
        <v>0.67959999999999998</v>
      </c>
      <c r="D51" s="511">
        <v>0.75109999999999999</v>
      </c>
      <c r="E51" s="325">
        <v>0.82</v>
      </c>
      <c r="F51" s="326">
        <v>7.1499999999999994E-2</v>
      </c>
      <c r="G51" s="517">
        <v>14</v>
      </c>
      <c r="H51" s="496"/>
      <c r="I51" s="502" t="s">
        <v>284</v>
      </c>
      <c r="J51" s="332"/>
      <c r="K51" s="329"/>
      <c r="L51" s="495"/>
      <c r="M51" s="329"/>
      <c r="N51" s="509">
        <v>67.955348396619783</v>
      </c>
      <c r="O51" s="342">
        <v>75.107813865359475</v>
      </c>
      <c r="P51" s="346" t="s">
        <v>277</v>
      </c>
      <c r="Q51" s="329"/>
      <c r="R51" s="329"/>
      <c r="S51" s="329"/>
      <c r="T51" s="329"/>
      <c r="U51" s="329"/>
      <c r="V51" s="329"/>
      <c r="W51" s="329"/>
    </row>
    <row r="52" spans="1:23" ht="23.5" x14ac:dyDescent="0.3">
      <c r="A52" s="329"/>
      <c r="B52" s="500" t="s">
        <v>287</v>
      </c>
      <c r="C52" s="511">
        <v>0.77210000000000001</v>
      </c>
      <c r="D52" s="511">
        <v>0.84709999999999996</v>
      </c>
      <c r="E52" s="325">
        <v>0.79</v>
      </c>
      <c r="F52" s="326">
        <v>7.4999999999999997E-2</v>
      </c>
      <c r="G52" s="517">
        <v>13</v>
      </c>
      <c r="H52" s="496"/>
      <c r="I52" s="502" t="s">
        <v>284</v>
      </c>
      <c r="J52" s="332"/>
      <c r="K52" s="329"/>
      <c r="L52" s="495"/>
      <c r="M52" s="329"/>
      <c r="N52" s="509">
        <v>77.208884153745615</v>
      </c>
      <c r="O52" s="342">
        <v>84.709780196592874</v>
      </c>
      <c r="P52" s="346" t="s">
        <v>288</v>
      </c>
      <c r="Q52" s="329"/>
      <c r="R52" s="329"/>
      <c r="S52" s="329"/>
      <c r="T52" s="329"/>
      <c r="U52" s="329"/>
      <c r="V52" s="329"/>
      <c r="W52" s="329"/>
    </row>
    <row r="53" spans="1:23" ht="23.5" x14ac:dyDescent="0.3">
      <c r="A53" s="329"/>
      <c r="B53" s="500" t="s">
        <v>290</v>
      </c>
      <c r="C53" s="511">
        <v>0.80889999999999995</v>
      </c>
      <c r="D53" s="511">
        <v>0.9052</v>
      </c>
      <c r="E53" s="325">
        <v>0.7</v>
      </c>
      <c r="F53" s="326">
        <v>9.6299999999999997E-2</v>
      </c>
      <c r="G53" s="517">
        <v>10</v>
      </c>
      <c r="H53" s="496"/>
      <c r="I53" s="502" t="s">
        <v>284</v>
      </c>
      <c r="J53" s="332"/>
      <c r="K53" s="329"/>
      <c r="L53" s="495"/>
      <c r="M53" s="329"/>
      <c r="N53" s="509">
        <v>80.888286131247781</v>
      </c>
      <c r="O53" s="342">
        <v>90.523249184346639</v>
      </c>
      <c r="P53" s="346" t="s">
        <v>291</v>
      </c>
      <c r="Q53" s="329"/>
      <c r="R53" s="329"/>
      <c r="S53" s="329"/>
      <c r="T53" s="329"/>
      <c r="U53" s="329"/>
      <c r="V53" s="329"/>
      <c r="W53" s="329"/>
    </row>
    <row r="54" spans="1:23" ht="11.5" customHeight="1" thickBot="1" x14ac:dyDescent="0.35">
      <c r="A54" s="329"/>
      <c r="B54" s="329"/>
      <c r="C54" s="329"/>
      <c r="D54" s="329"/>
      <c r="E54" s="329"/>
      <c r="F54" s="329"/>
      <c r="G54" s="329"/>
      <c r="H54" s="329"/>
      <c r="I54" s="329"/>
      <c r="J54" s="496"/>
      <c r="K54" s="329"/>
      <c r="L54" s="329"/>
      <c r="M54" s="329"/>
      <c r="N54" s="329"/>
      <c r="O54" s="329"/>
      <c r="P54" s="329"/>
      <c r="R54" s="329"/>
    </row>
    <row r="55" spans="1:23" ht="50" customHeight="1" thickBot="1" x14ac:dyDescent="0.35">
      <c r="A55" s="329"/>
      <c r="B55" s="341"/>
      <c r="C55" s="417" t="s">
        <v>308</v>
      </c>
      <c r="D55" s="418" t="s">
        <v>148</v>
      </c>
      <c r="F55" s="332"/>
      <c r="G55" s="332"/>
      <c r="H55" s="332"/>
      <c r="I55" s="495"/>
      <c r="J55" s="332"/>
      <c r="K55" s="329"/>
      <c r="L55" s="495"/>
      <c r="M55" s="329"/>
      <c r="N55" s="417" t="s">
        <v>309</v>
      </c>
      <c r="O55" s="418" t="s">
        <v>151</v>
      </c>
      <c r="P55" s="329"/>
      <c r="R55" s="329"/>
    </row>
    <row r="56" spans="1:23" ht="20" customHeight="1" x14ac:dyDescent="0.3">
      <c r="A56" s="329"/>
      <c r="B56" s="341" t="s">
        <v>143</v>
      </c>
      <c r="C56" s="341"/>
      <c r="D56" s="341"/>
      <c r="E56" s="341"/>
      <c r="F56" s="341"/>
      <c r="G56" s="332"/>
      <c r="H56" s="332"/>
      <c r="I56" s="495"/>
      <c r="J56" s="332"/>
      <c r="K56" s="329"/>
      <c r="L56" s="495"/>
      <c r="M56" s="329"/>
      <c r="N56" s="329"/>
      <c r="O56" s="329"/>
      <c r="P56" s="329"/>
      <c r="Q56" s="329"/>
      <c r="R56" s="329"/>
      <c r="S56" s="329"/>
      <c r="T56" s="329"/>
      <c r="U56" s="329"/>
      <c r="V56" s="329"/>
    </row>
    <row r="57" spans="1:23" ht="23.5" x14ac:dyDescent="0.3">
      <c r="A57" s="329"/>
      <c r="B57" s="500" t="s">
        <v>293</v>
      </c>
      <c r="C57" s="513">
        <v>0.56179999999999997</v>
      </c>
      <c r="D57" s="513">
        <v>0.52759999999999996</v>
      </c>
      <c r="E57" s="325">
        <v>1.1000000000000001</v>
      </c>
      <c r="F57" s="515">
        <v>-3.4200000000000001E-2</v>
      </c>
      <c r="G57" s="325">
        <v>-29</v>
      </c>
      <c r="H57" s="501"/>
      <c r="I57" s="505" t="s">
        <v>289</v>
      </c>
      <c r="J57" s="332"/>
      <c r="K57" s="329"/>
      <c r="L57" s="503"/>
      <c r="M57" s="329"/>
      <c r="N57" s="518" t="s">
        <v>296</v>
      </c>
      <c r="O57" s="519"/>
      <c r="P57" s="346" t="s">
        <v>294</v>
      </c>
      <c r="Q57" s="329"/>
      <c r="R57" s="329"/>
      <c r="S57" s="329"/>
      <c r="T57" s="329"/>
      <c r="U57" s="329"/>
      <c r="V57" s="329"/>
    </row>
    <row r="58" spans="1:23" ht="23.5" x14ac:dyDescent="0.3">
      <c r="A58" s="329"/>
      <c r="B58" s="500" t="s">
        <v>283</v>
      </c>
      <c r="C58" s="513">
        <v>0.82709999999999995</v>
      </c>
      <c r="D58" s="513">
        <v>0.94379999999999997</v>
      </c>
      <c r="E58" s="325">
        <v>0.61</v>
      </c>
      <c r="F58" s="515">
        <v>0.1167</v>
      </c>
      <c r="G58" s="325">
        <v>9</v>
      </c>
      <c r="H58" s="501"/>
      <c r="I58" s="505" t="s">
        <v>289</v>
      </c>
      <c r="J58" s="332"/>
      <c r="K58" s="329"/>
      <c r="L58" s="503"/>
      <c r="M58" s="329"/>
      <c r="N58" s="518" t="s">
        <v>297</v>
      </c>
      <c r="O58" s="519"/>
      <c r="P58" s="346" t="s">
        <v>285</v>
      </c>
      <c r="Q58" s="329"/>
      <c r="R58" s="329"/>
      <c r="S58" s="329"/>
      <c r="T58" s="329"/>
      <c r="U58" s="329"/>
      <c r="V58" s="329"/>
    </row>
    <row r="59" spans="1:23" ht="23.5" x14ac:dyDescent="0.3">
      <c r="A59" s="329"/>
      <c r="B59" s="500" t="s">
        <v>286</v>
      </c>
      <c r="C59" s="513">
        <v>0.86880000000000002</v>
      </c>
      <c r="D59" s="513">
        <v>0.96360000000000001</v>
      </c>
      <c r="E59" s="325">
        <v>0.61</v>
      </c>
      <c r="F59" s="515">
        <v>9.4700000000000006E-2</v>
      </c>
      <c r="G59" s="325">
        <v>11</v>
      </c>
      <c r="H59" s="501"/>
      <c r="I59" s="505" t="s">
        <v>289</v>
      </c>
      <c r="J59" s="332"/>
      <c r="K59" s="329"/>
      <c r="L59" s="503"/>
      <c r="M59" s="329"/>
      <c r="N59" s="518" t="s">
        <v>298</v>
      </c>
      <c r="O59" s="519"/>
      <c r="P59" s="346" t="s">
        <v>277</v>
      </c>
      <c r="Q59" s="329"/>
      <c r="R59" s="329"/>
      <c r="S59" s="329"/>
      <c r="T59" s="329"/>
      <c r="U59" s="329"/>
      <c r="V59" s="329"/>
    </row>
    <row r="60" spans="1:23" ht="23.5" x14ac:dyDescent="0.3">
      <c r="A60" s="329"/>
      <c r="B60" s="500" t="s">
        <v>287</v>
      </c>
      <c r="C60" s="513">
        <v>0.88200000000000001</v>
      </c>
      <c r="D60" s="513">
        <v>0.96879999999999999</v>
      </c>
      <c r="E60" s="325">
        <v>0.62</v>
      </c>
      <c r="F60" s="515">
        <v>8.6800000000000002E-2</v>
      </c>
      <c r="G60" s="325">
        <v>12</v>
      </c>
      <c r="H60" s="501"/>
      <c r="I60" s="505" t="s">
        <v>289</v>
      </c>
      <c r="J60" s="332"/>
      <c r="K60" s="329"/>
      <c r="L60" s="503"/>
      <c r="M60" s="329"/>
      <c r="N60" s="518" t="s">
        <v>299</v>
      </c>
      <c r="O60" s="519"/>
      <c r="P60" s="346" t="s">
        <v>288</v>
      </c>
      <c r="Q60" s="329"/>
      <c r="R60" s="329"/>
      <c r="S60" s="329"/>
      <c r="T60" s="329"/>
      <c r="U60" s="329"/>
      <c r="V60" s="329"/>
    </row>
    <row r="61" spans="1:23" ht="20" customHeight="1" x14ac:dyDescent="0.35">
      <c r="A61" s="329"/>
      <c r="B61" s="341" t="s">
        <v>144</v>
      </c>
      <c r="C61" s="514"/>
      <c r="D61" s="514"/>
      <c r="E61" s="504"/>
      <c r="F61" s="516"/>
      <c r="G61" s="504"/>
      <c r="H61" s="504"/>
      <c r="I61" s="503"/>
      <c r="J61" s="332"/>
      <c r="K61" s="329"/>
      <c r="L61" s="503"/>
      <c r="M61" s="329"/>
      <c r="N61" s="329"/>
      <c r="O61" s="329"/>
      <c r="P61" s="329"/>
      <c r="Q61" s="329"/>
      <c r="R61" s="329"/>
      <c r="S61" s="329"/>
      <c r="T61" s="329"/>
      <c r="U61" s="329"/>
      <c r="V61" s="329"/>
    </row>
    <row r="62" spans="1:23" ht="23.5" x14ac:dyDescent="0.3">
      <c r="A62" s="329"/>
      <c r="B62" s="500" t="s">
        <v>283</v>
      </c>
      <c r="C62" s="513">
        <v>0.55979999999999996</v>
      </c>
      <c r="D62" s="513">
        <v>0.60650000000000004</v>
      </c>
      <c r="E62" s="325">
        <v>0.88</v>
      </c>
      <c r="F62" s="515">
        <v>4.6699999999999998E-2</v>
      </c>
      <c r="G62" s="325">
        <v>21</v>
      </c>
      <c r="H62" s="496"/>
      <c r="I62" s="505" t="s">
        <v>289</v>
      </c>
      <c r="J62" s="332"/>
      <c r="K62" s="329"/>
      <c r="L62" s="495"/>
      <c r="M62" s="329"/>
      <c r="N62" s="518" t="s">
        <v>300</v>
      </c>
      <c r="O62" s="519"/>
      <c r="P62" s="346" t="s">
        <v>285</v>
      </c>
      <c r="Q62" s="329"/>
      <c r="R62" s="329"/>
      <c r="S62" s="329"/>
      <c r="T62" s="329"/>
      <c r="U62" s="329"/>
      <c r="V62" s="329"/>
      <c r="W62" s="329"/>
    </row>
    <row r="63" spans="1:23" ht="23.5" x14ac:dyDescent="0.3">
      <c r="A63" s="329"/>
      <c r="B63" s="500" t="s">
        <v>286</v>
      </c>
      <c r="C63" s="513">
        <v>0.69110000000000005</v>
      </c>
      <c r="D63" s="513">
        <v>0.75109999999999999</v>
      </c>
      <c r="E63" s="325">
        <v>0.84</v>
      </c>
      <c r="F63" s="515">
        <v>0.06</v>
      </c>
      <c r="G63" s="325">
        <v>17</v>
      </c>
      <c r="H63" s="496"/>
      <c r="I63" s="505" t="s">
        <v>289</v>
      </c>
      <c r="J63" s="332"/>
      <c r="K63" s="329"/>
      <c r="L63" s="495"/>
      <c r="M63" s="329"/>
      <c r="N63" s="518" t="s">
        <v>301</v>
      </c>
      <c r="O63" s="519"/>
      <c r="P63" s="346" t="s">
        <v>277</v>
      </c>
      <c r="Q63" s="329"/>
      <c r="R63" s="329"/>
      <c r="S63" s="329"/>
      <c r="T63" s="329"/>
      <c r="U63" s="329"/>
      <c r="V63" s="329"/>
      <c r="W63" s="329"/>
    </row>
    <row r="64" spans="1:23" ht="23.5" x14ac:dyDescent="0.3">
      <c r="A64" s="329"/>
      <c r="B64" s="500" t="s">
        <v>287</v>
      </c>
      <c r="C64" s="513">
        <v>0.76200000000000001</v>
      </c>
      <c r="D64" s="513">
        <v>0.84709999999999996</v>
      </c>
      <c r="E64" s="325">
        <v>0.76</v>
      </c>
      <c r="F64" s="515">
        <v>8.5099999999999995E-2</v>
      </c>
      <c r="G64" s="325">
        <v>12</v>
      </c>
      <c r="H64" s="496"/>
      <c r="I64" s="505" t="s">
        <v>289</v>
      </c>
      <c r="J64" s="332"/>
      <c r="K64" s="329"/>
      <c r="L64" s="495"/>
      <c r="M64" s="329"/>
      <c r="N64" s="518" t="s">
        <v>302</v>
      </c>
      <c r="O64" s="519"/>
      <c r="P64" s="346" t="s">
        <v>288</v>
      </c>
      <c r="Q64" s="329"/>
      <c r="R64" s="329"/>
      <c r="S64" s="329"/>
      <c r="T64" s="329"/>
      <c r="U64" s="329"/>
      <c r="V64" s="329"/>
      <c r="W64" s="329"/>
    </row>
    <row r="65" spans="1:23" ht="23.5" x14ac:dyDescent="0.3">
      <c r="A65" s="329"/>
      <c r="B65" s="500" t="s">
        <v>290</v>
      </c>
      <c r="C65" s="513">
        <v>0.80889999999999995</v>
      </c>
      <c r="D65" s="513" t="s">
        <v>295</v>
      </c>
      <c r="E65" s="325">
        <v>0.7</v>
      </c>
      <c r="F65" s="515">
        <v>9.6299999999999997E-2</v>
      </c>
      <c r="G65" s="325">
        <v>10</v>
      </c>
      <c r="H65" s="496"/>
      <c r="I65" s="505" t="s">
        <v>292</v>
      </c>
      <c r="J65" s="332"/>
      <c r="K65" s="329"/>
      <c r="L65" s="495"/>
      <c r="M65" s="329"/>
      <c r="N65" s="518" t="s">
        <v>303</v>
      </c>
      <c r="O65" s="519"/>
      <c r="P65" s="346" t="s">
        <v>291</v>
      </c>
      <c r="Q65" s="329"/>
      <c r="R65" s="329"/>
      <c r="S65" s="329"/>
      <c r="T65" s="329"/>
      <c r="U65" s="329"/>
      <c r="V65" s="329"/>
      <c r="W65" s="329"/>
    </row>
    <row r="66" spans="1:23" ht="13.5" customHeight="1" x14ac:dyDescent="0.3">
      <c r="A66" s="329"/>
      <c r="B66" s="408"/>
      <c r="C66" s="395"/>
      <c r="D66" s="395"/>
      <c r="E66" s="335"/>
      <c r="F66" s="395"/>
      <c r="G66" s="335"/>
      <c r="H66" s="496"/>
      <c r="I66" s="508"/>
      <c r="J66" s="332"/>
      <c r="K66" s="329"/>
      <c r="L66" s="495"/>
      <c r="M66" s="329"/>
      <c r="N66" s="506"/>
      <c r="O66" s="506"/>
      <c r="P66" s="346"/>
      <c r="Q66" s="329"/>
      <c r="R66" s="329"/>
      <c r="S66" s="329"/>
      <c r="T66" s="329"/>
      <c r="U66" s="329"/>
      <c r="V66" s="329"/>
      <c r="W66" s="329"/>
    </row>
    <row r="67" spans="1:23" ht="27.5" customHeight="1" x14ac:dyDescent="0.3">
      <c r="A67" s="329"/>
      <c r="B67" s="520" t="s">
        <v>316</v>
      </c>
      <c r="C67" s="520"/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329"/>
      <c r="S67" s="329"/>
    </row>
    <row r="68" spans="1:23" x14ac:dyDescent="0.3">
      <c r="A68" s="329"/>
    </row>
  </sheetData>
  <mergeCells count="20">
    <mergeCell ref="B2:G2"/>
    <mergeCell ref="B3:G3"/>
    <mergeCell ref="D7:F7"/>
    <mergeCell ref="B39:G39"/>
    <mergeCell ref="N45:O45"/>
    <mergeCell ref="N39:O39"/>
    <mergeCell ref="B40:B41"/>
    <mergeCell ref="E40:G40"/>
    <mergeCell ref="N40:O40"/>
    <mergeCell ref="N46:O46"/>
    <mergeCell ref="N48:O48"/>
    <mergeCell ref="B67:O67"/>
    <mergeCell ref="N57:O57"/>
    <mergeCell ref="N58:O58"/>
    <mergeCell ref="N59:O59"/>
    <mergeCell ref="N60:O60"/>
    <mergeCell ref="N62:O62"/>
    <mergeCell ref="N63:O63"/>
    <mergeCell ref="N64:O64"/>
    <mergeCell ref="N65:O65"/>
  </mergeCells>
  <phoneticPr fontId="2" type="noConversion"/>
  <pageMargins left="0.7" right="0.7" top="0.75" bottom="0.75" header="0.3" footer="0.3"/>
  <pageSetup paperSize="9" orientation="portrait" r:id="rId1"/>
  <ignoredErrors>
    <ignoredError sqref="D6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1"/>
  <sheetViews>
    <sheetView zoomScale="70" zoomScaleNormal="70" workbookViewId="0">
      <selection activeCell="B1" sqref="B1"/>
    </sheetView>
  </sheetViews>
  <sheetFormatPr baseColWidth="10" defaultColWidth="11.453125" defaultRowHeight="13" x14ac:dyDescent="0.3"/>
  <cols>
    <col min="1" max="1" width="0.453125" style="5" customWidth="1"/>
    <col min="2" max="2" width="37.36328125" style="5" customWidth="1"/>
    <col min="3" max="3" width="22.81640625" style="5" customWidth="1"/>
    <col min="4" max="4" width="20.453125" style="5" customWidth="1"/>
    <col min="5" max="5" width="15.54296875" style="5" customWidth="1"/>
    <col min="6" max="6" width="23.81640625" style="5" customWidth="1"/>
    <col min="7" max="7" width="16.54296875" style="5" customWidth="1"/>
    <col min="8" max="8" width="13.453125" style="5" customWidth="1"/>
    <col min="9" max="9" width="5.54296875" style="5" customWidth="1"/>
    <col min="10" max="10" width="13.81640625" style="5" hidden="1" customWidth="1"/>
    <col min="11" max="11" width="2.453125" style="5" hidden="1" customWidth="1"/>
    <col min="12" max="13" width="14.26953125" style="5" hidden="1" customWidth="1"/>
    <col min="14" max="14" width="2.54296875" style="5" hidden="1" customWidth="1"/>
    <col min="15" max="15" width="18.6328125" style="12" customWidth="1"/>
    <col min="16" max="16" width="16.36328125" style="12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453125" style="5"/>
    <col min="21" max="22" width="11.453125" style="12"/>
    <col min="23" max="16384" width="11.453125" style="5"/>
  </cols>
  <sheetData>
    <row r="1" spans="2:30" s="4" customFormat="1" ht="8.25" customHeight="1" thickBot="1" x14ac:dyDescent="0.35">
      <c r="B1" s="106"/>
      <c r="C1" s="107"/>
      <c r="D1" s="106"/>
      <c r="E1" s="108"/>
      <c r="F1" s="5"/>
      <c r="G1" s="5"/>
      <c r="H1" s="109"/>
      <c r="I1" s="109"/>
      <c r="J1" s="109"/>
      <c r="K1" s="109"/>
      <c r="L1" s="8"/>
      <c r="M1" s="13"/>
      <c r="N1" s="13"/>
      <c r="O1" s="2"/>
      <c r="P1" s="2"/>
      <c r="Q1" s="3"/>
      <c r="R1" s="2"/>
      <c r="S1" s="2"/>
      <c r="T1" s="2"/>
      <c r="U1" s="110"/>
      <c r="V1" s="110"/>
      <c r="W1" s="110"/>
      <c r="X1" s="110"/>
      <c r="Y1" s="110"/>
      <c r="Z1" s="110"/>
      <c r="AA1" s="110"/>
      <c r="AB1" s="110"/>
      <c r="AC1" s="110"/>
    </row>
    <row r="2" spans="2:30" ht="24.75" customHeight="1" thickBot="1" x14ac:dyDescent="0.35">
      <c r="B2" s="543" t="s">
        <v>84</v>
      </c>
      <c r="C2" s="544"/>
      <c r="D2" s="544"/>
      <c r="E2" s="544"/>
      <c r="F2" s="545"/>
      <c r="G2" s="111"/>
      <c r="H2" s="112" t="s">
        <v>93</v>
      </c>
      <c r="I2" s="113">
        <v>0.95</v>
      </c>
      <c r="J2" s="111"/>
      <c r="K2" s="7"/>
      <c r="L2" s="8"/>
      <c r="M2" s="9"/>
      <c r="N2" s="9"/>
      <c r="O2" s="10"/>
      <c r="P2" s="10"/>
      <c r="Q2" s="11"/>
      <c r="R2" s="10"/>
      <c r="S2" s="10"/>
      <c r="T2" s="10"/>
      <c r="U2" s="10"/>
      <c r="V2" s="10"/>
      <c r="W2" s="10"/>
      <c r="X2" s="12"/>
      <c r="Y2" s="12"/>
      <c r="Z2" s="12"/>
      <c r="AA2" s="12"/>
      <c r="AB2" s="12"/>
      <c r="AC2" s="12"/>
      <c r="AD2" s="12"/>
    </row>
    <row r="3" spans="2:30" ht="28.5" customHeight="1" x14ac:dyDescent="0.3">
      <c r="B3" s="546" t="s">
        <v>136</v>
      </c>
      <c r="C3" s="547"/>
      <c r="D3" s="547"/>
      <c r="E3" s="547"/>
      <c r="F3" s="548"/>
      <c r="G3" s="114"/>
      <c r="H3" s="114"/>
      <c r="I3" s="114"/>
      <c r="J3" s="114"/>
      <c r="K3" s="7"/>
      <c r="L3" s="8"/>
      <c r="M3" s="9"/>
      <c r="N3" s="9"/>
      <c r="O3" s="10"/>
      <c r="P3" s="10"/>
      <c r="Q3" s="11"/>
      <c r="R3" s="10"/>
      <c r="S3" s="10"/>
      <c r="T3" s="10"/>
      <c r="U3" s="10"/>
      <c r="V3" s="10"/>
      <c r="W3" s="10"/>
      <c r="X3" s="12"/>
      <c r="Y3" s="12"/>
      <c r="Z3" s="12"/>
      <c r="AA3" s="12"/>
      <c r="AB3" s="12"/>
      <c r="AC3" s="12"/>
      <c r="AD3" s="12"/>
    </row>
    <row r="4" spans="2:30" ht="12.75" customHeight="1" x14ac:dyDescent="0.7">
      <c r="B4" s="80"/>
      <c r="C4" s="14"/>
      <c r="D4" s="13"/>
      <c r="E4" s="13"/>
      <c r="F4" s="6"/>
      <c r="G4" s="15"/>
      <c r="J4" s="114"/>
      <c r="K4" s="81"/>
      <c r="L4" s="16"/>
      <c r="O4" s="10"/>
      <c r="P4" s="10"/>
      <c r="Q4" s="17"/>
      <c r="R4" s="10"/>
      <c r="S4" s="10"/>
      <c r="T4" s="15"/>
      <c r="V4" s="18"/>
      <c r="W4" s="18"/>
      <c r="X4" s="12"/>
      <c r="Y4" s="18"/>
      <c r="Z4" s="19"/>
      <c r="AA4" s="12"/>
      <c r="AB4" s="12"/>
      <c r="AC4" s="12"/>
      <c r="AD4" s="12"/>
    </row>
    <row r="5" spans="2:30" x14ac:dyDescent="0.3">
      <c r="B5" s="115" t="s">
        <v>73</v>
      </c>
      <c r="C5" s="116"/>
      <c r="D5" s="117" t="s">
        <v>20</v>
      </c>
      <c r="E5" s="117" t="s">
        <v>21</v>
      </c>
      <c r="F5" s="118"/>
      <c r="I5" s="119"/>
      <c r="J5" s="114"/>
      <c r="K5" s="119"/>
      <c r="L5" s="120"/>
      <c r="M5" s="120"/>
      <c r="N5" s="120"/>
      <c r="O5" s="10"/>
      <c r="P5" s="10"/>
      <c r="Q5" s="10"/>
      <c r="R5" s="10"/>
      <c r="S5" s="10"/>
      <c r="T5" s="15"/>
      <c r="V5" s="18"/>
      <c r="W5" s="18"/>
      <c r="X5" s="12"/>
      <c r="Y5" s="18"/>
      <c r="Z5" s="19"/>
      <c r="AA5" s="12"/>
      <c r="AB5" s="12"/>
      <c r="AC5" s="12"/>
      <c r="AD5" s="12"/>
    </row>
    <row r="6" spans="2:30" x14ac:dyDescent="0.3">
      <c r="B6" s="93"/>
      <c r="C6" s="121"/>
      <c r="D6" s="122" t="s">
        <v>3</v>
      </c>
      <c r="E6" s="122" t="s">
        <v>2</v>
      </c>
      <c r="F6" s="123" t="s">
        <v>22</v>
      </c>
      <c r="I6" s="119"/>
      <c r="J6" s="114"/>
      <c r="K6" s="119"/>
      <c r="L6" s="120"/>
      <c r="M6" s="120"/>
      <c r="N6" s="120"/>
      <c r="O6" s="10"/>
      <c r="P6" s="10"/>
      <c r="Q6" s="10"/>
      <c r="R6" s="10"/>
      <c r="S6" s="10"/>
      <c r="T6" s="15"/>
      <c r="V6" s="18"/>
      <c r="W6" s="18"/>
      <c r="X6" s="12"/>
      <c r="Y6" s="18"/>
      <c r="Z6" s="12"/>
      <c r="AA6" s="12"/>
      <c r="AB6" s="12"/>
      <c r="AC6" s="12"/>
      <c r="AD6" s="12"/>
    </row>
    <row r="7" spans="2:30" ht="12.75" customHeight="1" x14ac:dyDescent="0.3">
      <c r="B7" s="340"/>
      <c r="C7" s="124" t="s">
        <v>94</v>
      </c>
      <c r="D7" s="125">
        <v>6</v>
      </c>
      <c r="E7" s="126">
        <f>F7-D7</f>
        <v>259</v>
      </c>
      <c r="F7" s="127">
        <v>265</v>
      </c>
      <c r="G7" s="119"/>
      <c r="H7" s="333"/>
      <c r="I7" s="334"/>
      <c r="J7" s="114"/>
      <c r="K7" s="119"/>
      <c r="L7" s="120"/>
      <c r="M7" s="120"/>
      <c r="N7" s="120"/>
      <c r="O7" s="10"/>
      <c r="Q7" s="10"/>
      <c r="R7" s="10"/>
      <c r="S7" s="10"/>
      <c r="T7" s="15"/>
      <c r="V7" s="18"/>
      <c r="W7" s="18"/>
      <c r="X7" s="12"/>
      <c r="Y7" s="18"/>
      <c r="Z7" s="12"/>
      <c r="AA7" s="12"/>
      <c r="AB7" s="12"/>
      <c r="AC7" s="12"/>
      <c r="AD7" s="12"/>
    </row>
    <row r="8" spans="2:30" ht="12.75" customHeight="1" x14ac:dyDescent="0.3">
      <c r="B8" s="340"/>
      <c r="C8" s="124" t="s">
        <v>95</v>
      </c>
      <c r="D8" s="125">
        <v>2</v>
      </c>
      <c r="E8" s="126">
        <f>F8-D8</f>
        <v>264</v>
      </c>
      <c r="F8" s="127">
        <v>266</v>
      </c>
      <c r="G8" s="119"/>
      <c r="H8" s="333"/>
      <c r="I8" s="334"/>
      <c r="J8" s="114"/>
      <c r="K8" s="119"/>
      <c r="L8" s="120"/>
      <c r="M8" s="128"/>
      <c r="N8" s="120"/>
      <c r="O8" s="10"/>
      <c r="Q8" s="10"/>
      <c r="R8" s="10"/>
      <c r="S8" s="10"/>
      <c r="T8" s="15"/>
      <c r="V8" s="18"/>
      <c r="W8" s="18"/>
      <c r="X8" s="12"/>
      <c r="Y8" s="18"/>
      <c r="Z8" s="12"/>
      <c r="AA8" s="12"/>
      <c r="AB8" s="12"/>
      <c r="AC8" s="12"/>
      <c r="AD8" s="12"/>
    </row>
    <row r="9" spans="2:30" x14ac:dyDescent="0.3">
      <c r="B9" s="93"/>
      <c r="C9" s="129" t="s">
        <v>22</v>
      </c>
      <c r="D9" s="130">
        <f>SUM(D7:D8)</f>
        <v>8</v>
      </c>
      <c r="E9" s="131">
        <f>SUM(E7:E8)</f>
        <v>523</v>
      </c>
      <c r="F9" s="132">
        <f>SUM(F7:F8)</f>
        <v>531</v>
      </c>
      <c r="G9" s="337"/>
      <c r="H9" s="338"/>
      <c r="I9" s="339"/>
      <c r="J9" s="114"/>
      <c r="K9" s="119"/>
      <c r="L9" s="120"/>
      <c r="M9" s="128"/>
      <c r="N9" s="120"/>
      <c r="P9" s="23"/>
      <c r="Q9" s="24"/>
      <c r="R9" s="336"/>
      <c r="S9" s="24"/>
      <c r="T9" s="18"/>
      <c r="V9" s="18"/>
      <c r="W9" s="18"/>
      <c r="X9" s="12"/>
      <c r="Y9" s="18"/>
      <c r="Z9" s="12"/>
      <c r="AA9" s="12"/>
      <c r="AB9" s="12"/>
      <c r="AC9" s="12"/>
      <c r="AD9" s="12"/>
    </row>
    <row r="10" spans="2:30" ht="12.75" hidden="1" customHeight="1" x14ac:dyDescent="0.3">
      <c r="B10" s="93"/>
      <c r="C10" s="25"/>
      <c r="D10" s="26"/>
      <c r="E10" s="22"/>
      <c r="F10" s="22"/>
      <c r="G10" s="120"/>
      <c r="H10" s="120"/>
      <c r="I10" s="119"/>
      <c r="J10" s="119"/>
      <c r="K10" s="119"/>
      <c r="L10" s="120"/>
      <c r="M10" s="128"/>
      <c r="N10" s="120"/>
      <c r="P10" s="23"/>
      <c r="Q10" s="24"/>
      <c r="R10" s="24"/>
      <c r="S10" s="24"/>
      <c r="T10" s="18"/>
      <c r="V10" s="18"/>
      <c r="W10" s="18"/>
      <c r="X10" s="12"/>
      <c r="Y10" s="18"/>
      <c r="Z10" s="12"/>
      <c r="AA10" s="12"/>
      <c r="AB10" s="12"/>
      <c r="AC10" s="12"/>
      <c r="AD10" s="12"/>
    </row>
    <row r="11" spans="2:30" s="4" customFormat="1" ht="14.25" hidden="1" customHeight="1" x14ac:dyDescent="0.3">
      <c r="B11" s="133" t="s">
        <v>96</v>
      </c>
      <c r="C11" s="28"/>
      <c r="D11" s="29"/>
      <c r="E11" s="2"/>
      <c r="F11" s="21"/>
      <c r="G11" s="134"/>
      <c r="H11" s="128"/>
      <c r="I11" s="134"/>
      <c r="J11" s="128"/>
      <c r="K11" s="135"/>
      <c r="L11" s="135"/>
      <c r="M11" s="134"/>
      <c r="N11" s="135"/>
      <c r="P11" s="2"/>
      <c r="Q11" s="31"/>
      <c r="R11" s="31"/>
      <c r="S11" s="31"/>
      <c r="T11" s="2"/>
      <c r="U11" s="2"/>
      <c r="V11" s="2"/>
      <c r="W11" s="2"/>
    </row>
    <row r="12" spans="2:30" s="4" customFormat="1" ht="12.75" hidden="1" customHeight="1" x14ac:dyDescent="0.3">
      <c r="B12" s="93" t="s">
        <v>89</v>
      </c>
      <c r="C12" s="28"/>
      <c r="D12" s="29"/>
      <c r="E12" s="2"/>
      <c r="F12" s="21"/>
      <c r="G12" s="134"/>
      <c r="H12" s="128"/>
      <c r="I12" s="134"/>
      <c r="J12" s="128"/>
      <c r="K12" s="136"/>
      <c r="L12" s="135"/>
      <c r="M12" s="135"/>
      <c r="N12" s="135"/>
      <c r="P12" s="2"/>
      <c r="Q12" s="3"/>
      <c r="R12" s="3"/>
      <c r="S12" s="3"/>
      <c r="T12" s="2"/>
      <c r="U12" s="2"/>
      <c r="V12" s="2"/>
      <c r="W12" s="2"/>
    </row>
    <row r="13" spans="2:30" s="4" customFormat="1" ht="45" hidden="1" customHeight="1" x14ac:dyDescent="0.3">
      <c r="B13" s="98" t="s">
        <v>25</v>
      </c>
      <c r="C13" s="98" t="s">
        <v>90</v>
      </c>
      <c r="D13" s="98" t="s">
        <v>97</v>
      </c>
      <c r="E13" s="98" t="s">
        <v>91</v>
      </c>
      <c r="F13" s="98" t="s">
        <v>92</v>
      </c>
      <c r="G13" s="98" t="s">
        <v>4</v>
      </c>
      <c r="H13" s="98" t="s">
        <v>98</v>
      </c>
      <c r="I13" s="98" t="s">
        <v>99</v>
      </c>
      <c r="J13" s="128"/>
      <c r="K13" s="137" t="s">
        <v>45</v>
      </c>
      <c r="L13" s="138" t="s">
        <v>0</v>
      </c>
      <c r="M13" s="138" t="s">
        <v>1</v>
      </c>
      <c r="N13" s="135"/>
      <c r="P13" s="2"/>
      <c r="Q13" s="2"/>
      <c r="R13" s="2"/>
      <c r="S13" s="2"/>
      <c r="T13" s="2"/>
      <c r="U13" s="2"/>
      <c r="V13" s="2"/>
      <c r="W13" s="2"/>
    </row>
    <row r="14" spans="2:30" s="4" customFormat="1" ht="12.75" hidden="1" customHeight="1" x14ac:dyDescent="0.3">
      <c r="B14" s="99">
        <f>LN((D7/F7)/(D8/F8))</f>
        <v>1.1023787714635864</v>
      </c>
      <c r="C14" s="99">
        <f>SQRT((E7/(D7*F7)+(E8/(D8*F8))))</f>
        <v>0.81187048429214714</v>
      </c>
      <c r="D14" s="139">
        <f>-NORMSINV((1-I2)/2)</f>
        <v>1.9599639845400536</v>
      </c>
      <c r="E14" s="100">
        <f>B14-(D14*C14)</f>
        <v>-0.48885813786011334</v>
      </c>
      <c r="F14" s="101">
        <f>B14+(D14*C14)</f>
        <v>2.6936156807872864</v>
      </c>
      <c r="G14" s="140">
        <f>(D7/F7)/(D8/F8)</f>
        <v>3.0113207547169809</v>
      </c>
      <c r="H14" s="140">
        <f>EXP(E14)</f>
        <v>0.61332632860808922</v>
      </c>
      <c r="I14" s="140">
        <f>EXP(F14)</f>
        <v>14.785037368881101</v>
      </c>
      <c r="J14" s="128"/>
      <c r="K14" s="141">
        <f>1-G14</f>
        <v>-2.0113207547169809</v>
      </c>
      <c r="L14" s="140">
        <f>1-H14</f>
        <v>0.38667367139191078</v>
      </c>
      <c r="M14" s="140">
        <f>1-I14</f>
        <v>-13.785037368881101</v>
      </c>
      <c r="N14" s="142"/>
      <c r="P14" s="2"/>
      <c r="Q14" s="2"/>
      <c r="R14" s="2"/>
      <c r="S14" s="2"/>
      <c r="T14" s="2"/>
      <c r="U14" s="2"/>
      <c r="V14" s="2"/>
      <c r="W14" s="2"/>
    </row>
    <row r="15" spans="2:30" s="4" customFormat="1" ht="12.75" hidden="1" customHeight="1" x14ac:dyDescent="0.3">
      <c r="B15" s="143"/>
      <c r="C15" s="28"/>
      <c r="D15" s="28"/>
      <c r="E15" s="28"/>
      <c r="F15" s="32"/>
      <c r="G15" s="144"/>
      <c r="H15" s="128"/>
      <c r="I15" s="134"/>
      <c r="J15" s="128"/>
      <c r="K15" s="134"/>
      <c r="L15" s="134"/>
      <c r="M15" s="134"/>
      <c r="N15" s="135"/>
      <c r="P15" s="2"/>
      <c r="Q15" s="2"/>
      <c r="R15" s="2"/>
      <c r="S15" s="2"/>
      <c r="T15" s="2"/>
      <c r="U15" s="2"/>
      <c r="V15" s="2"/>
      <c r="W15" s="2"/>
    </row>
    <row r="16" spans="2:30" s="12" customFormat="1" ht="12.75" hidden="1" customHeight="1" x14ac:dyDescent="0.3">
      <c r="B16" s="87"/>
      <c r="C16" s="33"/>
      <c r="D16" s="34"/>
      <c r="E16" s="35"/>
      <c r="F16" s="36"/>
      <c r="G16" s="145"/>
      <c r="H16" s="146"/>
      <c r="I16" s="147"/>
      <c r="J16" s="147"/>
      <c r="K16" s="148"/>
      <c r="L16" s="148"/>
      <c r="M16" s="149"/>
      <c r="N16" s="149"/>
    </row>
    <row r="17" spans="2:30" ht="15.75" hidden="1" customHeight="1" x14ac:dyDescent="0.3">
      <c r="B17" s="39" t="s">
        <v>100</v>
      </c>
      <c r="C17" s="2"/>
      <c r="D17" s="150"/>
      <c r="E17" s="150"/>
      <c r="F17" s="13"/>
      <c r="G17" s="13"/>
      <c r="H17" s="151"/>
      <c r="I17" s="40"/>
      <c r="J17" s="152"/>
      <c r="K17" s="152"/>
      <c r="L17" s="4"/>
      <c r="M17" s="135"/>
      <c r="N17" s="128"/>
      <c r="O17" s="40"/>
      <c r="P17" s="2"/>
      <c r="Q17" s="2"/>
      <c r="R17" s="41"/>
      <c r="S17" s="40"/>
      <c r="T17" s="42"/>
      <c r="U17" s="42"/>
      <c r="V17" s="42"/>
      <c r="W17" s="12"/>
      <c r="X17" s="12"/>
      <c r="Y17" s="12"/>
      <c r="Z17" s="12"/>
      <c r="AA17" s="12"/>
      <c r="AB17" s="12"/>
      <c r="AC17" s="12"/>
    </row>
    <row r="18" spans="2:30" ht="12.75" hidden="1" customHeight="1" x14ac:dyDescent="0.3">
      <c r="B18" s="44" t="s">
        <v>101</v>
      </c>
      <c r="C18" s="2"/>
      <c r="D18" s="40"/>
      <c r="E18" s="40"/>
      <c r="F18" s="2"/>
      <c r="G18" s="2"/>
      <c r="H18" s="41"/>
      <c r="I18" s="40"/>
      <c r="J18" s="42"/>
      <c r="K18" s="42"/>
      <c r="L18" s="42"/>
      <c r="M18" s="135"/>
      <c r="N18" s="128"/>
      <c r="O18" s="2"/>
      <c r="P18" s="2"/>
      <c r="Q18" s="41"/>
      <c r="R18" s="40"/>
      <c r="S18" s="42"/>
      <c r="T18" s="42"/>
      <c r="U18" s="42"/>
      <c r="W18" s="12" t="s">
        <v>27</v>
      </c>
      <c r="X18" s="12"/>
      <c r="Y18" s="12"/>
      <c r="Z18" s="12"/>
      <c r="AA18" s="12"/>
      <c r="AB18" s="12"/>
    </row>
    <row r="19" spans="2:30" ht="25.5" hidden="1" customHeight="1" thickBot="1" x14ac:dyDescent="0.35">
      <c r="B19" s="153" t="s">
        <v>102</v>
      </c>
      <c r="C19" s="5" t="s">
        <v>9</v>
      </c>
      <c r="D19" s="4"/>
      <c r="E19" s="5" t="s">
        <v>103</v>
      </c>
      <c r="G19" s="5" t="s">
        <v>7</v>
      </c>
      <c r="I19" s="5" t="s">
        <v>8</v>
      </c>
      <c r="J19" s="42"/>
      <c r="K19" s="42"/>
      <c r="L19" s="42"/>
      <c r="M19" s="135"/>
      <c r="N19" s="148"/>
      <c r="P19" s="5"/>
      <c r="T19" s="12"/>
      <c r="V19" s="5"/>
      <c r="W19" s="5" t="s">
        <v>28</v>
      </c>
      <c r="Y19" s="12"/>
      <c r="Z19" s="12"/>
      <c r="AA19" s="12"/>
      <c r="AB19" s="12"/>
      <c r="AC19" s="12"/>
      <c r="AD19" s="12"/>
    </row>
    <row r="20" spans="2:30" ht="38.25" hidden="1" customHeight="1" x14ac:dyDescent="0.4">
      <c r="B20" s="98" t="s">
        <v>104</v>
      </c>
      <c r="C20" s="98" t="s">
        <v>26</v>
      </c>
      <c r="D20" s="154" t="s">
        <v>10</v>
      </c>
      <c r="E20" s="154" t="s">
        <v>9</v>
      </c>
      <c r="F20" s="154" t="s">
        <v>105</v>
      </c>
      <c r="G20" s="154" t="s">
        <v>7</v>
      </c>
      <c r="H20" s="154" t="s">
        <v>8</v>
      </c>
      <c r="I20" s="155" t="s">
        <v>5</v>
      </c>
      <c r="J20" s="154" t="s">
        <v>106</v>
      </c>
      <c r="K20" s="154" t="s">
        <v>0</v>
      </c>
      <c r="L20" s="154" t="s">
        <v>1</v>
      </c>
      <c r="M20" s="156"/>
      <c r="N20" s="157"/>
      <c r="O20" s="158" t="s">
        <v>13</v>
      </c>
      <c r="P20" s="159" t="s">
        <v>78</v>
      </c>
      <c r="Q20" s="160"/>
      <c r="R20" s="161"/>
      <c r="S20" s="162"/>
      <c r="T20" s="162"/>
      <c r="U20" s="163"/>
      <c r="W20" s="164"/>
      <c r="X20" s="158" t="s">
        <v>79</v>
      </c>
      <c r="Y20" s="159" t="s">
        <v>107</v>
      </c>
      <c r="Z20" s="102"/>
      <c r="AA20" s="102"/>
      <c r="AB20" s="102" t="s">
        <v>108</v>
      </c>
      <c r="AC20" s="102"/>
      <c r="AD20" s="86"/>
    </row>
    <row r="21" spans="2:30" ht="12.75" hidden="1" customHeight="1" x14ac:dyDescent="0.3">
      <c r="B21" s="165">
        <f>D7</f>
        <v>6</v>
      </c>
      <c r="C21" s="166">
        <f>F7</f>
        <v>265</v>
      </c>
      <c r="D21" s="167">
        <f>B21/C21</f>
        <v>2.2641509433962263E-2</v>
      </c>
      <c r="E21" s="168">
        <f>2*B21+I21^2</f>
        <v>15.841458820694124</v>
      </c>
      <c r="F21" s="168">
        <f>I21*SQRT((I21^2)+(4*B21*(1-D21)))</f>
        <v>10.240331212448819</v>
      </c>
      <c r="G21" s="169">
        <f>2*(C21+I21^2)</f>
        <v>537.68291764138826</v>
      </c>
      <c r="H21" s="170" t="s">
        <v>11</v>
      </c>
      <c r="I21" s="139">
        <f>-NORMSINV((1-I2)/2)</f>
        <v>1.9599639845400536</v>
      </c>
      <c r="J21" s="171">
        <f>D21</f>
        <v>2.2641509433962263E-2</v>
      </c>
      <c r="K21" s="171">
        <f>(E21-F21)/G21</f>
        <v>1.0417157444419723E-2</v>
      </c>
      <c r="L21" s="171">
        <f>(E21+F21)/G21</f>
        <v>4.8507752761709259E-2</v>
      </c>
      <c r="M21" s="156"/>
      <c r="N21" s="172">
        <f>F9/2</f>
        <v>265.5</v>
      </c>
      <c r="O21" s="20" t="s">
        <v>14</v>
      </c>
      <c r="P21" s="2"/>
      <c r="Q21" s="41"/>
      <c r="R21" s="40"/>
      <c r="S21" s="42"/>
      <c r="T21" s="42"/>
      <c r="U21" s="173"/>
      <c r="W21" s="174">
        <f>ABS(D21-D22)</f>
        <v>1.512271244148106E-2</v>
      </c>
      <c r="X21" s="20" t="s">
        <v>109</v>
      </c>
      <c r="Y21" s="2"/>
      <c r="Z21" s="20"/>
      <c r="AA21" s="20"/>
      <c r="AB21" s="20" t="s">
        <v>110</v>
      </c>
      <c r="AC21" s="20"/>
      <c r="AD21" s="175"/>
    </row>
    <row r="22" spans="2:30" ht="14.25" hidden="1" customHeight="1" x14ac:dyDescent="0.4">
      <c r="B22" s="165">
        <f>D8</f>
        <v>2</v>
      </c>
      <c r="C22" s="166">
        <f>F8</f>
        <v>266</v>
      </c>
      <c r="D22" s="167">
        <f>B22/C22</f>
        <v>7.5187969924812026E-3</v>
      </c>
      <c r="E22" s="168">
        <f>2*B22+I22^2</f>
        <v>7.8414588206941236</v>
      </c>
      <c r="F22" s="168">
        <f>I22*SQRT((I22^2)+(4*B22*(1-D22)))</f>
        <v>6.7273628744419209</v>
      </c>
      <c r="G22" s="169">
        <f>2*(C22+I22^2)</f>
        <v>539.68291764138826</v>
      </c>
      <c r="H22" s="170" t="s">
        <v>11</v>
      </c>
      <c r="I22" s="139">
        <f>-NORMSINV((1-I2)/2)</f>
        <v>1.9599639845400536</v>
      </c>
      <c r="J22" s="171">
        <f>D22</f>
        <v>7.5187969924812026E-3</v>
      </c>
      <c r="K22" s="171">
        <f>(E22-F22)/G22</f>
        <v>2.0643528076100858E-3</v>
      </c>
      <c r="L22" s="171">
        <f>(E22+F22)/G22</f>
        <v>2.6995150705912879E-2</v>
      </c>
      <c r="M22" s="156"/>
      <c r="N22" s="176">
        <f>J26</f>
        <v>-1.512271244148106E-2</v>
      </c>
      <c r="O22" s="20" t="s">
        <v>15</v>
      </c>
      <c r="P22" s="20"/>
      <c r="Q22" s="20"/>
      <c r="R22" s="20"/>
      <c r="S22" s="20"/>
      <c r="T22" s="20"/>
      <c r="U22" s="104"/>
      <c r="W22" s="177">
        <f>SQRT((D23*(1-D23)/C21)+(D23*(1-D23)/C22))</f>
        <v>1.0572673532995142E-2</v>
      </c>
      <c r="X22" s="44" t="s">
        <v>111</v>
      </c>
      <c r="Y22" s="20"/>
      <c r="Z22" s="20"/>
      <c r="AA22" s="20"/>
      <c r="AB22" s="20"/>
      <c r="AC22" s="20"/>
      <c r="AD22" s="175"/>
    </row>
    <row r="23" spans="2:30" ht="12.75" hidden="1" customHeight="1" x14ac:dyDescent="0.3">
      <c r="B23" s="165">
        <f>D9</f>
        <v>8</v>
      </c>
      <c r="C23" s="166">
        <f>F9</f>
        <v>531</v>
      </c>
      <c r="D23" s="167">
        <f>B23/C23</f>
        <v>1.5065913370998116E-2</v>
      </c>
      <c r="E23" s="168">
        <f>2*B23+I23^2</f>
        <v>19.841458820694122</v>
      </c>
      <c r="F23" s="168">
        <f>I23*SQRT((I23^2)+(4*B23*(1-D23)))</f>
        <v>11.654676545805721</v>
      </c>
      <c r="G23" s="169">
        <f>2*(C23+I23^2)</f>
        <v>1069.6829176413883</v>
      </c>
      <c r="H23" s="170" t="s">
        <v>11</v>
      </c>
      <c r="I23" s="139">
        <f>-NORMSINV((1-I2)/2)</f>
        <v>1.9599639845400536</v>
      </c>
      <c r="J23" s="171">
        <f>D23</f>
        <v>1.5065913370998116E-2</v>
      </c>
      <c r="K23" s="171">
        <f>(E23-F23)/G23</f>
        <v>7.6534664056709034E-3</v>
      </c>
      <c r="L23" s="171">
        <f>(E23+F23)/G23</f>
        <v>2.9444366033205119E-2</v>
      </c>
      <c r="M23" s="156"/>
      <c r="N23" s="178">
        <f>(B21+B22)/(C21+C22)</f>
        <v>1.5065913370998116E-2</v>
      </c>
      <c r="O23" s="20" t="s">
        <v>6</v>
      </c>
      <c r="P23" s="2"/>
      <c r="Q23" s="41"/>
      <c r="R23" s="40"/>
      <c r="S23" s="42"/>
      <c r="T23" s="42"/>
      <c r="U23" s="175"/>
      <c r="W23" s="179">
        <f>W21/W22</f>
        <v>1.4303584040769046</v>
      </c>
      <c r="X23" s="20" t="s">
        <v>44</v>
      </c>
      <c r="Y23" s="2"/>
      <c r="Z23" s="20"/>
      <c r="AA23" s="20"/>
      <c r="AB23" s="20"/>
      <c r="AC23" s="20"/>
      <c r="AD23" s="175"/>
    </row>
    <row r="24" spans="2:30" ht="15" hidden="1" customHeight="1" x14ac:dyDescent="0.3">
      <c r="B24" s="93"/>
      <c r="C24" s="180" t="s">
        <v>12</v>
      </c>
      <c r="F24" s="37"/>
      <c r="G24" s="147"/>
      <c r="H24" s="147"/>
      <c r="I24" s="147"/>
      <c r="J24" s="147"/>
      <c r="K24" s="148"/>
      <c r="L24" s="120"/>
      <c r="M24" s="156"/>
      <c r="N24" s="181">
        <f>SQRT(N21*N22^2/(2*N23*(1-N23)))-I21</f>
        <v>-0.5296030440091557</v>
      </c>
      <c r="O24" s="20" t="s">
        <v>112</v>
      </c>
      <c r="P24" s="20"/>
      <c r="Q24" s="20"/>
      <c r="R24" s="20"/>
      <c r="S24" s="20"/>
      <c r="T24" s="4"/>
      <c r="U24" s="173"/>
      <c r="W24" s="182">
        <f>NORMSDIST(-W23)</f>
        <v>7.6307090099686822E-2</v>
      </c>
      <c r="X24" s="39" t="s">
        <v>113</v>
      </c>
      <c r="Y24" s="20"/>
      <c r="Z24" s="4"/>
      <c r="AA24" s="4"/>
      <c r="AB24" s="4"/>
      <c r="AC24" s="4"/>
      <c r="AD24" s="104"/>
    </row>
    <row r="25" spans="2:30" ht="13.5" hidden="1" customHeight="1" thickBot="1" x14ac:dyDescent="0.35">
      <c r="B25" s="93"/>
      <c r="C25" s="180" t="s">
        <v>114</v>
      </c>
      <c r="D25" s="27"/>
      <c r="E25" s="38"/>
      <c r="F25" s="37"/>
      <c r="G25" s="147"/>
      <c r="H25" s="120"/>
      <c r="I25" s="120"/>
      <c r="J25" s="183"/>
      <c r="K25" s="183"/>
      <c r="L25" s="183"/>
      <c r="M25" s="156"/>
      <c r="N25" s="184">
        <f>NORMSDIST(N24)</f>
        <v>0.29819359169694115</v>
      </c>
      <c r="O25" s="39" t="s">
        <v>16</v>
      </c>
      <c r="P25" s="45"/>
      <c r="Q25" s="20"/>
      <c r="R25" s="20"/>
      <c r="S25" s="20"/>
      <c r="T25" s="20"/>
      <c r="U25" s="175"/>
      <c r="W25" s="185">
        <f>1-W24</f>
        <v>0.92369290990031316</v>
      </c>
      <c r="X25" s="46" t="s">
        <v>115</v>
      </c>
      <c r="Y25" s="45"/>
      <c r="Z25" s="4"/>
      <c r="AA25" s="4"/>
      <c r="AB25" s="4"/>
      <c r="AC25" s="4"/>
      <c r="AD25" s="104"/>
    </row>
    <row r="26" spans="2:30" ht="15" hidden="1" customHeight="1" thickBot="1" x14ac:dyDescent="0.4">
      <c r="F26" s="47"/>
      <c r="G26" s="120"/>
      <c r="H26" s="120"/>
      <c r="I26" s="112" t="s">
        <v>23</v>
      </c>
      <c r="J26" s="186">
        <f>D22-D21</f>
        <v>-1.512271244148106E-2</v>
      </c>
      <c r="K26" s="187">
        <f>J26+SQRT((D22-K22)^2+(L21-D21)^2)</f>
        <v>1.1312368516520382E-2</v>
      </c>
      <c r="L26" s="188">
        <f>J26-SQRT((D21-K21)^2+(L22-D22)^2)</f>
        <v>-3.8117562637447477E-2</v>
      </c>
      <c r="M26" s="119"/>
      <c r="N26" s="189">
        <f>1-N25</f>
        <v>0.70180640830305885</v>
      </c>
      <c r="O26" s="190" t="s">
        <v>116</v>
      </c>
      <c r="P26" s="191"/>
      <c r="Q26" s="192"/>
      <c r="R26" s="191"/>
      <c r="S26" s="191"/>
      <c r="T26" s="191"/>
      <c r="U26" s="193"/>
      <c r="W26" s="194"/>
      <c r="X26" s="195"/>
      <c r="Y26" s="191"/>
      <c r="Z26" s="195"/>
      <c r="AA26" s="195"/>
      <c r="AB26" s="195"/>
      <c r="AC26" s="195"/>
      <c r="AD26" s="196"/>
    </row>
    <row r="27" spans="2:30" ht="13.5" hidden="1" customHeight="1" thickBot="1" x14ac:dyDescent="0.35">
      <c r="F27" s="48"/>
      <c r="G27" s="120"/>
      <c r="H27" s="120"/>
      <c r="I27" s="112" t="s">
        <v>24</v>
      </c>
      <c r="J27" s="197">
        <f>1/J26</f>
        <v>-66.125703564727957</v>
      </c>
      <c r="K27" s="198">
        <f>1/K26</f>
        <v>88.398817501358607</v>
      </c>
      <c r="L27" s="199">
        <f>1/L26</f>
        <v>-26.234626004590844</v>
      </c>
      <c r="M27" s="119"/>
      <c r="N27" s="120"/>
      <c r="O27" s="5"/>
      <c r="P27" s="5"/>
      <c r="U27" s="5"/>
      <c r="V27" s="5"/>
      <c r="W27" s="12"/>
      <c r="X27" s="12"/>
      <c r="Y27" s="12"/>
      <c r="Z27" s="12"/>
      <c r="AA27" s="12"/>
      <c r="AB27" s="12"/>
      <c r="AC27" s="12"/>
    </row>
    <row r="28" spans="2:30" ht="14.25" hidden="1" customHeight="1" x14ac:dyDescent="0.4">
      <c r="G28" s="120"/>
      <c r="H28" s="120"/>
      <c r="K28" s="200"/>
      <c r="L28" s="200"/>
      <c r="M28" s="201"/>
      <c r="N28" s="157"/>
      <c r="O28" s="202"/>
      <c r="P28" s="202" t="s">
        <v>111</v>
      </c>
      <c r="Q28" s="203">
        <f>SQRT((D23*(1-D23)/C21)+(D23*(1-D23)/C22))</f>
        <v>1.0572673532995142E-2</v>
      </c>
      <c r="R28" s="204"/>
      <c r="S28" s="204"/>
      <c r="T28" s="204"/>
      <c r="U28" s="86"/>
      <c r="V28" s="5"/>
    </row>
    <row r="29" spans="2:30" ht="31.5" hidden="1" customHeight="1" x14ac:dyDescent="0.35">
      <c r="F29" s="205"/>
      <c r="G29" s="206"/>
      <c r="H29" s="207" t="s">
        <v>64</v>
      </c>
      <c r="I29" s="208" t="s">
        <v>56</v>
      </c>
      <c r="J29" s="209">
        <f>J27</f>
        <v>-66.125703564727957</v>
      </c>
      <c r="K29" s="209">
        <f>K27</f>
        <v>88.398817501358607</v>
      </c>
      <c r="L29" s="209">
        <f>L27</f>
        <v>-26.234626004590844</v>
      </c>
      <c r="M29" s="120"/>
      <c r="N29" s="210" t="s">
        <v>117</v>
      </c>
      <c r="O29" s="211"/>
      <c r="P29" s="20" t="s">
        <v>118</v>
      </c>
      <c r="Q29" s="20"/>
      <c r="R29" s="41"/>
      <c r="S29" s="212" t="s">
        <v>119</v>
      </c>
      <c r="T29" s="20"/>
      <c r="U29" s="175"/>
      <c r="V29" s="5"/>
    </row>
    <row r="30" spans="2:30" s="4" customFormat="1" ht="14.25" hidden="1" customHeight="1" x14ac:dyDescent="0.4">
      <c r="F30" s="51"/>
      <c r="G30" s="213"/>
      <c r="H30" s="214"/>
      <c r="I30" s="215" t="s">
        <v>68</v>
      </c>
      <c r="J30" s="216">
        <f>(1-D22)*J27</f>
        <v>-65.628517823639768</v>
      </c>
      <c r="K30" s="216">
        <f>(1-D22)*K27</f>
        <v>87.734164738190486</v>
      </c>
      <c r="L30" s="216">
        <f>(1-D22)*L27</f>
        <v>-26.037373177488657</v>
      </c>
      <c r="M30" s="120"/>
      <c r="N30" s="217"/>
      <c r="O30" s="77" t="s">
        <v>120</v>
      </c>
      <c r="Q30" s="218" t="s">
        <v>121</v>
      </c>
      <c r="R30" s="77" t="s">
        <v>122</v>
      </c>
      <c r="S30" s="20"/>
      <c r="T30" s="20"/>
      <c r="U30" s="104"/>
    </row>
    <row r="31" spans="2:30" s="4" customFormat="1" ht="14.25" hidden="1" customHeight="1" x14ac:dyDescent="0.4">
      <c r="F31" s="52"/>
      <c r="G31" s="219"/>
      <c r="H31" s="220"/>
      <c r="I31" s="221" t="s">
        <v>71</v>
      </c>
      <c r="J31" s="222">
        <f>J27*J26</f>
        <v>1</v>
      </c>
      <c r="K31" s="222">
        <f>K27*K26</f>
        <v>1</v>
      </c>
      <c r="L31" s="222">
        <f>L27*L26</f>
        <v>0.99999999999999989</v>
      </c>
      <c r="M31" s="135"/>
      <c r="N31" s="181">
        <f>ABS((J26/Q28))-I21</f>
        <v>-0.52960558046314898</v>
      </c>
      <c r="O31" s="77" t="s">
        <v>123</v>
      </c>
      <c r="P31" s="20"/>
      <c r="Q31" s="20"/>
      <c r="R31" s="40"/>
      <c r="S31" s="42"/>
      <c r="T31" s="42"/>
      <c r="U31" s="173"/>
    </row>
    <row r="32" spans="2:30" s="4" customFormat="1" ht="12.75" hidden="1" customHeight="1" x14ac:dyDescent="0.3">
      <c r="B32" s="223"/>
      <c r="C32" s="53"/>
      <c r="E32" s="30"/>
      <c r="G32" s="224"/>
      <c r="H32" s="225"/>
      <c r="I32" s="226" t="s">
        <v>72</v>
      </c>
      <c r="J32" s="227">
        <f>(D22-J26)*J27</f>
        <v>-1.4971857410881801</v>
      </c>
      <c r="K32" s="227">
        <f>(D22-K26)*K27</f>
        <v>-0.33534723683189022</v>
      </c>
      <c r="L32" s="227">
        <f>(D22-L26)*L27</f>
        <v>-1.1972528271021867</v>
      </c>
      <c r="M32" s="135"/>
      <c r="N32" s="184">
        <f>NORMSDIST(N31)</f>
        <v>0.29819271220586119</v>
      </c>
      <c r="O32" s="44" t="s">
        <v>124</v>
      </c>
      <c r="P32" s="45"/>
      <c r="Q32" s="20"/>
      <c r="R32" s="20"/>
      <c r="S32" s="20"/>
      <c r="T32" s="20"/>
      <c r="U32" s="104"/>
    </row>
    <row r="33" spans="2:22" s="4" customFormat="1" ht="12.75" hidden="1" customHeight="1" x14ac:dyDescent="0.3">
      <c r="B33" s="223"/>
      <c r="G33" s="228"/>
      <c r="H33" s="229"/>
      <c r="I33" s="229"/>
      <c r="J33" s="230"/>
      <c r="K33" s="230"/>
      <c r="L33" s="230"/>
      <c r="M33" s="135"/>
      <c r="N33" s="189">
        <f>1-N32</f>
        <v>0.70180728779413881</v>
      </c>
      <c r="O33" s="191" t="s">
        <v>125</v>
      </c>
      <c r="P33" s="191"/>
      <c r="Q33" s="192"/>
      <c r="R33" s="231"/>
      <c r="S33" s="232"/>
      <c r="T33" s="232"/>
      <c r="U33" s="193"/>
    </row>
    <row r="34" spans="2:22" s="4" customFormat="1" ht="31.5" hidden="1" customHeight="1" x14ac:dyDescent="0.3">
      <c r="B34" s="143"/>
      <c r="F34" s="29"/>
      <c r="G34" s="233"/>
      <c r="H34" s="207" t="s">
        <v>66</v>
      </c>
      <c r="I34" s="234" t="s">
        <v>126</v>
      </c>
      <c r="J34" s="235">
        <f>ABS(J27)</f>
        <v>66.125703564727957</v>
      </c>
      <c r="K34" s="235">
        <f>ABS(L27)</f>
        <v>26.234626004590844</v>
      </c>
      <c r="L34" s="235">
        <f>ABS(K27)</f>
        <v>88.398817501358607</v>
      </c>
      <c r="M34" s="135"/>
      <c r="N34" s="119"/>
      <c r="O34" s="20"/>
      <c r="P34" s="20"/>
      <c r="Q34" s="20"/>
      <c r="R34" s="20"/>
      <c r="S34" s="20"/>
      <c r="T34" s="20"/>
      <c r="U34" s="20"/>
      <c r="V34" s="20"/>
    </row>
    <row r="35" spans="2:22" s="4" customFormat="1" ht="13.5" hidden="1" customHeight="1" x14ac:dyDescent="0.3">
      <c r="B35" s="143"/>
      <c r="G35" s="213"/>
      <c r="H35" s="214"/>
      <c r="I35" s="215" t="s">
        <v>68</v>
      </c>
      <c r="J35" s="216">
        <f>ABS((1-(D22-J26))*J27)</f>
        <v>64.628517823639783</v>
      </c>
      <c r="K35" s="216">
        <f>ABS((1-(D22-L26))*L27)</f>
        <v>25.037373177488657</v>
      </c>
      <c r="L35" s="216">
        <f>ABS((1-(D22-K26))*K27)</f>
        <v>88.734164738190501</v>
      </c>
      <c r="M35" s="135"/>
      <c r="N35" s="119"/>
      <c r="O35" s="20"/>
      <c r="P35" s="20"/>
      <c r="Q35" s="20"/>
      <c r="R35" s="20"/>
      <c r="S35" s="20"/>
      <c r="T35" s="20"/>
      <c r="U35" s="20"/>
      <c r="V35" s="20"/>
    </row>
    <row r="36" spans="2:22" s="4" customFormat="1" ht="12.75" hidden="1" customHeight="1" x14ac:dyDescent="0.3">
      <c r="B36" s="143"/>
      <c r="F36" s="58"/>
      <c r="G36" s="236"/>
      <c r="H36" s="237"/>
      <c r="I36" s="238" t="s">
        <v>69</v>
      </c>
      <c r="J36" s="239">
        <f>J27*J26</f>
        <v>1</v>
      </c>
      <c r="K36" s="239">
        <f>L27*L26</f>
        <v>0.99999999999999989</v>
      </c>
      <c r="L36" s="239">
        <f>K27*K26</f>
        <v>1</v>
      </c>
      <c r="M36" s="135"/>
      <c r="N36" s="119"/>
      <c r="O36" s="20"/>
      <c r="P36" s="20"/>
      <c r="Q36" s="20"/>
      <c r="R36" s="20"/>
      <c r="S36" s="20"/>
      <c r="T36" s="20"/>
      <c r="U36" s="20"/>
      <c r="V36" s="20"/>
    </row>
    <row r="37" spans="2:22" ht="15.75" hidden="1" customHeight="1" x14ac:dyDescent="0.35">
      <c r="B37" s="240" t="s">
        <v>127</v>
      </c>
      <c r="C37" s="59"/>
      <c r="D37" s="59"/>
      <c r="E37" s="59"/>
      <c r="F37" s="54"/>
      <c r="G37" s="224"/>
      <c r="H37" s="225"/>
      <c r="I37" s="226" t="s">
        <v>70</v>
      </c>
      <c r="J37" s="227">
        <f>ABS(D22*J27)</f>
        <v>0.49718574108818009</v>
      </c>
      <c r="K37" s="227">
        <f>ABS(D22*L27)</f>
        <v>0.19725282710218678</v>
      </c>
      <c r="L37" s="227">
        <f>ABS(D22*K27)</f>
        <v>0.66465276316810984</v>
      </c>
      <c r="M37" s="120"/>
      <c r="N37" s="119"/>
      <c r="O37" s="20"/>
      <c r="P37" s="20"/>
      <c r="Q37" s="20"/>
      <c r="R37" s="20"/>
      <c r="S37" s="20"/>
      <c r="T37" s="20"/>
      <c r="U37" s="20"/>
      <c r="V37" s="20"/>
    </row>
    <row r="38" spans="2:22" s="12" customFormat="1" ht="12.75" hidden="1" customHeight="1" x14ac:dyDescent="0.3">
      <c r="B38" s="93"/>
      <c r="C38" s="60" t="s">
        <v>20</v>
      </c>
      <c r="D38" s="61" t="s">
        <v>21</v>
      </c>
      <c r="E38" s="20"/>
      <c r="F38" s="54"/>
      <c r="G38" s="241"/>
      <c r="H38" s="242"/>
      <c r="I38" s="243"/>
      <c r="J38" s="244"/>
      <c r="K38" s="244"/>
      <c r="L38" s="244"/>
      <c r="M38" s="148"/>
      <c r="N38" s="135"/>
      <c r="O38" s="4"/>
      <c r="P38" s="4"/>
      <c r="Q38" s="4"/>
      <c r="R38" s="4"/>
    </row>
    <row r="39" spans="2:22" ht="12.75" hidden="1" customHeight="1" x14ac:dyDescent="0.3">
      <c r="B39" s="245" t="s">
        <v>32</v>
      </c>
      <c r="C39" s="64" t="s">
        <v>3</v>
      </c>
      <c r="D39" s="65" t="s">
        <v>2</v>
      </c>
      <c r="E39" s="66" t="s">
        <v>22</v>
      </c>
      <c r="G39" s="120"/>
      <c r="H39" s="120"/>
      <c r="I39" s="120"/>
      <c r="J39" s="120"/>
      <c r="K39" s="120"/>
      <c r="L39" s="120"/>
      <c r="M39" s="120"/>
      <c r="N39" s="135"/>
      <c r="O39" s="4"/>
      <c r="P39" s="4"/>
      <c r="Q39" s="4"/>
      <c r="R39" s="4"/>
      <c r="U39" s="5"/>
      <c r="V39" s="5"/>
    </row>
    <row r="40" spans="2:22" ht="12.75" hidden="1" customHeight="1" x14ac:dyDescent="0.3">
      <c r="B40" s="246" t="s">
        <v>17</v>
      </c>
      <c r="C40" s="67">
        <f>F7*D9/F9</f>
        <v>3.9924670433145009</v>
      </c>
      <c r="D40" s="67">
        <f>F7*E9/F9</f>
        <v>261.00753295668551</v>
      </c>
      <c r="E40" s="67">
        <f>F7</f>
        <v>265</v>
      </c>
      <c r="G40" s="247"/>
      <c r="H40" s="248" t="s">
        <v>30</v>
      </c>
      <c r="I40" s="249">
        <f>CHIINV(0.05,K41)</f>
        <v>3.8414588206941236</v>
      </c>
      <c r="J40" s="120"/>
      <c r="K40" s="120"/>
      <c r="L40" s="120"/>
      <c r="M40" s="120"/>
      <c r="N40" s="135"/>
      <c r="O40" s="55"/>
      <c r="P40" s="55"/>
      <c r="Q40" s="55"/>
      <c r="R40" s="4"/>
      <c r="U40" s="5"/>
      <c r="V40" s="5"/>
    </row>
    <row r="41" spans="2:22" ht="12.75" hidden="1" customHeight="1" x14ac:dyDescent="0.3">
      <c r="B41" s="250" t="s">
        <v>18</v>
      </c>
      <c r="C41" s="67">
        <f>F8*D9/F9</f>
        <v>4.0075329566854991</v>
      </c>
      <c r="D41" s="67">
        <f>F8*E9/F9</f>
        <v>261.99246704331449</v>
      </c>
      <c r="E41" s="67">
        <f>F8</f>
        <v>266</v>
      </c>
      <c r="F41" s="12"/>
      <c r="G41" s="251"/>
      <c r="H41" s="251"/>
      <c r="I41" s="252"/>
      <c r="J41" s="253" t="s">
        <v>31</v>
      </c>
      <c r="K41" s="254">
        <f>(COUNT(C40:D40)-1)*(COUNT(C40:C41)-1)</f>
        <v>1</v>
      </c>
      <c r="L41" s="120"/>
      <c r="M41" s="120"/>
      <c r="N41" s="120"/>
      <c r="O41" s="55"/>
      <c r="P41" s="55"/>
      <c r="Q41" s="55"/>
      <c r="R41" s="4"/>
      <c r="U41" s="5"/>
      <c r="V41" s="5"/>
    </row>
    <row r="42" spans="2:22" ht="12.75" hidden="1" customHeight="1" x14ac:dyDescent="0.3">
      <c r="B42" s="255" t="s">
        <v>29</v>
      </c>
      <c r="C42" s="67">
        <f>SUM(C40:C41)</f>
        <v>8</v>
      </c>
      <c r="D42" s="67">
        <f>SUM(D40:D41)</f>
        <v>523</v>
      </c>
      <c r="E42" s="68">
        <f>SUM(E40:E41)</f>
        <v>531</v>
      </c>
      <c r="F42" s="12"/>
      <c r="G42" s="148"/>
      <c r="H42" s="256" t="s">
        <v>33</v>
      </c>
      <c r="I42" s="79" t="s">
        <v>34</v>
      </c>
      <c r="J42" s="120"/>
      <c r="K42" s="120"/>
      <c r="L42" s="120"/>
      <c r="M42" s="120"/>
      <c r="N42" s="120"/>
      <c r="O42" s="55"/>
      <c r="P42" s="56"/>
      <c r="Q42" s="55"/>
      <c r="R42" s="4"/>
      <c r="U42" s="5"/>
      <c r="V42" s="5"/>
    </row>
    <row r="43" spans="2:22" ht="12.75" hidden="1" customHeight="1" x14ac:dyDescent="0.3">
      <c r="B43" s="255"/>
      <c r="C43" s="69"/>
      <c r="D43" s="69"/>
      <c r="E43" s="70"/>
      <c r="F43" s="12"/>
      <c r="G43" s="148"/>
      <c r="H43" s="256" t="s">
        <v>35</v>
      </c>
      <c r="I43" s="79" t="s">
        <v>36</v>
      </c>
      <c r="J43" s="120"/>
      <c r="K43" s="120"/>
      <c r="L43" s="120"/>
      <c r="M43" s="120"/>
      <c r="N43" s="120"/>
      <c r="O43" s="57"/>
      <c r="P43" s="57"/>
      <c r="Q43" s="57"/>
      <c r="R43" s="4"/>
      <c r="U43" s="5"/>
      <c r="V43" s="5"/>
    </row>
    <row r="44" spans="2:22" ht="26.25" hidden="1" customHeight="1" x14ac:dyDescent="0.3">
      <c r="B44" s="257"/>
      <c r="C44" s="549" t="s">
        <v>128</v>
      </c>
      <c r="D44" s="550"/>
      <c r="G44" s="120"/>
      <c r="H44" s="258"/>
      <c r="I44" s="120"/>
      <c r="J44" s="120"/>
      <c r="K44" s="120"/>
      <c r="L44" s="120"/>
      <c r="M44" s="120"/>
      <c r="N44" s="120"/>
      <c r="O44" s="5"/>
      <c r="P44" s="5"/>
      <c r="U44" s="5"/>
      <c r="V44" s="5"/>
    </row>
    <row r="45" spans="2:22" ht="12.75" hidden="1" customHeight="1" x14ac:dyDescent="0.3">
      <c r="B45" s="257"/>
      <c r="C45" s="71">
        <f>(D7-C40)^2/C40</f>
        <v>1.0094481753899727</v>
      </c>
      <c r="D45" s="71">
        <f>(E7-D40)^2/D40</f>
        <v>1.5440889872122101E-2</v>
      </c>
      <c r="F45" s="63"/>
      <c r="G45" s="259"/>
      <c r="H45" s="120"/>
      <c r="I45" s="120"/>
      <c r="J45" s="135"/>
      <c r="K45" s="135"/>
      <c r="L45" s="260"/>
      <c r="M45" s="120"/>
      <c r="N45" s="120"/>
      <c r="O45" s="5"/>
      <c r="P45" s="5"/>
      <c r="U45" s="5"/>
      <c r="V45" s="5"/>
    </row>
    <row r="46" spans="2:22" ht="12.75" hidden="1" customHeight="1" x14ac:dyDescent="0.3">
      <c r="B46" s="257"/>
      <c r="C46" s="71">
        <f>(D8-C41)^2/C41</f>
        <v>1.0056532574373787</v>
      </c>
      <c r="D46" s="71">
        <f>(E8-D41)^2/D41</f>
        <v>1.538284141395623E-2</v>
      </c>
      <c r="E46" s="16"/>
      <c r="F46" s="72" t="s">
        <v>37</v>
      </c>
      <c r="G46" s="261">
        <f>C48-I40</f>
        <v>-1.7955336565806941</v>
      </c>
      <c r="H46" s="120"/>
      <c r="I46" s="120"/>
      <c r="J46" s="135"/>
      <c r="K46" s="135"/>
      <c r="L46" s="120"/>
      <c r="M46" s="120"/>
      <c r="N46" s="120"/>
      <c r="O46" s="5"/>
      <c r="P46" s="5"/>
      <c r="U46" s="5"/>
      <c r="V46" s="5"/>
    </row>
    <row r="47" spans="2:22" ht="12.75" hidden="1" customHeight="1" thickBot="1" x14ac:dyDescent="0.35">
      <c r="B47" s="79" t="s">
        <v>39</v>
      </c>
      <c r="D47" s="73"/>
      <c r="G47" s="97" t="s">
        <v>40</v>
      </c>
      <c r="H47" s="120"/>
      <c r="I47" s="120"/>
      <c r="J47" s="135"/>
      <c r="K47" s="135"/>
      <c r="L47" s="120"/>
      <c r="M47" s="120"/>
      <c r="N47" s="120"/>
      <c r="O47" s="5"/>
      <c r="P47" s="5"/>
      <c r="U47" s="5"/>
      <c r="V47" s="5"/>
    </row>
    <row r="48" spans="2:22" ht="13.5" hidden="1" customHeight="1" thickBot="1" x14ac:dyDescent="0.35">
      <c r="B48" s="105" t="s">
        <v>38</v>
      </c>
      <c r="C48" s="262">
        <f>SUM(C45:D46)</f>
        <v>2.0459251641134295</v>
      </c>
      <c r="D48" s="20"/>
      <c r="G48" s="97" t="s">
        <v>41</v>
      </c>
      <c r="H48" s="120"/>
      <c r="I48" s="263"/>
      <c r="J48" s="135"/>
      <c r="K48" s="135"/>
      <c r="L48" s="264"/>
      <c r="M48" s="120"/>
      <c r="N48" s="120"/>
      <c r="O48" s="5"/>
      <c r="P48" s="5"/>
      <c r="U48" s="5"/>
      <c r="V48" s="5"/>
    </row>
    <row r="49" spans="2:22" ht="12.75" hidden="1" customHeight="1" thickBot="1" x14ac:dyDescent="0.35">
      <c r="B49" s="265" t="s">
        <v>80</v>
      </c>
      <c r="C49" s="266">
        <f>CHIDIST(C48,1)</f>
        <v>0.15261418019937364</v>
      </c>
      <c r="E49" s="20"/>
      <c r="F49" s="20"/>
      <c r="G49" s="119"/>
      <c r="H49" s="267"/>
      <c r="I49" s="119"/>
      <c r="J49" s="135"/>
      <c r="K49" s="135"/>
      <c r="L49" s="119"/>
      <c r="M49" s="120"/>
      <c r="N49" s="120"/>
      <c r="O49" s="5"/>
      <c r="P49" s="5"/>
      <c r="U49" s="5"/>
      <c r="V49" s="5"/>
    </row>
    <row r="50" spans="2:22" s="4" customFormat="1" ht="12.75" hidden="1" customHeight="1" x14ac:dyDescent="0.3">
      <c r="B50" s="143"/>
      <c r="E50" s="74"/>
      <c r="F50" s="74"/>
      <c r="G50" s="135"/>
      <c r="H50" s="135"/>
      <c r="I50" s="268"/>
      <c r="J50" s="135"/>
      <c r="K50" s="135"/>
      <c r="L50" s="135"/>
      <c r="M50" s="135"/>
      <c r="N50" s="135"/>
    </row>
    <row r="51" spans="2:22" ht="13.5" hidden="1" customHeight="1" x14ac:dyDescent="0.3">
      <c r="B51" s="93"/>
      <c r="G51" s="120"/>
      <c r="H51" s="120"/>
      <c r="I51" s="120"/>
      <c r="J51" s="135"/>
      <c r="K51" s="135"/>
      <c r="L51" s="120"/>
      <c r="M51" s="120"/>
      <c r="N51" s="120"/>
      <c r="O51" s="5"/>
      <c r="P51" s="5"/>
      <c r="U51" s="5"/>
      <c r="V51" s="5"/>
    </row>
    <row r="52" spans="2:22" ht="12.75" hidden="1" customHeight="1" thickBot="1" x14ac:dyDescent="0.35">
      <c r="B52" s="269" t="s">
        <v>129</v>
      </c>
      <c r="C52" s="103"/>
      <c r="D52" s="103"/>
      <c r="E52" s="103"/>
      <c r="F52" s="103"/>
      <c r="G52" s="103"/>
      <c r="H52" s="270"/>
      <c r="I52" s="120"/>
      <c r="J52" s="271" t="s">
        <v>130</v>
      </c>
      <c r="K52" s="272"/>
      <c r="L52" s="273"/>
      <c r="M52" s="273"/>
      <c r="N52" s="273"/>
      <c r="O52" s="86"/>
      <c r="P52" s="5"/>
      <c r="U52" s="5"/>
      <c r="V52" s="5"/>
    </row>
    <row r="53" spans="2:22" ht="12.75" hidden="1" customHeight="1" thickBot="1" x14ac:dyDescent="0.35">
      <c r="B53" s="274">
        <f>I2*100</f>
        <v>95</v>
      </c>
      <c r="C53" s="54"/>
      <c r="D53" s="54"/>
      <c r="E53" s="4"/>
      <c r="F53" s="4"/>
      <c r="G53" s="4"/>
      <c r="H53" s="104"/>
      <c r="I53" s="120"/>
      <c r="J53" s="275"/>
      <c r="K53" s="135"/>
      <c r="L53" s="119"/>
      <c r="M53" s="119"/>
      <c r="N53" s="119"/>
      <c r="O53" s="175"/>
      <c r="P53" s="5"/>
      <c r="U53" s="5"/>
      <c r="V53" s="5"/>
    </row>
    <row r="54" spans="2:22" ht="12.75" hidden="1" customHeight="1" x14ac:dyDescent="0.3">
      <c r="B54" s="276" t="s">
        <v>49</v>
      </c>
      <c r="C54" s="277"/>
      <c r="D54" s="277"/>
      <c r="E54" s="1">
        <f>ROUND(G14,2)</f>
        <v>3.01</v>
      </c>
      <c r="F54" s="49">
        <f>ROUND(J26,4)</f>
        <v>-1.5100000000000001E-2</v>
      </c>
      <c r="G54" s="278">
        <f>ROUND(J27,0)</f>
        <v>-66</v>
      </c>
      <c r="H54" s="279"/>
      <c r="I54" s="120"/>
      <c r="J54" s="280" t="s">
        <v>49</v>
      </c>
      <c r="K54" s="4"/>
      <c r="L54" s="4"/>
      <c r="M54" s="4"/>
      <c r="N54" s="119"/>
      <c r="O54" s="175"/>
      <c r="P54" s="5"/>
      <c r="U54" s="5"/>
      <c r="V54" s="5"/>
    </row>
    <row r="55" spans="2:22" ht="12.75" hidden="1" customHeight="1" x14ac:dyDescent="0.3">
      <c r="B55" s="276" t="s">
        <v>51</v>
      </c>
      <c r="C55" s="20"/>
      <c r="D55" s="20"/>
      <c r="E55" s="1">
        <f>ROUND(H14,2)</f>
        <v>0.61</v>
      </c>
      <c r="F55" s="49">
        <f>ROUND(L26,4)</f>
        <v>-3.8100000000000002E-2</v>
      </c>
      <c r="G55" s="278">
        <f>ROUND(L27,0)</f>
        <v>-26</v>
      </c>
      <c r="H55" s="279"/>
      <c r="I55" s="120"/>
      <c r="J55" s="280" t="s">
        <v>51</v>
      </c>
      <c r="K55" s="281" t="str">
        <f>ROUND(J21,4)*100&amp;J57</f>
        <v>2,26%</v>
      </c>
      <c r="L55" s="281" t="str">
        <f>ROUND(K21,4)*100&amp;J57</f>
        <v>1,04%</v>
      </c>
      <c r="M55" s="281" t="str">
        <f>ROUND(L21,4)*100&amp;J57</f>
        <v>4,85%</v>
      </c>
      <c r="N55" s="94" t="str">
        <f>CONCATENATE(K55," ",J54,L55," ",J58," ",M55,J56)</f>
        <v>2,26% (1,04% a 4,85%)</v>
      </c>
      <c r="O55" s="175"/>
      <c r="P55" s="5"/>
      <c r="U55" s="5"/>
      <c r="V55" s="5"/>
    </row>
    <row r="56" spans="2:22" s="12" customFormat="1" ht="12.75" hidden="1" customHeight="1" x14ac:dyDescent="0.3">
      <c r="B56" s="276" t="s">
        <v>50</v>
      </c>
      <c r="C56" s="277">
        <f>ROUND(D7,0)</f>
        <v>6</v>
      </c>
      <c r="D56" s="277">
        <f>ROUND(D8,0)</f>
        <v>2</v>
      </c>
      <c r="E56" s="1">
        <f>ROUND(I14,2)</f>
        <v>14.79</v>
      </c>
      <c r="F56" s="49">
        <f>ROUND(K26,4)</f>
        <v>1.1299999999999999E-2</v>
      </c>
      <c r="G56" s="278">
        <f>ROUND(K27,0)</f>
        <v>88</v>
      </c>
      <c r="H56" s="282">
        <f>ROUND(N32,4)</f>
        <v>0.29820000000000002</v>
      </c>
      <c r="I56" s="148"/>
      <c r="J56" s="280" t="s">
        <v>50</v>
      </c>
      <c r="K56" s="76" t="str">
        <f>ROUND(J22,4)*100&amp;J57</f>
        <v>0,75%</v>
      </c>
      <c r="L56" s="76" t="str">
        <f>ROUND(K22,4)*100&amp;J57</f>
        <v>0,21%</v>
      </c>
      <c r="M56" s="76" t="str">
        <f>ROUND(L22,4)*100&amp;J57</f>
        <v>2,7%</v>
      </c>
      <c r="N56" s="94" t="str">
        <f>CONCATENATE(K56," ",J54,L56," ",J58," ",M56,J56)</f>
        <v>0,75% (0,21% a 2,7%)</v>
      </c>
      <c r="O56" s="104"/>
    </row>
    <row r="57" spans="2:22" ht="12.75" hidden="1" customHeight="1" x14ac:dyDescent="0.3">
      <c r="B57" s="276" t="s">
        <v>52</v>
      </c>
      <c r="C57" s="283" t="s">
        <v>74</v>
      </c>
      <c r="D57" s="283" t="s">
        <v>75</v>
      </c>
      <c r="E57" s="283" t="s">
        <v>4</v>
      </c>
      <c r="F57" s="283" t="s">
        <v>58</v>
      </c>
      <c r="G57" s="284" t="s">
        <v>56</v>
      </c>
      <c r="H57" s="247" t="s">
        <v>59</v>
      </c>
      <c r="I57" s="120"/>
      <c r="J57" s="280" t="s">
        <v>52</v>
      </c>
      <c r="K57" s="76" t="str">
        <f>ROUND(J23,4)*100&amp;J57</f>
        <v>1,51%</v>
      </c>
      <c r="L57" s="76" t="str">
        <f>ROUND(K23,4)*100&amp;J57</f>
        <v>0,77%</v>
      </c>
      <c r="M57" s="76" t="str">
        <f>ROUND(L23,4)*100&amp;J57</f>
        <v>2,94%</v>
      </c>
      <c r="N57" s="94" t="str">
        <f>CONCATENATE(K57," ",J54,L57," ",J58," ",M57,J56)</f>
        <v>1,51% (0,77% a 2,94%)</v>
      </c>
      <c r="O57" s="104"/>
    </row>
    <row r="58" spans="2:22" ht="12.75" hidden="1" customHeight="1" x14ac:dyDescent="0.3">
      <c r="B58" s="285" t="s">
        <v>19</v>
      </c>
      <c r="C58" s="286" t="str">
        <f>CONCATENATE(C56,B59,C21," ",B54,K55,B56)</f>
        <v>6/265 (2,26%)</v>
      </c>
      <c r="D58" s="112" t="str">
        <f>CONCATENATE(D56,B59,C22," ",B54,K56,B56)</f>
        <v>2/266 (0,75%)</v>
      </c>
      <c r="E58" s="286" t="str">
        <f>CONCATENATE(E54," ",B54,E55,B55,E56,B56)</f>
        <v>3,01 (0,61-14,79)</v>
      </c>
      <c r="F58" s="286" t="str">
        <f>CONCATENATE(F54*100,B57," ",B54,F55*100,B57," ",B58," ",F56*100,B57,B56)</f>
        <v>-1,51% (-3,81% a 1,13%)</v>
      </c>
      <c r="G58" s="247" t="str">
        <f>CONCATENATE(G54," ",B54,G56," ",B58," ",G55,B56)</f>
        <v>-66 (88 a -26)</v>
      </c>
      <c r="H58" s="247" t="str">
        <f>CONCATENATE(H56*100,B57)</f>
        <v>29,82%</v>
      </c>
      <c r="I58" s="120"/>
      <c r="J58" s="287" t="s">
        <v>19</v>
      </c>
      <c r="K58" s="20"/>
      <c r="L58" s="20"/>
      <c r="M58" s="20"/>
      <c r="N58" s="119"/>
      <c r="O58" s="175"/>
      <c r="P58" s="5"/>
      <c r="U58" s="5"/>
      <c r="V58" s="5"/>
    </row>
    <row r="59" spans="2:22" ht="13.5" hidden="1" customHeight="1" thickBot="1" x14ac:dyDescent="0.35">
      <c r="B59" s="288" t="s">
        <v>57</v>
      </c>
      <c r="C59" s="195"/>
      <c r="D59" s="195"/>
      <c r="E59" s="195"/>
      <c r="F59" s="195"/>
      <c r="G59" s="289"/>
      <c r="H59" s="290"/>
      <c r="I59" s="120"/>
      <c r="J59" s="291" t="s">
        <v>57</v>
      </c>
      <c r="K59" s="195"/>
      <c r="L59" s="195"/>
      <c r="M59" s="195"/>
      <c r="N59" s="292"/>
      <c r="O59" s="193"/>
      <c r="P59" s="5"/>
      <c r="U59" s="5"/>
      <c r="V59" s="5"/>
    </row>
    <row r="60" spans="2:22" x14ac:dyDescent="0.3">
      <c r="B60" s="93"/>
      <c r="G60" s="120"/>
      <c r="H60" s="120"/>
      <c r="I60" s="120"/>
      <c r="J60" s="120"/>
      <c r="K60" s="120"/>
      <c r="L60" s="135"/>
      <c r="M60" s="120"/>
      <c r="N60" s="120"/>
      <c r="O60" s="5"/>
      <c r="P60" s="5"/>
      <c r="U60" s="5"/>
      <c r="V60" s="5"/>
    </row>
    <row r="61" spans="2:22" ht="27" customHeight="1" x14ac:dyDescent="0.3">
      <c r="B61" s="93"/>
      <c r="C61" s="293" t="s">
        <v>74</v>
      </c>
      <c r="D61" s="293" t="s">
        <v>75</v>
      </c>
      <c r="E61" s="294" t="str">
        <f>CONCATENATE(E57," ",B54,H2," ",B53,B57,B56)</f>
        <v>RR (IC 95%)</v>
      </c>
      <c r="F61" s="294" t="str">
        <f>CONCATENATE(F57," ",B54,H2," ",B53,B57,B56)</f>
        <v>RAR (IC 95%)</v>
      </c>
      <c r="G61" s="294" t="str">
        <f>CONCATENATE(G57," ",B54,H2," ",B53,B57,B56)</f>
        <v>NNT (IC 95%)</v>
      </c>
      <c r="H61" s="294" t="s">
        <v>60</v>
      </c>
      <c r="I61" s="295"/>
      <c r="J61" s="294" t="s">
        <v>81</v>
      </c>
      <c r="L61" s="344" t="s">
        <v>131</v>
      </c>
      <c r="M61" s="344" t="s">
        <v>132</v>
      </c>
      <c r="O61" s="5"/>
      <c r="P61" s="5"/>
      <c r="U61" s="5"/>
      <c r="V61" s="5"/>
    </row>
    <row r="62" spans="2:22" ht="21" customHeight="1" x14ac:dyDescent="0.3">
      <c r="B62" s="93"/>
      <c r="C62" s="112" t="str">
        <f t="shared" ref="C62:H62" si="0">C58</f>
        <v>6/265 (2,26%)</v>
      </c>
      <c r="D62" s="112" t="str">
        <f t="shared" si="0"/>
        <v>2/266 (0,75%)</v>
      </c>
      <c r="E62" s="112" t="str">
        <f t="shared" si="0"/>
        <v>3,01 (0,61-14,79)</v>
      </c>
      <c r="F62" s="112" t="str">
        <f t="shared" si="0"/>
        <v>-1,51% (-3,81% a 1,13%)</v>
      </c>
      <c r="G62" s="112" t="str">
        <f t="shared" si="0"/>
        <v>-66 (88 a -26)</v>
      </c>
      <c r="H62" s="112" t="str">
        <f t="shared" si="0"/>
        <v>29,82%</v>
      </c>
      <c r="I62" s="296"/>
      <c r="J62" s="297">
        <f>C49</f>
        <v>0.15261418019937364</v>
      </c>
      <c r="L62" s="298">
        <f>IF((K26*L26&lt;0),J23,J21)</f>
        <v>1.5065913370998116E-2</v>
      </c>
      <c r="M62" s="298">
        <f>IF((K26*L26&lt;0),J23,J22)</f>
        <v>1.5065913370998116E-2</v>
      </c>
      <c r="O62" s="5"/>
      <c r="P62" s="5"/>
      <c r="U62" s="5"/>
      <c r="V62" s="5"/>
    </row>
    <row r="63" spans="2:22" x14ac:dyDescent="0.3">
      <c r="L63" s="4"/>
    </row>
    <row r="64" spans="2:22" x14ac:dyDescent="0.3">
      <c r="B64" s="343" t="s">
        <v>313</v>
      </c>
    </row>
    <row r="65" spans="1:23" x14ac:dyDescent="0.3">
      <c r="B65" s="432" t="s">
        <v>245</v>
      </c>
      <c r="C65" s="318"/>
      <c r="D65" s="318"/>
      <c r="E65" s="318"/>
      <c r="F65" s="318"/>
      <c r="G65" s="318"/>
      <c r="H65" s="318"/>
      <c r="I65" s="97"/>
      <c r="J65" s="97"/>
      <c r="K65" s="97"/>
      <c r="L65" s="97"/>
      <c r="M65" s="97"/>
      <c r="N65" s="97"/>
      <c r="O65" s="316"/>
    </row>
    <row r="66" spans="1:23" ht="13.5" thickBot="1" x14ac:dyDescent="0.35">
      <c r="A66" s="329"/>
      <c r="C66" s="324"/>
      <c r="D66" s="324"/>
      <c r="E66" s="324"/>
      <c r="F66" s="324"/>
      <c r="G66" s="324"/>
      <c r="H66" s="324"/>
      <c r="I66" s="319"/>
      <c r="J66" s="327"/>
      <c r="K66" s="320"/>
      <c r="L66" s="320"/>
      <c r="M66" s="320"/>
      <c r="N66" s="320"/>
      <c r="O66" s="329"/>
      <c r="P66" s="329"/>
    </row>
    <row r="67" spans="1:23" ht="29.5" customHeight="1" thickBot="1" x14ac:dyDescent="0.35">
      <c r="A67" s="329"/>
      <c r="B67" s="556" t="s">
        <v>249</v>
      </c>
      <c r="C67" s="557"/>
      <c r="D67" s="557"/>
      <c r="E67" s="557"/>
      <c r="F67" s="557"/>
      <c r="G67" s="557"/>
      <c r="H67" s="558"/>
      <c r="I67" s="319"/>
      <c r="J67" s="323"/>
      <c r="K67" s="324"/>
      <c r="L67" s="324"/>
      <c r="M67" s="324"/>
      <c r="N67" s="324"/>
      <c r="O67" s="554" t="s">
        <v>141</v>
      </c>
      <c r="P67" s="555"/>
      <c r="Q67" s="4"/>
      <c r="R67" s="4"/>
      <c r="S67" s="4"/>
      <c r="T67" s="20"/>
      <c r="U67" s="4"/>
      <c r="V67" s="4"/>
      <c r="W67" s="20"/>
    </row>
    <row r="68" spans="1:23" ht="28" customHeight="1" thickBot="1" x14ac:dyDescent="0.35">
      <c r="A68" s="329"/>
      <c r="B68" s="562" t="s">
        <v>248</v>
      </c>
      <c r="C68" s="410" t="s">
        <v>149</v>
      </c>
      <c r="D68" s="411" t="s">
        <v>150</v>
      </c>
      <c r="E68" s="559" t="s">
        <v>246</v>
      </c>
      <c r="F68" s="560"/>
      <c r="G68" s="560"/>
      <c r="H68" s="561"/>
      <c r="I68" s="319"/>
      <c r="J68" s="323"/>
      <c r="K68" s="324"/>
      <c r="L68" s="324"/>
      <c r="M68" s="324"/>
      <c r="N68" s="324"/>
      <c r="O68" s="552" t="s">
        <v>231</v>
      </c>
      <c r="P68" s="553"/>
      <c r="Q68" s="4"/>
      <c r="R68" s="4"/>
      <c r="S68" s="4"/>
      <c r="T68" s="20"/>
      <c r="U68" s="4"/>
      <c r="V68" s="4"/>
      <c r="W68" s="20"/>
    </row>
    <row r="69" spans="1:23" ht="29.5" customHeight="1" thickBot="1" x14ac:dyDescent="0.35">
      <c r="A69" s="329"/>
      <c r="B69" s="563"/>
      <c r="C69" s="412" t="s">
        <v>140</v>
      </c>
      <c r="D69" s="413" t="s">
        <v>140</v>
      </c>
      <c r="E69" s="414" t="s">
        <v>53</v>
      </c>
      <c r="F69" s="415" t="s">
        <v>47</v>
      </c>
      <c r="G69" s="415" t="s">
        <v>48</v>
      </c>
      <c r="H69" s="416" t="s">
        <v>60</v>
      </c>
      <c r="I69" s="319"/>
      <c r="J69" s="327"/>
      <c r="K69" s="320"/>
      <c r="L69" s="328"/>
      <c r="M69" s="328"/>
      <c r="N69" s="320"/>
      <c r="O69" s="421" t="s">
        <v>94</v>
      </c>
      <c r="P69" s="422" t="s">
        <v>95</v>
      </c>
    </row>
    <row r="70" spans="1:23" ht="6.5" customHeight="1" thickBot="1" x14ac:dyDescent="0.35">
      <c r="A70" s="329"/>
      <c r="B70" s="347"/>
      <c r="C70" s="348"/>
      <c r="D70" s="348"/>
      <c r="E70" s="321"/>
      <c r="F70" s="321"/>
      <c r="G70" s="321"/>
      <c r="H70" s="321"/>
      <c r="I70" s="319"/>
      <c r="J70" s="327"/>
      <c r="K70" s="320"/>
      <c r="L70" s="328"/>
      <c r="M70" s="328"/>
      <c r="N70" s="320"/>
      <c r="O70" s="324"/>
      <c r="P70" s="345"/>
    </row>
    <row r="71" spans="1:23" ht="51" customHeight="1" thickBot="1" x14ac:dyDescent="0.35">
      <c r="A71" s="329"/>
      <c r="B71" s="434" t="s">
        <v>250</v>
      </c>
      <c r="C71" s="442" t="s">
        <v>306</v>
      </c>
      <c r="D71" s="443" t="s">
        <v>148</v>
      </c>
      <c r="E71" s="322"/>
      <c r="F71" s="322"/>
      <c r="G71" s="322"/>
      <c r="H71" s="322"/>
      <c r="I71" s="319"/>
      <c r="J71" s="323"/>
      <c r="K71" s="324"/>
      <c r="L71" s="324"/>
      <c r="M71" s="324"/>
      <c r="N71" s="324"/>
      <c r="O71" s="425" t="s">
        <v>307</v>
      </c>
      <c r="P71" s="426" t="s">
        <v>151</v>
      </c>
      <c r="Q71" s="4"/>
      <c r="R71" s="4"/>
      <c r="S71" s="4"/>
      <c r="T71" s="20"/>
      <c r="U71" s="4"/>
      <c r="V71" s="4"/>
      <c r="W71" s="20"/>
    </row>
    <row r="72" spans="1:23" s="386" customFormat="1" ht="5" customHeight="1" thickBot="1" x14ac:dyDescent="0.35">
      <c r="A72" s="382"/>
      <c r="B72" s="352"/>
      <c r="C72" s="381"/>
      <c r="D72" s="381"/>
      <c r="E72" s="322"/>
      <c r="F72" s="322"/>
      <c r="G72" s="322"/>
      <c r="H72" s="322"/>
      <c r="I72" s="383"/>
      <c r="J72" s="384"/>
      <c r="K72" s="322"/>
      <c r="L72" s="322"/>
      <c r="M72" s="322"/>
      <c r="N72" s="322"/>
      <c r="O72" s="321"/>
      <c r="P72" s="322"/>
      <c r="Q72" s="385"/>
      <c r="R72" s="385"/>
      <c r="S72" s="385"/>
      <c r="T72" s="38"/>
      <c r="U72" s="385"/>
      <c r="V72" s="385"/>
      <c r="W72" s="38"/>
    </row>
    <row r="73" spans="1:23" ht="22" customHeight="1" x14ac:dyDescent="0.3">
      <c r="A73" s="329"/>
      <c r="B73" s="358" t="s">
        <v>168</v>
      </c>
      <c r="C73" s="429" t="s">
        <v>156</v>
      </c>
      <c r="D73" s="429" t="s">
        <v>153</v>
      </c>
      <c r="E73" s="379" t="s">
        <v>251</v>
      </c>
      <c r="F73" s="379" t="s">
        <v>157</v>
      </c>
      <c r="G73" s="377" t="s">
        <v>158</v>
      </c>
      <c r="H73" s="380">
        <v>3.5700000000000003E-2</v>
      </c>
      <c r="I73" s="296"/>
      <c r="J73" s="297">
        <v>0.87511182601686266</v>
      </c>
      <c r="L73" s="298">
        <v>0.89642184557438798</v>
      </c>
      <c r="M73" s="298">
        <v>0.89642184557438798</v>
      </c>
      <c r="N73" s="324"/>
      <c r="O73" s="369">
        <f>L73*100</f>
        <v>89.642184557438796</v>
      </c>
      <c r="P73" s="370">
        <f>M73*100</f>
        <v>89.642184557438796</v>
      </c>
      <c r="Q73" s="4"/>
    </row>
    <row r="74" spans="1:23" ht="22" customHeight="1" thickBot="1" x14ac:dyDescent="0.35">
      <c r="A74" s="329"/>
      <c r="B74" s="361" t="s">
        <v>170</v>
      </c>
      <c r="C74" s="428" t="s">
        <v>159</v>
      </c>
      <c r="D74" s="428" t="s">
        <v>160</v>
      </c>
      <c r="E74" s="362" t="s">
        <v>161</v>
      </c>
      <c r="F74" s="362" t="s">
        <v>162</v>
      </c>
      <c r="G74" s="378" t="s">
        <v>163</v>
      </c>
      <c r="H74" s="364">
        <v>0.29930000000000001</v>
      </c>
      <c r="I74" s="353"/>
      <c r="J74" s="354">
        <v>0.15169424373656498</v>
      </c>
      <c r="K74" s="355"/>
      <c r="L74" s="356">
        <v>0.48775894538606401</v>
      </c>
      <c r="M74" s="356">
        <v>0.48775894538606401</v>
      </c>
      <c r="N74" s="357"/>
      <c r="O74" s="371">
        <f>L74*100</f>
        <v>48.775894538606401</v>
      </c>
      <c r="P74" s="372">
        <f>M74*100</f>
        <v>48.775894538606401</v>
      </c>
      <c r="Q74" s="4"/>
    </row>
    <row r="75" spans="1:23" s="386" customFormat="1" ht="5" customHeight="1" thickBot="1" x14ac:dyDescent="0.35">
      <c r="A75" s="382"/>
      <c r="B75" s="352"/>
      <c r="C75" s="381"/>
      <c r="D75" s="381"/>
      <c r="E75" s="322"/>
      <c r="F75" s="322"/>
      <c r="G75" s="322"/>
      <c r="H75" s="322"/>
      <c r="I75" s="383"/>
      <c r="J75" s="384"/>
      <c r="K75" s="322"/>
      <c r="L75" s="322"/>
      <c r="M75" s="322"/>
      <c r="N75" s="322"/>
      <c r="O75" s="321"/>
      <c r="P75" s="322"/>
      <c r="Q75" s="385"/>
      <c r="R75" s="385"/>
      <c r="S75" s="385"/>
      <c r="T75" s="38"/>
      <c r="U75" s="385"/>
      <c r="V75" s="385"/>
      <c r="W75" s="38"/>
    </row>
    <row r="76" spans="1:23" ht="22" customHeight="1" x14ac:dyDescent="0.3">
      <c r="A76" s="329"/>
      <c r="B76" s="358" t="s">
        <v>169</v>
      </c>
      <c r="C76" s="427" t="s">
        <v>177</v>
      </c>
      <c r="D76" s="427" t="s">
        <v>173</v>
      </c>
      <c r="E76" s="359" t="s">
        <v>252</v>
      </c>
      <c r="F76" s="359" t="s">
        <v>178</v>
      </c>
      <c r="G76" s="377" t="s">
        <v>179</v>
      </c>
      <c r="H76" s="360">
        <v>0.41930000000000001</v>
      </c>
      <c r="I76" s="345"/>
      <c r="J76" s="297">
        <v>7.9034344547009652E-2</v>
      </c>
      <c r="L76" s="298">
        <v>0.160075329566855</v>
      </c>
      <c r="M76" s="298">
        <v>0.160075329566855</v>
      </c>
      <c r="N76" s="324"/>
      <c r="O76" s="369">
        <f>L76*100</f>
        <v>16.007532956685498</v>
      </c>
      <c r="P76" s="370">
        <f>M76*100</f>
        <v>16.007532956685498</v>
      </c>
      <c r="Q76" s="4"/>
    </row>
    <row r="77" spans="1:23" ht="22" customHeight="1" thickBot="1" x14ac:dyDescent="0.35">
      <c r="A77" s="329"/>
      <c r="B77" s="361" t="s">
        <v>171</v>
      </c>
      <c r="C77" s="428" t="s">
        <v>203</v>
      </c>
      <c r="D77" s="428" t="s">
        <v>183</v>
      </c>
      <c r="E77" s="362" t="s">
        <v>204</v>
      </c>
      <c r="F77" s="362" t="s">
        <v>205</v>
      </c>
      <c r="G77" s="387" t="s">
        <v>206</v>
      </c>
      <c r="H77" s="364">
        <v>0.72199999999999998</v>
      </c>
      <c r="I77" s="353"/>
      <c r="J77" s="354">
        <v>1.0814752517877111E-2</v>
      </c>
      <c r="K77" s="355"/>
      <c r="L77" s="356">
        <v>9.4339622641509441E-2</v>
      </c>
      <c r="M77" s="356">
        <v>0.16917293233082706</v>
      </c>
      <c r="N77" s="324"/>
      <c r="O77" s="388">
        <f>L77*100</f>
        <v>9.433962264150944</v>
      </c>
      <c r="P77" s="389">
        <f>M77*100</f>
        <v>16.917293233082706</v>
      </c>
    </row>
    <row r="78" spans="1:23" s="386" customFormat="1" ht="5" customHeight="1" thickBot="1" x14ac:dyDescent="0.35">
      <c r="A78" s="382"/>
      <c r="B78" s="352"/>
      <c r="C78" s="381"/>
      <c r="D78" s="381"/>
      <c r="E78" s="322"/>
      <c r="F78" s="322"/>
      <c r="G78" s="322"/>
      <c r="H78" s="322"/>
      <c r="I78" s="383"/>
      <c r="J78" s="384"/>
      <c r="K78" s="322"/>
      <c r="L78" s="322"/>
      <c r="M78" s="322"/>
      <c r="N78" s="322"/>
      <c r="O78" s="321"/>
      <c r="P78" s="322"/>
      <c r="Q78" s="385"/>
      <c r="R78" s="385"/>
      <c r="S78" s="385"/>
      <c r="T78" s="38"/>
      <c r="U78" s="385"/>
      <c r="V78" s="385"/>
      <c r="W78" s="38"/>
    </row>
    <row r="79" spans="1:23" ht="34" customHeight="1" x14ac:dyDescent="0.3">
      <c r="A79" s="329"/>
      <c r="B79" s="358" t="s">
        <v>181</v>
      </c>
      <c r="C79" s="427" t="s">
        <v>207</v>
      </c>
      <c r="D79" s="427" t="s">
        <v>188</v>
      </c>
      <c r="E79" s="359" t="s">
        <v>208</v>
      </c>
      <c r="F79" s="359" t="s">
        <v>209</v>
      </c>
      <c r="G79" s="377" t="s">
        <v>210</v>
      </c>
      <c r="H79" s="360">
        <v>8.43E-2</v>
      </c>
      <c r="I79" s="345"/>
      <c r="J79" s="297">
        <v>0.55963574121152582</v>
      </c>
      <c r="L79" s="298">
        <v>5.4613935969868174E-2</v>
      </c>
      <c r="M79" s="298">
        <v>5.4613935969868174E-2</v>
      </c>
      <c r="N79" s="324"/>
      <c r="O79" s="369">
        <f>L79*100</f>
        <v>5.4613935969868175</v>
      </c>
      <c r="P79" s="370">
        <f>M79*100</f>
        <v>5.4613935969868175</v>
      </c>
      <c r="Q79" s="4"/>
    </row>
    <row r="80" spans="1:23" ht="34" customHeight="1" thickBot="1" x14ac:dyDescent="0.35">
      <c r="A80" s="329"/>
      <c r="B80" s="361" t="s">
        <v>182</v>
      </c>
      <c r="C80" s="430" t="s">
        <v>211</v>
      </c>
      <c r="D80" s="430" t="s">
        <v>193</v>
      </c>
      <c r="E80" s="362" t="s">
        <v>212</v>
      </c>
      <c r="F80" s="362" t="s">
        <v>213</v>
      </c>
      <c r="G80" s="378" t="s">
        <v>214</v>
      </c>
      <c r="H80" s="364">
        <v>5.6500000000000002E-2</v>
      </c>
      <c r="I80" s="353"/>
      <c r="J80" s="354">
        <v>0.70731423842217789</v>
      </c>
      <c r="K80" s="355"/>
      <c r="L80" s="356">
        <v>1.3182674199623353E-2</v>
      </c>
      <c r="M80" s="356">
        <v>1.3182674199623353E-2</v>
      </c>
      <c r="N80" s="324"/>
      <c r="O80" s="371">
        <f>L80*100</f>
        <v>1.3182674199623352</v>
      </c>
      <c r="P80" s="372">
        <f>M80*100</f>
        <v>1.3182674199623352</v>
      </c>
    </row>
    <row r="81" spans="1:23" s="386" customFormat="1" ht="5" customHeight="1" thickBot="1" x14ac:dyDescent="0.35">
      <c r="A81" s="382"/>
      <c r="B81" s="352"/>
      <c r="C81" s="381"/>
      <c r="D81" s="381"/>
      <c r="E81" s="322"/>
      <c r="F81" s="322"/>
      <c r="G81" s="322"/>
      <c r="H81" s="322"/>
      <c r="I81" s="383"/>
      <c r="J81" s="384"/>
      <c r="K81" s="322"/>
      <c r="L81" s="322"/>
      <c r="M81" s="322"/>
      <c r="N81" s="322"/>
      <c r="O81" s="321"/>
      <c r="P81" s="322"/>
      <c r="Q81" s="385"/>
      <c r="R81" s="385"/>
      <c r="S81" s="385"/>
      <c r="T81" s="38"/>
      <c r="U81" s="385"/>
      <c r="V81" s="385"/>
      <c r="W81" s="38"/>
    </row>
    <row r="82" spans="1:23" ht="22" customHeight="1" thickBot="1" x14ac:dyDescent="0.35">
      <c r="A82" s="329"/>
      <c r="B82" s="365" t="s">
        <v>197</v>
      </c>
      <c r="C82" s="431" t="s">
        <v>215</v>
      </c>
      <c r="D82" s="431" t="s">
        <v>199</v>
      </c>
      <c r="E82" s="366" t="s">
        <v>216</v>
      </c>
      <c r="F82" s="366" t="s">
        <v>217</v>
      </c>
      <c r="G82" s="390" t="s">
        <v>218</v>
      </c>
      <c r="H82" s="368">
        <v>0.29820000000000002</v>
      </c>
      <c r="I82" s="345"/>
      <c r="J82" s="297">
        <v>0.15261418019937364</v>
      </c>
      <c r="L82" s="298">
        <v>1.5065913370998116E-2</v>
      </c>
      <c r="M82" s="298">
        <v>1.5065913370998116E-2</v>
      </c>
      <c r="N82" s="324"/>
      <c r="O82" s="391">
        <f>L82*100</f>
        <v>1.5065913370998116</v>
      </c>
      <c r="P82" s="392">
        <f>M82*100</f>
        <v>1.5065913370998116</v>
      </c>
      <c r="Q82" s="4"/>
    </row>
    <row r="83" spans="1:23" ht="10.5" customHeight="1" thickBot="1" x14ac:dyDescent="0.35">
      <c r="A83" s="329"/>
      <c r="B83" s="349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50"/>
      <c r="P83" s="351"/>
    </row>
    <row r="84" spans="1:23" ht="56" customHeight="1" thickBot="1" x14ac:dyDescent="0.35">
      <c r="A84" s="329"/>
      <c r="B84" s="434" t="s">
        <v>250</v>
      </c>
      <c r="C84" s="442" t="s">
        <v>308</v>
      </c>
      <c r="D84" s="443" t="s">
        <v>148</v>
      </c>
      <c r="E84" s="322"/>
      <c r="F84" s="322"/>
      <c r="G84" s="322"/>
      <c r="H84" s="322"/>
      <c r="I84" s="319"/>
      <c r="J84" s="323"/>
      <c r="K84" s="324"/>
      <c r="L84" s="324"/>
      <c r="M84" s="324"/>
      <c r="N84" s="324"/>
      <c r="O84" s="442" t="s">
        <v>309</v>
      </c>
      <c r="P84" s="443" t="s">
        <v>151</v>
      </c>
    </row>
    <row r="85" spans="1:23" s="386" customFormat="1" ht="5" customHeight="1" thickBot="1" x14ac:dyDescent="0.35">
      <c r="A85" s="382"/>
      <c r="B85" s="352"/>
      <c r="C85" s="381"/>
      <c r="D85" s="381"/>
      <c r="E85" s="322"/>
      <c r="F85" s="322"/>
      <c r="G85" s="322"/>
      <c r="H85" s="322"/>
      <c r="I85" s="383"/>
      <c r="J85" s="384"/>
      <c r="K85" s="322"/>
      <c r="L85" s="322"/>
      <c r="M85" s="322"/>
      <c r="N85" s="322"/>
      <c r="O85" s="321"/>
      <c r="P85" s="322"/>
      <c r="Q85" s="385"/>
      <c r="R85" s="385"/>
      <c r="S85" s="385"/>
      <c r="T85" s="38"/>
      <c r="U85" s="385"/>
      <c r="V85" s="385"/>
      <c r="W85" s="38"/>
    </row>
    <row r="86" spans="1:23" ht="22" customHeight="1" x14ac:dyDescent="0.3">
      <c r="A86" s="329"/>
      <c r="B86" s="358" t="s">
        <v>168</v>
      </c>
      <c r="C86" s="427" t="s">
        <v>152</v>
      </c>
      <c r="D86" s="427" t="s">
        <v>153</v>
      </c>
      <c r="E86" s="359" t="s">
        <v>253</v>
      </c>
      <c r="F86" s="359" t="s">
        <v>154</v>
      </c>
      <c r="G86" s="377" t="s">
        <v>155</v>
      </c>
      <c r="H86" s="360">
        <v>3.4700000000000002E-2</v>
      </c>
      <c r="I86" s="345"/>
      <c r="J86" s="297">
        <v>0.88489995687724077</v>
      </c>
      <c r="L86" s="298">
        <v>0.90037593984962405</v>
      </c>
      <c r="M86" s="298">
        <v>0.90037593984962405</v>
      </c>
      <c r="N86" s="320"/>
      <c r="O86" s="369">
        <f>L86*100</f>
        <v>90.037593984962399</v>
      </c>
      <c r="P86" s="370">
        <f>M86*100</f>
        <v>90.037593984962399</v>
      </c>
    </row>
    <row r="87" spans="1:23" ht="22" customHeight="1" thickBot="1" x14ac:dyDescent="0.35">
      <c r="A87" s="329"/>
      <c r="B87" s="361" t="s">
        <v>170</v>
      </c>
      <c r="C87" s="428" t="s">
        <v>164</v>
      </c>
      <c r="D87" s="428" t="s">
        <v>160</v>
      </c>
      <c r="E87" s="362" t="s">
        <v>165</v>
      </c>
      <c r="F87" s="362" t="s">
        <v>166</v>
      </c>
      <c r="G87" s="378" t="s">
        <v>167</v>
      </c>
      <c r="H87" s="364">
        <v>0.1195</v>
      </c>
      <c r="I87" s="353"/>
      <c r="J87" s="354">
        <v>0.43398103975877383</v>
      </c>
      <c r="K87" s="355"/>
      <c r="L87" s="356">
        <v>0.5357142857142857</v>
      </c>
      <c r="M87" s="356">
        <v>0.5357142857142857</v>
      </c>
      <c r="N87" s="357"/>
      <c r="O87" s="371">
        <f>L87*100</f>
        <v>53.571428571428569</v>
      </c>
      <c r="P87" s="372">
        <f>M87*100</f>
        <v>53.571428571428569</v>
      </c>
    </row>
    <row r="88" spans="1:23" s="386" customFormat="1" ht="5" customHeight="1" thickBot="1" x14ac:dyDescent="0.35">
      <c r="A88" s="382"/>
      <c r="B88" s="352"/>
      <c r="C88" s="381"/>
      <c r="D88" s="381"/>
      <c r="E88" s="322"/>
      <c r="F88" s="322"/>
      <c r="G88" s="322"/>
      <c r="H88" s="322"/>
      <c r="I88" s="383"/>
      <c r="J88" s="384"/>
      <c r="K88" s="322"/>
      <c r="L88" s="322"/>
      <c r="M88" s="322"/>
      <c r="N88" s="322"/>
      <c r="O88" s="321"/>
      <c r="P88" s="322"/>
      <c r="Q88" s="385"/>
      <c r="R88" s="385"/>
      <c r="S88" s="385"/>
      <c r="T88" s="38"/>
      <c r="U88" s="385"/>
      <c r="V88" s="385"/>
      <c r="W88" s="38"/>
    </row>
    <row r="89" spans="1:23" ht="22" customHeight="1" x14ac:dyDescent="0.3">
      <c r="A89" s="329"/>
      <c r="B89" s="358" t="s">
        <v>169</v>
      </c>
      <c r="C89" s="427" t="s">
        <v>172</v>
      </c>
      <c r="D89" s="427" t="s">
        <v>173</v>
      </c>
      <c r="E89" s="359" t="s">
        <v>174</v>
      </c>
      <c r="F89" s="359" t="s">
        <v>175</v>
      </c>
      <c r="G89" s="377" t="s">
        <v>176</v>
      </c>
      <c r="H89" s="360">
        <v>0.4284</v>
      </c>
      <c r="I89" s="345"/>
      <c r="J89" s="297">
        <v>7.5164693825891957E-2</v>
      </c>
      <c r="L89" s="298">
        <v>0.21992481203007519</v>
      </c>
      <c r="M89" s="298">
        <v>0.21992481203007519</v>
      </c>
      <c r="N89" s="320"/>
      <c r="O89" s="369">
        <f>L89*100</f>
        <v>21.992481203007518</v>
      </c>
      <c r="P89" s="370">
        <f>M89*100</f>
        <v>21.992481203007518</v>
      </c>
    </row>
    <row r="90" spans="1:23" ht="22" customHeight="1" thickBot="1" x14ac:dyDescent="0.35">
      <c r="A90" s="329"/>
      <c r="B90" s="361" t="s">
        <v>171</v>
      </c>
      <c r="C90" s="428" t="s">
        <v>180</v>
      </c>
      <c r="D90" s="428" t="s">
        <v>183</v>
      </c>
      <c r="E90" s="362" t="s">
        <v>184</v>
      </c>
      <c r="F90" s="362" t="s">
        <v>185</v>
      </c>
      <c r="G90" s="378" t="s">
        <v>186</v>
      </c>
      <c r="H90" s="364">
        <v>0.1976</v>
      </c>
      <c r="I90" s="353"/>
      <c r="J90" s="354">
        <v>0.26711911856148324</v>
      </c>
      <c r="K90" s="355"/>
      <c r="L90" s="356">
        <v>0.18796992481203006</v>
      </c>
      <c r="M90" s="356">
        <v>0.18796992481203006</v>
      </c>
      <c r="N90" s="357"/>
      <c r="O90" s="371">
        <f>L90*100</f>
        <v>18.796992481203006</v>
      </c>
      <c r="P90" s="372">
        <f>M90*100</f>
        <v>18.796992481203006</v>
      </c>
    </row>
    <row r="91" spans="1:23" s="386" customFormat="1" ht="5" customHeight="1" thickBot="1" x14ac:dyDescent="0.35">
      <c r="A91" s="382"/>
      <c r="B91" s="352"/>
      <c r="C91" s="381"/>
      <c r="D91" s="381"/>
      <c r="E91" s="322"/>
      <c r="F91" s="322"/>
      <c r="G91" s="322"/>
      <c r="H91" s="322"/>
      <c r="I91" s="383"/>
      <c r="J91" s="384"/>
      <c r="K91" s="322"/>
      <c r="L91" s="322"/>
      <c r="M91" s="322"/>
      <c r="N91" s="322"/>
      <c r="O91" s="321"/>
      <c r="P91" s="322"/>
      <c r="Q91" s="385"/>
      <c r="R91" s="385"/>
      <c r="S91" s="385"/>
      <c r="T91" s="38"/>
      <c r="U91" s="385"/>
      <c r="V91" s="385"/>
      <c r="W91" s="38"/>
    </row>
    <row r="92" spans="1:23" ht="34" customHeight="1" x14ac:dyDescent="0.3">
      <c r="A92" s="329"/>
      <c r="B92" s="358" t="s">
        <v>181</v>
      </c>
      <c r="C92" s="427" t="s">
        <v>187</v>
      </c>
      <c r="D92" s="427" t="s">
        <v>188</v>
      </c>
      <c r="E92" s="359" t="s">
        <v>189</v>
      </c>
      <c r="F92" s="359" t="s">
        <v>190</v>
      </c>
      <c r="G92" s="377" t="s">
        <v>191</v>
      </c>
      <c r="H92" s="360">
        <v>0.98860000000000003</v>
      </c>
      <c r="I92" s="345"/>
      <c r="J92" s="297">
        <v>2.2533728090731642E-5</v>
      </c>
      <c r="L92" s="298">
        <v>0.16165413533834586</v>
      </c>
      <c r="M92" s="298">
        <v>4.8872180451127817E-2</v>
      </c>
      <c r="N92" s="320"/>
      <c r="O92" s="369">
        <f>L92*100</f>
        <v>16.165413533834585</v>
      </c>
      <c r="P92" s="370">
        <f>M92*100</f>
        <v>4.8872180451127818</v>
      </c>
    </row>
    <row r="93" spans="1:23" ht="34" customHeight="1" thickBot="1" x14ac:dyDescent="0.35">
      <c r="A93" s="329"/>
      <c r="B93" s="361" t="s">
        <v>182</v>
      </c>
      <c r="C93" s="428" t="s">
        <v>192</v>
      </c>
      <c r="D93" s="428" t="s">
        <v>193</v>
      </c>
      <c r="E93" s="362" t="s">
        <v>194</v>
      </c>
      <c r="F93" s="362" t="s">
        <v>195</v>
      </c>
      <c r="G93" s="363" t="s">
        <v>196</v>
      </c>
      <c r="H93" s="364">
        <v>0.98519999999999996</v>
      </c>
      <c r="I93" s="353"/>
      <c r="J93" s="354">
        <v>3.550945069480945E-5</v>
      </c>
      <c r="K93" s="355"/>
      <c r="L93" s="356">
        <v>9.7744360902255634E-2</v>
      </c>
      <c r="M93" s="356">
        <v>1.5037593984962405E-2</v>
      </c>
      <c r="N93" s="320"/>
      <c r="O93" s="373">
        <f>L93*100</f>
        <v>9.7744360902255636</v>
      </c>
      <c r="P93" s="374">
        <f>M93*100</f>
        <v>1.5037593984962405</v>
      </c>
    </row>
    <row r="94" spans="1:23" s="386" customFormat="1" ht="5" customHeight="1" thickBot="1" x14ac:dyDescent="0.35">
      <c r="A94" s="382"/>
      <c r="B94" s="352"/>
      <c r="C94" s="381"/>
      <c r="D94" s="381"/>
      <c r="E94" s="322"/>
      <c r="F94" s="322"/>
      <c r="G94" s="322"/>
      <c r="H94" s="322"/>
      <c r="I94" s="383"/>
      <c r="J94" s="384"/>
      <c r="K94" s="322"/>
      <c r="L94" s="322"/>
      <c r="M94" s="322"/>
      <c r="N94" s="322"/>
      <c r="O94" s="321"/>
      <c r="P94" s="322"/>
      <c r="Q94" s="385"/>
      <c r="R94" s="385"/>
      <c r="S94" s="385"/>
      <c r="T94" s="38"/>
      <c r="U94" s="385"/>
      <c r="V94" s="385"/>
      <c r="W94" s="38"/>
    </row>
    <row r="95" spans="1:23" ht="22" customHeight="1" thickBot="1" x14ac:dyDescent="0.35">
      <c r="A95" s="329"/>
      <c r="B95" s="365" t="s">
        <v>197</v>
      </c>
      <c r="C95" s="431" t="s">
        <v>198</v>
      </c>
      <c r="D95" s="431" t="s">
        <v>199</v>
      </c>
      <c r="E95" s="366" t="s">
        <v>200</v>
      </c>
      <c r="F95" s="366" t="s">
        <v>201</v>
      </c>
      <c r="G95" s="367" t="s">
        <v>202</v>
      </c>
      <c r="H95" s="368">
        <v>0.77290000000000003</v>
      </c>
      <c r="I95" s="345"/>
      <c r="J95" s="297">
        <v>6.7590552979131377E-3</v>
      </c>
      <c r="L95" s="298">
        <v>4.5112781954887216E-2</v>
      </c>
      <c r="M95" s="298">
        <v>7.5187969924812026E-3</v>
      </c>
      <c r="N95" s="320"/>
      <c r="O95" s="375">
        <f>L95*100</f>
        <v>4.5112781954887211</v>
      </c>
      <c r="P95" s="376">
        <f>M95*100</f>
        <v>0.75187969924812026</v>
      </c>
    </row>
    <row r="96" spans="1:23" ht="5" customHeight="1" x14ac:dyDescent="0.3">
      <c r="A96" s="329"/>
      <c r="B96" s="324"/>
      <c r="C96" s="324"/>
      <c r="D96" s="324"/>
      <c r="E96" s="324"/>
      <c r="F96" s="324"/>
      <c r="G96" s="324"/>
      <c r="H96" s="324"/>
      <c r="I96" s="345"/>
      <c r="J96" s="327"/>
      <c r="K96" s="320"/>
      <c r="L96" s="329"/>
      <c r="M96" s="329"/>
      <c r="N96" s="329"/>
      <c r="O96" s="329"/>
      <c r="P96" s="329"/>
    </row>
    <row r="97" spans="1:16" ht="26.5" customHeight="1" x14ac:dyDescent="0.3">
      <c r="A97" s="329"/>
      <c r="B97" s="520" t="s">
        <v>315</v>
      </c>
      <c r="C97" s="520"/>
      <c r="D97" s="520"/>
      <c r="E97" s="520"/>
      <c r="F97" s="520"/>
      <c r="G97" s="520"/>
      <c r="H97" s="520"/>
      <c r="I97" s="520"/>
      <c r="J97" s="520"/>
      <c r="K97" s="520"/>
      <c r="L97" s="520"/>
      <c r="M97" s="520"/>
      <c r="N97" s="520"/>
      <c r="O97" s="520"/>
      <c r="P97" s="520"/>
    </row>
    <row r="98" spans="1:16" ht="52.5" customHeight="1" x14ac:dyDescent="0.3">
      <c r="A98" s="329"/>
      <c r="B98" s="551" t="s">
        <v>146</v>
      </c>
      <c r="C98" s="551"/>
      <c r="D98" s="551"/>
      <c r="E98" s="551"/>
      <c r="F98" s="551"/>
      <c r="G98" s="551"/>
      <c r="H98" s="551"/>
      <c r="I98" s="551"/>
      <c r="J98" s="551"/>
      <c r="K98" s="551"/>
      <c r="L98" s="551"/>
      <c r="M98" s="551"/>
      <c r="N98" s="551"/>
      <c r="O98" s="551"/>
      <c r="P98" s="551"/>
    </row>
    <row r="99" spans="1:16" ht="38.5" customHeight="1" x14ac:dyDescent="0.3">
      <c r="A99" s="329"/>
      <c r="B99" s="542" t="s">
        <v>145</v>
      </c>
      <c r="C99" s="542"/>
      <c r="D99" s="542"/>
      <c r="E99" s="542"/>
      <c r="F99" s="542"/>
      <c r="G99" s="542"/>
      <c r="H99" s="542"/>
      <c r="I99" s="542"/>
      <c r="J99" s="542"/>
      <c r="K99" s="542"/>
      <c r="L99" s="542"/>
      <c r="M99" s="542"/>
      <c r="N99" s="542"/>
      <c r="O99" s="542"/>
      <c r="P99" s="542"/>
    </row>
    <row r="100" spans="1:16" x14ac:dyDescent="0.3">
      <c r="A100" s="329"/>
    </row>
    <row r="101" spans="1:16" x14ac:dyDescent="0.3">
      <c r="A101" s="329"/>
    </row>
  </sheetData>
  <mergeCells count="11">
    <mergeCell ref="B99:P99"/>
    <mergeCell ref="B2:F2"/>
    <mergeCell ref="B3:F3"/>
    <mergeCell ref="C44:D44"/>
    <mergeCell ref="B97:P97"/>
    <mergeCell ref="B98:P98"/>
    <mergeCell ref="O68:P68"/>
    <mergeCell ref="O67:P67"/>
    <mergeCell ref="B67:H67"/>
    <mergeCell ref="E68:H68"/>
    <mergeCell ref="B68:B69"/>
  </mergeCells>
  <phoneticPr fontId="2" type="noConversion"/>
  <pageMargins left="0.17" right="0.17" top="0.21" bottom="0.7" header="0" footer="0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74187-04C7-4C0A-BC14-A62E392CDD2E}">
  <dimension ref="A1:AD96"/>
  <sheetViews>
    <sheetView zoomScale="70" zoomScaleNormal="70" workbookViewId="0">
      <selection activeCell="B1" sqref="B1"/>
    </sheetView>
  </sheetViews>
  <sheetFormatPr baseColWidth="10" defaultColWidth="11.453125" defaultRowHeight="13" x14ac:dyDescent="0.3"/>
  <cols>
    <col min="1" max="1" width="0.453125" style="5" customWidth="1"/>
    <col min="2" max="2" width="37.36328125" style="5" customWidth="1"/>
    <col min="3" max="3" width="20.1796875" style="5" customWidth="1"/>
    <col min="4" max="4" width="20.453125" style="5" customWidth="1"/>
    <col min="5" max="5" width="15.54296875" style="5" customWidth="1"/>
    <col min="6" max="6" width="23.81640625" style="5" customWidth="1"/>
    <col min="7" max="7" width="16.54296875" style="5" customWidth="1"/>
    <col min="8" max="8" width="13.453125" style="5" customWidth="1"/>
    <col min="9" max="9" width="5.54296875" style="5" customWidth="1"/>
    <col min="10" max="10" width="13.81640625" style="5" hidden="1" customWidth="1"/>
    <col min="11" max="11" width="2.453125" style="5" hidden="1" customWidth="1"/>
    <col min="12" max="13" width="14.26953125" style="5" hidden="1" customWidth="1"/>
    <col min="14" max="14" width="2.54296875" style="5" hidden="1" customWidth="1"/>
    <col min="15" max="15" width="14.26953125" style="12" bestFit="1" customWidth="1"/>
    <col min="16" max="16" width="14.26953125" style="12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453125" style="5"/>
    <col min="21" max="22" width="11.453125" style="12"/>
    <col min="23" max="16384" width="11.453125" style="5"/>
  </cols>
  <sheetData>
    <row r="1" spans="2:30" s="4" customFormat="1" ht="8.25" customHeight="1" thickBot="1" x14ac:dyDescent="0.35">
      <c r="B1" s="106"/>
      <c r="C1" s="107"/>
      <c r="D1" s="106"/>
      <c r="E1" s="108"/>
      <c r="F1" s="5"/>
      <c r="G1" s="5"/>
      <c r="H1" s="109"/>
      <c r="I1" s="109"/>
      <c r="J1" s="109"/>
      <c r="K1" s="109"/>
      <c r="L1" s="8"/>
      <c r="M1" s="13"/>
      <c r="N1" s="13"/>
      <c r="O1" s="2"/>
      <c r="P1" s="2"/>
      <c r="Q1" s="3"/>
      <c r="R1" s="2"/>
      <c r="S1" s="2"/>
      <c r="T1" s="2"/>
      <c r="U1" s="110"/>
      <c r="V1" s="110"/>
      <c r="W1" s="110"/>
      <c r="X1" s="110"/>
      <c r="Y1" s="110"/>
      <c r="Z1" s="110"/>
      <c r="AA1" s="110"/>
      <c r="AB1" s="110"/>
      <c r="AC1" s="110"/>
    </row>
    <row r="2" spans="2:30" ht="24.75" customHeight="1" thickBot="1" x14ac:dyDescent="0.35">
      <c r="B2" s="543" t="s">
        <v>84</v>
      </c>
      <c r="C2" s="544"/>
      <c r="D2" s="544"/>
      <c r="E2" s="544"/>
      <c r="F2" s="545"/>
      <c r="G2" s="111"/>
      <c r="H2" s="112" t="s">
        <v>93</v>
      </c>
      <c r="I2" s="113">
        <v>0.95</v>
      </c>
      <c r="J2" s="111"/>
      <c r="K2" s="7"/>
      <c r="L2" s="8"/>
      <c r="M2" s="9"/>
      <c r="N2" s="9"/>
      <c r="O2" s="10"/>
      <c r="P2" s="10"/>
      <c r="Q2" s="11"/>
      <c r="R2" s="10"/>
      <c r="S2" s="10"/>
      <c r="T2" s="10"/>
      <c r="U2" s="10"/>
      <c r="V2" s="10"/>
      <c r="W2" s="10"/>
      <c r="X2" s="12"/>
      <c r="Y2" s="12"/>
      <c r="Z2" s="12"/>
      <c r="AA2" s="12"/>
      <c r="AB2" s="12"/>
      <c r="AC2" s="12"/>
      <c r="AD2" s="12"/>
    </row>
    <row r="3" spans="2:30" ht="28.5" customHeight="1" x14ac:dyDescent="0.3">
      <c r="B3" s="546" t="s">
        <v>136</v>
      </c>
      <c r="C3" s="547"/>
      <c r="D3" s="547"/>
      <c r="E3" s="547"/>
      <c r="F3" s="548"/>
      <c r="G3" s="114"/>
      <c r="H3" s="114"/>
      <c r="I3" s="114"/>
      <c r="J3" s="114"/>
      <c r="K3" s="7"/>
      <c r="L3" s="8"/>
      <c r="M3" s="9"/>
      <c r="N3" s="9"/>
      <c r="O3" s="10"/>
      <c r="P3" s="10"/>
      <c r="Q3" s="11"/>
      <c r="R3" s="10"/>
      <c r="S3" s="10"/>
      <c r="T3" s="10"/>
      <c r="U3" s="10"/>
      <c r="V3" s="10"/>
      <c r="W3" s="10"/>
      <c r="X3" s="12"/>
      <c r="Y3" s="12"/>
      <c r="Z3" s="12"/>
      <c r="AA3" s="12"/>
      <c r="AB3" s="12"/>
      <c r="AC3" s="12"/>
      <c r="AD3" s="12"/>
    </row>
    <row r="4" spans="2:30" ht="12.75" customHeight="1" x14ac:dyDescent="0.7">
      <c r="B4" s="80"/>
      <c r="C4" s="14"/>
      <c r="D4" s="13"/>
      <c r="E4" s="13"/>
      <c r="F4" s="6"/>
      <c r="G4" s="15"/>
      <c r="J4" s="114"/>
      <c r="K4" s="81"/>
      <c r="L4" s="16"/>
      <c r="O4" s="10"/>
      <c r="P4" s="10"/>
      <c r="Q4" s="17"/>
      <c r="R4" s="10"/>
      <c r="S4" s="10"/>
      <c r="T4" s="15"/>
      <c r="V4" s="18"/>
      <c r="W4" s="18"/>
      <c r="X4" s="12"/>
      <c r="Y4" s="18"/>
      <c r="Z4" s="19"/>
      <c r="AA4" s="12"/>
      <c r="AB4" s="12"/>
      <c r="AC4" s="12"/>
      <c r="AD4" s="12"/>
    </row>
    <row r="5" spans="2:30" x14ac:dyDescent="0.3">
      <c r="B5" s="115" t="s">
        <v>73</v>
      </c>
      <c r="C5" s="116"/>
      <c r="D5" s="117" t="s">
        <v>20</v>
      </c>
      <c r="E5" s="117" t="s">
        <v>21</v>
      </c>
      <c r="F5" s="118"/>
      <c r="I5" s="119"/>
      <c r="J5" s="114"/>
      <c r="K5" s="119"/>
      <c r="L5" s="120"/>
      <c r="M5" s="120"/>
      <c r="N5" s="120"/>
      <c r="O5" s="10"/>
      <c r="P5" s="10"/>
      <c r="Q5" s="10"/>
      <c r="R5" s="10"/>
      <c r="S5" s="10"/>
      <c r="T5" s="15"/>
      <c r="V5" s="18"/>
      <c r="W5" s="18"/>
      <c r="X5" s="12"/>
      <c r="Y5" s="18"/>
      <c r="Z5" s="19"/>
      <c r="AA5" s="12"/>
      <c r="AB5" s="12"/>
      <c r="AC5" s="12"/>
      <c r="AD5" s="12"/>
    </row>
    <row r="6" spans="2:30" x14ac:dyDescent="0.3">
      <c r="B6" s="93"/>
      <c r="C6" s="121"/>
      <c r="D6" s="122" t="s">
        <v>3</v>
      </c>
      <c r="E6" s="122" t="s">
        <v>2</v>
      </c>
      <c r="F6" s="123" t="s">
        <v>22</v>
      </c>
      <c r="I6" s="119"/>
      <c r="J6" s="114"/>
      <c r="K6" s="119"/>
      <c r="L6" s="120"/>
      <c r="M6" s="120"/>
      <c r="N6" s="120"/>
      <c r="O6" s="10"/>
      <c r="P6" s="10"/>
      <c r="Q6" s="10"/>
      <c r="R6" s="10"/>
      <c r="S6" s="10"/>
      <c r="T6" s="15"/>
      <c r="V6" s="18"/>
      <c r="W6" s="18"/>
      <c r="X6" s="12"/>
      <c r="Y6" s="18"/>
      <c r="Z6" s="12"/>
      <c r="AA6" s="12"/>
      <c r="AB6" s="12"/>
      <c r="AC6" s="12"/>
      <c r="AD6" s="12"/>
    </row>
    <row r="7" spans="2:30" ht="12.75" customHeight="1" x14ac:dyDescent="0.3">
      <c r="B7" s="340"/>
      <c r="C7" s="124" t="s">
        <v>94</v>
      </c>
      <c r="D7" s="125">
        <v>8</v>
      </c>
      <c r="E7" s="126">
        <f>F7-D7</f>
        <v>260</v>
      </c>
      <c r="F7" s="127">
        <v>268</v>
      </c>
      <c r="G7" s="119"/>
      <c r="H7" s="333"/>
      <c r="I7" s="334"/>
      <c r="J7" s="114"/>
      <c r="K7" s="119"/>
      <c r="L7" s="120"/>
      <c r="M7" s="120"/>
      <c r="N7" s="120"/>
      <c r="O7" s="10"/>
      <c r="Q7" s="10"/>
      <c r="R7" s="10"/>
      <c r="S7" s="10"/>
      <c r="T7" s="15"/>
      <c r="V7" s="18"/>
      <c r="W7" s="18"/>
      <c r="X7" s="12"/>
      <c r="Y7" s="18"/>
      <c r="Z7" s="12"/>
      <c r="AA7" s="12"/>
      <c r="AB7" s="12"/>
      <c r="AC7" s="12"/>
      <c r="AD7" s="12"/>
    </row>
    <row r="8" spans="2:30" ht="12.75" customHeight="1" x14ac:dyDescent="0.3">
      <c r="B8" s="340"/>
      <c r="C8" s="124" t="s">
        <v>95</v>
      </c>
      <c r="D8" s="125">
        <v>2</v>
      </c>
      <c r="E8" s="126">
        <f>F8-D8</f>
        <v>267</v>
      </c>
      <c r="F8" s="127">
        <v>269</v>
      </c>
      <c r="G8" s="119"/>
      <c r="H8" s="333"/>
      <c r="I8" s="334"/>
      <c r="J8" s="114"/>
      <c r="K8" s="119"/>
      <c r="L8" s="120"/>
      <c r="M8" s="128"/>
      <c r="N8" s="120"/>
      <c r="O8" s="10"/>
      <c r="Q8" s="10"/>
      <c r="R8" s="10"/>
      <c r="S8" s="10"/>
      <c r="T8" s="15"/>
      <c r="V8" s="18"/>
      <c r="W8" s="18"/>
      <c r="X8" s="12"/>
      <c r="Y8" s="18"/>
      <c r="Z8" s="12"/>
      <c r="AA8" s="12"/>
      <c r="AB8" s="12"/>
      <c r="AC8" s="12"/>
      <c r="AD8" s="12"/>
    </row>
    <row r="9" spans="2:30" x14ac:dyDescent="0.3">
      <c r="B9" s="93"/>
      <c r="C9" s="129" t="s">
        <v>22</v>
      </c>
      <c r="D9" s="130">
        <f>SUM(D7:D8)</f>
        <v>10</v>
      </c>
      <c r="E9" s="131">
        <f>SUM(E7:E8)</f>
        <v>527</v>
      </c>
      <c r="F9" s="132">
        <f>SUM(F7:F8)</f>
        <v>537</v>
      </c>
      <c r="G9" s="337"/>
      <c r="H9" s="338"/>
      <c r="I9" s="339"/>
      <c r="J9" s="114"/>
      <c r="K9" s="119"/>
      <c r="L9" s="120"/>
      <c r="M9" s="128"/>
      <c r="N9" s="120"/>
      <c r="P9" s="23"/>
      <c r="Q9" s="24"/>
      <c r="R9" s="336"/>
      <c r="S9" s="24"/>
      <c r="T9" s="18"/>
      <c r="V9" s="18"/>
      <c r="W9" s="18"/>
      <c r="X9" s="12"/>
      <c r="Y9" s="18"/>
      <c r="Z9" s="12"/>
      <c r="AA9" s="12"/>
      <c r="AB9" s="12"/>
      <c r="AC9" s="12"/>
      <c r="AD9" s="12"/>
    </row>
    <row r="10" spans="2:30" ht="12.75" hidden="1" customHeight="1" x14ac:dyDescent="0.3">
      <c r="B10" s="93"/>
      <c r="C10" s="25"/>
      <c r="D10" s="26"/>
      <c r="E10" s="22"/>
      <c r="F10" s="22"/>
      <c r="G10" s="120"/>
      <c r="H10" s="120"/>
      <c r="I10" s="119"/>
      <c r="J10" s="119"/>
      <c r="K10" s="119"/>
      <c r="L10" s="120"/>
      <c r="M10" s="128"/>
      <c r="N10" s="120"/>
      <c r="P10" s="23"/>
      <c r="Q10" s="24"/>
      <c r="R10" s="24"/>
      <c r="S10" s="24"/>
      <c r="T10" s="18"/>
      <c r="V10" s="18"/>
      <c r="W10" s="18"/>
      <c r="X10" s="12"/>
      <c r="Y10" s="18"/>
      <c r="Z10" s="12"/>
      <c r="AA10" s="12"/>
      <c r="AB10" s="12"/>
      <c r="AC10" s="12"/>
      <c r="AD10" s="12"/>
    </row>
    <row r="11" spans="2:30" s="4" customFormat="1" ht="14.25" hidden="1" customHeight="1" x14ac:dyDescent="0.3">
      <c r="B11" s="133" t="s">
        <v>96</v>
      </c>
      <c r="C11" s="28"/>
      <c r="D11" s="29"/>
      <c r="E11" s="2"/>
      <c r="F11" s="21"/>
      <c r="G11" s="134"/>
      <c r="H11" s="128"/>
      <c r="I11" s="134"/>
      <c r="J11" s="128"/>
      <c r="K11" s="135"/>
      <c r="L11" s="135"/>
      <c r="M11" s="134"/>
      <c r="N11" s="135"/>
      <c r="P11" s="2"/>
      <c r="Q11" s="31"/>
      <c r="R11" s="31"/>
      <c r="S11" s="31"/>
      <c r="T11" s="2"/>
      <c r="U11" s="2"/>
      <c r="V11" s="2"/>
      <c r="W11" s="2"/>
    </row>
    <row r="12" spans="2:30" s="4" customFormat="1" ht="12.75" hidden="1" customHeight="1" x14ac:dyDescent="0.3">
      <c r="B12" s="93" t="s">
        <v>89</v>
      </c>
      <c r="C12" s="28"/>
      <c r="D12" s="29"/>
      <c r="E12" s="2"/>
      <c r="F12" s="21"/>
      <c r="G12" s="134"/>
      <c r="H12" s="128"/>
      <c r="I12" s="134"/>
      <c r="J12" s="128"/>
      <c r="K12" s="136"/>
      <c r="L12" s="135"/>
      <c r="M12" s="135"/>
      <c r="N12" s="135"/>
      <c r="P12" s="2"/>
      <c r="Q12" s="3"/>
      <c r="R12" s="3"/>
      <c r="S12" s="3"/>
      <c r="T12" s="2"/>
      <c r="U12" s="2"/>
      <c r="V12" s="2"/>
      <c r="W12" s="2"/>
    </row>
    <row r="13" spans="2:30" s="4" customFormat="1" ht="45" hidden="1" customHeight="1" x14ac:dyDescent="0.3">
      <c r="B13" s="98" t="s">
        <v>25</v>
      </c>
      <c r="C13" s="98" t="s">
        <v>90</v>
      </c>
      <c r="D13" s="98" t="s">
        <v>97</v>
      </c>
      <c r="E13" s="98" t="s">
        <v>91</v>
      </c>
      <c r="F13" s="98" t="s">
        <v>92</v>
      </c>
      <c r="G13" s="98" t="s">
        <v>4</v>
      </c>
      <c r="H13" s="98" t="s">
        <v>98</v>
      </c>
      <c r="I13" s="98" t="s">
        <v>99</v>
      </c>
      <c r="J13" s="128"/>
      <c r="K13" s="137" t="s">
        <v>45</v>
      </c>
      <c r="L13" s="138" t="s">
        <v>0</v>
      </c>
      <c r="M13" s="138" t="s">
        <v>1</v>
      </c>
      <c r="N13" s="135"/>
      <c r="P13" s="2"/>
      <c r="Q13" s="2"/>
      <c r="R13" s="2"/>
      <c r="S13" s="2"/>
      <c r="T13" s="2"/>
      <c r="U13" s="2"/>
      <c r="V13" s="2"/>
      <c r="W13" s="2"/>
    </row>
    <row r="14" spans="2:30" s="4" customFormat="1" ht="12.75" hidden="1" customHeight="1" x14ac:dyDescent="0.3">
      <c r="B14" s="99">
        <f>LN((D7/F7)/(D8/F8))</f>
        <v>1.3900187602108731</v>
      </c>
      <c r="C14" s="99">
        <f>SQRT((E7/(D7*F7)+(E8/(D8*F8))))</f>
        <v>0.78584424957968535</v>
      </c>
      <c r="D14" s="139">
        <f>-NORMSINV((1-I2)/2)</f>
        <v>1.9599639845400536</v>
      </c>
      <c r="E14" s="100">
        <f>B14-(D14*C14)</f>
        <v>-0.15020766642321526</v>
      </c>
      <c r="F14" s="101">
        <f>B14+(D14*C14)</f>
        <v>2.9302451868449615</v>
      </c>
      <c r="G14" s="140">
        <f>(D7/F7)/(D8/F8)</f>
        <v>4.0149253731343286</v>
      </c>
      <c r="H14" s="140">
        <f>EXP(E14)</f>
        <v>0.86052925483603959</v>
      </c>
      <c r="I14" s="140">
        <f>EXP(F14)</f>
        <v>18.73222282827464</v>
      </c>
      <c r="J14" s="128"/>
      <c r="K14" s="141">
        <f>1-G14</f>
        <v>-3.0149253731343286</v>
      </c>
      <c r="L14" s="140">
        <f>1-H14</f>
        <v>0.13947074516396041</v>
      </c>
      <c r="M14" s="140">
        <f>1-I14</f>
        <v>-17.73222282827464</v>
      </c>
      <c r="N14" s="142"/>
      <c r="P14" s="2"/>
      <c r="Q14" s="2"/>
      <c r="R14" s="2"/>
      <c r="S14" s="2"/>
      <c r="T14" s="2"/>
      <c r="U14" s="2"/>
      <c r="V14" s="2"/>
      <c r="W14" s="2"/>
    </row>
    <row r="15" spans="2:30" s="4" customFormat="1" ht="12.75" hidden="1" customHeight="1" x14ac:dyDescent="0.3">
      <c r="B15" s="143"/>
      <c r="C15" s="28"/>
      <c r="D15" s="28"/>
      <c r="E15" s="28"/>
      <c r="F15" s="32"/>
      <c r="G15" s="144"/>
      <c r="H15" s="128"/>
      <c r="I15" s="134"/>
      <c r="J15" s="128"/>
      <c r="K15" s="134"/>
      <c r="L15" s="134"/>
      <c r="M15" s="134"/>
      <c r="N15" s="135"/>
      <c r="P15" s="2"/>
      <c r="Q15" s="2"/>
      <c r="R15" s="2"/>
      <c r="S15" s="2"/>
      <c r="T15" s="2"/>
      <c r="U15" s="2"/>
      <c r="V15" s="2"/>
      <c r="W15" s="2"/>
    </row>
    <row r="16" spans="2:30" s="12" customFormat="1" ht="12.75" hidden="1" customHeight="1" x14ac:dyDescent="0.3">
      <c r="B16" s="87"/>
      <c r="C16" s="33"/>
      <c r="D16" s="34"/>
      <c r="E16" s="35"/>
      <c r="F16" s="36"/>
      <c r="G16" s="145"/>
      <c r="H16" s="146"/>
      <c r="I16" s="147"/>
      <c r="J16" s="147"/>
      <c r="K16" s="148"/>
      <c r="L16" s="148"/>
      <c r="M16" s="149"/>
      <c r="N16" s="149"/>
    </row>
    <row r="17" spans="2:30" ht="15.75" hidden="1" customHeight="1" x14ac:dyDescent="0.3">
      <c r="B17" s="39" t="s">
        <v>100</v>
      </c>
      <c r="C17" s="2"/>
      <c r="D17" s="150"/>
      <c r="E17" s="150"/>
      <c r="F17" s="13"/>
      <c r="G17" s="13"/>
      <c r="H17" s="151"/>
      <c r="I17" s="40"/>
      <c r="J17" s="152"/>
      <c r="K17" s="152"/>
      <c r="L17" s="4"/>
      <c r="M17" s="135"/>
      <c r="N17" s="128"/>
      <c r="O17" s="40"/>
      <c r="P17" s="2"/>
      <c r="Q17" s="2"/>
      <c r="R17" s="41"/>
      <c r="S17" s="40"/>
      <c r="T17" s="42"/>
      <c r="U17" s="42"/>
      <c r="V17" s="42"/>
      <c r="W17" s="12"/>
      <c r="X17" s="12"/>
      <c r="Y17" s="12"/>
      <c r="Z17" s="12"/>
      <c r="AA17" s="12"/>
      <c r="AB17" s="12"/>
      <c r="AC17" s="12"/>
    </row>
    <row r="18" spans="2:30" ht="12.75" hidden="1" customHeight="1" x14ac:dyDescent="0.3">
      <c r="B18" s="44" t="s">
        <v>101</v>
      </c>
      <c r="C18" s="2"/>
      <c r="D18" s="40"/>
      <c r="E18" s="40"/>
      <c r="F18" s="2"/>
      <c r="G18" s="2"/>
      <c r="H18" s="41"/>
      <c r="I18" s="40"/>
      <c r="J18" s="42"/>
      <c r="K18" s="42"/>
      <c r="L18" s="42"/>
      <c r="M18" s="135"/>
      <c r="N18" s="128"/>
      <c r="O18" s="2"/>
      <c r="P18" s="2"/>
      <c r="Q18" s="41"/>
      <c r="R18" s="40"/>
      <c r="S18" s="42"/>
      <c r="T18" s="42"/>
      <c r="U18" s="42"/>
      <c r="W18" s="12" t="s">
        <v>27</v>
      </c>
      <c r="X18" s="12"/>
      <c r="Y18" s="12"/>
      <c r="Z18" s="12"/>
      <c r="AA18" s="12"/>
      <c r="AB18" s="12"/>
    </row>
    <row r="19" spans="2:30" ht="25.5" hidden="1" customHeight="1" x14ac:dyDescent="0.3">
      <c r="B19" s="153" t="s">
        <v>102</v>
      </c>
      <c r="C19" s="5" t="s">
        <v>9</v>
      </c>
      <c r="D19" s="4"/>
      <c r="E19" s="5" t="s">
        <v>103</v>
      </c>
      <c r="G19" s="5" t="s">
        <v>7</v>
      </c>
      <c r="I19" s="5" t="s">
        <v>8</v>
      </c>
      <c r="J19" s="42"/>
      <c r="K19" s="42"/>
      <c r="L19" s="42"/>
      <c r="M19" s="135"/>
      <c r="N19" s="148"/>
      <c r="P19" s="5"/>
      <c r="T19" s="12"/>
      <c r="V19" s="5"/>
      <c r="W19" s="5" t="s">
        <v>28</v>
      </c>
      <c r="Y19" s="12"/>
      <c r="Z19" s="12"/>
      <c r="AA19" s="12"/>
      <c r="AB19" s="12"/>
      <c r="AC19" s="12"/>
      <c r="AD19" s="12"/>
    </row>
    <row r="20" spans="2:30" ht="38.25" hidden="1" customHeight="1" x14ac:dyDescent="0.4">
      <c r="B20" s="98" t="s">
        <v>104</v>
      </c>
      <c r="C20" s="98" t="s">
        <v>26</v>
      </c>
      <c r="D20" s="154" t="s">
        <v>10</v>
      </c>
      <c r="E20" s="154" t="s">
        <v>9</v>
      </c>
      <c r="F20" s="154" t="s">
        <v>105</v>
      </c>
      <c r="G20" s="154" t="s">
        <v>7</v>
      </c>
      <c r="H20" s="154" t="s">
        <v>8</v>
      </c>
      <c r="I20" s="155" t="s">
        <v>5</v>
      </c>
      <c r="J20" s="154" t="s">
        <v>106</v>
      </c>
      <c r="K20" s="154" t="s">
        <v>0</v>
      </c>
      <c r="L20" s="154" t="s">
        <v>1</v>
      </c>
      <c r="M20" s="156"/>
      <c r="N20" s="157"/>
      <c r="O20" s="158" t="s">
        <v>13</v>
      </c>
      <c r="P20" s="159" t="s">
        <v>78</v>
      </c>
      <c r="Q20" s="160"/>
      <c r="R20" s="161"/>
      <c r="S20" s="162"/>
      <c r="T20" s="162"/>
      <c r="U20" s="163"/>
      <c r="W20" s="164"/>
      <c r="X20" s="158" t="s">
        <v>79</v>
      </c>
      <c r="Y20" s="159" t="s">
        <v>107</v>
      </c>
      <c r="Z20" s="102"/>
      <c r="AA20" s="102"/>
      <c r="AB20" s="102" t="s">
        <v>108</v>
      </c>
      <c r="AC20" s="102"/>
      <c r="AD20" s="86"/>
    </row>
    <row r="21" spans="2:30" ht="12.75" hidden="1" customHeight="1" x14ac:dyDescent="0.3">
      <c r="B21" s="165">
        <f>D7</f>
        <v>8</v>
      </c>
      <c r="C21" s="166">
        <f>F7</f>
        <v>268</v>
      </c>
      <c r="D21" s="167">
        <f>B21/C21</f>
        <v>2.9850746268656716E-2</v>
      </c>
      <c r="E21" s="168">
        <f>2*B21+I21^2</f>
        <v>19.841458820694122</v>
      </c>
      <c r="F21" s="168">
        <f>I21*SQRT((I21^2)+(4*B21*(1-D21)))</f>
        <v>11.576443103623996</v>
      </c>
      <c r="G21" s="169">
        <f>2*(C21+I21^2)</f>
        <v>543.68291764138826</v>
      </c>
      <c r="H21" s="170" t="s">
        <v>11</v>
      </c>
      <c r="I21" s="139">
        <f>-NORMSINV((1-I2)/2)</f>
        <v>1.9599639845400536</v>
      </c>
      <c r="J21" s="171">
        <f>D21</f>
        <v>2.9850746268656716E-2</v>
      </c>
      <c r="K21" s="171">
        <f>(E21-F21)/G21</f>
        <v>1.5201904361692135E-2</v>
      </c>
      <c r="L21" s="171">
        <f>(E21+F21)/G21</f>
        <v>5.778717871184115E-2</v>
      </c>
      <c r="M21" s="156"/>
      <c r="N21" s="172">
        <f>F9/2</f>
        <v>268.5</v>
      </c>
      <c r="O21" s="20" t="s">
        <v>14</v>
      </c>
      <c r="P21" s="2"/>
      <c r="Q21" s="41"/>
      <c r="R21" s="40"/>
      <c r="S21" s="42"/>
      <c r="T21" s="42"/>
      <c r="U21" s="173"/>
      <c r="W21" s="174">
        <f>ABS(D21-D22)</f>
        <v>2.2415802030738501E-2</v>
      </c>
      <c r="X21" s="20" t="s">
        <v>109</v>
      </c>
      <c r="Y21" s="2"/>
      <c r="Z21" s="20"/>
      <c r="AA21" s="20"/>
      <c r="AB21" s="20" t="s">
        <v>110</v>
      </c>
      <c r="AC21" s="20"/>
      <c r="AD21" s="175"/>
    </row>
    <row r="22" spans="2:30" ht="14.25" hidden="1" customHeight="1" x14ac:dyDescent="0.4">
      <c r="B22" s="165">
        <f>D8</f>
        <v>2</v>
      </c>
      <c r="C22" s="166">
        <f>F8</f>
        <v>269</v>
      </c>
      <c r="D22" s="167">
        <f>B22/C22</f>
        <v>7.4349442379182153E-3</v>
      </c>
      <c r="E22" s="168">
        <f>2*B22+I22^2</f>
        <v>7.8414588206941236</v>
      </c>
      <c r="F22" s="168">
        <f>I22*SQRT((I22^2)+(4*B22*(1-D22)))</f>
        <v>6.7275543981188823</v>
      </c>
      <c r="G22" s="169">
        <f>2*(C22+I22^2)</f>
        <v>545.68291764138826</v>
      </c>
      <c r="H22" s="170" t="s">
        <v>11</v>
      </c>
      <c r="I22" s="139">
        <f>-NORMSINV((1-I2)/2)</f>
        <v>1.9599639845400536</v>
      </c>
      <c r="J22" s="171">
        <f>D22</f>
        <v>7.4349442379182153E-3</v>
      </c>
      <c r="K22" s="171">
        <f>(E22-F22)/G22</f>
        <v>2.0413034503441734E-3</v>
      </c>
      <c r="L22" s="171">
        <f>(E22+F22)/G22</f>
        <v>2.6698679302230723E-2</v>
      </c>
      <c r="M22" s="156"/>
      <c r="N22" s="176">
        <f>J26</f>
        <v>-2.2415802030738501E-2</v>
      </c>
      <c r="O22" s="20" t="s">
        <v>15</v>
      </c>
      <c r="P22" s="20"/>
      <c r="Q22" s="20"/>
      <c r="R22" s="20"/>
      <c r="S22" s="20"/>
      <c r="T22" s="20"/>
      <c r="U22" s="104"/>
      <c r="W22" s="177">
        <f>SQRT((D23*(1-D23)/C21)+(D23*(1-D23)/C22))</f>
        <v>1.1667414519508781E-2</v>
      </c>
      <c r="X22" s="44" t="s">
        <v>111</v>
      </c>
      <c r="Y22" s="20"/>
      <c r="Z22" s="20"/>
      <c r="AA22" s="20"/>
      <c r="AB22" s="20"/>
      <c r="AC22" s="20"/>
      <c r="AD22" s="175"/>
    </row>
    <row r="23" spans="2:30" ht="12.75" hidden="1" customHeight="1" x14ac:dyDescent="0.3">
      <c r="B23" s="165">
        <f>D9</f>
        <v>10</v>
      </c>
      <c r="C23" s="166">
        <f>F9</f>
        <v>537</v>
      </c>
      <c r="D23" s="167">
        <f>B23/C23</f>
        <v>1.86219739292365E-2</v>
      </c>
      <c r="E23" s="168">
        <f>2*B23+I23^2</f>
        <v>23.841458820694122</v>
      </c>
      <c r="F23" s="168">
        <f>I23*SQRT((I23^2)+(4*B23*(1-D23)))</f>
        <v>12.866768703077145</v>
      </c>
      <c r="G23" s="169">
        <f>2*(C23+I23^2)</f>
        <v>1081.6829176413883</v>
      </c>
      <c r="H23" s="170" t="s">
        <v>11</v>
      </c>
      <c r="I23" s="139">
        <f>-NORMSINV((1-I2)/2)</f>
        <v>1.9599639845400536</v>
      </c>
      <c r="J23" s="171">
        <f>D23</f>
        <v>1.86219739292365E-2</v>
      </c>
      <c r="K23" s="171">
        <f>(E23-F23)/G23</f>
        <v>1.0145940125917224E-2</v>
      </c>
      <c r="L23" s="171">
        <f>(E23+F23)/G23</f>
        <v>3.39362182069156E-2</v>
      </c>
      <c r="M23" s="156"/>
      <c r="N23" s="178">
        <f>(B21+B22)/(C21+C22)</f>
        <v>1.86219739292365E-2</v>
      </c>
      <c r="O23" s="20" t="s">
        <v>6</v>
      </c>
      <c r="P23" s="2"/>
      <c r="Q23" s="41"/>
      <c r="R23" s="40"/>
      <c r="S23" s="42"/>
      <c r="T23" s="42"/>
      <c r="U23" s="175"/>
      <c r="W23" s="179">
        <f>W21/W22</f>
        <v>1.9212313056382475</v>
      </c>
      <c r="X23" s="20" t="s">
        <v>44</v>
      </c>
      <c r="Y23" s="2"/>
      <c r="Z23" s="20"/>
      <c r="AA23" s="20"/>
      <c r="AB23" s="20"/>
      <c r="AC23" s="20"/>
      <c r="AD23" s="175"/>
    </row>
    <row r="24" spans="2:30" ht="15" hidden="1" customHeight="1" x14ac:dyDescent="0.3">
      <c r="B24" s="93"/>
      <c r="C24" s="180" t="s">
        <v>12</v>
      </c>
      <c r="F24" s="37"/>
      <c r="G24" s="147"/>
      <c r="H24" s="147"/>
      <c r="I24" s="147"/>
      <c r="J24" s="147"/>
      <c r="K24" s="148"/>
      <c r="L24" s="120"/>
      <c r="M24" s="156"/>
      <c r="N24" s="181">
        <f>SQRT(N21*N22^2/(2*N23*(1-N23)))-I21</f>
        <v>-3.8729347690229288E-2</v>
      </c>
      <c r="O24" s="20" t="s">
        <v>112</v>
      </c>
      <c r="P24" s="20"/>
      <c r="Q24" s="20"/>
      <c r="R24" s="20"/>
      <c r="S24" s="20"/>
      <c r="T24" s="4"/>
      <c r="U24" s="173"/>
      <c r="W24" s="182">
        <f>NORMSDIST(-W23)</f>
        <v>2.7351276543288599E-2</v>
      </c>
      <c r="X24" s="39" t="s">
        <v>113</v>
      </c>
      <c r="Y24" s="20"/>
      <c r="Z24" s="4"/>
      <c r="AA24" s="4"/>
      <c r="AB24" s="4"/>
      <c r="AC24" s="4"/>
      <c r="AD24" s="104"/>
    </row>
    <row r="25" spans="2:30" ht="13.5" hidden="1" customHeight="1" x14ac:dyDescent="0.3">
      <c r="B25" s="93"/>
      <c r="C25" s="180" t="s">
        <v>114</v>
      </c>
      <c r="D25" s="27"/>
      <c r="E25" s="38"/>
      <c r="F25" s="37"/>
      <c r="G25" s="147"/>
      <c r="H25" s="120"/>
      <c r="I25" s="120"/>
      <c r="J25" s="183"/>
      <c r="K25" s="183"/>
      <c r="L25" s="183"/>
      <c r="M25" s="156"/>
      <c r="N25" s="184">
        <f>NORMSDIST(N24)</f>
        <v>0.48455308744176856</v>
      </c>
      <c r="O25" s="39" t="s">
        <v>16</v>
      </c>
      <c r="P25" s="45"/>
      <c r="Q25" s="20"/>
      <c r="R25" s="20"/>
      <c r="S25" s="20"/>
      <c r="T25" s="20"/>
      <c r="U25" s="175"/>
      <c r="W25" s="185">
        <f>1-W24</f>
        <v>0.97264872345671138</v>
      </c>
      <c r="X25" s="46" t="s">
        <v>115</v>
      </c>
      <c r="Y25" s="45"/>
      <c r="Z25" s="4"/>
      <c r="AA25" s="4"/>
      <c r="AB25" s="4"/>
      <c r="AC25" s="4"/>
      <c r="AD25" s="104"/>
    </row>
    <row r="26" spans="2:30" ht="15" hidden="1" customHeight="1" x14ac:dyDescent="0.35">
      <c r="F26" s="47"/>
      <c r="G26" s="120"/>
      <c r="H26" s="120"/>
      <c r="I26" s="112" t="s">
        <v>23</v>
      </c>
      <c r="J26" s="186">
        <f>D22-D21</f>
        <v>-2.2415802030738501E-2</v>
      </c>
      <c r="K26" s="187">
        <f>J26+SQRT((D22-K22)^2+(L21-D21)^2)</f>
        <v>6.036537391495133E-3</v>
      </c>
      <c r="L26" s="188">
        <f>J26-SQRT((D21-K21)^2+(L22-D22)^2)</f>
        <v>-4.6616629657976062E-2</v>
      </c>
      <c r="M26" s="119"/>
      <c r="N26" s="189">
        <f>1-N25</f>
        <v>0.5154469125582315</v>
      </c>
      <c r="O26" s="190" t="s">
        <v>116</v>
      </c>
      <c r="P26" s="191"/>
      <c r="Q26" s="192"/>
      <c r="R26" s="191"/>
      <c r="S26" s="191"/>
      <c r="T26" s="191"/>
      <c r="U26" s="193"/>
      <c r="W26" s="194"/>
      <c r="X26" s="195"/>
      <c r="Y26" s="191"/>
      <c r="Z26" s="195"/>
      <c r="AA26" s="195"/>
      <c r="AB26" s="195"/>
      <c r="AC26" s="195"/>
      <c r="AD26" s="196"/>
    </row>
    <row r="27" spans="2:30" ht="13.5" hidden="1" customHeight="1" x14ac:dyDescent="0.3">
      <c r="F27" s="48"/>
      <c r="G27" s="120"/>
      <c r="H27" s="120"/>
      <c r="I27" s="112" t="s">
        <v>24</v>
      </c>
      <c r="J27" s="197">
        <f>1/J26</f>
        <v>-44.611386138613859</v>
      </c>
      <c r="K27" s="198">
        <f>1/K26</f>
        <v>165.65788218406436</v>
      </c>
      <c r="L27" s="199">
        <f>1/L26</f>
        <v>-21.451572268028624</v>
      </c>
      <c r="M27" s="119"/>
      <c r="N27" s="120"/>
      <c r="O27" s="5"/>
      <c r="P27" s="5"/>
      <c r="U27" s="5"/>
      <c r="V27" s="5"/>
      <c r="W27" s="12"/>
      <c r="X27" s="12"/>
      <c r="Y27" s="12"/>
      <c r="Z27" s="12"/>
      <c r="AA27" s="12"/>
      <c r="AB27" s="12"/>
      <c r="AC27" s="12"/>
    </row>
    <row r="28" spans="2:30" ht="14.25" hidden="1" customHeight="1" x14ac:dyDescent="0.4">
      <c r="G28" s="120"/>
      <c r="H28" s="120"/>
      <c r="K28" s="200"/>
      <c r="L28" s="200"/>
      <c r="M28" s="201"/>
      <c r="N28" s="157"/>
      <c r="O28" s="202"/>
      <c r="P28" s="202" t="s">
        <v>111</v>
      </c>
      <c r="Q28" s="203">
        <f>SQRT((D23*(1-D23)/C21)+(D23*(1-D23)/C22))</f>
        <v>1.1667414519508781E-2</v>
      </c>
      <c r="R28" s="204"/>
      <c r="S28" s="204"/>
      <c r="T28" s="204"/>
      <c r="U28" s="86"/>
      <c r="V28" s="5"/>
    </row>
    <row r="29" spans="2:30" ht="31.5" hidden="1" customHeight="1" x14ac:dyDescent="0.35">
      <c r="F29" s="205"/>
      <c r="G29" s="206"/>
      <c r="H29" s="207" t="s">
        <v>64</v>
      </c>
      <c r="I29" s="208" t="s">
        <v>56</v>
      </c>
      <c r="J29" s="209">
        <f>J27</f>
        <v>-44.611386138613859</v>
      </c>
      <c r="K29" s="209">
        <f>K27</f>
        <v>165.65788218406436</v>
      </c>
      <c r="L29" s="209">
        <f>L27</f>
        <v>-21.451572268028624</v>
      </c>
      <c r="M29" s="120"/>
      <c r="N29" s="210" t="s">
        <v>117</v>
      </c>
      <c r="O29" s="211"/>
      <c r="P29" s="20" t="s">
        <v>118</v>
      </c>
      <c r="Q29" s="20"/>
      <c r="R29" s="41"/>
      <c r="S29" s="212" t="s">
        <v>119</v>
      </c>
      <c r="T29" s="20"/>
      <c r="U29" s="175"/>
      <c r="V29" s="5"/>
    </row>
    <row r="30" spans="2:30" s="4" customFormat="1" ht="14.25" hidden="1" customHeight="1" x14ac:dyDescent="0.4">
      <c r="F30" s="51"/>
      <c r="G30" s="213"/>
      <c r="H30" s="214"/>
      <c r="I30" s="215" t="s">
        <v>68</v>
      </c>
      <c r="J30" s="216">
        <f>(1-D22)*J27</f>
        <v>-44.279702970297024</v>
      </c>
      <c r="K30" s="216">
        <f>(1-D22)*K27</f>
        <v>164.42622506745423</v>
      </c>
      <c r="L30" s="216">
        <f>(1-D22)*L27</f>
        <v>-21.292081024400158</v>
      </c>
      <c r="M30" s="120"/>
      <c r="N30" s="217"/>
      <c r="O30" s="77" t="s">
        <v>120</v>
      </c>
      <c r="Q30" s="218" t="s">
        <v>121</v>
      </c>
      <c r="R30" s="77" t="s">
        <v>122</v>
      </c>
      <c r="S30" s="20"/>
      <c r="T30" s="20"/>
      <c r="U30" s="104"/>
    </row>
    <row r="31" spans="2:30" s="4" customFormat="1" ht="14.25" hidden="1" customHeight="1" x14ac:dyDescent="0.4">
      <c r="F31" s="52"/>
      <c r="G31" s="219"/>
      <c r="H31" s="220"/>
      <c r="I31" s="221" t="s">
        <v>71</v>
      </c>
      <c r="J31" s="222">
        <f>J27*J26</f>
        <v>1</v>
      </c>
      <c r="K31" s="222">
        <f>K27*K26</f>
        <v>1</v>
      </c>
      <c r="L31" s="222">
        <f>L27*L26</f>
        <v>1</v>
      </c>
      <c r="M31" s="135"/>
      <c r="N31" s="181">
        <f>ABS((J26/Q28))-I21</f>
        <v>-3.8732678901806095E-2</v>
      </c>
      <c r="O31" s="77" t="s">
        <v>123</v>
      </c>
      <c r="P31" s="20"/>
      <c r="Q31" s="20"/>
      <c r="R31" s="40"/>
      <c r="S31" s="42"/>
      <c r="T31" s="42"/>
      <c r="U31" s="173"/>
    </row>
    <row r="32" spans="2:30" s="4" customFormat="1" ht="12.75" hidden="1" customHeight="1" x14ac:dyDescent="0.3">
      <c r="B32" s="223"/>
      <c r="C32" s="53"/>
      <c r="E32" s="30"/>
      <c r="G32" s="224"/>
      <c r="H32" s="225"/>
      <c r="I32" s="226" t="s">
        <v>72</v>
      </c>
      <c r="J32" s="227">
        <f>(D22-J26)*J27</f>
        <v>-1.3316831683168315</v>
      </c>
      <c r="K32" s="227">
        <f>(D22-K26)*K27</f>
        <v>0.23165711661014396</v>
      </c>
      <c r="L32" s="227">
        <f>(D22-L26)*L27</f>
        <v>-1.1594912436284657</v>
      </c>
      <c r="M32" s="135"/>
      <c r="N32" s="184">
        <f>NORMSDIST(N31)</f>
        <v>0.48455175947703344</v>
      </c>
      <c r="O32" s="44" t="s">
        <v>124</v>
      </c>
      <c r="P32" s="45"/>
      <c r="Q32" s="20"/>
      <c r="R32" s="20"/>
      <c r="S32" s="20"/>
      <c r="T32" s="20"/>
      <c r="U32" s="104"/>
    </row>
    <row r="33" spans="2:22" s="4" customFormat="1" ht="12.75" hidden="1" customHeight="1" x14ac:dyDescent="0.3">
      <c r="B33" s="223"/>
      <c r="G33" s="228"/>
      <c r="H33" s="229"/>
      <c r="I33" s="229"/>
      <c r="J33" s="230"/>
      <c r="K33" s="230"/>
      <c r="L33" s="230"/>
      <c r="M33" s="135"/>
      <c r="N33" s="189">
        <f>1-N32</f>
        <v>0.51544824052296656</v>
      </c>
      <c r="O33" s="191" t="s">
        <v>125</v>
      </c>
      <c r="P33" s="191"/>
      <c r="Q33" s="192"/>
      <c r="R33" s="231"/>
      <c r="S33" s="232"/>
      <c r="T33" s="232"/>
      <c r="U33" s="193"/>
    </row>
    <row r="34" spans="2:22" s="4" customFormat="1" ht="31.5" hidden="1" customHeight="1" x14ac:dyDescent="0.3">
      <c r="B34" s="143"/>
      <c r="F34" s="29"/>
      <c r="G34" s="233"/>
      <c r="H34" s="207" t="s">
        <v>66</v>
      </c>
      <c r="I34" s="234" t="s">
        <v>126</v>
      </c>
      <c r="J34" s="235">
        <f>ABS(J27)</f>
        <v>44.611386138613859</v>
      </c>
      <c r="K34" s="235">
        <f>ABS(L27)</f>
        <v>21.451572268028624</v>
      </c>
      <c r="L34" s="235">
        <f>ABS(K27)</f>
        <v>165.65788218406436</v>
      </c>
      <c r="M34" s="135"/>
      <c r="N34" s="119"/>
      <c r="O34" s="20"/>
      <c r="P34" s="20"/>
      <c r="Q34" s="20"/>
      <c r="R34" s="20"/>
      <c r="S34" s="20"/>
      <c r="T34" s="20"/>
      <c r="U34" s="20"/>
      <c r="V34" s="20"/>
    </row>
    <row r="35" spans="2:22" s="4" customFormat="1" ht="13.5" hidden="1" customHeight="1" x14ac:dyDescent="0.3">
      <c r="B35" s="143"/>
      <c r="G35" s="213"/>
      <c r="H35" s="214"/>
      <c r="I35" s="215" t="s">
        <v>68</v>
      </c>
      <c r="J35" s="216">
        <f>ABS((1-(D22-J26))*J27)</f>
        <v>43.279702970297031</v>
      </c>
      <c r="K35" s="216">
        <f>ABS((1-(D22-L26))*L27)</f>
        <v>20.292081024400158</v>
      </c>
      <c r="L35" s="216">
        <f>ABS((1-(D22-K26))*K27)</f>
        <v>165.42622506745423</v>
      </c>
      <c r="M35" s="135"/>
      <c r="N35" s="119"/>
      <c r="O35" s="20"/>
      <c r="P35" s="20"/>
      <c r="Q35" s="20"/>
      <c r="R35" s="20"/>
      <c r="S35" s="20"/>
      <c r="T35" s="20"/>
      <c r="U35" s="20"/>
      <c r="V35" s="20"/>
    </row>
    <row r="36" spans="2:22" s="4" customFormat="1" ht="12.75" hidden="1" customHeight="1" x14ac:dyDescent="0.3">
      <c r="B36" s="143"/>
      <c r="F36" s="58"/>
      <c r="G36" s="236"/>
      <c r="H36" s="237"/>
      <c r="I36" s="238" t="s">
        <v>69</v>
      </c>
      <c r="J36" s="239">
        <f>J27*J26</f>
        <v>1</v>
      </c>
      <c r="K36" s="239">
        <f>L27*L26</f>
        <v>1</v>
      </c>
      <c r="L36" s="239">
        <f>K27*K26</f>
        <v>1</v>
      </c>
      <c r="M36" s="135"/>
      <c r="N36" s="119"/>
      <c r="O36" s="20"/>
      <c r="P36" s="20"/>
      <c r="Q36" s="20"/>
      <c r="R36" s="20"/>
      <c r="S36" s="20"/>
      <c r="T36" s="20"/>
      <c r="U36" s="20"/>
      <c r="V36" s="20"/>
    </row>
    <row r="37" spans="2:22" ht="15.75" hidden="1" customHeight="1" x14ac:dyDescent="0.35">
      <c r="B37" s="240" t="s">
        <v>127</v>
      </c>
      <c r="C37" s="59"/>
      <c r="D37" s="59"/>
      <c r="E37" s="59"/>
      <c r="F37" s="54"/>
      <c r="G37" s="224"/>
      <c r="H37" s="225"/>
      <c r="I37" s="226" t="s">
        <v>70</v>
      </c>
      <c r="J37" s="227">
        <f>ABS(D22*J27)</f>
        <v>0.33168316831683164</v>
      </c>
      <c r="K37" s="227">
        <f>ABS(D22*L27)</f>
        <v>0.15949124362846559</v>
      </c>
      <c r="L37" s="227">
        <f>ABS(D22*K27)</f>
        <v>1.231657116610144</v>
      </c>
      <c r="M37" s="120"/>
      <c r="N37" s="119"/>
      <c r="O37" s="20"/>
      <c r="P37" s="20"/>
      <c r="Q37" s="20"/>
      <c r="R37" s="20"/>
      <c r="S37" s="20"/>
      <c r="T37" s="20"/>
      <c r="U37" s="20"/>
      <c r="V37" s="20"/>
    </row>
    <row r="38" spans="2:22" s="12" customFormat="1" ht="12.75" hidden="1" customHeight="1" x14ac:dyDescent="0.3">
      <c r="B38" s="93"/>
      <c r="C38" s="60" t="s">
        <v>20</v>
      </c>
      <c r="D38" s="61" t="s">
        <v>21</v>
      </c>
      <c r="E38" s="20"/>
      <c r="F38" s="54"/>
      <c r="G38" s="241"/>
      <c r="H38" s="242"/>
      <c r="I38" s="243"/>
      <c r="J38" s="244"/>
      <c r="K38" s="244"/>
      <c r="L38" s="244"/>
      <c r="M38" s="148"/>
      <c r="N38" s="135"/>
      <c r="O38" s="4"/>
      <c r="P38" s="4"/>
      <c r="Q38" s="4"/>
      <c r="R38" s="4"/>
    </row>
    <row r="39" spans="2:22" ht="12.75" hidden="1" customHeight="1" x14ac:dyDescent="0.3">
      <c r="B39" s="245" t="s">
        <v>32</v>
      </c>
      <c r="C39" s="64" t="s">
        <v>3</v>
      </c>
      <c r="D39" s="65" t="s">
        <v>2</v>
      </c>
      <c r="E39" s="66" t="s">
        <v>22</v>
      </c>
      <c r="G39" s="120"/>
      <c r="H39" s="120"/>
      <c r="I39" s="120"/>
      <c r="J39" s="120"/>
      <c r="K39" s="120"/>
      <c r="L39" s="120"/>
      <c r="M39" s="120"/>
      <c r="N39" s="135"/>
      <c r="O39" s="4"/>
      <c r="P39" s="4"/>
      <c r="Q39" s="4"/>
      <c r="R39" s="4"/>
      <c r="U39" s="5"/>
      <c r="V39" s="5"/>
    </row>
    <row r="40" spans="2:22" ht="12.75" hidden="1" customHeight="1" x14ac:dyDescent="0.3">
      <c r="B40" s="246" t="s">
        <v>17</v>
      </c>
      <c r="C40" s="67">
        <f>F7*D9/F9</f>
        <v>4.9906890130353814</v>
      </c>
      <c r="D40" s="67">
        <f>F7*E9/F9</f>
        <v>263.00931098696464</v>
      </c>
      <c r="E40" s="67">
        <f>F7</f>
        <v>268</v>
      </c>
      <c r="G40" s="247"/>
      <c r="H40" s="248" t="s">
        <v>30</v>
      </c>
      <c r="I40" s="249">
        <f>CHIINV(0.05,K41)</f>
        <v>3.8414588206941236</v>
      </c>
      <c r="J40" s="120"/>
      <c r="K40" s="120"/>
      <c r="L40" s="120"/>
      <c r="M40" s="120"/>
      <c r="N40" s="135"/>
      <c r="O40" s="55"/>
      <c r="P40" s="55"/>
      <c r="Q40" s="55"/>
      <c r="R40" s="4"/>
      <c r="U40" s="5"/>
      <c r="V40" s="5"/>
    </row>
    <row r="41" spans="2:22" ht="12.75" hidden="1" customHeight="1" x14ac:dyDescent="0.3">
      <c r="B41" s="250" t="s">
        <v>18</v>
      </c>
      <c r="C41" s="67">
        <f>F8*D9/F9</f>
        <v>5.0093109869646186</v>
      </c>
      <c r="D41" s="67">
        <f>F8*E9/F9</f>
        <v>263.99068901303536</v>
      </c>
      <c r="E41" s="67">
        <f>F8</f>
        <v>269</v>
      </c>
      <c r="F41" s="12"/>
      <c r="G41" s="251"/>
      <c r="H41" s="251"/>
      <c r="I41" s="252"/>
      <c r="J41" s="253" t="s">
        <v>31</v>
      </c>
      <c r="K41" s="254">
        <f>(COUNT(C40:D40)-1)*(COUNT(C40:C41)-1)</f>
        <v>1</v>
      </c>
      <c r="L41" s="120"/>
      <c r="M41" s="120"/>
      <c r="N41" s="120"/>
      <c r="O41" s="55"/>
      <c r="P41" s="55"/>
      <c r="Q41" s="55"/>
      <c r="R41" s="4"/>
      <c r="U41" s="5"/>
      <c r="V41" s="5"/>
    </row>
    <row r="42" spans="2:22" ht="12.75" hidden="1" customHeight="1" x14ac:dyDescent="0.3">
      <c r="B42" s="255" t="s">
        <v>29</v>
      </c>
      <c r="C42" s="67">
        <f>SUM(C40:C41)</f>
        <v>10</v>
      </c>
      <c r="D42" s="67">
        <f>SUM(D40:D41)</f>
        <v>527</v>
      </c>
      <c r="E42" s="68">
        <f>SUM(E40:E41)</f>
        <v>537</v>
      </c>
      <c r="F42" s="12"/>
      <c r="G42" s="148"/>
      <c r="H42" s="256" t="s">
        <v>33</v>
      </c>
      <c r="I42" s="79" t="s">
        <v>34</v>
      </c>
      <c r="J42" s="120"/>
      <c r="K42" s="120"/>
      <c r="L42" s="120"/>
      <c r="M42" s="120"/>
      <c r="N42" s="120"/>
      <c r="O42" s="55"/>
      <c r="P42" s="56"/>
      <c r="Q42" s="55"/>
      <c r="R42" s="4"/>
      <c r="U42" s="5"/>
      <c r="V42" s="5"/>
    </row>
    <row r="43" spans="2:22" ht="12.75" hidden="1" customHeight="1" x14ac:dyDescent="0.3">
      <c r="B43" s="255"/>
      <c r="C43" s="69"/>
      <c r="D43" s="69"/>
      <c r="E43" s="70"/>
      <c r="F43" s="12"/>
      <c r="G43" s="148"/>
      <c r="H43" s="256" t="s">
        <v>35</v>
      </c>
      <c r="I43" s="79" t="s">
        <v>36</v>
      </c>
      <c r="J43" s="120"/>
      <c r="K43" s="120"/>
      <c r="L43" s="120"/>
      <c r="M43" s="120"/>
      <c r="N43" s="120"/>
      <c r="O43" s="57"/>
      <c r="P43" s="57"/>
      <c r="Q43" s="57"/>
      <c r="R43" s="4"/>
      <c r="U43" s="5"/>
      <c r="V43" s="5"/>
    </row>
    <row r="44" spans="2:22" ht="26.25" hidden="1" customHeight="1" x14ac:dyDescent="0.3">
      <c r="B44" s="257"/>
      <c r="C44" s="549" t="s">
        <v>128</v>
      </c>
      <c r="D44" s="550"/>
      <c r="G44" s="120"/>
      <c r="H44" s="258"/>
      <c r="I44" s="120"/>
      <c r="J44" s="120"/>
      <c r="K44" s="120"/>
      <c r="L44" s="120"/>
      <c r="M44" s="120"/>
      <c r="N44" s="120"/>
      <c r="O44" s="5"/>
      <c r="P44" s="5"/>
      <c r="U44" s="5"/>
      <c r="V44" s="5"/>
    </row>
    <row r="45" spans="2:22" ht="12.75" hidden="1" customHeight="1" x14ac:dyDescent="0.3">
      <c r="B45" s="257"/>
      <c r="C45" s="71">
        <f>(D7-C40)^2/C40</f>
        <v>1.8145696100503079</v>
      </c>
      <c r="D45" s="71">
        <f>(E7-D40)^2/D40</f>
        <v>3.443206091177093E-2</v>
      </c>
      <c r="F45" s="63"/>
      <c r="G45" s="259"/>
      <c r="H45" s="120"/>
      <c r="I45" s="120"/>
      <c r="J45" s="135"/>
      <c r="K45" s="135"/>
      <c r="L45" s="260"/>
      <c r="M45" s="120"/>
      <c r="N45" s="120"/>
      <c r="O45" s="5"/>
      <c r="P45" s="5"/>
      <c r="U45" s="5"/>
      <c r="V45" s="5"/>
    </row>
    <row r="46" spans="2:22" ht="12.75" hidden="1" customHeight="1" x14ac:dyDescent="0.3">
      <c r="B46" s="257"/>
      <c r="C46" s="71">
        <f>(D8-C41)^2/C41</f>
        <v>1.807823998117035</v>
      </c>
      <c r="D46" s="71">
        <f>(E8-D41)^2/D41</f>
        <v>3.4304060685333121E-2</v>
      </c>
      <c r="E46" s="16"/>
      <c r="F46" s="72" t="s">
        <v>37</v>
      </c>
      <c r="G46" s="261">
        <f>C48-I40</f>
        <v>-0.15032909092967639</v>
      </c>
      <c r="H46" s="120"/>
      <c r="I46" s="120"/>
      <c r="J46" s="135"/>
      <c r="K46" s="135"/>
      <c r="L46" s="120"/>
      <c r="M46" s="120"/>
      <c r="N46" s="120"/>
      <c r="O46" s="5"/>
      <c r="P46" s="5"/>
      <c r="U46" s="5"/>
      <c r="V46" s="5"/>
    </row>
    <row r="47" spans="2:22" ht="12.75" hidden="1" customHeight="1" x14ac:dyDescent="0.3">
      <c r="B47" s="79" t="s">
        <v>39</v>
      </c>
      <c r="D47" s="73"/>
      <c r="G47" s="97" t="s">
        <v>40</v>
      </c>
      <c r="H47" s="120"/>
      <c r="I47" s="120"/>
      <c r="J47" s="135"/>
      <c r="K47" s="135"/>
      <c r="L47" s="120"/>
      <c r="M47" s="120"/>
      <c r="N47" s="120"/>
      <c r="O47" s="5"/>
      <c r="P47" s="5"/>
      <c r="U47" s="5"/>
      <c r="V47" s="5"/>
    </row>
    <row r="48" spans="2:22" ht="13.5" hidden="1" customHeight="1" x14ac:dyDescent="0.3">
      <c r="B48" s="105" t="s">
        <v>38</v>
      </c>
      <c r="C48" s="262">
        <f>SUM(C45:D46)</f>
        <v>3.6911297297644472</v>
      </c>
      <c r="D48" s="20"/>
      <c r="G48" s="97" t="s">
        <v>41</v>
      </c>
      <c r="H48" s="120"/>
      <c r="I48" s="263"/>
      <c r="J48" s="135"/>
      <c r="K48" s="135"/>
      <c r="L48" s="264"/>
      <c r="M48" s="120"/>
      <c r="N48" s="120"/>
      <c r="O48" s="5"/>
      <c r="P48" s="5"/>
      <c r="U48" s="5"/>
      <c r="V48" s="5"/>
    </row>
    <row r="49" spans="2:22" ht="12.75" hidden="1" customHeight="1" x14ac:dyDescent="0.3">
      <c r="B49" s="265" t="s">
        <v>80</v>
      </c>
      <c r="C49" s="266">
        <f>CHIDIST(C48,1)</f>
        <v>5.4702553086577128E-2</v>
      </c>
      <c r="E49" s="20"/>
      <c r="F49" s="20"/>
      <c r="G49" s="119"/>
      <c r="H49" s="267"/>
      <c r="I49" s="119"/>
      <c r="J49" s="135"/>
      <c r="K49" s="135"/>
      <c r="L49" s="119"/>
      <c r="M49" s="120"/>
      <c r="N49" s="120"/>
      <c r="O49" s="5"/>
      <c r="P49" s="5"/>
      <c r="U49" s="5"/>
      <c r="V49" s="5"/>
    </row>
    <row r="50" spans="2:22" s="4" customFormat="1" ht="12.75" hidden="1" customHeight="1" x14ac:dyDescent="0.3">
      <c r="B50" s="143"/>
      <c r="E50" s="74"/>
      <c r="F50" s="74"/>
      <c r="G50" s="135"/>
      <c r="H50" s="135"/>
      <c r="I50" s="268"/>
      <c r="J50" s="135"/>
      <c r="K50" s="135"/>
      <c r="L50" s="135"/>
      <c r="M50" s="135"/>
      <c r="N50" s="135"/>
    </row>
    <row r="51" spans="2:22" ht="13.5" hidden="1" customHeight="1" x14ac:dyDescent="0.3">
      <c r="B51" s="93"/>
      <c r="G51" s="120"/>
      <c r="H51" s="120"/>
      <c r="I51" s="120"/>
      <c r="J51" s="135"/>
      <c r="K51" s="135"/>
      <c r="L51" s="120"/>
      <c r="M51" s="120"/>
      <c r="N51" s="120"/>
      <c r="O51" s="5"/>
      <c r="P51" s="5"/>
      <c r="U51" s="5"/>
      <c r="V51" s="5"/>
    </row>
    <row r="52" spans="2:22" ht="12.75" hidden="1" customHeight="1" x14ac:dyDescent="0.3">
      <c r="B52" s="269" t="s">
        <v>129</v>
      </c>
      <c r="C52" s="103"/>
      <c r="D52" s="103"/>
      <c r="E52" s="103"/>
      <c r="F52" s="103"/>
      <c r="G52" s="103"/>
      <c r="H52" s="270"/>
      <c r="I52" s="120"/>
      <c r="J52" s="271" t="s">
        <v>130</v>
      </c>
      <c r="K52" s="272"/>
      <c r="L52" s="273"/>
      <c r="M52" s="273"/>
      <c r="N52" s="273"/>
      <c r="O52" s="86"/>
      <c r="P52" s="5"/>
      <c r="U52" s="5"/>
      <c r="V52" s="5"/>
    </row>
    <row r="53" spans="2:22" ht="12.75" hidden="1" customHeight="1" x14ac:dyDescent="0.3">
      <c r="B53" s="274">
        <f>I2*100</f>
        <v>95</v>
      </c>
      <c r="C53" s="54"/>
      <c r="D53" s="54"/>
      <c r="E53" s="4"/>
      <c r="F53" s="4"/>
      <c r="G53" s="4"/>
      <c r="H53" s="104"/>
      <c r="I53" s="120"/>
      <c r="J53" s="275"/>
      <c r="K53" s="135"/>
      <c r="L53" s="119"/>
      <c r="M53" s="119"/>
      <c r="N53" s="119"/>
      <c r="O53" s="175"/>
      <c r="P53" s="5"/>
      <c r="U53" s="5"/>
      <c r="V53" s="5"/>
    </row>
    <row r="54" spans="2:22" ht="12.75" hidden="1" customHeight="1" x14ac:dyDescent="0.3">
      <c r="B54" s="276" t="s">
        <v>49</v>
      </c>
      <c r="C54" s="277"/>
      <c r="D54" s="277"/>
      <c r="E54" s="1">
        <f>ROUND(G14,2)</f>
        <v>4.01</v>
      </c>
      <c r="F54" s="49">
        <f>ROUND(J26,4)</f>
        <v>-2.24E-2</v>
      </c>
      <c r="G54" s="278">
        <f>ROUND(J27,0)</f>
        <v>-45</v>
      </c>
      <c r="H54" s="279"/>
      <c r="I54" s="120"/>
      <c r="J54" s="280" t="s">
        <v>49</v>
      </c>
      <c r="K54" s="4"/>
      <c r="L54" s="4"/>
      <c r="M54" s="4"/>
      <c r="N54" s="119"/>
      <c r="O54" s="175"/>
      <c r="P54" s="5"/>
      <c r="U54" s="5"/>
      <c r="V54" s="5"/>
    </row>
    <row r="55" spans="2:22" ht="12.75" hidden="1" customHeight="1" x14ac:dyDescent="0.3">
      <c r="B55" s="276" t="s">
        <v>51</v>
      </c>
      <c r="C55" s="20"/>
      <c r="D55" s="20"/>
      <c r="E55" s="1">
        <f>ROUND(H14,2)</f>
        <v>0.86</v>
      </c>
      <c r="F55" s="49">
        <f>ROUND(L26,4)</f>
        <v>-4.6600000000000003E-2</v>
      </c>
      <c r="G55" s="278">
        <f>ROUND(L27,0)</f>
        <v>-21</v>
      </c>
      <c r="H55" s="279"/>
      <c r="I55" s="120"/>
      <c r="J55" s="280" t="s">
        <v>51</v>
      </c>
      <c r="K55" s="281" t="str">
        <f>ROUND(J21,4)*100&amp;J57</f>
        <v>2,99%</v>
      </c>
      <c r="L55" s="281" t="str">
        <f>ROUND(K21,4)*100&amp;J57</f>
        <v>1,52%</v>
      </c>
      <c r="M55" s="281" t="str">
        <f>ROUND(L21,4)*100&amp;J57</f>
        <v>5,78%</v>
      </c>
      <c r="N55" s="94" t="str">
        <f>CONCATENATE(K55," ",J54,L55," ",J58," ",M55,J56)</f>
        <v>2,99% (1,52% a 5,78%)</v>
      </c>
      <c r="O55" s="175"/>
      <c r="P55" s="5"/>
      <c r="U55" s="5"/>
      <c r="V55" s="5"/>
    </row>
    <row r="56" spans="2:22" s="12" customFormat="1" ht="12.75" hidden="1" customHeight="1" x14ac:dyDescent="0.3">
      <c r="B56" s="276" t="s">
        <v>50</v>
      </c>
      <c r="C56" s="277">
        <f>ROUND(D7,0)</f>
        <v>8</v>
      </c>
      <c r="D56" s="277">
        <f>ROUND(D8,0)</f>
        <v>2</v>
      </c>
      <c r="E56" s="1">
        <f>ROUND(I14,2)</f>
        <v>18.73</v>
      </c>
      <c r="F56" s="49">
        <f>ROUND(K26,4)</f>
        <v>6.0000000000000001E-3</v>
      </c>
      <c r="G56" s="278">
        <f>ROUND(K27,0)</f>
        <v>166</v>
      </c>
      <c r="H56" s="282">
        <f>ROUND(N32,4)</f>
        <v>0.48459999999999998</v>
      </c>
      <c r="I56" s="148"/>
      <c r="J56" s="280" t="s">
        <v>50</v>
      </c>
      <c r="K56" s="76" t="str">
        <f>ROUND(J22,4)*100&amp;J57</f>
        <v>0,74%</v>
      </c>
      <c r="L56" s="76" t="str">
        <f>ROUND(K22,4)*100&amp;J57</f>
        <v>0,2%</v>
      </c>
      <c r="M56" s="76" t="str">
        <f>ROUND(L22,4)*100&amp;J57</f>
        <v>2,67%</v>
      </c>
      <c r="N56" s="94" t="str">
        <f>CONCATENATE(K56," ",J54,L56," ",J58," ",M56,J56)</f>
        <v>0,74% (0,2% a 2,67%)</v>
      </c>
      <c r="O56" s="104"/>
    </row>
    <row r="57" spans="2:22" ht="12.75" hidden="1" customHeight="1" x14ac:dyDescent="0.3">
      <c r="B57" s="276" t="s">
        <v>52</v>
      </c>
      <c r="C57" s="283" t="s">
        <v>74</v>
      </c>
      <c r="D57" s="283" t="s">
        <v>75</v>
      </c>
      <c r="E57" s="283" t="s">
        <v>4</v>
      </c>
      <c r="F57" s="283" t="s">
        <v>58</v>
      </c>
      <c r="G57" s="284" t="s">
        <v>56</v>
      </c>
      <c r="H57" s="247" t="s">
        <v>59</v>
      </c>
      <c r="I57" s="120"/>
      <c r="J57" s="280" t="s">
        <v>52</v>
      </c>
      <c r="K57" s="76" t="str">
        <f>ROUND(J23,4)*100&amp;J57</f>
        <v>1,86%</v>
      </c>
      <c r="L57" s="76" t="str">
        <f>ROUND(K23,4)*100&amp;J57</f>
        <v>1,01%</v>
      </c>
      <c r="M57" s="76" t="str">
        <f>ROUND(L23,4)*100&amp;J57</f>
        <v>3,39%</v>
      </c>
      <c r="N57" s="94" t="str">
        <f>CONCATENATE(K57," ",J54,L57," ",J58," ",M57,J56)</f>
        <v>1,86% (1,01% a 3,39%)</v>
      </c>
      <c r="O57" s="104"/>
    </row>
    <row r="58" spans="2:22" ht="12.75" hidden="1" customHeight="1" x14ac:dyDescent="0.3">
      <c r="B58" s="285" t="s">
        <v>19</v>
      </c>
      <c r="C58" s="286" t="str">
        <f>CONCATENATE(C56,B59,C21," ",B54,K55,B56)</f>
        <v>8/268 (2,99%)</v>
      </c>
      <c r="D58" s="112" t="str">
        <f>CONCATENATE(D56,B59,C22," ",B54,K56,B56)</f>
        <v>2/269 (0,74%)</v>
      </c>
      <c r="E58" s="286" t="str">
        <f>CONCATENATE(E54," ",B54,E55,B55,E56,B56)</f>
        <v>4,01 (0,86-18,73)</v>
      </c>
      <c r="F58" s="286" t="str">
        <f>CONCATENATE(F54*100,B57," ",B54,F55*100,B57," ",B58," ",F56*100,B57,B56)</f>
        <v>-2,24% (-4,66% a 0,6%)</v>
      </c>
      <c r="G58" s="247" t="str">
        <f>CONCATENATE(G54," ",B54,G56," ",B58," ",G55,B56)</f>
        <v>-45 (166 a -21)</v>
      </c>
      <c r="H58" s="247" t="str">
        <f>CONCATENATE(H56*100,B57)</f>
        <v>48,46%</v>
      </c>
      <c r="I58" s="120"/>
      <c r="J58" s="287" t="s">
        <v>19</v>
      </c>
      <c r="K58" s="20"/>
      <c r="L58" s="20"/>
      <c r="M58" s="20"/>
      <c r="N58" s="119"/>
      <c r="O58" s="175"/>
      <c r="P58" s="5"/>
      <c r="U58" s="5"/>
      <c r="V58" s="5"/>
    </row>
    <row r="59" spans="2:22" ht="13.5" hidden="1" customHeight="1" x14ac:dyDescent="0.3">
      <c r="B59" s="288" t="s">
        <v>57</v>
      </c>
      <c r="C59" s="195"/>
      <c r="D59" s="195"/>
      <c r="E59" s="195"/>
      <c r="F59" s="195"/>
      <c r="G59" s="289"/>
      <c r="H59" s="290"/>
      <c r="I59" s="120"/>
      <c r="J59" s="291" t="s">
        <v>57</v>
      </c>
      <c r="K59" s="195"/>
      <c r="L59" s="195"/>
      <c r="M59" s="195"/>
      <c r="N59" s="292"/>
      <c r="O59" s="193"/>
      <c r="P59" s="5"/>
      <c r="U59" s="5"/>
      <c r="V59" s="5"/>
    </row>
    <row r="60" spans="2:22" x14ac:dyDescent="0.3">
      <c r="B60" s="93"/>
      <c r="G60" s="120"/>
      <c r="H60" s="120"/>
      <c r="I60" s="120"/>
      <c r="J60" s="120"/>
      <c r="K60" s="120"/>
      <c r="L60" s="135"/>
      <c r="M60" s="120"/>
      <c r="N60" s="120"/>
      <c r="O60" s="5"/>
      <c r="P60" s="5"/>
      <c r="U60" s="5"/>
      <c r="V60" s="5"/>
    </row>
    <row r="61" spans="2:22" ht="27" customHeight="1" x14ac:dyDescent="0.3">
      <c r="B61" s="93"/>
      <c r="C61" s="293" t="s">
        <v>74</v>
      </c>
      <c r="D61" s="293" t="s">
        <v>75</v>
      </c>
      <c r="E61" s="294" t="str">
        <f>CONCATENATE(E57," ",B54,H2," ",B53,B57,B56)</f>
        <v>RR (IC 95%)</v>
      </c>
      <c r="F61" s="294" t="str">
        <f>CONCATENATE(F57," ",B54,H2," ",B53,B57,B56)</f>
        <v>RAR (IC 95%)</v>
      </c>
      <c r="G61" s="294" t="str">
        <f>CONCATENATE(G57," ",B54,H2," ",B53,B57,B56)</f>
        <v>NNT (IC 95%)</v>
      </c>
      <c r="H61" s="294" t="s">
        <v>60</v>
      </c>
      <c r="I61" s="295"/>
      <c r="J61" s="294" t="s">
        <v>81</v>
      </c>
      <c r="L61" s="344" t="s">
        <v>131</v>
      </c>
      <c r="M61" s="344" t="s">
        <v>132</v>
      </c>
      <c r="O61" s="5"/>
      <c r="P61" s="5"/>
      <c r="U61" s="5"/>
      <c r="V61" s="5"/>
    </row>
    <row r="62" spans="2:22" ht="21" customHeight="1" x14ac:dyDescent="0.3">
      <c r="B62" s="93"/>
      <c r="C62" s="112" t="str">
        <f t="shared" ref="C62:H62" si="0">C58</f>
        <v>8/268 (2,99%)</v>
      </c>
      <c r="D62" s="112" t="str">
        <f t="shared" si="0"/>
        <v>2/269 (0,74%)</v>
      </c>
      <c r="E62" s="112" t="str">
        <f t="shared" si="0"/>
        <v>4,01 (0,86-18,73)</v>
      </c>
      <c r="F62" s="112" t="str">
        <f t="shared" si="0"/>
        <v>-2,24% (-4,66% a 0,6%)</v>
      </c>
      <c r="G62" s="112" t="str">
        <f t="shared" si="0"/>
        <v>-45 (166 a -21)</v>
      </c>
      <c r="H62" s="112" t="str">
        <f t="shared" si="0"/>
        <v>48,46%</v>
      </c>
      <c r="I62" s="296"/>
      <c r="J62" s="297">
        <f>C49</f>
        <v>5.4702553086577128E-2</v>
      </c>
      <c r="L62" s="298">
        <f>IF((K26*L26&lt;0),J23,J21)</f>
        <v>1.86219739292365E-2</v>
      </c>
      <c r="M62" s="298">
        <f>IF((K26*L26&lt;0),J23,J22)</f>
        <v>1.86219739292365E-2</v>
      </c>
      <c r="O62" s="5"/>
      <c r="P62" s="5"/>
      <c r="U62" s="5"/>
      <c r="V62" s="5"/>
    </row>
    <row r="63" spans="2:22" x14ac:dyDescent="0.3">
      <c r="L63" s="4"/>
    </row>
    <row r="64" spans="2:22" x14ac:dyDescent="0.3">
      <c r="B64" s="343" t="s">
        <v>313</v>
      </c>
    </row>
    <row r="65" spans="1:23" x14ac:dyDescent="0.3">
      <c r="B65" s="432" t="s">
        <v>245</v>
      </c>
      <c r="C65" s="318"/>
      <c r="D65" s="318"/>
      <c r="E65" s="318"/>
      <c r="F65" s="318"/>
      <c r="G65" s="318"/>
      <c r="H65" s="318"/>
      <c r="I65" s="97"/>
      <c r="J65" s="97"/>
      <c r="K65" s="97"/>
      <c r="L65" s="97"/>
      <c r="M65" s="97"/>
      <c r="N65" s="97"/>
      <c r="O65" s="316"/>
    </row>
    <row r="66" spans="1:23" ht="13.5" thickBot="1" x14ac:dyDescent="0.35">
      <c r="A66" s="329"/>
      <c r="C66" s="324"/>
      <c r="D66" s="324"/>
      <c r="E66" s="324"/>
      <c r="F66" s="324"/>
      <c r="G66" s="324"/>
      <c r="H66" s="324"/>
      <c r="I66" s="319"/>
      <c r="J66" s="327"/>
      <c r="K66" s="320"/>
      <c r="L66" s="320"/>
      <c r="M66" s="320"/>
      <c r="N66" s="320"/>
      <c r="O66" s="329"/>
      <c r="P66" s="329"/>
    </row>
    <row r="67" spans="1:23" ht="37" customHeight="1" thickBot="1" x14ac:dyDescent="0.35">
      <c r="A67" s="329"/>
      <c r="B67" s="564" t="s">
        <v>247</v>
      </c>
      <c r="C67" s="565"/>
      <c r="D67" s="565"/>
      <c r="E67" s="565"/>
      <c r="F67" s="565"/>
      <c r="G67" s="565"/>
      <c r="H67" s="566"/>
      <c r="I67" s="319"/>
      <c r="J67" s="323"/>
      <c r="K67" s="324"/>
      <c r="L67" s="324"/>
      <c r="M67" s="324"/>
      <c r="N67" s="324"/>
      <c r="O67" s="534" t="s">
        <v>141</v>
      </c>
      <c r="P67" s="535"/>
      <c r="Q67" s="4"/>
      <c r="R67" s="4"/>
      <c r="S67" s="4"/>
      <c r="T67" s="20"/>
      <c r="U67" s="4"/>
      <c r="V67" s="4"/>
      <c r="W67" s="20"/>
    </row>
    <row r="68" spans="1:23" ht="37.5" customHeight="1" thickBot="1" x14ac:dyDescent="0.35">
      <c r="A68" s="329"/>
      <c r="B68" s="562" t="s">
        <v>235</v>
      </c>
      <c r="C68" s="410" t="s">
        <v>149</v>
      </c>
      <c r="D68" s="411" t="s">
        <v>150</v>
      </c>
      <c r="E68" s="559" t="s">
        <v>142</v>
      </c>
      <c r="F68" s="560"/>
      <c r="G68" s="560"/>
      <c r="H68" s="561"/>
      <c r="I68" s="319"/>
      <c r="J68" s="323"/>
      <c r="K68" s="324"/>
      <c r="L68" s="324"/>
      <c r="M68" s="324"/>
      <c r="N68" s="324"/>
      <c r="O68" s="552" t="s">
        <v>244</v>
      </c>
      <c r="P68" s="553"/>
      <c r="Q68" s="4"/>
      <c r="R68" s="4"/>
      <c r="S68" s="4"/>
      <c r="T68" s="20"/>
      <c r="U68" s="4"/>
      <c r="V68" s="4"/>
      <c r="W68" s="20"/>
    </row>
    <row r="69" spans="1:23" ht="24.5" customHeight="1" thickBot="1" x14ac:dyDescent="0.35">
      <c r="A69" s="329"/>
      <c r="B69" s="563"/>
      <c r="C69" s="412" t="s">
        <v>140</v>
      </c>
      <c r="D69" s="413" t="s">
        <v>140</v>
      </c>
      <c r="E69" s="414" t="s">
        <v>53</v>
      </c>
      <c r="F69" s="415" t="s">
        <v>47</v>
      </c>
      <c r="G69" s="415" t="s">
        <v>48</v>
      </c>
      <c r="H69" s="416" t="s">
        <v>60</v>
      </c>
      <c r="I69" s="319"/>
      <c r="J69" s="327"/>
      <c r="K69" s="320"/>
      <c r="L69" s="328"/>
      <c r="M69" s="328"/>
      <c r="N69" s="320"/>
      <c r="O69" s="421" t="s">
        <v>94</v>
      </c>
      <c r="P69" s="422" t="s">
        <v>95</v>
      </c>
    </row>
    <row r="70" spans="1:23" ht="7" customHeight="1" thickBot="1" x14ac:dyDescent="0.35">
      <c r="A70" s="329"/>
      <c r="B70" s="347"/>
      <c r="C70" s="348"/>
      <c r="D70" s="348"/>
      <c r="E70" s="321"/>
      <c r="F70" s="321"/>
      <c r="G70" s="321"/>
      <c r="H70" s="321"/>
      <c r="I70" s="319"/>
      <c r="J70" s="327"/>
      <c r="K70" s="320"/>
      <c r="L70" s="328"/>
      <c r="M70" s="328"/>
      <c r="N70" s="320"/>
      <c r="O70" s="324"/>
      <c r="P70" s="345"/>
    </row>
    <row r="71" spans="1:23" ht="50" customHeight="1" thickBot="1" x14ac:dyDescent="0.35">
      <c r="A71" s="329"/>
      <c r="B71" s="352"/>
      <c r="C71" s="417" t="s">
        <v>310</v>
      </c>
      <c r="D71" s="418" t="s">
        <v>147</v>
      </c>
      <c r="E71" s="322"/>
      <c r="F71" s="322"/>
      <c r="G71" s="322"/>
      <c r="H71" s="322"/>
      <c r="I71" s="319"/>
      <c r="J71" s="323"/>
      <c r="K71" s="324"/>
      <c r="L71" s="324"/>
      <c r="M71" s="324"/>
      <c r="N71" s="324"/>
      <c r="O71" s="423" t="s">
        <v>307</v>
      </c>
      <c r="P71" s="424" t="s">
        <v>151</v>
      </c>
      <c r="Q71" s="4"/>
      <c r="R71" s="4"/>
      <c r="S71" s="4"/>
      <c r="T71" s="20"/>
      <c r="U71" s="4"/>
      <c r="V71" s="4"/>
      <c r="W71" s="20"/>
    </row>
    <row r="72" spans="1:23" s="386" customFormat="1" ht="5" customHeight="1" x14ac:dyDescent="0.3">
      <c r="A72" s="382"/>
      <c r="B72" s="352"/>
      <c r="C72" s="381"/>
      <c r="D72" s="381"/>
      <c r="E72" s="322"/>
      <c r="F72" s="322"/>
      <c r="G72" s="322"/>
      <c r="H72" s="322"/>
      <c r="I72" s="383"/>
      <c r="J72" s="384"/>
      <c r="K72" s="322"/>
      <c r="L72" s="322"/>
      <c r="M72" s="322"/>
      <c r="N72" s="322"/>
      <c r="O72" s="321"/>
      <c r="P72" s="322"/>
      <c r="Q72" s="385"/>
      <c r="R72" s="385"/>
      <c r="S72" s="385"/>
      <c r="T72" s="38"/>
      <c r="U72" s="385"/>
      <c r="V72" s="385"/>
      <c r="W72" s="38"/>
    </row>
    <row r="73" spans="1:23" ht="22" customHeight="1" x14ac:dyDescent="0.3">
      <c r="A73" s="329"/>
      <c r="B73" s="394" t="s">
        <v>258</v>
      </c>
      <c r="C73" s="419" t="s">
        <v>264</v>
      </c>
      <c r="D73" s="419" t="s">
        <v>260</v>
      </c>
      <c r="E73" s="325" t="s">
        <v>265</v>
      </c>
      <c r="F73" s="325" t="s">
        <v>266</v>
      </c>
      <c r="G73" s="393" t="s">
        <v>267</v>
      </c>
      <c r="H73" s="326">
        <v>0.66249999999999998</v>
      </c>
      <c r="I73" s="345"/>
      <c r="J73" s="297">
        <v>9.1709519703965472E-2</v>
      </c>
      <c r="L73" s="298">
        <v>1.6759776536312849E-2</v>
      </c>
      <c r="M73" s="298">
        <v>1.6759776536312849E-2</v>
      </c>
      <c r="N73" s="320"/>
      <c r="O73" s="440">
        <v>68</v>
      </c>
      <c r="P73" s="441">
        <v>58</v>
      </c>
      <c r="Q73" s="4"/>
    </row>
    <row r="74" spans="1:23" ht="22" customHeight="1" x14ac:dyDescent="0.3">
      <c r="A74" s="329"/>
      <c r="B74" s="435" t="s">
        <v>219</v>
      </c>
      <c r="C74" s="436" t="s">
        <v>236</v>
      </c>
      <c r="D74" s="436" t="s">
        <v>221</v>
      </c>
      <c r="E74" s="437" t="s">
        <v>237</v>
      </c>
      <c r="F74" s="437" t="s">
        <v>238</v>
      </c>
      <c r="G74" s="437" t="s">
        <v>239</v>
      </c>
      <c r="H74" s="438">
        <v>0.39219999999999999</v>
      </c>
      <c r="I74" s="345"/>
      <c r="J74" s="401">
        <v>1.0917095197039699</v>
      </c>
      <c r="K74" s="329"/>
      <c r="L74" s="402">
        <v>1.6759776536312849E-2</v>
      </c>
      <c r="M74" s="402">
        <v>1.6759776536312849E-2</v>
      </c>
      <c r="N74" s="320"/>
      <c r="O74" s="439">
        <v>3</v>
      </c>
      <c r="P74" s="439">
        <v>1</v>
      </c>
      <c r="Q74" s="4"/>
    </row>
    <row r="75" spans="1:23" ht="22" customHeight="1" x14ac:dyDescent="0.3">
      <c r="A75" s="329"/>
      <c r="B75" s="435" t="s">
        <v>225</v>
      </c>
      <c r="C75" s="436" t="s">
        <v>240</v>
      </c>
      <c r="D75" s="436" t="s">
        <v>227</v>
      </c>
      <c r="E75" s="437" t="s">
        <v>241</v>
      </c>
      <c r="F75" s="437" t="s">
        <v>242</v>
      </c>
      <c r="G75" s="437" t="s">
        <v>243</v>
      </c>
      <c r="H75" s="438">
        <v>0.4819</v>
      </c>
      <c r="I75" s="345"/>
      <c r="J75" s="401">
        <v>5.5550002830673441E-2</v>
      </c>
      <c r="K75" s="329"/>
      <c r="L75" s="402">
        <v>0.61266294227188078</v>
      </c>
      <c r="M75" s="402">
        <v>0.61266294227188078</v>
      </c>
      <c r="N75" s="320"/>
      <c r="O75" s="439">
        <v>65</v>
      </c>
      <c r="P75" s="439">
        <v>57</v>
      </c>
      <c r="Q75" s="4"/>
    </row>
    <row r="76" spans="1:23" s="386" customFormat="1" ht="5" customHeight="1" x14ac:dyDescent="0.3">
      <c r="A76" s="382"/>
      <c r="B76" s="352"/>
      <c r="C76" s="381"/>
      <c r="D76" s="381"/>
      <c r="E76" s="322"/>
      <c r="F76" s="322"/>
      <c r="G76" s="322"/>
      <c r="H76" s="322"/>
      <c r="I76" s="383"/>
      <c r="J76" s="384"/>
      <c r="K76" s="322"/>
      <c r="L76" s="322"/>
      <c r="M76" s="322"/>
      <c r="N76" s="322"/>
      <c r="O76" s="321"/>
      <c r="P76" s="322"/>
      <c r="Q76" s="385"/>
      <c r="R76" s="385"/>
      <c r="S76" s="385"/>
      <c r="T76" s="38"/>
      <c r="U76" s="385"/>
      <c r="V76" s="385"/>
      <c r="W76" s="38"/>
    </row>
    <row r="77" spans="1:23" ht="46" customHeight="1" x14ac:dyDescent="0.3">
      <c r="A77" s="329"/>
      <c r="B77" s="444" t="s">
        <v>254</v>
      </c>
      <c r="C77" s="420" t="s">
        <v>274</v>
      </c>
      <c r="D77" s="420" t="s">
        <v>275</v>
      </c>
      <c r="E77" s="335"/>
      <c r="F77" s="335"/>
      <c r="G77" s="335"/>
      <c r="H77" s="395"/>
      <c r="I77" s="345"/>
      <c r="J77" s="327"/>
      <c r="K77" s="403"/>
      <c r="L77" s="404"/>
      <c r="M77" s="404"/>
      <c r="N77" s="324"/>
      <c r="O77" s="396"/>
      <c r="P77" s="396"/>
      <c r="Q77" s="4"/>
    </row>
    <row r="78" spans="1:23" s="386" customFormat="1" ht="21.5" customHeight="1" x14ac:dyDescent="0.3">
      <c r="A78" s="382"/>
      <c r="B78" s="408" t="s">
        <v>268</v>
      </c>
      <c r="C78" s="381"/>
      <c r="D78" s="381"/>
      <c r="E78" s="322"/>
      <c r="F78" s="322"/>
      <c r="G78" s="322"/>
      <c r="H78" s="322"/>
      <c r="I78" s="383"/>
      <c r="J78" s="384"/>
      <c r="K78" s="322"/>
      <c r="L78" s="322"/>
      <c r="M78" s="322"/>
      <c r="N78" s="322"/>
      <c r="O78" s="321"/>
      <c r="P78" s="322"/>
      <c r="Q78" s="385"/>
      <c r="R78" s="385"/>
      <c r="S78" s="385"/>
      <c r="T78" s="38"/>
      <c r="U78" s="385"/>
      <c r="V78" s="385"/>
      <c r="W78" s="38"/>
    </row>
    <row r="79" spans="1:23" ht="18" customHeight="1" x14ac:dyDescent="0.3">
      <c r="A79" s="329"/>
      <c r="B79" s="409" t="s">
        <v>234</v>
      </c>
      <c r="C79" s="325" t="s">
        <v>271</v>
      </c>
      <c r="D79" s="325" t="s">
        <v>269</v>
      </c>
      <c r="E79" s="335"/>
      <c r="F79" s="335"/>
      <c r="G79" s="335"/>
      <c r="H79" s="395"/>
      <c r="I79" s="345"/>
      <c r="J79" s="327"/>
      <c r="K79" s="403"/>
      <c r="L79" s="404"/>
      <c r="M79" s="404"/>
      <c r="N79" s="324"/>
      <c r="O79" s="396"/>
      <c r="P79" s="396"/>
      <c r="Q79" s="4"/>
    </row>
    <row r="80" spans="1:23" ht="18" customHeight="1" x14ac:dyDescent="0.3">
      <c r="A80" s="329"/>
      <c r="B80" s="409" t="s">
        <v>232</v>
      </c>
      <c r="C80" s="325" t="s">
        <v>272</v>
      </c>
      <c r="D80" s="325" t="s">
        <v>257</v>
      </c>
      <c r="E80" s="335"/>
      <c r="F80" s="335"/>
      <c r="G80" s="335"/>
      <c r="H80" s="395"/>
      <c r="I80" s="345"/>
      <c r="J80" s="327"/>
      <c r="K80" s="403"/>
      <c r="L80" s="404"/>
      <c r="M80" s="404"/>
      <c r="N80" s="324"/>
      <c r="O80" s="396"/>
      <c r="P80" s="396"/>
      <c r="Q80" s="4"/>
    </row>
    <row r="81" spans="1:23" ht="18" customHeight="1" x14ac:dyDescent="0.3">
      <c r="A81" s="329"/>
      <c r="B81" s="409" t="s">
        <v>233</v>
      </c>
      <c r="C81" s="325" t="s">
        <v>273</v>
      </c>
      <c r="D81" s="325" t="s">
        <v>270</v>
      </c>
      <c r="E81" s="397"/>
      <c r="F81" s="397"/>
      <c r="G81" s="397"/>
      <c r="H81" s="398"/>
      <c r="I81" s="353"/>
      <c r="J81" s="405"/>
      <c r="K81" s="406"/>
      <c r="L81" s="407"/>
      <c r="M81" s="407"/>
      <c r="N81" s="324"/>
      <c r="O81" s="399"/>
      <c r="P81" s="400"/>
    </row>
    <row r="82" spans="1:23" s="386" customFormat="1" ht="8" customHeight="1" thickBot="1" x14ac:dyDescent="0.35">
      <c r="A82" s="382"/>
      <c r="B82" s="352"/>
      <c r="C82" s="381"/>
      <c r="D82" s="381"/>
      <c r="E82" s="322"/>
      <c r="F82" s="322"/>
      <c r="G82" s="322"/>
      <c r="H82" s="322"/>
      <c r="I82" s="383"/>
      <c r="J82" s="384"/>
      <c r="K82" s="322"/>
      <c r="L82" s="322"/>
      <c r="M82" s="322"/>
      <c r="N82" s="322"/>
      <c r="O82" s="321"/>
      <c r="P82" s="322"/>
      <c r="Q82" s="385"/>
      <c r="R82" s="385"/>
      <c r="S82" s="385"/>
      <c r="T82" s="38"/>
      <c r="U82" s="385"/>
      <c r="V82" s="385"/>
      <c r="W82" s="38"/>
    </row>
    <row r="83" spans="1:23" ht="59.5" customHeight="1" thickBot="1" x14ac:dyDescent="0.35">
      <c r="A83" s="329"/>
      <c r="B83" s="347"/>
      <c r="C83" s="417" t="s">
        <v>311</v>
      </c>
      <c r="D83" s="418" t="s">
        <v>147</v>
      </c>
      <c r="E83" s="322"/>
      <c r="F83" s="322"/>
      <c r="G83" s="322"/>
      <c r="H83" s="322"/>
      <c r="I83" s="319"/>
      <c r="J83" s="323"/>
      <c r="K83" s="324"/>
      <c r="L83" s="324"/>
      <c r="M83" s="324"/>
      <c r="N83" s="324"/>
      <c r="O83" s="423" t="s">
        <v>309</v>
      </c>
      <c r="P83" s="424" t="s">
        <v>151</v>
      </c>
      <c r="Q83" s="4"/>
      <c r="R83" s="4"/>
      <c r="S83" s="4"/>
      <c r="T83" s="20"/>
      <c r="U83" s="4"/>
      <c r="V83" s="4"/>
      <c r="W83" s="20"/>
    </row>
    <row r="84" spans="1:23" s="386" customFormat="1" ht="5" customHeight="1" x14ac:dyDescent="0.3">
      <c r="A84" s="382"/>
      <c r="B84" s="352"/>
      <c r="C84" s="381"/>
      <c r="D84" s="381"/>
      <c r="E84" s="322"/>
      <c r="F84" s="322"/>
      <c r="G84" s="322"/>
      <c r="H84" s="322"/>
      <c r="I84" s="383"/>
      <c r="J84" s="384"/>
      <c r="K84" s="322"/>
      <c r="L84" s="322"/>
      <c r="M84" s="322"/>
      <c r="N84" s="322"/>
      <c r="O84" s="321"/>
      <c r="P84" s="322"/>
      <c r="Q84" s="385"/>
      <c r="R84" s="385"/>
      <c r="S84" s="385"/>
      <c r="T84" s="38"/>
      <c r="U84" s="385"/>
      <c r="V84" s="385"/>
      <c r="W84" s="38"/>
    </row>
    <row r="85" spans="1:23" ht="22" customHeight="1" x14ac:dyDescent="0.3">
      <c r="A85" s="329"/>
      <c r="B85" s="394" t="s">
        <v>258</v>
      </c>
      <c r="C85" s="419" t="s">
        <v>259</v>
      </c>
      <c r="D85" s="419" t="s">
        <v>260</v>
      </c>
      <c r="E85" s="325" t="s">
        <v>261</v>
      </c>
      <c r="F85" s="325" t="s">
        <v>262</v>
      </c>
      <c r="G85" s="325" t="s">
        <v>263</v>
      </c>
      <c r="H85" s="326">
        <v>2.81E-2</v>
      </c>
      <c r="I85" s="345"/>
      <c r="J85" s="401">
        <v>5.4702553086577128E-2</v>
      </c>
      <c r="K85" s="329"/>
      <c r="L85" s="402">
        <v>1.86219739292365E-2</v>
      </c>
      <c r="M85" s="402">
        <v>1.86219739292365E-2</v>
      </c>
      <c r="N85" s="320"/>
      <c r="O85" s="433">
        <v>58</v>
      </c>
      <c r="P85" s="433">
        <v>58</v>
      </c>
      <c r="Q85" s="4"/>
    </row>
    <row r="86" spans="1:23" ht="22" customHeight="1" x14ac:dyDescent="0.3">
      <c r="A86" s="329"/>
      <c r="B86" s="435" t="s">
        <v>219</v>
      </c>
      <c r="C86" s="436" t="s">
        <v>220</v>
      </c>
      <c r="D86" s="436" t="s">
        <v>221</v>
      </c>
      <c r="E86" s="437" t="s">
        <v>222</v>
      </c>
      <c r="F86" s="437" t="s">
        <v>223</v>
      </c>
      <c r="G86" s="437" t="s">
        <v>224</v>
      </c>
      <c r="H86" s="438">
        <v>0.48459999999999998</v>
      </c>
      <c r="I86" s="345"/>
      <c r="J86" s="401">
        <v>1.0547025530865799</v>
      </c>
      <c r="K86" s="329"/>
      <c r="L86" s="402">
        <v>1.86219739292365E-2</v>
      </c>
      <c r="M86" s="402">
        <v>1.86219739292365E-2</v>
      </c>
      <c r="N86" s="320"/>
      <c r="O86" s="439">
        <v>3</v>
      </c>
      <c r="P86" s="439">
        <v>1</v>
      </c>
      <c r="Q86" s="4"/>
    </row>
    <row r="87" spans="1:23" ht="22" customHeight="1" x14ac:dyDescent="0.3">
      <c r="A87" s="329"/>
      <c r="B87" s="435" t="s">
        <v>225</v>
      </c>
      <c r="C87" s="436" t="s">
        <v>226</v>
      </c>
      <c r="D87" s="436" t="s">
        <v>227</v>
      </c>
      <c r="E87" s="437" t="s">
        <v>228</v>
      </c>
      <c r="F87" s="437" t="s">
        <v>229</v>
      </c>
      <c r="G87" s="437" t="s">
        <v>230</v>
      </c>
      <c r="H87" s="438">
        <v>6.8500000000000005E-2</v>
      </c>
      <c r="I87" s="345"/>
      <c r="J87" s="401">
        <v>0.63621479673375014</v>
      </c>
      <c r="K87" s="329"/>
      <c r="L87" s="402">
        <v>0.56238361266294223</v>
      </c>
      <c r="M87" s="402">
        <v>0.56238361266294223</v>
      </c>
      <c r="N87" s="320"/>
      <c r="O87" s="439">
        <v>55</v>
      </c>
      <c r="P87" s="439">
        <v>57</v>
      </c>
      <c r="Q87" s="4"/>
    </row>
    <row r="88" spans="1:23" s="386" customFormat="1" ht="5" customHeight="1" x14ac:dyDescent="0.3">
      <c r="A88" s="382"/>
      <c r="B88" s="352"/>
      <c r="C88" s="381"/>
      <c r="D88" s="381"/>
      <c r="E88" s="322"/>
      <c r="F88" s="322"/>
      <c r="G88" s="322"/>
      <c r="H88" s="322"/>
      <c r="I88" s="383"/>
      <c r="J88" s="384"/>
      <c r="K88" s="322"/>
      <c r="L88" s="322"/>
      <c r="M88" s="322"/>
      <c r="N88" s="322"/>
      <c r="O88" s="321"/>
      <c r="P88" s="322"/>
      <c r="Q88" s="385"/>
      <c r="R88" s="385"/>
      <c r="S88" s="385"/>
      <c r="T88" s="38"/>
      <c r="U88" s="385"/>
      <c r="V88" s="385"/>
      <c r="W88" s="38"/>
    </row>
    <row r="89" spans="1:23" ht="47.5" customHeight="1" x14ac:dyDescent="0.3">
      <c r="A89" s="329"/>
      <c r="B89" s="444" t="s">
        <v>254</v>
      </c>
      <c r="C89" s="420" t="s">
        <v>276</v>
      </c>
      <c r="D89" s="420" t="s">
        <v>275</v>
      </c>
      <c r="E89" s="335"/>
      <c r="F89" s="335"/>
      <c r="G89" s="335"/>
      <c r="H89" s="395"/>
      <c r="I89" s="345"/>
      <c r="J89" s="327"/>
      <c r="K89" s="403"/>
      <c r="L89" s="404"/>
      <c r="M89" s="404"/>
      <c r="N89" s="324"/>
      <c r="O89" s="396"/>
      <c r="P89" s="396"/>
      <c r="Q89" s="4"/>
    </row>
    <row r="90" spans="1:23" s="386" customFormat="1" ht="24.5" customHeight="1" x14ac:dyDescent="0.3">
      <c r="A90" s="382"/>
      <c r="B90" s="408" t="s">
        <v>268</v>
      </c>
      <c r="C90" s="381"/>
      <c r="D90" s="381"/>
      <c r="E90" s="322"/>
      <c r="F90" s="322"/>
      <c r="G90" s="322"/>
      <c r="H90" s="322"/>
      <c r="I90" s="383"/>
      <c r="J90" s="384"/>
      <c r="K90" s="322"/>
      <c r="L90" s="322"/>
      <c r="M90" s="322"/>
      <c r="N90" s="322"/>
      <c r="O90" s="321"/>
      <c r="P90" s="322"/>
      <c r="Q90" s="385"/>
      <c r="R90" s="385"/>
      <c r="S90" s="385"/>
      <c r="T90" s="38"/>
      <c r="U90" s="385"/>
      <c r="V90" s="385"/>
      <c r="W90" s="38"/>
    </row>
    <row r="91" spans="1:23" ht="18" customHeight="1" x14ac:dyDescent="0.3">
      <c r="A91" s="329"/>
      <c r="B91" s="409" t="s">
        <v>234</v>
      </c>
      <c r="C91" s="325" t="s">
        <v>255</v>
      </c>
      <c r="D91" s="325" t="s">
        <v>269</v>
      </c>
      <c r="E91" s="335"/>
      <c r="F91" s="335"/>
      <c r="G91" s="335"/>
      <c r="H91" s="395"/>
      <c r="I91" s="345"/>
      <c r="J91" s="327"/>
      <c r="K91" s="403"/>
      <c r="L91" s="404"/>
      <c r="M91" s="404"/>
      <c r="N91" s="324"/>
      <c r="O91" s="396"/>
      <c r="P91" s="396"/>
      <c r="Q91" s="4"/>
    </row>
    <row r="92" spans="1:23" ht="18" customHeight="1" x14ac:dyDescent="0.3">
      <c r="A92" s="329"/>
      <c r="B92" s="409" t="s">
        <v>232</v>
      </c>
      <c r="C92" s="325" t="s">
        <v>256</v>
      </c>
      <c r="D92" s="325" t="s">
        <v>257</v>
      </c>
      <c r="E92" s="335"/>
      <c r="F92" s="335"/>
      <c r="G92" s="335"/>
      <c r="H92" s="395"/>
      <c r="I92" s="345"/>
      <c r="J92" s="327"/>
      <c r="K92" s="403"/>
      <c r="L92" s="404"/>
      <c r="M92" s="404"/>
      <c r="N92" s="324"/>
      <c r="O92" s="396"/>
      <c r="P92" s="396"/>
      <c r="Q92" s="4"/>
    </row>
    <row r="93" spans="1:23" ht="18" customHeight="1" x14ac:dyDescent="0.3">
      <c r="A93" s="329"/>
      <c r="B93" s="409" t="s">
        <v>233</v>
      </c>
      <c r="C93" s="325" t="s">
        <v>257</v>
      </c>
      <c r="D93" s="325" t="s">
        <v>270</v>
      </c>
      <c r="E93" s="397"/>
      <c r="F93" s="397"/>
      <c r="G93" s="397"/>
      <c r="H93" s="398"/>
      <c r="I93" s="353"/>
      <c r="J93" s="405"/>
      <c r="K93" s="406"/>
      <c r="L93" s="407"/>
      <c r="M93" s="407"/>
      <c r="N93" s="324"/>
      <c r="O93" s="399"/>
      <c r="P93" s="400"/>
    </row>
    <row r="94" spans="1:23" s="386" customFormat="1" ht="8" customHeight="1" x14ac:dyDescent="0.3">
      <c r="A94" s="382"/>
      <c r="B94" s="352"/>
      <c r="C94" s="381"/>
      <c r="D94" s="381"/>
      <c r="E94" s="322"/>
      <c r="F94" s="322"/>
      <c r="G94" s="322"/>
      <c r="H94" s="322"/>
      <c r="I94" s="383"/>
      <c r="J94" s="384"/>
      <c r="K94" s="322"/>
      <c r="L94" s="322"/>
      <c r="M94" s="322"/>
      <c r="N94" s="322"/>
      <c r="O94" s="321"/>
      <c r="P94" s="322"/>
      <c r="Q94" s="385"/>
      <c r="R94" s="385"/>
      <c r="S94" s="385"/>
      <c r="T94" s="38"/>
      <c r="U94" s="385"/>
      <c r="V94" s="385"/>
      <c r="W94" s="38"/>
    </row>
    <row r="95" spans="1:23" s="386" customFormat="1" ht="29.5" customHeight="1" x14ac:dyDescent="0.3">
      <c r="A95" s="382"/>
      <c r="B95" s="520" t="s">
        <v>314</v>
      </c>
      <c r="C95" s="520"/>
      <c r="D95" s="520"/>
      <c r="E95" s="520"/>
      <c r="F95" s="520"/>
      <c r="G95" s="520"/>
      <c r="H95" s="520"/>
      <c r="I95" s="520"/>
      <c r="J95" s="520"/>
      <c r="K95" s="520"/>
      <c r="L95" s="520"/>
      <c r="M95" s="520"/>
      <c r="N95" s="520"/>
      <c r="O95" s="520"/>
      <c r="P95" s="520"/>
      <c r="Q95" s="385"/>
      <c r="R95" s="385"/>
      <c r="S95" s="385"/>
      <c r="T95" s="38"/>
      <c r="U95" s="385"/>
      <c r="V95" s="385"/>
      <c r="W95" s="38"/>
    </row>
    <row r="96" spans="1:23" s="386" customFormat="1" ht="20" customHeight="1" x14ac:dyDescent="0.3">
      <c r="A96" s="382"/>
      <c r="B96" s="352"/>
      <c r="C96" s="381"/>
      <c r="D96" s="381"/>
      <c r="E96" s="322"/>
      <c r="F96" s="322"/>
      <c r="G96" s="322"/>
      <c r="H96" s="322"/>
      <c r="I96" s="383"/>
      <c r="J96" s="384"/>
      <c r="K96" s="322"/>
      <c r="L96" s="322"/>
      <c r="M96" s="322"/>
      <c r="N96" s="322"/>
      <c r="O96" s="321"/>
      <c r="P96" s="322"/>
      <c r="Q96" s="385"/>
      <c r="R96" s="385"/>
      <c r="S96" s="385"/>
      <c r="T96" s="38"/>
      <c r="U96" s="385"/>
      <c r="V96" s="385"/>
      <c r="W96" s="38"/>
    </row>
  </sheetData>
  <mergeCells count="9">
    <mergeCell ref="B95:P95"/>
    <mergeCell ref="B68:B69"/>
    <mergeCell ref="E68:H68"/>
    <mergeCell ref="O68:P68"/>
    <mergeCell ref="B2:F2"/>
    <mergeCell ref="B3:F3"/>
    <mergeCell ref="C44:D44"/>
    <mergeCell ref="B67:H67"/>
    <mergeCell ref="O67:P67"/>
  </mergeCells>
  <phoneticPr fontId="7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NNT desde HR</vt:lpstr>
      <vt:lpstr>EA por Inc Acumul</vt:lpstr>
      <vt:lpstr>Respuestas por Inc Acumul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2022-04-13T09:06:55Z</dcterms:modified>
</cp:coreProperties>
</file>