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123-Galo\0-Datos\10-Temas publc\20220118-VÑ VERTIS-CV\"/>
    </mc:Choice>
  </mc:AlternateContent>
  <xr:revisionPtr revIDLastSave="0" documentId="13_ncr:1_{4FB466EC-4E9A-4AFF-9F0C-879712309DF1}" xr6:coauthVersionLast="47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1 InsCar 3x3" sheetId="13" r:id="rId2"/>
    <sheet name="Gr2 Mort 3x3, en%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4" l="1"/>
  <c r="E6" i="14"/>
  <c r="C6" i="14"/>
  <c r="B70" i="14"/>
  <c r="D70" i="14" s="1"/>
  <c r="B66" i="14"/>
  <c r="D66" i="14" s="1"/>
  <c r="D62" i="14"/>
  <c r="C58" i="14"/>
  <c r="D58" i="14" s="1"/>
  <c r="C25" i="14"/>
  <c r="D10" i="14"/>
  <c r="C9" i="14"/>
  <c r="D8" i="14"/>
  <c r="D6" i="14" s="1"/>
  <c r="C8" i="14"/>
  <c r="B6" i="14"/>
  <c r="C13" i="14"/>
  <c r="E2" i="14"/>
  <c r="L2" i="14" s="1"/>
  <c r="A1" i="14"/>
  <c r="D7" i="14" s="1"/>
  <c r="D7" i="13"/>
  <c r="C7" i="13"/>
  <c r="E2" i="13"/>
  <c r="F9" i="6"/>
  <c r="E8" i="14" l="1"/>
  <c r="E10" i="14"/>
  <c r="D11" i="14"/>
  <c r="C14" i="14"/>
  <c r="D72" i="14"/>
  <c r="D73" i="14"/>
  <c r="C11" i="14"/>
  <c r="D13" i="14"/>
  <c r="D14" i="14" s="1"/>
  <c r="F14" i="14"/>
  <c r="D25" i="14"/>
  <c r="C7" i="14"/>
  <c r="E9" i="13"/>
  <c r="E8" i="13"/>
  <c r="E6" i="13"/>
  <c r="D6" i="13"/>
  <c r="C6" i="13"/>
  <c r="B6" i="13"/>
  <c r="D26" i="14" l="1"/>
  <c r="B26" i="14"/>
  <c r="C26" i="14"/>
  <c r="E8" i="6"/>
  <c r="C24" i="13" l="1"/>
  <c r="D13" i="13"/>
  <c r="C13" i="13"/>
  <c r="B5" i="13"/>
  <c r="A1" i="13"/>
  <c r="D10" i="13" l="1"/>
  <c r="D14" i="13" s="1"/>
  <c r="F14" i="13"/>
  <c r="C8" i="13"/>
  <c r="C9" i="13"/>
  <c r="C14" i="13" s="1"/>
  <c r="D24" i="13"/>
  <c r="D25" i="13" s="1"/>
  <c r="D8" i="13"/>
  <c r="D11" i="13" l="1"/>
  <c r="B25" i="13"/>
  <c r="C11" i="13"/>
  <c r="C25" i="13"/>
  <c r="G8" i="6"/>
  <c r="I8" i="6" s="1"/>
  <c r="O8" i="6" s="1"/>
  <c r="G7" i="6"/>
  <c r="I7" i="6" s="1"/>
  <c r="O7" i="6" l="1"/>
  <c r="B14" i="6" l="1"/>
  <c r="B21" i="6"/>
  <c r="B22" i="6"/>
  <c r="B53" i="6"/>
  <c r="S5" i="6" l="1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V8" i="6" s="1"/>
  <c r="V9" i="6" s="1"/>
  <c r="D56" i="6"/>
  <c r="E41" i="6"/>
  <c r="E40" i="6"/>
  <c r="I23" i="6"/>
  <c r="I22" i="6"/>
  <c r="C22" i="6"/>
  <c r="I21" i="6"/>
  <c r="C21" i="6"/>
  <c r="G14" i="6"/>
  <c r="E54" i="6" s="1"/>
  <c r="D14" i="6"/>
  <c r="D9" i="6"/>
  <c r="B23" i="6" l="1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E7" i="6"/>
  <c r="C56" i="6"/>
  <c r="K14" i="6"/>
  <c r="C40" i="6"/>
  <c r="T7" i="6" l="1"/>
  <c r="T6" i="6"/>
  <c r="F22" i="6"/>
  <c r="C42" i="6"/>
  <c r="E21" i="6"/>
  <c r="N23" i="6"/>
  <c r="D21" i="6"/>
  <c r="F21" i="6" s="1"/>
  <c r="E9" i="6"/>
  <c r="C14" i="6"/>
  <c r="F14" i="6" s="1"/>
  <c r="C45" i="6"/>
  <c r="L22" i="6" l="1"/>
  <c r="M56" i="6" s="1"/>
  <c r="I14" i="6"/>
  <c r="M14" i="6" s="1"/>
  <c r="K22" i="6"/>
  <c r="L56" i="6" s="1"/>
  <c r="E14" i="6"/>
  <c r="H14" i="6" s="1"/>
  <c r="E55" i="6" s="1"/>
  <c r="W21" i="6"/>
  <c r="J21" i="6"/>
  <c r="K55" i="6" s="1"/>
  <c r="J26" i="6"/>
  <c r="D41" i="6"/>
  <c r="D46" i="6" s="1"/>
  <c r="D40" i="6"/>
  <c r="L21" i="6"/>
  <c r="M55" i="6" s="1"/>
  <c r="K21" i="6"/>
  <c r="L55" i="6" s="1"/>
  <c r="N56" i="6" l="1"/>
  <c r="E56" i="6"/>
  <c r="D23" i="6"/>
  <c r="E23" i="6"/>
  <c r="L14" i="6"/>
  <c r="D42" i="6"/>
  <c r="D45" i="6"/>
  <c r="C48" i="6" s="1"/>
  <c r="K41" i="6"/>
  <c r="I40" i="6" s="1"/>
  <c r="F54" i="6"/>
  <c r="K26" i="6"/>
  <c r="L26" i="6"/>
  <c r="N22" i="6"/>
  <c r="N24" i="6" s="1"/>
  <c r="N25" i="6" s="1"/>
  <c r="N26" i="6" s="1"/>
  <c r="J27" i="6"/>
  <c r="J35" i="6" s="1"/>
  <c r="N55" i="6"/>
  <c r="F23" i="6" l="1"/>
  <c r="L23" i="6" s="1"/>
  <c r="M57" i="6" s="1"/>
  <c r="W22" i="6"/>
  <c r="W23" i="6" s="1"/>
  <c r="W24" i="6" s="1"/>
  <c r="W25" i="6" s="1"/>
  <c r="J23" i="6"/>
  <c r="K57" i="6" s="1"/>
  <c r="Q28" i="6"/>
  <c r="N31" i="6" s="1"/>
  <c r="N32" i="6" s="1"/>
  <c r="H56" i="6" s="1"/>
  <c r="H58" i="6" s="1"/>
  <c r="H62" i="6" s="1"/>
  <c r="J32" i="6"/>
  <c r="T3" i="6" s="1"/>
  <c r="F55" i="6"/>
  <c r="L27" i="6"/>
  <c r="K35" i="6" s="1"/>
  <c r="F56" i="6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L62" i="6" l="1"/>
  <c r="O62" i="6" s="1"/>
  <c r="M62" i="6"/>
  <c r="P62" i="6" s="1"/>
  <c r="N33" i="6"/>
  <c r="E58" i="6"/>
  <c r="E62" i="6" s="1"/>
  <c r="K23" i="6"/>
  <c r="L57" i="6" s="1"/>
  <c r="N57" i="6" s="1"/>
  <c r="S3" i="6"/>
  <c r="K32" i="6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F61" i="6" l="1"/>
  <c r="D58" i="6"/>
  <c r="D62" i="6" s="1"/>
  <c r="C58" i="6"/>
  <c r="C62" i="6" s="1"/>
  <c r="E61" i="6"/>
  <c r="F58" i="6"/>
  <c r="F62" i="6" s="1"/>
  <c r="G61" i="6"/>
  <c r="G58" i="6"/>
  <c r="G62" i="6" s="1"/>
</calcChain>
</file>

<file path=xl/sharedStrings.xml><?xml version="1.0" encoding="utf-8"?>
<sst xmlns="http://schemas.openxmlformats.org/spreadsheetml/2006/main" count="514" uniqueCount="388">
  <si>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</si>
  <si>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</si>
  <si>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</si>
  <si>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</si>
  <si>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</si>
  <si>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</si>
  <si>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</si>
  <si>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</si>
  <si>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</si>
  <si>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</si>
  <si>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</si>
  <si>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</si>
  <si>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</si>
  <si>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</si>
  <si>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</si>
  <si>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</si>
  <si>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IC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</si>
  <si>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</si>
  <si>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</si>
  <si>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</si>
  <si>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</si>
  <si>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</si>
  <si>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</si>
  <si>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</si>
  <si>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</si>
  <si>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</si>
  <si>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</si>
  <si>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</si>
  <si>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</si>
  <si>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</si>
  <si>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</si>
  <si>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</si>
  <si>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</si>
  <si>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</si>
  <si>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</si>
  <si>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</si>
  <si>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</si>
  <si>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</si>
  <si>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</si>
  <si>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</si>
  <si>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</si>
  <si>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</si>
  <si>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</si>
  <si>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</si>
  <si>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</si>
  <si>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</si>
  <si>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</si>
  <si>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</si>
  <si>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</si>
  <si>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</si>
  <si>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</si>
  <si>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</si>
  <si>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</si>
  <si>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</si>
  <si>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</si>
  <si>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</si>
  <si>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</si>
  <si>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</si>
  <si>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</si>
  <si>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</si>
  <si>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</si>
  <si>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</si>
  <si>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</si>
  <si>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</si>
  <si>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</si>
  <si>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</si>
  <si>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</si>
  <si>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</si>
  <si>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</si>
  <si>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</si>
  <si>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</si>
  <si>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</si>
  <si>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</si>
  <si>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</si>
  <si>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</si>
  <si>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</si>
  <si>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</si>
  <si>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</si>
  <si>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</si>
  <si>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</si>
  <si>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</si>
  <si>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</si>
  <si>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</si>
  <si>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</si>
  <si>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</si>
  <si>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</si>
  <si>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</si>
  <si>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</si>
  <si>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</si>
  <si>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</si>
  <si>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</si>
  <si>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</si>
  <si>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</si>
  <si>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</si>
  <si>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</si>
  <si>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</si>
  <si>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</si>
  <si>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</si>
  <si>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</si>
  <si>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</si>
  <si>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</si>
  <si>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</si>
  <si>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</si>
  <si>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</si>
  <si>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</si>
  <si>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</si>
  <si>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</si>
  <si>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</si>
  <si>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</si>
  <si>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</si>
  <si>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</si>
  <si>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</si>
  <si>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</si>
  <si>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</si>
  <si>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</si>
  <si>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</si>
  <si>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</si>
  <si>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</si>
  <si>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</si>
  <si>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</si>
  <si>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</si>
  <si>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</si>
  <si>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</si>
  <si>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</si>
  <si>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</si>
  <si>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</si>
  <si>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</si>
  <si>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</si>
  <si>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</si>
  <si>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</si>
  <si>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</si>
  <si>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</si>
  <si>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</si>
  <si>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</si>
  <si>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</si>
  <si>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</si>
  <si>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</si>
  <si>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</si>
  <si>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</si>
  <si>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</si>
  <si>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</si>
  <si>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</si>
  <si>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</si>
  <si>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</si>
  <si>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</si>
  <si>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Hospitalización por Insuf Cardiaca</t>
  </si>
  <si>
    <t>meses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</si>
  <si>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</si>
  <si>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Mortalidad cualquier causa</t>
  </si>
  <si>
    <t>Medidas del efecto obtenidas por incidencias acumuladas</t>
  </si>
  <si>
    <t>RAR (IC 95%)</t>
  </si>
  <si>
    <t>nº años</t>
  </si>
  <si>
    <t>nº meses</t>
  </si>
  <si>
    <t>Hospitalización por Insuficiencia cardíaca</t>
  </si>
  <si>
    <t>Cetoacidosis diabética</t>
  </si>
  <si>
    <t>Fractura ósea</t>
  </si>
  <si>
    <t>Eventos adversos serious (graves)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</si>
  <si>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REGISTRADOS POR LOS INVESTIGADORES.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</si>
  <si>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</si>
  <si>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Ictus fatal y no fatal</t>
  </si>
  <si>
    <t>Ictus no fatal</t>
  </si>
  <si>
    <t>[Mort CV, IAM ó Ictus]</t>
  </si>
  <si>
    <t>[Mort CV, IAM, Ictus ó Angina inestable]</t>
  </si>
  <si>
    <t>Los 3 destinos del NNT (3dNNT)</t>
  </si>
  <si>
    <t>Los 3 tiempos biográficos (3tB)</t>
  </si>
  <si>
    <t>Variables experienciales</t>
  </si>
  <si>
    <t>Variables no experienciales</t>
  </si>
  <si>
    <t>Meses ----&gt;</t>
  </si>
  <si>
    <t>%Ev/ año</t>
  </si>
  <si>
    <t>%Ev</t>
  </si>
  <si>
    <t>Los 3 destinos NNT</t>
  </si>
  <si>
    <t xml:space="preserve">Cannon CP, Pratley R, Dagogo-Jack S, on behalf of the VERTIS CV Investigators. Cardiovascular Outcomes with Ertugliflozin in Type 2 Diabetes. N Engl J Med. 2020 Oct 8;383(15):1425-1435. 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</si>
  <si>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64 años (DE 8) con diabetes mellitus tipo 2 y enfermedad cardiovascular establecida.</t>
    </r>
  </si>
  <si>
    <t>Ertuglifozina</t>
  </si>
  <si>
    <t>Tto estándar + Ertuglifozina, n= 5.499</t>
  </si>
  <si>
    <t>Tto estándar + Placebo, n= 2.747</t>
  </si>
  <si>
    <t>327/2745 (11,91%)</t>
  </si>
  <si>
    <t>NNT (IC 95%) en 36 meses</t>
  </si>
  <si>
    <t>RAR (IC 95%) en 36 meses</t>
  </si>
  <si>
    <t>653/5493 (11,89%)</t>
  </si>
  <si>
    <t>0,02% (-1,49% a 1,48%)</t>
  </si>
  <si>
    <t>4047 (68 a -67)</t>
  </si>
  <si>
    <t>2,7%</t>
  </si>
  <si>
    <t>823/5499 (14,97%)</t>
  </si>
  <si>
    <t>439/2747 (15,98%)</t>
  </si>
  <si>
    <t>0,94 (0,84-1,04)</t>
  </si>
  <si>
    <t>1,01% (-0,67% a 2,65%)</t>
  </si>
  <si>
    <t>99 (38 a -148)</t>
  </si>
  <si>
    <t>22,55%</t>
  </si>
  <si>
    <t>341/5499 (6,2%)</t>
  </si>
  <si>
    <t>184/2747 (6,7%)</t>
  </si>
  <si>
    <t>0,93 (0,78-1,1)</t>
  </si>
  <si>
    <t>0,5% (-0,67% a 1,6%)</t>
  </si>
  <si>
    <t>201 (63 a -149)</t>
  </si>
  <si>
    <t>13,82%</t>
  </si>
  <si>
    <t>Mortalidad por causa CV</t>
  </si>
  <si>
    <t>0/5499 (0%)</t>
  </si>
  <si>
    <t>0/2747 (0%)</t>
  </si>
  <si>
    <t>IAM fatal y no fatal</t>
  </si>
  <si>
    <t>330/5499 (6%)</t>
  </si>
  <si>
    <t>158/2747 (5,75%)</t>
  </si>
  <si>
    <t>1,04 (0,87-1,25)</t>
  </si>
  <si>
    <t>-0,25% (-1,36% a 0,8%)</t>
  </si>
  <si>
    <t>-401 (126 a -74)</t>
  </si>
  <si>
    <t>6,58%</t>
  </si>
  <si>
    <t>185/5499 (3,36%)</t>
  </si>
  <si>
    <t>87/2747 (3,17%)</t>
  </si>
  <si>
    <t>1,06 (0,83-1,36)</t>
  </si>
  <si>
    <t>-0,2% (-1,05% a 0,58%)</t>
  </si>
  <si>
    <t>-507 (171 a -96)</t>
  </si>
  <si>
    <t>139/5499 (2,53%)</t>
  </si>
  <si>
    <t>99/2747 (3,6%)</t>
  </si>
  <si>
    <t>1,08% (0,22% a 1,85%)</t>
  </si>
  <si>
    <t>93 (54 a 452)</t>
  </si>
  <si>
    <t>78,56%</t>
  </si>
  <si>
    <t>473/5499 (8,6%)</t>
  </si>
  <si>
    <t>254/2747 (9,25%)</t>
  </si>
  <si>
    <t>0,93 (0,8-1,08)</t>
  </si>
  <si>
    <t>0,64% (-0,7% a 1,93%)</t>
  </si>
  <si>
    <t>155 (52 a -143)</t>
  </si>
  <si>
    <t>16,19%</t>
  </si>
  <si>
    <t>IAM no fatal</t>
  </si>
  <si>
    <t>310/5499 (5,64%)</t>
  </si>
  <si>
    <t>148/2747 (5,39%)</t>
  </si>
  <si>
    <t>1,05 (0,86-1,27)</t>
  </si>
  <si>
    <t>-0,25% (-1,33% a 0,76%)</t>
  </si>
  <si>
    <t>-400 (131 a -75)</t>
  </si>
  <si>
    <t>6,77%</t>
  </si>
  <si>
    <t>157/5499 (2,86%)</t>
  </si>
  <si>
    <t>78/2747 (2,84%)</t>
  </si>
  <si>
    <t>1,01 (0,77-1,31)</t>
  </si>
  <si>
    <t>-0,02% (-0,82% a 0,72%)</t>
  </si>
  <si>
    <t>-6409 (139 a -122)</t>
  </si>
  <si>
    <t>2,74%</t>
  </si>
  <si>
    <t>Duplicación de la creatinina sérica</t>
  </si>
  <si>
    <t>Terapia de reemplazo renal</t>
  </si>
  <si>
    <t>7/5499 (0,13%)</t>
  </si>
  <si>
    <t>3/2747 (0,11%)</t>
  </si>
  <si>
    <t>1,17 (0,3-4,5)</t>
  </si>
  <si>
    <t>-0,02% (-0,24% a 0,14%)</t>
  </si>
  <si>
    <t>-5529 (740 a -418)</t>
  </si>
  <si>
    <t>4,11%</t>
  </si>
  <si>
    <t>168/5499 (3,06%)</t>
  </si>
  <si>
    <t>105/2747 (3,82%)</t>
  </si>
  <si>
    <t>0,77% (-0,12% a 1,58%)</t>
  </si>
  <si>
    <t>130 (63 a -809)</t>
  </si>
  <si>
    <t>45,04%</t>
  </si>
  <si>
    <t>--------</t>
  </si>
  <si>
    <t>1,00 (0,88-1,13)</t>
  </si>
  <si>
    <t>0,80 (0,63-1,02)</t>
  </si>
  <si>
    <t>Tto estándar + Ertuglifozina, n= 5.493</t>
  </si>
  <si>
    <t>Tto estándar + Placebo, n= 2.745</t>
  </si>
  <si>
    <t>NNT (IC 95%)</t>
  </si>
  <si>
    <t>4682/5493 (85,24%)</t>
  </si>
  <si>
    <t>2349/2745 (85,57%)</t>
  </si>
  <si>
    <t>1 (0,98-1,02)</t>
  </si>
  <si>
    <t>0,34% (-1,25% a 1,98%)</t>
  </si>
  <si>
    <t>296 (51 a -80)</t>
  </si>
  <si>
    <t>Eventos adversos de todos los tipos</t>
  </si>
  <si>
    <t>1895/5493 (34,5%)</t>
  </si>
  <si>
    <t>990/2745 (36,07%)</t>
  </si>
  <si>
    <t>0,96 (0,9-1,02)</t>
  </si>
  <si>
    <t>1,57% (-0,63% a 3,75%)</t>
  </si>
  <si>
    <t>64 (27 a -158)</t>
  </si>
  <si>
    <t>Eventos adversos que motivan el abandono del tratamiento</t>
  </si>
  <si>
    <t>408/5493 (7,43%)</t>
  </si>
  <si>
    <t>188/2745 (6,85%)</t>
  </si>
  <si>
    <t>1,08 (0,92-1,28)</t>
  </si>
  <si>
    <t>-0,58% (-1,78% a 0,56%)</t>
  </si>
  <si>
    <t>-173 (177 a -56)</t>
  </si>
  <si>
    <t>Eventos adversos que conducen a la muerte</t>
  </si>
  <si>
    <t>251/5493 (4,57%)</t>
  </si>
  <si>
    <t>0,67 (0,56-0,8)</t>
  </si>
  <si>
    <t>2,28% (1,15% a 3,34%)</t>
  </si>
  <si>
    <t>44 (30 a 87)</t>
  </si>
  <si>
    <t>Eventos adversos más destacables</t>
  </si>
  <si>
    <t>Infección del tracto urinario</t>
  </si>
  <si>
    <t>666/5493 (12,12%)</t>
  </si>
  <si>
    <t>279/2745 (10,16%)</t>
  </si>
  <si>
    <t>1,19 (1,05-1,36)</t>
  </si>
  <si>
    <t>-1,96% (-3,41% a -0,56%)</t>
  </si>
  <si>
    <t>-51 (-177 a -29)</t>
  </si>
  <si>
    <t>Infección del tracto grave</t>
  </si>
  <si>
    <t>37/5493 (0,67%)</t>
  </si>
  <si>
    <t>22/2745 (0,8%)</t>
  </si>
  <si>
    <t>0,84 (0,5-1,42)</t>
  </si>
  <si>
    <t>0,13% (-0,32% a 0,5%)</t>
  </si>
  <si>
    <t>782 (200 a -312)</t>
  </si>
  <si>
    <t>Infección micótica genital en mujeres</t>
  </si>
  <si>
    <t>Infección micótica genital en varones</t>
  </si>
  <si>
    <t>113/5493 (2,06%)</t>
  </si>
  <si>
    <t>20/2745 (0,73%)</t>
  </si>
  <si>
    <t>2,82 (1,76-4,53)</t>
  </si>
  <si>
    <t>-1,33% (-1,85% a -0,84%)</t>
  </si>
  <si>
    <t>-75 (-118 a -54)</t>
  </si>
  <si>
    <t>184/5493 (3,35%)</t>
  </si>
  <si>
    <t>4,18 (2,69-6,49)</t>
  </si>
  <si>
    <t>-2,55% (-3,15% a -1,97%)</t>
  </si>
  <si>
    <t>-39 (-51 a -32)</t>
  </si>
  <si>
    <t>Hipoglucemia sintomática</t>
  </si>
  <si>
    <t>1496/5493 (27,23%)</t>
  </si>
  <si>
    <t>790/2745 (28,78%)</t>
  </si>
  <si>
    <t>0,95 (0,88-1,02)</t>
  </si>
  <si>
    <t>1,54% (-0,53% a 3,59%)</t>
  </si>
  <si>
    <t>65 (28 a -188)</t>
  </si>
  <si>
    <t>284/5493 (5,17%)</t>
  </si>
  <si>
    <t>162/2745 (5,9%)</t>
  </si>
  <si>
    <t>0,88 (0,73-1,06)</t>
  </si>
  <si>
    <t>0,73% (-0,36% a 1,76%)</t>
  </si>
  <si>
    <t>137 (57 a -275)</t>
  </si>
  <si>
    <t>Enfermedad renal aguda</t>
  </si>
  <si>
    <t>101/5493 (1,84%)</t>
  </si>
  <si>
    <t>63/2745 (2,3%)</t>
  </si>
  <si>
    <t>0,8 (0,59-1,09)</t>
  </si>
  <si>
    <t>0,46% (-0,25% a 1,09%)</t>
  </si>
  <si>
    <t>219 (92 a -397)</t>
  </si>
  <si>
    <t>Enfermedad renal aguda grave</t>
  </si>
  <si>
    <t>Hipoglucemia severa</t>
  </si>
  <si>
    <t>42/5493 (0,76%)</t>
  </si>
  <si>
    <t>0,95 (0,57-1,59)</t>
  </si>
  <si>
    <t>0,04% (-0,42% a 0,42%)</t>
  </si>
  <si>
    <t>2714 (239 a -239)</t>
  </si>
  <si>
    <t>19/5493 (0,35%)</t>
  </si>
  <si>
    <t>2/2745 (0,07%)</t>
  </si>
  <si>
    <t>4,75 (1,11-20,37)</t>
  </si>
  <si>
    <t>-0,27% (-0,5% a -0,07%)</t>
  </si>
  <si>
    <t>-366 (-1385 a -199)</t>
  </si>
  <si>
    <t>Pancreatitis aguda</t>
  </si>
  <si>
    <t>Pancreatitis crónica</t>
  </si>
  <si>
    <t>17/5493 (0,31%)</t>
  </si>
  <si>
    <t>10/2745 (0,36%)</t>
  </si>
  <si>
    <t>0,85 (0,39-1,85)</t>
  </si>
  <si>
    <t>0,05% (-0,27% a 0,3%)</t>
  </si>
  <si>
    <t>1824 (329 a -368)</t>
  </si>
  <si>
    <t>3/5493 (0,05%)</t>
  </si>
  <si>
    <t>5/2745 (0,18%)</t>
  </si>
  <si>
    <t>0,3 (0,07-1,25)</t>
  </si>
  <si>
    <t>0,13% (-0,12% a 0,28%)</t>
  </si>
  <si>
    <t>784 (362 a -843)</t>
  </si>
  <si>
    <t>201/5493 (3,66%)</t>
  </si>
  <si>
    <t>98/2745 (3,57%)</t>
  </si>
  <si>
    <t>1,02 (0,81-1,3)</t>
  </si>
  <si>
    <t>-0,09% (-0,98% a 0,74%)</t>
  </si>
  <si>
    <t>-1123 (136 a -102)</t>
  </si>
  <si>
    <t>Amputación</t>
  </si>
  <si>
    <t>111/5493 (2,02%)</t>
  </si>
  <si>
    <t>45/2745 (1,64%)</t>
  </si>
  <si>
    <t>1,23 (0,87-1,74)</t>
  </si>
  <si>
    <t>-0,38% (-1,03% a 0,2%)</t>
  </si>
  <si>
    <t>-262 (506 a -98)</t>
  </si>
  <si>
    <t>Eventos hepáticos</t>
  </si>
  <si>
    <t>12/5493 (0,22%)</t>
  </si>
  <si>
    <t>8/2745 (0,29%)</t>
  </si>
  <si>
    <t>0,75 (0,31-1,83)</t>
  </si>
  <si>
    <t>0,07% (-0,22% a 0,29%)</t>
  </si>
  <si>
    <t>1370 (344 a -445)</t>
  </si>
  <si>
    <t>Hipovolemia</t>
  </si>
  <si>
    <t>236/5493 (4,3%)</t>
  </si>
  <si>
    <t>106/2745 (3,86%)</t>
  </si>
  <si>
    <t>1,11 (0,89-1,39)</t>
  </si>
  <si>
    <t>-0,43% (-1,37% a 0,44%)</t>
  </si>
  <si>
    <t>-230 (230 a -73)</t>
  </si>
  <si>
    <r>
      <t>Nº de pacientes con evento en</t>
    </r>
    <r>
      <rPr>
        <b/>
        <sz val="10"/>
        <rFont val="Calibri"/>
        <family val="2"/>
      </rPr>
      <t xml:space="preserve"> 36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</si>
  <si>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ECA VERTIS-CV, media de seguimiento 36,3 meses (3,02 años)</t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</si>
  <si>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biográficos" con "Los 3 destinos del NNT” en [Hospitalización por Insuficiencia Cardíaca], durante un seguimiento de 36 meses.</t>
    </r>
  </si>
  <si>
    <t>Mortalidad por causa renal</t>
  </si>
  <si>
    <t>0,70 (0,54-0,90)</t>
  </si>
  <si>
    <t>20200923-ECA VERTIS-CV 36m, DM2 +EnfCV [Ertuglif vs Pl], =Mort MACE -ICC. Cannon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</si>
  <si>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 miocardio;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Insuf: </t>
    </r>
    <r>
      <rPr>
        <sz val="10"/>
        <rFont val="Calibri"/>
        <family val="2"/>
      </rPr>
      <t xml:space="preserve">insuficiencia;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>Mort:</t>
    </r>
    <r>
      <rPr>
        <sz val="10"/>
        <rFont val="Calibri"/>
        <family val="2"/>
      </rPr>
      <t xml:space="preserve"> mortalidad por cualquier causa; </t>
    </r>
    <r>
      <rPr>
        <b/>
        <sz val="10"/>
        <rFont val="Calibri"/>
        <family val="2"/>
      </rPr>
      <t>Mort 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</si>
  <si>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Los 3 destinos de cada 100 (3d%)</t>
  </si>
  <si>
    <t>Población España (1999-2019), tramo de edad 65 a 75 años</t>
  </si>
  <si>
    <t>100 personas -------&gt;</t>
  </si>
  <si>
    <t>Mortalidad por cualquier causa</t>
  </si>
  <si>
    <t>&lt;------- meses</t>
  </si>
  <si>
    <t>destinos NNT</t>
  </si>
  <si>
    <t>personas</t>
  </si>
  <si>
    <t>pers-mes</t>
  </si>
  <si>
    <t>Área cuadrado</t>
  </si>
  <si>
    <t>España, Promedio anual 1999-2019, Portal estadístico MSC</t>
  </si>
  <si>
    <t>Tramo etario</t>
  </si>
  <si>
    <t>%Mort</t>
  </si>
  <si>
    <t>en meses</t>
  </si>
  <si>
    <t>ABC triángulo</t>
  </si>
  <si>
    <t>65 a 75 años</t>
  </si>
  <si>
    <t>%Mort/ año</t>
  </si>
  <si>
    <r>
      <rPr>
        <b/>
        <sz val="16"/>
        <color rgb="FF993300"/>
        <rFont val="Calibri"/>
        <family val="2"/>
        <scheme val="minor"/>
      </rPr>
      <t>Gráfico g-2</t>
    </r>
    <r>
      <rPr>
        <b/>
        <sz val="16"/>
        <color theme="1"/>
        <rFont val="Calibri"/>
        <family val="2"/>
        <scheme val="minor"/>
      </rPr>
      <t>: Cruce de "Los 3 tiempos biográficos (3tB)” con "Los 3 destinos de cada 100 personas (3d%)” en "Mortalidad por cualquier causa", durante 36 meses</t>
    </r>
  </si>
  <si>
    <t>En 36 meses por incidencias acumuladas</t>
  </si>
  <si>
    <t>Grupo de control del ECA VERTIS-CV, edad 64 años (DE 8), con EnfCV y DM2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</si>
</sst>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0.0%"/>
    <numFmt numFmtId="168" formatCode="_-* #,##0\ _€_-;\-* #,##0\ _€_-;_-* &quot;-&quot;??\ _€_-;_-@_-"/>
    <numFmt numFmtId="169" formatCode="_-* #,##0.000\ _€_-;\-* #,##0.000\ _€_-;_-* &quot;-&quot;??\ _€_-;_-@_-"/>
    <numFmt numFmtId="170" formatCode="#,##0.00_ ;\-#,##0.00\ "/>
    <numFmt numFmtId="171" formatCode="_-* #,##0.0000\ _€_-;\-* #,##0.0000\ _€_-;_-* &quot;-&quot;??\ _€_-;_-@_-"/>
    <numFmt numFmtId="172" formatCode="_-* #,##0.00000\ _€_-;\-* #,##0.00000\ _€_-;_-* &quot;-&quot;??\ _€_-;_-@_-"/>
    <numFmt numFmtId="173" formatCode="_-* #,##0.0\ _€_-;\-* #,##0.0\ _€_-;_-* &quot;-&quot;?\ _€_-;_-@_-"/>
    <numFmt numFmtId="174" formatCode="_-* #,##0.000000\ _€_-;\-* #,##0.000000\ _€_-;_-* &quot;-&quot;??\ _€_-;_-@_-"/>
    <numFmt numFmtId="175" formatCode="_-* #,##0.0000\ _€_-;\-* #,##0.0000\ _€_-;_-* &quot;-&quot;?\ _€_-;_-@_-"/>
    <numFmt numFmtId="176" formatCode="0.000"/>
    <numFmt numFmtId="177" formatCode="_-* #,##0.000\ _€_-;\-* #,##0.000\ _€_-;_-* &quot;-&quot;???\ _€_-;_-@_-"/>
    <numFmt numFmtId="178" formatCode="0.0000"/>
    <numFmt numFmtId="179" formatCode="#,##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C99FF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rgb="FF00800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12"/>
      <name val="Calibri"/>
      <family val="2"/>
    </font>
    <font>
      <b/>
      <u/>
      <sz val="14"/>
      <color rgb="FFC00000"/>
      <name val="Calibri"/>
      <family val="2"/>
      <scheme val="minor"/>
    </font>
    <font>
      <u/>
      <sz val="10"/>
      <name val="Calibri"/>
      <family val="2"/>
    </font>
    <font>
      <b/>
      <sz val="11"/>
      <color rgb="FF993300"/>
      <name val="Calibri"/>
      <family val="2"/>
      <scheme val="minor"/>
    </font>
    <font>
      <sz val="1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93300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i/>
      <sz val="10"/>
      <color rgb="FF0099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7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7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" fontId="10" fillId="0" borderId="0" xfId="0" applyNumberFormat="1" applyFont="1"/>
    <xf numFmtId="0" fontId="14" fillId="0" borderId="0" xfId="0" applyFont="1" applyAlignment="1">
      <alignment vertical="center"/>
    </xf>
    <xf numFmtId="0" fontId="0" fillId="0" borderId="0" xfId="0" applyBorder="1"/>
    <xf numFmtId="167" fontId="14" fillId="0" borderId="0" xfId="2" applyNumberFormat="1" applyFont="1" applyAlignment="1">
      <alignment horizontal="left" vertical="center"/>
    </xf>
    <xf numFmtId="0" fontId="14" fillId="0" borderId="0" xfId="0" applyFont="1"/>
    <xf numFmtId="49" fontId="14" fillId="0" borderId="0" xfId="0" applyNumberFormat="1" applyFont="1"/>
    <xf numFmtId="1" fontId="14" fillId="3" borderId="0" xfId="0" applyNumberFormat="1" applyFont="1" applyFill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2" fontId="6" fillId="2" borderId="7" xfId="0" applyNumberFormat="1" applyFont="1" applyFill="1" applyBorder="1" applyAlignment="1">
      <alignment vertical="center"/>
    </xf>
    <xf numFmtId="167" fontId="7" fillId="0" borderId="0" xfId="2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 wrapText="1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right" wrapText="1"/>
    </xf>
    <xf numFmtId="2" fontId="10" fillId="2" borderId="7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7" fontId="11" fillId="0" borderId="0" xfId="2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vertical="center"/>
    </xf>
    <xf numFmtId="1" fontId="16" fillId="0" borderId="7" xfId="0" applyNumberFormat="1" applyFont="1" applyBorder="1" applyAlignment="1">
      <alignment horizontal="right" vertical="center"/>
    </xf>
    <xf numFmtId="9" fontId="14" fillId="0" borderId="0" xfId="0" applyNumberFormat="1" applyFont="1"/>
    <xf numFmtId="0" fontId="14" fillId="0" borderId="0" xfId="0" applyFont="1" applyAlignment="1">
      <alignment horizontal="left" vertical="top"/>
    </xf>
    <xf numFmtId="165" fontId="10" fillId="3" borderId="7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Fill="1" applyBorder="1"/>
    <xf numFmtId="0" fontId="0" fillId="5" borderId="7" xfId="0" applyFill="1" applyBorder="1"/>
    <xf numFmtId="0" fontId="18" fillId="0" borderId="0" xfId="0" applyFont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center" vertical="center"/>
    </xf>
    <xf numFmtId="168" fontId="3" fillId="0" borderId="0" xfId="1" applyNumberFormat="1" applyFont="1" applyFill="1" applyBorder="1" applyAlignment="1"/>
    <xf numFmtId="168" fontId="19" fillId="0" borderId="0" xfId="1" applyNumberFormat="1" applyFont="1" applyFill="1" applyBorder="1" applyAlignment="1"/>
    <xf numFmtId="168" fontId="20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1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6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164" fontId="2" fillId="0" borderId="0" xfId="0" applyNumberFormat="1" applyFont="1"/>
    <xf numFmtId="164" fontId="27" fillId="0" borderId="0" xfId="1" applyFont="1" applyFill="1" applyBorder="1" applyAlignment="1">
      <alignment horizontal="center"/>
    </xf>
    <xf numFmtId="164" fontId="2" fillId="0" borderId="0" xfId="1" applyFont="1" applyFill="1"/>
    <xf numFmtId="0" fontId="28" fillId="0" borderId="0" xfId="0" applyFont="1" applyFill="1"/>
    <xf numFmtId="169" fontId="2" fillId="0" borderId="0" xfId="0" applyNumberFormat="1" applyFont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168" fontId="2" fillId="7" borderId="7" xfId="0" applyNumberFormat="1" applyFont="1" applyFill="1" applyBorder="1" applyAlignment="1">
      <alignment vertical="center"/>
    </xf>
    <xf numFmtId="168" fontId="2" fillId="0" borderId="7" xfId="0" applyNumberFormat="1" applyFont="1" applyBorder="1" applyAlignment="1">
      <alignment vertical="center"/>
    </xf>
    <xf numFmtId="168" fontId="2" fillId="7" borderId="7" xfId="1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164" fontId="3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70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30" fillId="0" borderId="0" xfId="1" applyFont="1" applyFill="1" applyBorder="1"/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4" fontId="30" fillId="0" borderId="0" xfId="1" applyFont="1" applyFill="1" applyAlignment="1">
      <alignment horizontal="right"/>
    </xf>
    <xf numFmtId="0" fontId="30" fillId="0" borderId="0" xfId="0" applyFont="1" applyFill="1" applyBorder="1"/>
    <xf numFmtId="164" fontId="2" fillId="0" borderId="0" xfId="0" applyNumberFormat="1" applyFont="1" applyFill="1"/>
    <xf numFmtId="171" fontId="2" fillId="0" borderId="0" xfId="0" applyNumberFormat="1" applyFont="1" applyFill="1" applyBorder="1" applyAlignment="1">
      <alignment horizontal="center" vertical="center" wrapText="1"/>
    </xf>
    <xf numFmtId="172" fontId="2" fillId="0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64" fontId="2" fillId="0" borderId="0" xfId="1" applyFont="1" applyBorder="1" applyAlignment="1">
      <alignment horizontal="center"/>
    </xf>
    <xf numFmtId="174" fontId="2" fillId="0" borderId="0" xfId="1" applyNumberFormat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4" fontId="2" fillId="0" borderId="0" xfId="1" applyNumberFormat="1" applyFont="1" applyFill="1" applyBorder="1" applyAlignment="1">
      <alignment horizontal="center"/>
    </xf>
    <xf numFmtId="164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4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4" fontId="2" fillId="0" borderId="2" xfId="1" applyNumberFormat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3" fillId="0" borderId="2" xfId="1" applyFont="1" applyFill="1" applyBorder="1" applyAlignment="1"/>
    <xf numFmtId="164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8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164" fontId="3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5" fontId="2" fillId="0" borderId="23" xfId="0" applyNumberFormat="1" applyFont="1" applyBorder="1"/>
    <xf numFmtId="167" fontId="2" fillId="0" borderId="23" xfId="2" applyNumberFormat="1" applyFont="1" applyFill="1" applyBorder="1" applyAlignment="1">
      <alignment horizontal="center" vertical="center" wrapText="1"/>
    </xf>
    <xf numFmtId="169" fontId="3" fillId="0" borderId="23" xfId="1" applyNumberFormat="1" applyFont="1" applyFill="1" applyBorder="1"/>
    <xf numFmtId="0" fontId="3" fillId="0" borderId="0" xfId="0" applyFont="1" applyAlignment="1">
      <alignment horizontal="left"/>
    </xf>
    <xf numFmtId="166" fontId="2" fillId="0" borderId="0" xfId="0" applyNumberFormat="1" applyFont="1" applyFill="1" applyBorder="1"/>
    <xf numFmtId="176" fontId="2" fillId="0" borderId="23" xfId="0" applyNumberFormat="1" applyFont="1" applyFill="1" applyBorder="1" applyAlignment="1">
      <alignment horizontal="center" vertical="center" wrapText="1"/>
    </xf>
    <xf numFmtId="171" fontId="2" fillId="9" borderId="23" xfId="1" applyNumberFormat="1" applyFont="1" applyFill="1" applyBorder="1"/>
    <xf numFmtId="0" fontId="3" fillId="0" borderId="0" xfId="0" applyFont="1" applyBorder="1"/>
    <xf numFmtId="167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4" fontId="2" fillId="0" borderId="0" xfId="0" applyNumberFormat="1" applyFont="1" applyBorder="1"/>
    <xf numFmtId="10" fontId="38" fillId="0" borderId="23" xfId="0" applyNumberFormat="1" applyFont="1" applyBorder="1"/>
    <xf numFmtId="0" fontId="39" fillId="0" borderId="0" xfId="0" applyFont="1" applyBorder="1"/>
    <xf numFmtId="49" fontId="4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39" fillId="0" borderId="5" xfId="0" applyFont="1" applyBorder="1"/>
    <xf numFmtId="0" fontId="2" fillId="0" borderId="5" xfId="0" applyFont="1" applyBorder="1"/>
    <xf numFmtId="177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8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2" fillId="0" borderId="0" xfId="2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41" fillId="0" borderId="0" xfId="1" applyNumberFormat="1" applyFont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164" fontId="3" fillId="0" borderId="23" xfId="1" applyFont="1" applyFill="1" applyBorder="1" applyAlignment="1">
      <alignment horizontal="center" vertical="center" wrapText="1"/>
    </xf>
    <xf numFmtId="0" fontId="27" fillId="0" borderId="0" xfId="0" applyFont="1" applyFill="1" applyBorder="1"/>
    <xf numFmtId="164" fontId="2" fillId="0" borderId="0" xfId="1" applyFont="1" applyFill="1" applyBorder="1" applyAlignment="1"/>
    <xf numFmtId="10" fontId="22" fillId="0" borderId="0" xfId="2" applyNumberFormat="1" applyFont="1" applyFill="1" applyBorder="1" applyAlignment="1">
      <alignment horizontal="center"/>
    </xf>
    <xf numFmtId="0" fontId="40" fillId="12" borderId="0" xfId="0" applyFont="1" applyFill="1" applyBorder="1" applyAlignment="1">
      <alignment horizontal="center" vertical="center" wrapText="1"/>
    </xf>
    <xf numFmtId="0" fontId="40" fillId="12" borderId="0" xfId="0" applyFont="1" applyFill="1" applyBorder="1"/>
    <xf numFmtId="0" fontId="40" fillId="12" borderId="0" xfId="0" applyFont="1" applyFill="1" applyBorder="1" applyAlignment="1">
      <alignment horizontal="right"/>
    </xf>
    <xf numFmtId="1" fontId="40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 vertical="center" wrapText="1"/>
    </xf>
    <xf numFmtId="0" fontId="40" fillId="13" borderId="0" xfId="0" applyFont="1" applyFill="1" applyBorder="1"/>
    <xf numFmtId="0" fontId="40" fillId="13" borderId="0" xfId="0" applyFont="1" applyFill="1" applyBorder="1" applyAlignment="1">
      <alignment horizontal="right"/>
    </xf>
    <xf numFmtId="1" fontId="40" fillId="13" borderId="0" xfId="0" applyNumberFormat="1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/>
    <xf numFmtId="164" fontId="2" fillId="0" borderId="0" xfId="0" applyNumberFormat="1" applyFont="1" applyFill="1" applyBorder="1"/>
    <xf numFmtId="168" fontId="40" fillId="14" borderId="0" xfId="0" applyNumberFormat="1" applyFont="1" applyFill="1" applyBorder="1" applyAlignment="1">
      <alignment horizontal="center" vertical="center" wrapText="1"/>
    </xf>
    <xf numFmtId="164" fontId="42" fillId="14" borderId="0" xfId="1" applyFont="1" applyFill="1" applyBorder="1"/>
    <xf numFmtId="164" fontId="40" fillId="14" borderId="0" xfId="1" applyFont="1" applyFill="1" applyBorder="1" applyAlignment="1">
      <alignment horizontal="right"/>
    </xf>
    <xf numFmtId="1" fontId="40" fillId="14" borderId="0" xfId="0" applyNumberFormat="1" applyFont="1" applyFill="1" applyBorder="1" applyAlignment="1">
      <alignment horizontal="center" vertical="distributed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/>
    <xf numFmtId="1" fontId="40" fillId="0" borderId="0" xfId="0" applyNumberFormat="1" applyFont="1" applyBorder="1" applyAlignment="1">
      <alignment horizontal="center"/>
    </xf>
    <xf numFmtId="164" fontId="2" fillId="0" borderId="5" xfId="1" applyFont="1" applyFill="1" applyBorder="1" applyAlignment="1">
      <alignment horizontal="center"/>
    </xf>
    <xf numFmtId="164" fontId="3" fillId="0" borderId="5" xfId="1" applyFont="1" applyFill="1" applyBorder="1" applyAlignment="1"/>
    <xf numFmtId="0" fontId="40" fillId="0" borderId="0" xfId="0" applyFont="1" applyFill="1" applyBorder="1" applyAlignment="1">
      <alignment horizontal="right" vertical="center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49" fontId="21" fillId="0" borderId="0" xfId="0" applyNumberFormat="1" applyFont="1"/>
    <xf numFmtId="0" fontId="40" fillId="11" borderId="0" xfId="0" applyFont="1" applyFill="1" applyBorder="1" applyAlignment="1">
      <alignment horizontal="center" vertical="center" wrapText="1"/>
    </xf>
    <xf numFmtId="0" fontId="40" fillId="11" borderId="0" xfId="0" applyFont="1" applyFill="1" applyBorder="1"/>
    <xf numFmtId="0" fontId="40" fillId="11" borderId="0" xfId="0" applyFont="1" applyFill="1" applyBorder="1" applyAlignment="1">
      <alignment horizontal="right"/>
    </xf>
    <xf numFmtId="1" fontId="40" fillId="11" borderId="0" xfId="0" applyNumberFormat="1" applyFont="1" applyFill="1" applyBorder="1" applyAlignment="1">
      <alignment horizontal="center" vertical="distributed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7" fillId="0" borderId="0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68" fontId="21" fillId="0" borderId="7" xfId="1" applyNumberFormat="1" applyFont="1" applyFill="1" applyBorder="1"/>
    <xf numFmtId="0" fontId="20" fillId="0" borderId="7" xfId="0" applyFont="1" applyFill="1" applyBorder="1" applyAlignment="1">
      <alignment horizontal="right" vertical="center"/>
    </xf>
    <xf numFmtId="164" fontId="2" fillId="0" borderId="7" xfId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/>
    <xf numFmtId="0" fontId="30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8" fontId="23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center"/>
    </xf>
    <xf numFmtId="168" fontId="21" fillId="0" borderId="0" xfId="1" applyNumberFormat="1" applyFont="1" applyFill="1" applyBorder="1"/>
    <xf numFmtId="168" fontId="23" fillId="0" borderId="0" xfId="1" applyNumberFormat="1" applyFont="1" applyFill="1" applyBorder="1"/>
    <xf numFmtId="168" fontId="31" fillId="0" borderId="0" xfId="0" applyNumberFormat="1" applyFont="1" applyFill="1" applyBorder="1"/>
    <xf numFmtId="0" fontId="45" fillId="0" borderId="20" xfId="0" applyFont="1" applyBorder="1" applyAlignment="1">
      <alignment horizontal="left" vertical="center"/>
    </xf>
    <xf numFmtId="168" fontId="2" fillId="0" borderId="0" xfId="1" applyNumberFormat="1" applyFont="1" applyAlignment="1">
      <alignment horizontal="center" vertical="center" wrapText="1"/>
    </xf>
    <xf numFmtId="164" fontId="45" fillId="0" borderId="7" xfId="1" applyFont="1" applyBorder="1"/>
    <xf numFmtId="0" fontId="23" fillId="0" borderId="0" xfId="0" applyFont="1" applyAlignment="1">
      <alignment horizontal="right"/>
    </xf>
    <xf numFmtId="164" fontId="3" fillId="0" borderId="0" xfId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7" xfId="0" applyNumberFormat="1" applyFont="1" applyBorder="1"/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9" fontId="3" fillId="3" borderId="7" xfId="1" applyNumberFormat="1" applyFont="1" applyFill="1" applyBorder="1"/>
    <xf numFmtId="17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/>
    <xf numFmtId="176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0" fontId="14" fillId="0" borderId="2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65" fontId="14" fillId="2" borderId="21" xfId="0" applyNumberFormat="1" applyFont="1" applyFill="1" applyBorder="1" applyAlignment="1">
      <alignment horizontal="center"/>
    </xf>
    <xf numFmtId="165" fontId="15" fillId="2" borderId="25" xfId="0" applyNumberFormat="1" applyFont="1" applyFill="1" applyBorder="1" applyAlignment="1">
      <alignment horizontal="center" vertical="center"/>
    </xf>
    <xf numFmtId="2" fontId="40" fillId="14" borderId="0" xfId="0" applyNumberFormat="1" applyFont="1" applyFill="1" applyBorder="1" applyAlignment="1">
      <alignment horizontal="center" vertical="distributed"/>
    </xf>
    <xf numFmtId="165" fontId="40" fillId="12" borderId="0" xfId="0" applyNumberFormat="1" applyFont="1" applyFill="1" applyBorder="1" applyAlignment="1">
      <alignment horizontal="center" vertical="distributed"/>
    </xf>
    <xf numFmtId="0" fontId="25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7" fillId="0" borderId="7" xfId="0" applyNumberFormat="1" applyFont="1" applyFill="1" applyBorder="1" applyAlignment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69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17" fillId="0" borderId="0" xfId="0" applyFont="1" applyBorder="1" applyAlignment="1">
      <alignment horizontal="center" vertical="center"/>
    </xf>
    <xf numFmtId="0" fontId="0" fillId="6" borderId="7" xfId="0" applyFill="1" applyBorder="1"/>
    <xf numFmtId="0" fontId="46" fillId="2" borderId="7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176" fontId="2" fillId="4" borderId="7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9" fontId="63" fillId="0" borderId="0" xfId="1" applyNumberFormat="1" applyFont="1"/>
    <xf numFmtId="165" fontId="10" fillId="2" borderId="26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5" fillId="0" borderId="32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25" fillId="0" borderId="29" xfId="0" applyFont="1" applyFill="1" applyBorder="1" applyAlignment="1">
      <alignment horizontal="center" vertical="center" wrapText="1"/>
    </xf>
    <xf numFmtId="1" fontId="51" fillId="4" borderId="7" xfId="0" applyNumberFormat="1" applyFont="1" applyFill="1" applyBorder="1" applyAlignment="1">
      <alignment horizontal="center" vertical="center"/>
    </xf>
    <xf numFmtId="1" fontId="50" fillId="4" borderId="7" xfId="0" applyNumberFormat="1" applyFont="1" applyFill="1" applyBorder="1" applyAlignment="1">
      <alignment horizontal="center" vertical="center"/>
    </xf>
    <xf numFmtId="1" fontId="60" fillId="4" borderId="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68" fillId="2" borderId="7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0" fillId="5" borderId="7" xfId="0" applyFill="1" applyBorder="1" applyAlignment="1">
      <alignment horizontal="center"/>
    </xf>
    <xf numFmtId="177" fontId="2" fillId="0" borderId="0" xfId="0" applyNumberFormat="1" applyFont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10" fontId="43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9" fontId="2" fillId="4" borderId="0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" fontId="61" fillId="4" borderId="0" xfId="0" applyNumberFormat="1" applyFont="1" applyFill="1" applyBorder="1" applyAlignment="1">
      <alignment horizontal="center" vertical="center"/>
    </xf>
    <xf numFmtId="1" fontId="62" fillId="4" borderId="0" xfId="0" applyNumberFormat="1" applyFont="1" applyFill="1" applyBorder="1" applyAlignment="1">
      <alignment horizontal="center" vertical="center"/>
    </xf>
    <xf numFmtId="0" fontId="7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2" fontId="69" fillId="4" borderId="0" xfId="0" applyNumberFormat="1" applyFont="1" applyFill="1" applyBorder="1" applyAlignment="1">
      <alignment horizontal="center" vertical="center"/>
    </xf>
    <xf numFmtId="2" fontId="70" fillId="4" borderId="0" xfId="0" applyNumberFormat="1" applyFont="1" applyFill="1" applyBorder="1" applyAlignment="1">
      <alignment horizontal="center" vertical="center"/>
    </xf>
    <xf numFmtId="2" fontId="62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0" fontId="2" fillId="0" borderId="0" xfId="2" applyNumberFormat="1" applyFont="1"/>
    <xf numFmtId="2" fontId="2" fillId="0" borderId="0" xfId="0" applyNumberFormat="1" applyFont="1" applyFill="1" applyAlignment="1">
      <alignment horizontal="center"/>
    </xf>
    <xf numFmtId="0" fontId="46" fillId="0" borderId="7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165" fontId="60" fillId="4" borderId="7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 wrapText="1"/>
    </xf>
    <xf numFmtId="3" fontId="6" fillId="0" borderId="0" xfId="0" applyNumberFormat="1" applyFont="1"/>
    <xf numFmtId="3" fontId="10" fillId="0" borderId="0" xfId="0" applyNumberFormat="1" applyFont="1"/>
    <xf numFmtId="1" fontId="2" fillId="4" borderId="0" xfId="0" applyNumberFormat="1" applyFont="1" applyFill="1"/>
    <xf numFmtId="0" fontId="4" fillId="4" borderId="16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76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5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0" fillId="18" borderId="7" xfId="0" applyFill="1" applyBorder="1"/>
    <xf numFmtId="0" fontId="3" fillId="3" borderId="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168" fontId="2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2" fillId="19" borderId="0" xfId="0" applyFont="1" applyFill="1"/>
    <xf numFmtId="1" fontId="3" fillId="4" borderId="0" xfId="0" applyNumberFormat="1" applyFont="1" applyFill="1" applyBorder="1" applyAlignment="1">
      <alignment horizontal="center" vertical="center"/>
    </xf>
    <xf numFmtId="2" fontId="80" fillId="4" borderId="0" xfId="0" applyNumberFormat="1" applyFont="1" applyFill="1" applyBorder="1" applyAlignment="1">
      <alignment horizontal="center" vertical="center"/>
    </xf>
    <xf numFmtId="1" fontId="80" fillId="4" borderId="0" xfId="0" applyNumberFormat="1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left" vertical="center"/>
    </xf>
    <xf numFmtId="2" fontId="82" fillId="4" borderId="0" xfId="0" applyNumberFormat="1" applyFont="1" applyFill="1" applyBorder="1" applyAlignment="1">
      <alignment horizontal="center" vertical="center"/>
    </xf>
    <xf numFmtId="1" fontId="82" fillId="4" borderId="0" xfId="0" applyNumberFormat="1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horizontal="center" vertical="center"/>
    </xf>
    <xf numFmtId="0" fontId="44" fillId="4" borderId="35" xfId="0" applyFont="1" applyFill="1" applyBorder="1" applyAlignment="1">
      <alignment horizontal="left" vertical="center"/>
    </xf>
    <xf numFmtId="0" fontId="43" fillId="4" borderId="3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0" fontId="43" fillId="4" borderId="37" xfId="0" applyNumberFormat="1" applyFont="1" applyFill="1" applyBorder="1" applyAlignment="1">
      <alignment horizontal="center" vertical="center"/>
    </xf>
    <xf numFmtId="0" fontId="44" fillId="4" borderId="29" xfId="0" applyFont="1" applyFill="1" applyBorder="1" applyAlignment="1">
      <alignment horizontal="left" vertical="center"/>
    </xf>
    <xf numFmtId="0" fontId="43" fillId="4" borderId="3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10" fontId="43" fillId="4" borderId="39" xfId="0" applyNumberFormat="1" applyFont="1" applyFill="1" applyBorder="1" applyAlignment="1">
      <alignment horizontal="center" vertical="center"/>
    </xf>
    <xf numFmtId="0" fontId="44" fillId="4" borderId="40" xfId="0" applyFont="1" applyFill="1" applyBorder="1" applyAlignment="1">
      <alignment horizontal="left" vertical="center"/>
    </xf>
    <xf numFmtId="10" fontId="43" fillId="4" borderId="41" xfId="0" applyNumberFormat="1" applyFont="1" applyFill="1" applyBorder="1" applyAlignment="1">
      <alignment horizontal="center" vertical="center"/>
    </xf>
    <xf numFmtId="0" fontId="44" fillId="4" borderId="27" xfId="0" applyFont="1" applyFill="1" applyBorder="1" applyAlignment="1">
      <alignment horizontal="left" vertical="center"/>
    </xf>
    <xf numFmtId="0" fontId="43" fillId="4" borderId="2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0" fontId="43" fillId="4" borderId="26" xfId="0" applyNumberFormat="1" applyFont="1" applyFill="1" applyBorder="1" applyAlignment="1">
      <alignment horizontal="center" vertical="center"/>
    </xf>
    <xf numFmtId="49" fontId="43" fillId="0" borderId="3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84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165" fontId="58" fillId="4" borderId="7" xfId="0" applyNumberFormat="1" applyFont="1" applyFill="1" applyBorder="1" applyAlignment="1">
      <alignment horizontal="center" vertical="center"/>
    </xf>
    <xf numFmtId="165" fontId="59" fillId="4" borderId="7" xfId="0" applyNumberFormat="1" applyFont="1" applyFill="1" applyBorder="1" applyAlignment="1">
      <alignment horizontal="center" vertical="center"/>
    </xf>
    <xf numFmtId="165" fontId="50" fillId="4" borderId="7" xfId="0" applyNumberFormat="1" applyFont="1" applyFill="1" applyBorder="1" applyAlignment="1">
      <alignment horizontal="center" vertical="center"/>
    </xf>
    <xf numFmtId="0" fontId="3" fillId="0" borderId="0" xfId="0" applyFont="1"/>
    <xf numFmtId="165" fontId="2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 horizontal="right" vertical="center"/>
    </xf>
    <xf numFmtId="0" fontId="3" fillId="4" borderId="0" xfId="0" applyFont="1" applyFill="1"/>
    <xf numFmtId="9" fontId="43" fillId="4" borderId="7" xfId="0" applyNumberFormat="1" applyFont="1" applyFill="1" applyBorder="1" applyAlignment="1">
      <alignment horizontal="center" vertical="center"/>
    </xf>
    <xf numFmtId="179" fontId="8" fillId="0" borderId="0" xfId="0" applyNumberFormat="1" applyFont="1"/>
    <xf numFmtId="0" fontId="83" fillId="0" borderId="0" xfId="0" applyFont="1"/>
    <xf numFmtId="165" fontId="85" fillId="0" borderId="0" xfId="0" applyNumberFormat="1" applyFont="1" applyAlignment="1">
      <alignment horizontal="left"/>
    </xf>
    <xf numFmtId="165" fontId="85" fillId="0" borderId="0" xfId="0" applyNumberFormat="1" applyFont="1" applyAlignment="1">
      <alignment horizontal="right"/>
    </xf>
    <xf numFmtId="1" fontId="85" fillId="0" borderId="0" xfId="0" applyNumberFormat="1" applyFont="1" applyAlignment="1"/>
    <xf numFmtId="0" fontId="10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" fontId="86" fillId="4" borderId="7" xfId="0" applyNumberFormat="1" applyFont="1" applyFill="1" applyBorder="1" applyAlignment="1">
      <alignment horizontal="center" vertical="center"/>
    </xf>
    <xf numFmtId="0" fontId="87" fillId="4" borderId="0" xfId="0" applyFont="1" applyFill="1"/>
    <xf numFmtId="1" fontId="88" fillId="4" borderId="7" xfId="0" applyNumberFormat="1" applyFont="1" applyFill="1" applyBorder="1" applyAlignment="1">
      <alignment horizontal="center" vertical="center"/>
    </xf>
    <xf numFmtId="1" fontId="89" fillId="4" borderId="7" xfId="0" applyNumberFormat="1" applyFont="1" applyFill="1" applyBorder="1" applyAlignment="1">
      <alignment horizontal="center" vertical="center"/>
    </xf>
    <xf numFmtId="1" fontId="90" fillId="4" borderId="7" xfId="0" applyNumberFormat="1" applyFont="1" applyFill="1" applyBorder="1" applyAlignment="1">
      <alignment horizontal="center" vertical="center"/>
    </xf>
    <xf numFmtId="165" fontId="88" fillId="4" borderId="7" xfId="0" applyNumberFormat="1" applyFont="1" applyFill="1" applyBorder="1" applyAlignment="1">
      <alignment horizontal="center" vertical="center"/>
    </xf>
    <xf numFmtId="165" fontId="89" fillId="4" borderId="7" xfId="0" applyNumberFormat="1" applyFont="1" applyFill="1" applyBorder="1" applyAlignment="1">
      <alignment horizontal="center" vertical="center"/>
    </xf>
    <xf numFmtId="165" fontId="90" fillId="4" borderId="7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0" fontId="91" fillId="0" borderId="0" xfId="0" applyFont="1"/>
    <xf numFmtId="0" fontId="91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10" fontId="92" fillId="0" borderId="0" xfId="2" applyNumberFormat="1" applyFont="1"/>
    <xf numFmtId="10" fontId="92" fillId="0" borderId="0" xfId="2" applyNumberFormat="1" applyFont="1" applyAlignment="1">
      <alignment horizontal="center"/>
    </xf>
    <xf numFmtId="2" fontId="92" fillId="0" borderId="0" xfId="0" applyNumberFormat="1" applyFont="1" applyAlignment="1">
      <alignment horizontal="center"/>
    </xf>
    <xf numFmtId="0" fontId="92" fillId="0" borderId="0" xfId="0" applyFont="1"/>
    <xf numFmtId="0" fontId="92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165" fontId="92" fillId="0" borderId="0" xfId="0" applyNumberFormat="1" applyFont="1" applyAlignment="1">
      <alignment horizontal="center"/>
    </xf>
    <xf numFmtId="164" fontId="92" fillId="0" borderId="0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93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165" fontId="14" fillId="3" borderId="0" xfId="0" applyNumberFormat="1" applyFont="1" applyFill="1" applyAlignment="1">
      <alignment horizontal="center" vertical="center"/>
    </xf>
    <xf numFmtId="165" fontId="95" fillId="0" borderId="0" xfId="1" applyNumberFormat="1" applyFont="1" applyFill="1" applyBorder="1" applyAlignment="1">
      <alignment horizontal="left" vertical="center"/>
    </xf>
    <xf numFmtId="1" fontId="95" fillId="0" borderId="0" xfId="1" applyNumberFormat="1" applyFont="1" applyFill="1" applyBorder="1" applyAlignment="1">
      <alignment horizontal="left" vertical="center"/>
    </xf>
    <xf numFmtId="165" fontId="95" fillId="0" borderId="0" xfId="1" applyNumberFormat="1" applyFont="1" applyFill="1" applyBorder="1" applyAlignment="1">
      <alignment horizontal="right" vertical="center"/>
    </xf>
    <xf numFmtId="1" fontId="95" fillId="0" borderId="0" xfId="1" applyNumberFormat="1" applyFont="1" applyFill="1" applyBorder="1" applyAlignment="1">
      <alignment horizontal="right" vertical="center"/>
    </xf>
    <xf numFmtId="168" fontId="96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168" fontId="95" fillId="0" borderId="0" xfId="1" applyNumberFormat="1" applyFont="1" applyFill="1" applyBorder="1" applyAlignment="1">
      <alignment horizontal="center" vertical="center"/>
    </xf>
    <xf numFmtId="168" fontId="97" fillId="0" borderId="0" xfId="1" applyNumberFormat="1" applyFont="1" applyFill="1" applyBorder="1" applyAlignment="1">
      <alignment horizontal="center" vertical="center"/>
    </xf>
    <xf numFmtId="168" fontId="14" fillId="0" borderId="0" xfId="0" applyNumberFormat="1" applyFont="1"/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9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textRotation="90"/>
    </xf>
    <xf numFmtId="0" fontId="49" fillId="0" borderId="0" xfId="0" applyFont="1" applyAlignment="1">
      <alignment horizontal="center" vertical="center" textRotation="90"/>
    </xf>
    <xf numFmtId="0" fontId="2" fillId="4" borderId="0" xfId="0" applyFont="1" applyFill="1" applyAlignment="1">
      <alignment horizontal="left" vertical="center"/>
    </xf>
    <xf numFmtId="0" fontId="0" fillId="5" borderId="9" xfId="0" applyFill="1" applyBorder="1"/>
    <xf numFmtId="0" fontId="14" fillId="0" borderId="0" xfId="0" applyFont="1" applyAlignment="1">
      <alignment horizontal="center"/>
    </xf>
    <xf numFmtId="10" fontId="14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14" fillId="0" borderId="24" xfId="0" applyFont="1" applyBorder="1" applyAlignment="1">
      <alignment horizontal="center"/>
    </xf>
    <xf numFmtId="167" fontId="14" fillId="0" borderId="0" xfId="2" applyNumberFormat="1" applyFont="1" applyBorder="1" applyAlignment="1">
      <alignment horizontal="center"/>
    </xf>
    <xf numFmtId="0" fontId="0" fillId="20" borderId="7" xfId="0" applyFill="1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10" fontId="0" fillId="2" borderId="7" xfId="0" applyNumberFormat="1" applyFill="1" applyBorder="1" applyAlignment="1">
      <alignment horizontal="center"/>
    </xf>
    <xf numFmtId="1" fontId="12" fillId="3" borderId="7" xfId="0" applyNumberFormat="1" applyFont="1" applyFill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167" fontId="0" fillId="0" borderId="0" xfId="0" applyNumberFormat="1"/>
    <xf numFmtId="165" fontId="0" fillId="0" borderId="0" xfId="0" applyNumberFormat="1"/>
    <xf numFmtId="165" fontId="10" fillId="2" borderId="10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left" vertical="center" wrapText="1"/>
    </xf>
    <xf numFmtId="0" fontId="5" fillId="16" borderId="18" xfId="0" applyFont="1" applyFill="1" applyBorder="1" applyAlignment="1">
      <alignment horizontal="left" vertical="center" wrapText="1"/>
    </xf>
    <xf numFmtId="0" fontId="5" fillId="16" borderId="19" xfId="0" applyFont="1" applyFill="1" applyBorder="1" applyAlignment="1">
      <alignment horizontal="left" vertical="center" wrapText="1"/>
    </xf>
    <xf numFmtId="0" fontId="55" fillId="4" borderId="28" xfId="0" applyFont="1" applyFill="1" applyBorder="1" applyAlignment="1">
      <alignment horizontal="center" vertical="top" wrapText="1"/>
    </xf>
    <xf numFmtId="0" fontId="55" fillId="4" borderId="31" xfId="0" applyFont="1" applyFill="1" applyBorder="1" applyAlignment="1">
      <alignment horizontal="center" vertical="top" wrapText="1"/>
    </xf>
    <xf numFmtId="0" fontId="55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65" fillId="0" borderId="4" xfId="0" applyFont="1" applyBorder="1" applyAlignment="1">
      <alignment horizontal="left" vertical="center" wrapText="1"/>
    </xf>
    <xf numFmtId="0" fontId="65" fillId="0" borderId="5" xfId="0" applyFont="1" applyBorder="1" applyAlignment="1">
      <alignment horizontal="left" vertical="center" wrapText="1"/>
    </xf>
    <xf numFmtId="0" fontId="65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56" fillId="4" borderId="28" xfId="0" applyFont="1" applyFill="1" applyBorder="1" applyAlignment="1">
      <alignment horizontal="center" vertical="top" wrapText="1"/>
    </xf>
    <xf numFmtId="0" fontId="56" fillId="4" borderId="31" xfId="0" applyFont="1" applyFill="1" applyBorder="1" applyAlignment="1">
      <alignment horizontal="center" vertical="top" wrapText="1"/>
    </xf>
    <xf numFmtId="0" fontId="56" fillId="4" borderId="30" xfId="0" applyFont="1" applyFill="1" applyBorder="1" applyAlignment="1">
      <alignment horizontal="center" vertical="top" wrapText="1"/>
    </xf>
    <xf numFmtId="0" fontId="57" fillId="4" borderId="28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4" borderId="30" xfId="0" applyFont="1" applyFill="1" applyBorder="1" applyAlignment="1">
      <alignment horizontal="center" vertical="top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3" fillId="17" borderId="16" xfId="0" applyFont="1" applyFill="1" applyBorder="1" applyAlignment="1">
      <alignment horizontal="left" vertical="center" wrapText="1"/>
    </xf>
    <xf numFmtId="0" fontId="53" fillId="17" borderId="13" xfId="0" applyFont="1" applyFill="1" applyBorder="1" applyAlignment="1">
      <alignment horizontal="left" vertical="center" wrapText="1"/>
    </xf>
    <xf numFmtId="0" fontId="53" fillId="17" borderId="14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8" fillId="0" borderId="16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 textRotation="90"/>
    </xf>
    <xf numFmtId="0" fontId="93" fillId="0" borderId="16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left" vertical="center" wrapText="1"/>
    </xf>
    <xf numFmtId="1" fontId="2" fillId="4" borderId="7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009900"/>
      <color rgb="FF669900"/>
      <color rgb="FFFFCCFF"/>
      <color rgb="FF0000FF"/>
      <color rgb="FFCCFFFF"/>
      <color rgb="FFFF6600"/>
      <color rgb="FFFF9933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</a:t>
            </a:r>
            <a:r>
              <a:rPr lang="es-ES" sz="1100" b="1">
                <a:solidFill>
                  <a:srgbClr val="0066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 del tiempo medio de Supervivencia Libre de Evento (PtSLEv).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3650054825601627"/>
                  <c:y val="5.6546220155094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1.6643611212231526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0.11607961549483847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34.219559263282008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15421</xdr:colOff>
      <xdr:row>20</xdr:row>
      <xdr:rowOff>99785</xdr:rowOff>
    </xdr:from>
    <xdr:to>
      <xdr:col>42</xdr:col>
      <xdr:colOff>18143</xdr:colOff>
      <xdr:row>20</xdr:row>
      <xdr:rowOff>121109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4242707" y="4789714"/>
          <a:ext cx="6207579" cy="2132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36285</xdr:colOff>
      <xdr:row>18</xdr:row>
      <xdr:rowOff>90715</xdr:rowOff>
    </xdr:from>
    <xdr:to>
      <xdr:col>11</xdr:col>
      <xdr:colOff>136072</xdr:colOff>
      <xdr:row>18</xdr:row>
      <xdr:rowOff>99786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263571" y="4417786"/>
          <a:ext cx="961572" cy="907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43</xdr:col>
      <xdr:colOff>7710</xdr:colOff>
      <xdr:row>18</xdr:row>
      <xdr:rowOff>90715</xdr:rowOff>
    </xdr:from>
    <xdr:to>
      <xdr:col>49</xdr:col>
      <xdr:colOff>27215</xdr:colOff>
      <xdr:row>18</xdr:row>
      <xdr:rowOff>97974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10666639" y="4417786"/>
          <a:ext cx="1053647" cy="725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43</xdr:col>
      <xdr:colOff>10166</xdr:colOff>
      <xdr:row>20</xdr:row>
      <xdr:rowOff>100244</xdr:rowOff>
    </xdr:from>
    <xdr:to>
      <xdr:col>60</xdr:col>
      <xdr:colOff>18143</xdr:colOff>
      <xdr:row>20</xdr:row>
      <xdr:rowOff>117928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669095" y="4790173"/>
          <a:ext cx="2938048" cy="1768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21</xdr:row>
      <xdr:rowOff>95250</xdr:rowOff>
    </xdr:from>
    <xdr:to>
      <xdr:col>42</xdr:col>
      <xdr:colOff>9525</xdr:colOff>
      <xdr:row>21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781425" y="4905375"/>
          <a:ext cx="722947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43</xdr:col>
      <xdr:colOff>35378</xdr:colOff>
      <xdr:row>21</xdr:row>
      <xdr:rowOff>97518</xdr:rowOff>
    </xdr:from>
    <xdr:to>
      <xdr:col>79</xdr:col>
      <xdr:colOff>42181</xdr:colOff>
      <xdr:row>21</xdr:row>
      <xdr:rowOff>116568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0694307" y="4987018"/>
          <a:ext cx="6211660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</xdr:col>
      <xdr:colOff>353790</xdr:colOff>
      <xdr:row>19</xdr:row>
      <xdr:rowOff>14941</xdr:rowOff>
    </xdr:from>
    <xdr:to>
      <xdr:col>4</xdr:col>
      <xdr:colOff>361257</xdr:colOff>
      <xdr:row>22</xdr:row>
      <xdr:rowOff>67235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7F5903E5-CE8B-4750-B2E8-41BFB0969E4E}"/>
            </a:ext>
          </a:extLst>
        </xdr:cNvPr>
        <xdr:cNvCxnSpPr/>
      </xdr:nvCxnSpPr>
      <xdr:spPr>
        <a:xfrm flipH="1">
          <a:off x="3601361" y="4677655"/>
          <a:ext cx="7467" cy="614723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54428</xdr:colOff>
      <xdr:row>19</xdr:row>
      <xdr:rowOff>0</xdr:rowOff>
    </xdr:from>
    <xdr:to>
      <xdr:col>80</xdr:col>
      <xdr:colOff>61895</xdr:colOff>
      <xdr:row>22</xdr:row>
      <xdr:rowOff>52294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7F519C24-68E3-4A85-A1B8-A8E0003C3528}"/>
            </a:ext>
          </a:extLst>
        </xdr:cNvPr>
        <xdr:cNvCxnSpPr/>
      </xdr:nvCxnSpPr>
      <xdr:spPr>
        <a:xfrm flipH="1">
          <a:off x="19648714" y="4662714"/>
          <a:ext cx="7467" cy="614723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51386</xdr:colOff>
      <xdr:row>16</xdr:row>
      <xdr:rowOff>158750</xdr:rowOff>
    </xdr:from>
    <xdr:to>
      <xdr:col>77</xdr:col>
      <xdr:colOff>54428</xdr:colOff>
      <xdr:row>52</xdr:row>
      <xdr:rowOff>81643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DD83DEF8-D23D-4D7D-8FA8-C1DCEF29B0A3}"/>
            </a:ext>
          </a:extLst>
        </xdr:cNvPr>
        <xdr:cNvCxnSpPr/>
      </xdr:nvCxnSpPr>
      <xdr:spPr>
        <a:xfrm>
          <a:off x="11073172" y="4122964"/>
          <a:ext cx="3042" cy="6517822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53731</xdr:colOff>
      <xdr:row>17</xdr:row>
      <xdr:rowOff>20027</xdr:rowOff>
    </xdr:from>
    <xdr:to>
      <xdr:col>98</xdr:col>
      <xdr:colOff>55093</xdr:colOff>
      <xdr:row>33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76472AEC-1E67-4507-A5FC-F600D86BB58D}"/>
            </a:ext>
          </a:extLst>
        </xdr:cNvPr>
        <xdr:cNvCxnSpPr/>
      </xdr:nvCxnSpPr>
      <xdr:spPr>
        <a:xfrm flipH="1">
          <a:off x="12724423" y="4176835"/>
          <a:ext cx="1362" cy="2988896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45357</xdr:colOff>
      <xdr:row>17</xdr:row>
      <xdr:rowOff>6350</xdr:rowOff>
    </xdr:from>
    <xdr:to>
      <xdr:col>9</xdr:col>
      <xdr:colOff>50267</xdr:colOff>
      <xdr:row>52</xdr:row>
      <xdr:rowOff>127000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AF729F39-125A-41D7-BE66-0270F05DC01B}"/>
            </a:ext>
          </a:extLst>
        </xdr:cNvPr>
        <xdr:cNvCxnSpPr/>
      </xdr:nvCxnSpPr>
      <xdr:spPr>
        <a:xfrm flipH="1">
          <a:off x="4890407" y="4159250"/>
          <a:ext cx="4910" cy="6057900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42315</xdr:colOff>
      <xdr:row>57</xdr:row>
      <xdr:rowOff>22679</xdr:rowOff>
    </xdr:from>
    <xdr:to>
      <xdr:col>93</xdr:col>
      <xdr:colOff>45357</xdr:colOff>
      <xdr:row>92</xdr:row>
      <xdr:rowOff>136072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897C8077-870E-4511-84BF-177642F74165}"/>
            </a:ext>
          </a:extLst>
        </xdr:cNvPr>
        <xdr:cNvCxnSpPr/>
      </xdr:nvCxnSpPr>
      <xdr:spPr>
        <a:xfrm>
          <a:off x="12354965" y="11033579"/>
          <a:ext cx="3042" cy="600619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36287</xdr:colOff>
      <xdr:row>57</xdr:row>
      <xdr:rowOff>18142</xdr:rowOff>
    </xdr:from>
    <xdr:to>
      <xdr:col>103</xdr:col>
      <xdr:colOff>81643</xdr:colOff>
      <xdr:row>74</xdr:row>
      <xdr:rowOff>145143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1EB7B554-ECED-4480-B5A0-871BEECE0378}"/>
            </a:ext>
          </a:extLst>
        </xdr:cNvPr>
        <xdr:cNvCxnSpPr/>
      </xdr:nvCxnSpPr>
      <xdr:spPr>
        <a:xfrm>
          <a:off x="13416644" y="11484428"/>
          <a:ext cx="45356" cy="3211286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50267</xdr:colOff>
      <xdr:row>57</xdr:row>
      <xdr:rowOff>6350</xdr:rowOff>
    </xdr:from>
    <xdr:to>
      <xdr:col>9</xdr:col>
      <xdr:colOff>63500</xdr:colOff>
      <xdr:row>93</xdr:row>
      <xdr:rowOff>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F1DE87A-48DF-4A6E-8AD5-84BFB090DFF5}"/>
            </a:ext>
          </a:extLst>
        </xdr:cNvPr>
        <xdr:cNvCxnSpPr/>
      </xdr:nvCxnSpPr>
      <xdr:spPr>
        <a:xfrm>
          <a:off x="4895317" y="11017250"/>
          <a:ext cx="13233" cy="6070600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197</xdr:col>
      <xdr:colOff>42315</xdr:colOff>
      <xdr:row>17</xdr:row>
      <xdr:rowOff>22679</xdr:rowOff>
    </xdr:from>
    <xdr:to>
      <xdr:col>197</xdr:col>
      <xdr:colOff>45357</xdr:colOff>
      <xdr:row>52</xdr:row>
      <xdr:rowOff>136072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C09023DD-23A3-4CD7-8F27-A2341356B75F}"/>
            </a:ext>
          </a:extLst>
        </xdr:cNvPr>
        <xdr:cNvCxnSpPr/>
      </xdr:nvCxnSpPr>
      <xdr:spPr>
        <a:xfrm>
          <a:off x="22057765" y="4175579"/>
          <a:ext cx="3042" cy="605064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39078</xdr:colOff>
      <xdr:row>17</xdr:row>
      <xdr:rowOff>15350</xdr:rowOff>
    </xdr:from>
    <xdr:to>
      <xdr:col>111</xdr:col>
      <xdr:colOff>48846</xdr:colOff>
      <xdr:row>34</xdr:row>
      <xdr:rowOff>180731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5918DB83-EFEA-41FD-B01C-89101F30F8CD}"/>
            </a:ext>
          </a:extLst>
        </xdr:cNvPr>
        <xdr:cNvCxnSpPr/>
      </xdr:nvCxnSpPr>
      <xdr:spPr>
        <a:xfrm>
          <a:off x="14316809" y="4172158"/>
          <a:ext cx="9768" cy="3359919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57595</xdr:colOff>
      <xdr:row>17</xdr:row>
      <xdr:rowOff>28388</xdr:rowOff>
    </xdr:from>
    <xdr:to>
      <xdr:col>118</xdr:col>
      <xdr:colOff>64478</xdr:colOff>
      <xdr:row>53</xdr:row>
      <xdr:rowOff>28388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1ABDA2AC-7469-484C-B747-879297E3BC87}"/>
            </a:ext>
          </a:extLst>
        </xdr:cNvPr>
        <xdr:cNvCxnSpPr/>
      </xdr:nvCxnSpPr>
      <xdr:spPr>
        <a:xfrm>
          <a:off x="14950787" y="4185196"/>
          <a:ext cx="6883" cy="6721230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9"/>
  <sheetViews>
    <sheetView tabSelected="1" zoomScale="70" zoomScaleNormal="70" workbookViewId="0">
      <selection activeCell="F6" sqref="F6"/>
    </sheetView>
  </sheetViews>
  <sheetFormatPr baseColWidth="10" defaultRowHeight="13" x14ac:dyDescent="0.3"/>
  <cols>
    <col min="1" max="1" width="0.7265625" style="1" customWidth="1"/>
    <col min="2" max="2" width="35.179687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9.54296875" style="1" customWidth="1"/>
    <col min="8" max="8" width="14.1796875" style="1" bestFit="1" customWidth="1"/>
    <col min="9" max="9" width="6.4531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8.453125" style="1" hidden="1" customWidth="1"/>
    <col min="15" max="15" width="14.26953125" style="6" bestFit="1" customWidth="1"/>
    <col min="16" max="16" width="14.26953125" style="6" customWidth="1"/>
    <col min="17" max="17" width="3.26953125" style="1" customWidth="1"/>
    <col min="18" max="18" width="15.81640625" style="1" customWidth="1"/>
    <col min="19" max="19" width="16" style="1" customWidth="1"/>
    <col min="20" max="20" width="14.81640625" style="1" customWidth="1"/>
    <col min="21" max="21" width="13.54296875" style="6" customWidth="1"/>
    <col min="22" max="22" width="7.90625" style="6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7" customFormat="1" ht="8.25" customHeight="1" thickBot="1" x14ac:dyDescent="0.35">
      <c r="B1" s="56"/>
      <c r="C1" s="57"/>
      <c r="D1" s="56"/>
      <c r="E1" s="58"/>
      <c r="F1" s="1"/>
      <c r="G1" s="1"/>
      <c r="H1" s="59"/>
      <c r="I1" s="59"/>
      <c r="J1" s="59"/>
      <c r="K1" s="59"/>
      <c r="L1" s="60"/>
      <c r="M1" s="61"/>
      <c r="N1" s="61"/>
      <c r="O1" s="4"/>
      <c r="P1" s="4"/>
      <c r="Q1" s="62"/>
      <c r="X1" s="63"/>
      <c r="Y1" s="63"/>
      <c r="Z1" s="63"/>
      <c r="AA1" s="63"/>
      <c r="AB1" s="63"/>
      <c r="AC1" s="63"/>
    </row>
    <row r="2" spans="2:30" ht="31.5" customHeight="1" thickBot="1" x14ac:dyDescent="0.35">
      <c r="B2" s="431" t="s">
        <v>129</v>
      </c>
      <c r="C2" s="432"/>
      <c r="D2" s="432"/>
      <c r="E2" s="432"/>
      <c r="F2" s="433"/>
      <c r="G2" s="64"/>
      <c r="H2" s="322" t="s">
        <v>16</v>
      </c>
      <c r="I2" s="66">
        <v>0.95</v>
      </c>
      <c r="J2" s="64"/>
      <c r="K2" s="67"/>
      <c r="L2" s="60"/>
      <c r="M2" s="68"/>
      <c r="N2" s="68"/>
      <c r="O2" s="69"/>
      <c r="P2" s="69"/>
      <c r="Q2" s="70"/>
      <c r="R2" s="390" t="s">
        <v>163</v>
      </c>
      <c r="S2" s="4"/>
      <c r="T2" s="350" t="s">
        <v>133</v>
      </c>
      <c r="U2" s="349" t="s">
        <v>131</v>
      </c>
      <c r="V2" s="348" t="s">
        <v>132</v>
      </c>
      <c r="W2" s="63"/>
      <c r="X2" s="6"/>
      <c r="Y2" s="6"/>
      <c r="Z2" s="6"/>
      <c r="AA2" s="6"/>
      <c r="AB2" s="6"/>
      <c r="AC2" s="6"/>
      <c r="AD2" s="6"/>
    </row>
    <row r="3" spans="2:30" ht="27.75" customHeight="1" thickBot="1" x14ac:dyDescent="0.35">
      <c r="B3" s="564" t="s">
        <v>141</v>
      </c>
      <c r="C3" s="565"/>
      <c r="D3" s="565"/>
      <c r="E3" s="565"/>
      <c r="F3" s="566"/>
      <c r="G3" s="71"/>
      <c r="K3" s="67"/>
      <c r="L3" s="60"/>
      <c r="M3" s="68"/>
      <c r="N3" s="68"/>
      <c r="O3" s="69"/>
      <c r="P3" s="69"/>
      <c r="Q3" s="70"/>
      <c r="R3" s="351" t="s">
        <v>11</v>
      </c>
      <c r="S3" s="352">
        <f>V3+U3+T3</f>
        <v>155.06598573115014</v>
      </c>
      <c r="T3" s="387">
        <f>J32</f>
        <v>13.338099881948358</v>
      </c>
      <c r="U3" s="388">
        <f>J31</f>
        <v>1</v>
      </c>
      <c r="V3" s="389">
        <f>J30</f>
        <v>140.72788584920178</v>
      </c>
      <c r="W3" s="69"/>
      <c r="X3" s="6"/>
      <c r="Y3" s="6"/>
      <c r="Z3" s="6"/>
      <c r="AA3" s="6"/>
      <c r="AB3" s="6"/>
      <c r="AC3" s="6"/>
      <c r="AD3" s="6"/>
    </row>
    <row r="4" spans="2:30" ht="14.25" customHeight="1" x14ac:dyDescent="0.7">
      <c r="B4" s="72"/>
      <c r="C4" s="73"/>
      <c r="D4" s="61"/>
      <c r="E4" s="61"/>
      <c r="F4" s="5"/>
      <c r="G4" s="368" t="s">
        <v>125</v>
      </c>
      <c r="H4" s="324">
        <v>36</v>
      </c>
      <c r="I4" s="367" t="s">
        <v>146</v>
      </c>
      <c r="K4" s="74"/>
      <c r="L4" s="75"/>
      <c r="O4" s="69"/>
      <c r="P4" s="69"/>
      <c r="Q4" s="76"/>
      <c r="R4" s="69"/>
      <c r="S4" s="69"/>
      <c r="T4" s="69"/>
      <c r="U4" s="69"/>
      <c r="V4" s="69"/>
      <c r="W4" s="69"/>
      <c r="X4" s="6"/>
      <c r="Y4" s="77"/>
      <c r="Z4" s="78"/>
      <c r="AA4" s="6"/>
      <c r="AB4" s="6"/>
      <c r="AC4" s="6"/>
      <c r="AD4" s="6"/>
    </row>
    <row r="5" spans="2:30" x14ac:dyDescent="0.3">
      <c r="B5" s="479"/>
      <c r="C5" s="80"/>
      <c r="D5" s="238" t="s">
        <v>17</v>
      </c>
      <c r="E5" s="238" t="s">
        <v>18</v>
      </c>
      <c r="F5" s="145"/>
      <c r="K5" s="81"/>
      <c r="L5" s="82"/>
      <c r="M5" s="82"/>
      <c r="N5" s="82"/>
      <c r="O5" s="69"/>
      <c r="P5" s="69"/>
      <c r="Q5" s="69"/>
      <c r="R5" s="391" t="s">
        <v>164</v>
      </c>
      <c r="S5" s="347" t="str">
        <f>I4</f>
        <v>meses</v>
      </c>
      <c r="V5" s="2" t="s">
        <v>0</v>
      </c>
      <c r="W5" s="77"/>
      <c r="X5" s="6"/>
      <c r="Y5" s="77"/>
      <c r="Z5" s="78"/>
      <c r="AA5" s="6"/>
      <c r="AB5" s="6"/>
      <c r="AC5" s="6"/>
      <c r="AD5" s="6"/>
    </row>
    <row r="6" spans="2:30" x14ac:dyDescent="0.3">
      <c r="B6" s="479"/>
      <c r="C6" s="84"/>
      <c r="D6" s="470" t="s">
        <v>19</v>
      </c>
      <c r="E6" s="470" t="s">
        <v>20</v>
      </c>
      <c r="F6" s="471"/>
      <c r="G6" s="499" t="s">
        <v>169</v>
      </c>
      <c r="H6" s="500" t="s">
        <v>168</v>
      </c>
      <c r="I6" s="500" t="s">
        <v>151</v>
      </c>
      <c r="J6" s="501"/>
      <c r="K6" s="502"/>
      <c r="L6" s="503"/>
      <c r="M6" s="503"/>
      <c r="N6" s="503"/>
      <c r="O6" s="500" t="s">
        <v>152</v>
      </c>
      <c r="P6" s="69"/>
      <c r="Q6" s="69"/>
      <c r="R6" s="11" t="s">
        <v>1</v>
      </c>
      <c r="S6" s="12">
        <f>S14</f>
        <v>1.6643611212231526</v>
      </c>
      <c r="T6" s="13">
        <f>S6/S9</f>
        <v>4.6232253367309795E-2</v>
      </c>
      <c r="V6" s="428">
        <f>S6*365.25/12</f>
        <v>50.65899162722971</v>
      </c>
      <c r="W6" s="77"/>
      <c r="X6" s="6"/>
      <c r="Y6" s="77"/>
      <c r="Z6" s="6"/>
      <c r="AA6" s="6"/>
      <c r="AB6" s="6"/>
      <c r="AC6" s="6"/>
      <c r="AD6" s="6"/>
    </row>
    <row r="7" spans="2:30" ht="12.75" customHeight="1" x14ac:dyDescent="0.3">
      <c r="B7" s="479"/>
      <c r="C7" s="468" t="s">
        <v>173</v>
      </c>
      <c r="D7" s="85">
        <v>473</v>
      </c>
      <c r="E7" s="86">
        <f>F7-D7</f>
        <v>5026</v>
      </c>
      <c r="F7" s="87">
        <v>5499</v>
      </c>
      <c r="G7" s="504">
        <f>D7/F7</f>
        <v>8.6015639207128569E-2</v>
      </c>
      <c r="H7" s="505">
        <v>3.9E-2</v>
      </c>
      <c r="I7" s="506">
        <f>(G7/H7)</f>
        <v>2.2055292104391939</v>
      </c>
      <c r="J7" s="507"/>
      <c r="K7" s="508"/>
      <c r="L7" s="509"/>
      <c r="M7" s="509"/>
      <c r="N7" s="509"/>
      <c r="O7" s="510">
        <f>I7*12</f>
        <v>26.466350525270329</v>
      </c>
      <c r="P7" s="400"/>
      <c r="Q7" s="69"/>
      <c r="R7" s="14" t="s">
        <v>3</v>
      </c>
      <c r="S7" s="15">
        <f>R14</f>
        <v>0.11607961549483847</v>
      </c>
      <c r="T7" s="16">
        <f>S7/S9</f>
        <v>3.2244337637455131E-3</v>
      </c>
      <c r="V7" s="482">
        <f>S7*365.25/12</f>
        <v>3.5331732966241458</v>
      </c>
      <c r="W7" s="77"/>
      <c r="X7" s="6"/>
      <c r="Y7" s="77"/>
      <c r="Z7" s="6"/>
      <c r="AA7" s="6"/>
      <c r="AB7" s="6"/>
      <c r="AC7" s="6"/>
      <c r="AD7" s="6"/>
    </row>
    <row r="8" spans="2:30" ht="12.75" customHeight="1" x14ac:dyDescent="0.3">
      <c r="B8" s="79"/>
      <c r="C8" s="468" t="s">
        <v>14</v>
      </c>
      <c r="D8" s="85">
        <v>254</v>
      </c>
      <c r="E8" s="86">
        <f>F8-D8</f>
        <v>2493</v>
      </c>
      <c r="F8" s="87">
        <v>2747</v>
      </c>
      <c r="G8" s="504">
        <f>D8/F8</f>
        <v>9.2464506734619589E-2</v>
      </c>
      <c r="H8" s="505">
        <v>0.04</v>
      </c>
      <c r="I8" s="506">
        <f>(G8/H8)</f>
        <v>2.3116126683654898</v>
      </c>
      <c r="J8" s="507"/>
      <c r="K8" s="508"/>
      <c r="L8" s="509"/>
      <c r="M8" s="511"/>
      <c r="N8" s="509"/>
      <c r="O8" s="510">
        <f t="shared" ref="O8" si="0">I8*12</f>
        <v>27.73935202038588</v>
      </c>
      <c r="P8" s="400"/>
      <c r="Q8" s="69"/>
      <c r="R8" s="17" t="s">
        <v>2</v>
      </c>
      <c r="S8" s="18">
        <f>Q14</f>
        <v>34.219559263282008</v>
      </c>
      <c r="T8" s="19">
        <f>S8/S9</f>
        <v>0.95054331286894467</v>
      </c>
      <c r="V8" s="429">
        <f>S8*365.26/12</f>
        <v>1041.5863513755321</v>
      </c>
      <c r="W8" s="77"/>
      <c r="X8" s="6"/>
      <c r="Y8" s="77"/>
      <c r="Z8" s="6"/>
      <c r="AA8" s="6"/>
      <c r="AB8" s="6"/>
      <c r="AC8" s="6"/>
      <c r="AD8" s="6"/>
    </row>
    <row r="9" spans="2:30" x14ac:dyDescent="0.3">
      <c r="B9" s="402"/>
      <c r="C9" s="469" t="s">
        <v>21</v>
      </c>
      <c r="D9" s="89">
        <f>SUM(D7:D8)</f>
        <v>727</v>
      </c>
      <c r="E9" s="90">
        <f>SUM(E7:E8)</f>
        <v>7519</v>
      </c>
      <c r="F9" s="90">
        <f>SUM(F7:F8)</f>
        <v>8246</v>
      </c>
      <c r="G9" s="417"/>
      <c r="H9" s="372"/>
      <c r="I9" s="418"/>
      <c r="K9" s="81"/>
      <c r="L9" s="82"/>
      <c r="M9" s="88"/>
      <c r="N9" s="82"/>
      <c r="O9" s="416"/>
      <c r="P9" s="400"/>
      <c r="Q9" s="92"/>
      <c r="S9" s="9">
        <f>SUM(S6:S8)</f>
        <v>36</v>
      </c>
      <c r="V9" s="20">
        <f>SUM(V6:V8)</f>
        <v>1095.778516299386</v>
      </c>
      <c r="W9" s="77"/>
      <c r="X9" s="6"/>
      <c r="Y9" s="77"/>
      <c r="Z9" s="6"/>
      <c r="AA9" s="6"/>
      <c r="AB9" s="6"/>
      <c r="AC9" s="6"/>
      <c r="AD9" s="6"/>
    </row>
    <row r="10" spans="2:30" ht="12.75" customHeight="1" x14ac:dyDescent="0.3">
      <c r="B10" s="402"/>
      <c r="C10" s="402"/>
      <c r="D10" s="402"/>
      <c r="E10" s="402"/>
      <c r="F10" s="402"/>
      <c r="G10" s="402"/>
      <c r="H10" s="82"/>
      <c r="I10" s="81"/>
      <c r="J10" s="81"/>
      <c r="K10" s="81"/>
      <c r="L10" s="82"/>
      <c r="M10" s="88"/>
      <c r="N10" s="82"/>
      <c r="P10" s="91"/>
      <c r="Q10" s="92"/>
      <c r="R10" s="92"/>
      <c r="S10" s="92"/>
      <c r="T10" s="77"/>
      <c r="V10" s="77"/>
      <c r="W10" s="77"/>
      <c r="X10" s="6"/>
      <c r="Y10" s="77"/>
      <c r="Z10" s="6"/>
      <c r="AA10" s="6"/>
      <c r="AB10" s="6"/>
      <c r="AC10" s="6"/>
      <c r="AD10" s="6"/>
    </row>
    <row r="11" spans="2:30" s="7" customFormat="1" ht="14.25" hidden="1" customHeight="1" x14ac:dyDescent="0.3">
      <c r="B11" s="93" t="s">
        <v>22</v>
      </c>
      <c r="C11" s="94"/>
      <c r="D11" s="95"/>
      <c r="E11" s="4"/>
      <c r="F11" s="96"/>
      <c r="G11" s="97"/>
      <c r="H11" s="88"/>
      <c r="I11" s="97"/>
      <c r="J11" s="88"/>
      <c r="K11" s="98"/>
      <c r="L11" s="98"/>
      <c r="M11" s="97"/>
      <c r="N11" s="98"/>
      <c r="P11" s="4"/>
      <c r="Q11" s="99"/>
      <c r="R11" s="99"/>
      <c r="S11" s="99"/>
      <c r="T11" s="4"/>
      <c r="U11" s="4"/>
      <c r="V11" s="4"/>
      <c r="W11" s="4"/>
    </row>
    <row r="12" spans="2:30" s="7" customFormat="1" ht="12.75" hidden="1" customHeight="1" x14ac:dyDescent="0.3">
      <c r="B12" s="83" t="s">
        <v>23</v>
      </c>
      <c r="C12" s="94"/>
      <c r="D12" s="95"/>
      <c r="E12" s="4"/>
      <c r="F12" s="96"/>
      <c r="G12" s="97"/>
      <c r="H12" s="88"/>
      <c r="I12" s="97"/>
      <c r="J12" s="88"/>
      <c r="K12" s="100"/>
      <c r="L12" s="98"/>
      <c r="M12" s="98"/>
      <c r="N12" s="98"/>
      <c r="O12" s="7" t="s">
        <v>122</v>
      </c>
      <c r="P12" s="4"/>
      <c r="Q12" s="99"/>
      <c r="R12" s="62"/>
      <c r="S12" s="62"/>
      <c r="T12" s="4"/>
      <c r="U12" s="4"/>
      <c r="V12" s="4"/>
      <c r="W12" s="4"/>
    </row>
    <row r="13" spans="2:30" s="7" customFormat="1" ht="45" hidden="1" customHeight="1" x14ac:dyDescent="0.3">
      <c r="B13" s="101" t="s">
        <v>24</v>
      </c>
      <c r="C13" s="101" t="s">
        <v>25</v>
      </c>
      <c r="D13" s="101" t="s">
        <v>26</v>
      </c>
      <c r="E13" s="101" t="s">
        <v>27</v>
      </c>
      <c r="F13" s="101" t="s">
        <v>28</v>
      </c>
      <c r="G13" s="101" t="s">
        <v>29</v>
      </c>
      <c r="H13" s="101" t="s">
        <v>30</v>
      </c>
      <c r="I13" s="101" t="s">
        <v>31</v>
      </c>
      <c r="J13" s="88"/>
      <c r="K13" s="102" t="s">
        <v>32</v>
      </c>
      <c r="L13" s="103" t="s">
        <v>33</v>
      </c>
      <c r="M13" s="103" t="s">
        <v>34</v>
      </c>
      <c r="N13" s="98"/>
      <c r="O13" s="323" t="s">
        <v>123</v>
      </c>
      <c r="P13" s="323" t="s">
        <v>124</v>
      </c>
      <c r="Q13" s="327" t="s">
        <v>2</v>
      </c>
      <c r="R13" s="328" t="s">
        <v>3</v>
      </c>
      <c r="S13" s="329" t="s">
        <v>1</v>
      </c>
      <c r="T13" s="4"/>
      <c r="W13" s="4"/>
    </row>
    <row r="14" spans="2:30" s="7" customFormat="1" ht="12.75" hidden="1" customHeight="1" x14ac:dyDescent="0.3">
      <c r="B14" s="104">
        <f>LN((D7/F7)/(D8/F8))</f>
        <v>-7.2295728939144474E-2</v>
      </c>
      <c r="C14" s="104">
        <f>SQRT((E7/(D7*F7)+(E8/(D8*F8))))</f>
        <v>7.4197628278241584E-2</v>
      </c>
      <c r="D14" s="105">
        <f>-NORMSINV((1-I2)/2)</f>
        <v>1.9599639845400536</v>
      </c>
      <c r="E14" s="106">
        <f>B14-(D14*C14)</f>
        <v>-0.21772040810278859</v>
      </c>
      <c r="F14" s="107">
        <f>B14+(D14*C14)</f>
        <v>7.3128950224499653E-2</v>
      </c>
      <c r="G14" s="108">
        <f>(D7/F7)/(D8/F8)</f>
        <v>0.93025575158260698</v>
      </c>
      <c r="H14" s="108">
        <f>EXP(E14)</f>
        <v>0.80435030005721841</v>
      </c>
      <c r="I14" s="108">
        <f>EXP(F14)</f>
        <v>1.0758692615530341</v>
      </c>
      <c r="J14" s="88"/>
      <c r="K14" s="109">
        <f>1-G14</f>
        <v>6.9744248417393018E-2</v>
      </c>
      <c r="L14" s="108">
        <f>1-H14</f>
        <v>0.19564969994278159</v>
      </c>
      <c r="M14" s="108">
        <f>1-I14</f>
        <v>-7.5869261553034084E-2</v>
      </c>
      <c r="N14" s="110"/>
      <c r="O14" s="325">
        <f>(D7/F7)*H4/2</f>
        <v>1.5482815057283141</v>
      </c>
      <c r="P14" s="326">
        <f>(D8/F8)*H4/2</f>
        <v>1.6643611212231526</v>
      </c>
      <c r="Q14" s="330">
        <f>H4-R14-S14</f>
        <v>34.219559263282008</v>
      </c>
      <c r="R14" s="330">
        <f>P14-O14</f>
        <v>0.11607961549483847</v>
      </c>
      <c r="S14" s="330">
        <f>P14</f>
        <v>1.6643611212231526</v>
      </c>
      <c r="T14" s="4" t="str">
        <f>I4</f>
        <v>meses</v>
      </c>
      <c r="W14" s="4"/>
    </row>
    <row r="15" spans="2:30" s="7" customFormat="1" ht="12.75" hidden="1" customHeight="1" x14ac:dyDescent="0.3">
      <c r="B15" s="111"/>
      <c r="C15" s="94"/>
      <c r="D15" s="94"/>
      <c r="E15" s="94"/>
      <c r="F15" s="112"/>
      <c r="G15" s="113"/>
      <c r="H15" s="88"/>
      <c r="I15" s="97"/>
      <c r="J15" s="88"/>
      <c r="K15" s="97"/>
      <c r="L15" s="97"/>
      <c r="M15" s="97"/>
      <c r="N15" s="98"/>
      <c r="P15" s="4"/>
      <c r="Q15" s="4"/>
      <c r="R15" s="4"/>
      <c r="S15" s="4"/>
      <c r="T15" s="4"/>
      <c r="U15" s="4"/>
      <c r="V15" s="4"/>
      <c r="W15" s="4"/>
    </row>
    <row r="16" spans="2:30" s="6" customFormat="1" ht="12.75" hidden="1" customHeight="1" x14ac:dyDescent="0.3">
      <c r="B16" s="114"/>
      <c r="C16" s="115"/>
      <c r="D16" s="116"/>
      <c r="E16" s="117"/>
      <c r="F16" s="118"/>
      <c r="G16" s="119"/>
      <c r="H16" s="120"/>
      <c r="I16" s="121"/>
      <c r="J16" s="121"/>
      <c r="K16" s="122"/>
      <c r="L16" s="122"/>
      <c r="M16" s="123"/>
      <c r="N16" s="123"/>
    </row>
    <row r="17" spans="2:30" ht="15.75" hidden="1" customHeight="1" x14ac:dyDescent="0.3">
      <c r="B17" s="124" t="s">
        <v>35</v>
      </c>
      <c r="C17" s="4"/>
      <c r="D17" s="125"/>
      <c r="E17" s="125"/>
      <c r="F17" s="61"/>
      <c r="G17" s="61"/>
      <c r="H17" s="126"/>
      <c r="I17" s="127"/>
      <c r="J17" s="128"/>
      <c r="K17" s="128"/>
      <c r="L17" s="7"/>
      <c r="M17" s="98"/>
      <c r="N17" s="88"/>
      <c r="O17" s="127"/>
      <c r="P17" s="4"/>
      <c r="Q17" s="4"/>
      <c r="R17" s="129"/>
      <c r="S17" s="127"/>
      <c r="T17" s="130"/>
      <c r="U17" s="130"/>
      <c r="V17" s="130"/>
      <c r="W17" s="6"/>
      <c r="X17" s="6"/>
      <c r="Y17" s="6"/>
      <c r="Z17" s="6"/>
      <c r="AA17" s="6"/>
      <c r="AB17" s="6"/>
      <c r="AC17" s="6"/>
    </row>
    <row r="18" spans="2:30" ht="12.75" hidden="1" customHeight="1" x14ac:dyDescent="0.3">
      <c r="B18" s="131" t="s">
        <v>36</v>
      </c>
      <c r="C18" s="4"/>
      <c r="D18" s="127"/>
      <c r="E18" s="127"/>
      <c r="F18" s="4"/>
      <c r="G18" s="4"/>
      <c r="H18" s="129"/>
      <c r="I18" s="127"/>
      <c r="J18" s="130"/>
      <c r="K18" s="130"/>
      <c r="L18" s="130"/>
      <c r="M18" s="98"/>
      <c r="N18" s="88"/>
      <c r="O18" s="4"/>
      <c r="P18" s="4"/>
      <c r="Q18" s="129"/>
      <c r="R18" s="127"/>
      <c r="S18" s="130"/>
      <c r="T18" s="130"/>
      <c r="U18" s="130"/>
      <c r="W18" s="6" t="s">
        <v>37</v>
      </c>
      <c r="X18" s="6"/>
      <c r="Y18" s="6"/>
      <c r="Z18" s="6"/>
      <c r="AA18" s="6"/>
      <c r="AB18" s="6"/>
    </row>
    <row r="19" spans="2:30" ht="25.5" hidden="1" customHeight="1" x14ac:dyDescent="0.3">
      <c r="B19" s="132" t="s">
        <v>38</v>
      </c>
      <c r="C19" s="1" t="s">
        <v>39</v>
      </c>
      <c r="D19" s="7"/>
      <c r="E19" s="1" t="s">
        <v>40</v>
      </c>
      <c r="G19" s="1" t="s">
        <v>41</v>
      </c>
      <c r="I19" s="1" t="s">
        <v>42</v>
      </c>
      <c r="J19" s="130"/>
      <c r="K19" s="130"/>
      <c r="L19" s="130"/>
      <c r="M19" s="98"/>
      <c r="N19" s="122"/>
      <c r="P19" s="1"/>
      <c r="T19" s="6"/>
      <c r="V19" s="1"/>
      <c r="W19" s="1" t="s">
        <v>43</v>
      </c>
      <c r="Y19" s="6"/>
      <c r="Z19" s="6"/>
      <c r="AA19" s="6"/>
      <c r="AB19" s="6"/>
      <c r="AC19" s="6"/>
      <c r="AD19" s="6"/>
    </row>
    <row r="20" spans="2:30" ht="38.25" hidden="1" customHeight="1" x14ac:dyDescent="0.4">
      <c r="B20" s="101" t="s">
        <v>44</v>
      </c>
      <c r="C20" s="101" t="s">
        <v>45</v>
      </c>
      <c r="D20" s="133" t="s">
        <v>46</v>
      </c>
      <c r="E20" s="133" t="s">
        <v>39</v>
      </c>
      <c r="F20" s="133" t="s">
        <v>47</v>
      </c>
      <c r="G20" s="133" t="s">
        <v>41</v>
      </c>
      <c r="H20" s="133" t="s">
        <v>42</v>
      </c>
      <c r="I20" s="134" t="s">
        <v>48</v>
      </c>
      <c r="J20" s="133" t="s">
        <v>49</v>
      </c>
      <c r="K20" s="133" t="s">
        <v>33</v>
      </c>
      <c r="L20" s="133" t="s">
        <v>34</v>
      </c>
      <c r="M20" s="135"/>
      <c r="N20" s="136"/>
      <c r="O20" s="137" t="s">
        <v>50</v>
      </c>
      <c r="P20" s="138" t="s">
        <v>51</v>
      </c>
      <c r="Q20" s="139"/>
      <c r="R20" s="140"/>
      <c r="S20" s="141"/>
      <c r="T20" s="141"/>
      <c r="U20" s="142"/>
      <c r="W20" s="143"/>
      <c r="X20" s="137" t="s">
        <v>52</v>
      </c>
      <c r="Y20" s="138" t="s">
        <v>53</v>
      </c>
      <c r="Z20" s="144"/>
      <c r="AA20" s="144"/>
      <c r="AB20" s="144" t="s">
        <v>54</v>
      </c>
      <c r="AC20" s="144"/>
      <c r="AD20" s="145"/>
    </row>
    <row r="21" spans="2:30" ht="12.75" hidden="1" customHeight="1" x14ac:dyDescent="0.3">
      <c r="B21" s="146">
        <f>D7</f>
        <v>473</v>
      </c>
      <c r="C21" s="147">
        <f>F7</f>
        <v>5499</v>
      </c>
      <c r="D21" s="148">
        <f>B21/C21</f>
        <v>8.6015639207128569E-2</v>
      </c>
      <c r="E21" s="149">
        <f>2*B21+I21^2</f>
        <v>949.84145882069413</v>
      </c>
      <c r="F21" s="149">
        <f>I21*SQRT((I21^2)+(4*B21*(1-D21)))</f>
        <v>81.594312182940925</v>
      </c>
      <c r="G21" s="150">
        <f>2*(C21+I21^2)</f>
        <v>11005.682917641388</v>
      </c>
      <c r="H21" s="151" t="s">
        <v>55</v>
      </c>
      <c r="I21" s="105">
        <f>-NORMSINV((1-I2)/2)</f>
        <v>1.9599639845400536</v>
      </c>
      <c r="J21" s="152">
        <f>D21</f>
        <v>8.6015639207128569E-2</v>
      </c>
      <c r="K21" s="152">
        <f>(E21-F21)/G21</f>
        <v>7.8890801519096096E-2</v>
      </c>
      <c r="L21" s="152">
        <f>(E21+F21)/G21</f>
        <v>9.3718470604882781E-2</v>
      </c>
      <c r="M21" s="135"/>
      <c r="N21" s="153">
        <f>F9/2</f>
        <v>4123</v>
      </c>
      <c r="O21" s="8" t="s">
        <v>56</v>
      </c>
      <c r="P21" s="4"/>
      <c r="Q21" s="129"/>
      <c r="R21" s="127"/>
      <c r="S21" s="130"/>
      <c r="T21" s="130"/>
      <c r="U21" s="154"/>
      <c r="W21" s="155">
        <f>ABS(D21-D22)</f>
        <v>6.4488675274910201E-3</v>
      </c>
      <c r="X21" s="8" t="s">
        <v>57</v>
      </c>
      <c r="Y21" s="4"/>
      <c r="Z21" s="8"/>
      <c r="AA21" s="8"/>
      <c r="AB21" s="8" t="s">
        <v>58</v>
      </c>
      <c r="AC21" s="8"/>
      <c r="AD21" s="156"/>
    </row>
    <row r="22" spans="2:30" ht="14.25" hidden="1" customHeight="1" x14ac:dyDescent="0.4">
      <c r="B22" s="146">
        <f>D8</f>
        <v>254</v>
      </c>
      <c r="C22" s="147">
        <f>F8</f>
        <v>2747</v>
      </c>
      <c r="D22" s="148">
        <f>B22/C22</f>
        <v>9.2464506734619589E-2</v>
      </c>
      <c r="E22" s="149">
        <f>2*B22+I22^2</f>
        <v>511.84145882069413</v>
      </c>
      <c r="F22" s="149">
        <f>I22*SQRT((I22^2)+(4*B22*(1-D22)))</f>
        <v>59.638889955963577</v>
      </c>
      <c r="G22" s="150">
        <f>2*(C22+I22^2)</f>
        <v>5501.6829176413885</v>
      </c>
      <c r="H22" s="151" t="s">
        <v>55</v>
      </c>
      <c r="I22" s="105">
        <f>-NORMSINV((1-I2)/2)</f>
        <v>1.9599639845400536</v>
      </c>
      <c r="J22" s="152">
        <f>D22</f>
        <v>9.2464506734619589E-2</v>
      </c>
      <c r="K22" s="152">
        <f>(E22-F22)/G22</f>
        <v>8.2193498904621187E-2</v>
      </c>
      <c r="L22" s="152">
        <f>(E22+F22)/G22</f>
        <v>0.10387373415217747</v>
      </c>
      <c r="M22" s="135"/>
      <c r="N22" s="157">
        <f>J26</f>
        <v>6.4488675274910201E-3</v>
      </c>
      <c r="O22" s="8" t="s">
        <v>59</v>
      </c>
      <c r="P22" s="8"/>
      <c r="Q22" s="8"/>
      <c r="R22" s="8"/>
      <c r="S22" s="8"/>
      <c r="T22" s="8"/>
      <c r="U22" s="158"/>
      <c r="W22" s="159">
        <f>SQRT((D23*(1-D23)/C21)+(D23*(1-D23)/C22))</f>
        <v>6.6245196560925515E-3</v>
      </c>
      <c r="X22" s="131" t="s">
        <v>60</v>
      </c>
      <c r="Y22" s="8"/>
      <c r="Z22" s="8"/>
      <c r="AA22" s="8"/>
      <c r="AB22" s="8"/>
      <c r="AC22" s="8"/>
      <c r="AD22" s="156"/>
    </row>
    <row r="23" spans="2:30" ht="12.75" hidden="1" customHeight="1" x14ac:dyDescent="0.3">
      <c r="B23" s="146">
        <f>D9</f>
        <v>727</v>
      </c>
      <c r="C23" s="147">
        <f>F9</f>
        <v>8246</v>
      </c>
      <c r="D23" s="148">
        <f>B23/C23</f>
        <v>8.8163958282803781E-2</v>
      </c>
      <c r="E23" s="149">
        <f>2*B23+I23^2</f>
        <v>1457.841458820694</v>
      </c>
      <c r="F23" s="149">
        <f>I23*SQRT((I23^2)+(4*B23*(1-D23)))</f>
        <v>100.99922181190715</v>
      </c>
      <c r="G23" s="150">
        <f>2*(C23+I23^2)</f>
        <v>16499.682917641388</v>
      </c>
      <c r="H23" s="151" t="s">
        <v>55</v>
      </c>
      <c r="I23" s="105">
        <f>-NORMSINV((1-I2)/2)</f>
        <v>1.9599639845400536</v>
      </c>
      <c r="J23" s="152">
        <f>D23</f>
        <v>8.8163958282803781E-2</v>
      </c>
      <c r="K23" s="152">
        <f>(E23-F23)/G23</f>
        <v>8.2234443157574694E-2</v>
      </c>
      <c r="L23" s="152">
        <f>(E23+F23)/G23</f>
        <v>9.4477008340923666E-2</v>
      </c>
      <c r="M23" s="135"/>
      <c r="N23" s="160">
        <f>(B21+B22)/(C21+C22)</f>
        <v>8.8163958282803781E-2</v>
      </c>
      <c r="O23" s="8" t="s">
        <v>61</v>
      </c>
      <c r="P23" s="4"/>
      <c r="Q23" s="129"/>
      <c r="R23" s="127"/>
      <c r="S23" s="130"/>
      <c r="T23" s="130"/>
      <c r="U23" s="156"/>
      <c r="W23" s="161">
        <f>W21/W22</f>
        <v>0.97348454865856049</v>
      </c>
      <c r="X23" s="8" t="s">
        <v>62</v>
      </c>
      <c r="Y23" s="4"/>
      <c r="Z23" s="8"/>
      <c r="AA23" s="8"/>
      <c r="AB23" s="8"/>
      <c r="AC23" s="8"/>
      <c r="AD23" s="156"/>
    </row>
    <row r="24" spans="2:30" ht="15" hidden="1" customHeight="1" x14ac:dyDescent="0.3">
      <c r="B24" s="83"/>
      <c r="C24" s="162" t="s">
        <v>63</v>
      </c>
      <c r="F24" s="163"/>
      <c r="G24" s="121"/>
      <c r="H24" s="121"/>
      <c r="I24" s="121"/>
      <c r="J24" s="121"/>
      <c r="K24" s="122"/>
      <c r="L24" s="82"/>
      <c r="M24" s="135"/>
      <c r="N24" s="164">
        <f>SQRT(N21*N22^2/(2*N23*(1-N23)))-I21</f>
        <v>-0.92727104460434684</v>
      </c>
      <c r="O24" s="8" t="s">
        <v>64</v>
      </c>
      <c r="P24" s="8"/>
      <c r="Q24" s="8"/>
      <c r="R24" s="8"/>
      <c r="S24" s="8"/>
      <c r="T24" s="7"/>
      <c r="U24" s="154"/>
      <c r="W24" s="165">
        <f>NORMSDIST(-W23)</f>
        <v>0.16515626796104102</v>
      </c>
      <c r="X24" s="124" t="s">
        <v>65</v>
      </c>
      <c r="Y24" s="8"/>
      <c r="Z24" s="7"/>
      <c r="AA24" s="7"/>
      <c r="AB24" s="7"/>
      <c r="AC24" s="7"/>
      <c r="AD24" s="158"/>
    </row>
    <row r="25" spans="2:30" ht="13.5" hidden="1" customHeight="1" x14ac:dyDescent="0.3">
      <c r="B25" s="83"/>
      <c r="C25" s="162" t="s">
        <v>66</v>
      </c>
      <c r="D25" s="2"/>
      <c r="E25" s="166"/>
      <c r="F25" s="163"/>
      <c r="G25" s="121"/>
      <c r="H25" s="82"/>
      <c r="I25" s="82"/>
      <c r="J25" s="167"/>
      <c r="K25" s="167"/>
      <c r="L25" s="167"/>
      <c r="M25" s="135"/>
      <c r="N25" s="168">
        <f>NORMSDIST(N24)</f>
        <v>0.1768929120800122</v>
      </c>
      <c r="O25" s="124" t="s">
        <v>67</v>
      </c>
      <c r="P25" s="169"/>
      <c r="Q25" s="8"/>
      <c r="R25" s="8"/>
      <c r="S25" s="8"/>
      <c r="T25" s="8"/>
      <c r="U25" s="156"/>
      <c r="W25" s="170">
        <f>1-W24</f>
        <v>0.83484373203895901</v>
      </c>
      <c r="X25" s="171" t="s">
        <v>68</v>
      </c>
      <c r="Y25" s="169"/>
      <c r="Z25" s="7"/>
      <c r="AA25" s="7"/>
      <c r="AB25" s="7"/>
      <c r="AC25" s="7"/>
      <c r="AD25" s="158"/>
    </row>
    <row r="26" spans="2:30" ht="15" hidden="1" customHeight="1" x14ac:dyDescent="0.35">
      <c r="F26" s="172"/>
      <c r="G26" s="82"/>
      <c r="H26" s="82"/>
      <c r="I26" s="65" t="s">
        <v>69</v>
      </c>
      <c r="J26" s="173">
        <f>D22-D21</f>
        <v>6.4488675274910201E-3</v>
      </c>
      <c r="K26" s="174">
        <f>J26+SQRT((D22-K22)^2+(L21-D21)^2)</f>
        <v>1.9287372634633232E-2</v>
      </c>
      <c r="L26" s="175">
        <f>J26-SQRT((D21-K21)^2+(L22-D22)^2)</f>
        <v>-7.0022953347436967E-3</v>
      </c>
      <c r="M26" s="81"/>
      <c r="N26" s="176">
        <f>1-N25</f>
        <v>0.82310708791998777</v>
      </c>
      <c r="O26" s="177" t="s">
        <v>70</v>
      </c>
      <c r="P26" s="178"/>
      <c r="Q26" s="179"/>
      <c r="R26" s="178"/>
      <c r="S26" s="178"/>
      <c r="T26" s="178"/>
      <c r="U26" s="180"/>
      <c r="W26" s="181"/>
      <c r="X26" s="182"/>
      <c r="Y26" s="178"/>
      <c r="Z26" s="182"/>
      <c r="AA26" s="182"/>
      <c r="AB26" s="182"/>
      <c r="AC26" s="182"/>
      <c r="AD26" s="183"/>
    </row>
    <row r="27" spans="2:30" ht="13.5" hidden="1" customHeight="1" x14ac:dyDescent="0.3">
      <c r="F27" s="184"/>
      <c r="G27" s="82"/>
      <c r="H27" s="82"/>
      <c r="I27" s="65" t="s">
        <v>71</v>
      </c>
      <c r="J27" s="185">
        <f>1/J26</f>
        <v>155.06598573115014</v>
      </c>
      <c r="K27" s="186">
        <f>1/K26</f>
        <v>51.84739357419565</v>
      </c>
      <c r="L27" s="187">
        <f>1/L26</f>
        <v>-142.81031464614779</v>
      </c>
      <c r="M27" s="81"/>
      <c r="N27" s="82"/>
      <c r="O27" s="1"/>
      <c r="P27" s="1"/>
      <c r="U27" s="1"/>
      <c r="V27" s="1"/>
      <c r="W27" s="6"/>
      <c r="X27" s="6"/>
      <c r="Y27" s="6"/>
      <c r="Z27" s="6"/>
      <c r="AA27" s="6"/>
      <c r="AB27" s="6"/>
      <c r="AC27" s="6"/>
    </row>
    <row r="28" spans="2:30" ht="14.25" hidden="1" customHeight="1" x14ac:dyDescent="0.4">
      <c r="G28" s="82"/>
      <c r="H28" s="82"/>
      <c r="K28" s="188"/>
      <c r="L28" s="188"/>
      <c r="M28" s="189"/>
      <c r="N28" s="136"/>
      <c r="O28" s="190"/>
      <c r="P28" s="190" t="s">
        <v>60</v>
      </c>
      <c r="Q28" s="191">
        <f>SQRT((D23*(1-D23)/C21)+(D23*(1-D23)/C22))</f>
        <v>6.6245196560925515E-3</v>
      </c>
      <c r="R28" s="192"/>
      <c r="S28" s="192"/>
      <c r="T28" s="192"/>
      <c r="U28" s="145"/>
      <c r="V28" s="1"/>
    </row>
    <row r="29" spans="2:30" ht="31.5" hidden="1" customHeight="1" x14ac:dyDescent="0.35">
      <c r="F29" s="193"/>
      <c r="G29" s="194"/>
      <c r="H29" s="195" t="s">
        <v>72</v>
      </c>
      <c r="I29" s="196" t="s">
        <v>11</v>
      </c>
      <c r="J29" s="197">
        <f>J27</f>
        <v>155.06598573115014</v>
      </c>
      <c r="K29" s="197">
        <f>K27</f>
        <v>51.84739357419565</v>
      </c>
      <c r="L29" s="197">
        <f>L27</f>
        <v>-142.81031464614779</v>
      </c>
      <c r="M29" s="82"/>
      <c r="N29" s="198" t="s">
        <v>73</v>
      </c>
      <c r="O29" s="199"/>
      <c r="P29" s="8" t="s">
        <v>74</v>
      </c>
      <c r="Q29" s="8"/>
      <c r="R29" s="129"/>
      <c r="S29" s="200" t="s">
        <v>75</v>
      </c>
      <c r="T29" s="8"/>
      <c r="U29" s="156"/>
      <c r="V29" s="1"/>
    </row>
    <row r="30" spans="2:30" s="7" customFormat="1" ht="14.25" hidden="1" customHeight="1" x14ac:dyDescent="0.4">
      <c r="F30" s="201"/>
      <c r="G30" s="202"/>
      <c r="H30" s="203"/>
      <c r="I30" s="204" t="s">
        <v>76</v>
      </c>
      <c r="J30" s="345">
        <f>(1-D22)*J27</f>
        <v>140.72788584920178</v>
      </c>
      <c r="K30" s="205">
        <f>(1-D22)*K27</f>
        <v>47.053349901881965</v>
      </c>
      <c r="L30" s="205">
        <f>(1-D22)*L27</f>
        <v>-129.60542934577592</v>
      </c>
      <c r="M30" s="82"/>
      <c r="N30" s="206"/>
      <c r="O30" s="207" t="s">
        <v>77</v>
      </c>
      <c r="Q30" s="208" t="s">
        <v>78</v>
      </c>
      <c r="R30" s="207" t="s">
        <v>79</v>
      </c>
      <c r="S30" s="8"/>
      <c r="T30" s="8"/>
      <c r="U30" s="158"/>
    </row>
    <row r="31" spans="2:30" s="7" customFormat="1" ht="14.25" hidden="1" customHeight="1" x14ac:dyDescent="0.4">
      <c r="F31" s="209"/>
      <c r="G31" s="210"/>
      <c r="H31" s="211"/>
      <c r="I31" s="212" t="s">
        <v>80</v>
      </c>
      <c r="J31" s="213">
        <f>J27*J26</f>
        <v>1</v>
      </c>
      <c r="K31" s="213">
        <f>K27*K26</f>
        <v>1</v>
      </c>
      <c r="L31" s="213">
        <f>L27*L26</f>
        <v>1</v>
      </c>
      <c r="M31" s="98"/>
      <c r="N31" s="164">
        <f>ABS((J26/Q28))-I21</f>
        <v>-0.98647943588149312</v>
      </c>
      <c r="O31" s="207" t="s">
        <v>81</v>
      </c>
      <c r="P31" s="8"/>
      <c r="Q31" s="8"/>
      <c r="R31" s="127"/>
      <c r="S31" s="130"/>
      <c r="T31" s="130"/>
      <c r="U31" s="154"/>
    </row>
    <row r="32" spans="2:30" s="7" customFormat="1" ht="12.75" hidden="1" customHeight="1" x14ac:dyDescent="0.3">
      <c r="B32" s="214"/>
      <c r="C32" s="215"/>
      <c r="E32" s="216"/>
      <c r="G32" s="217"/>
      <c r="H32" s="218"/>
      <c r="I32" s="219" t="s">
        <v>82</v>
      </c>
      <c r="J32" s="344">
        <f>(D22-J26)*J27</f>
        <v>13.338099881948358</v>
      </c>
      <c r="K32" s="220">
        <f>(D22-K26)*K27</f>
        <v>3.7940436723136859</v>
      </c>
      <c r="L32" s="220">
        <f>(D22-L26)*L27</f>
        <v>-14.204885300371874</v>
      </c>
      <c r="M32" s="98"/>
      <c r="N32" s="168">
        <f>NORMSDIST(N31)</f>
        <v>0.16194895075974591</v>
      </c>
      <c r="O32" s="131" t="s">
        <v>83</v>
      </c>
      <c r="P32" s="169"/>
      <c r="Q32" s="8"/>
      <c r="R32" s="8"/>
      <c r="S32" s="8"/>
      <c r="T32" s="8"/>
      <c r="U32" s="158"/>
    </row>
    <row r="33" spans="2:22" s="7" customFormat="1" ht="12.75" hidden="1" customHeight="1" x14ac:dyDescent="0.3">
      <c r="B33" s="214"/>
      <c r="G33" s="221"/>
      <c r="H33" s="222"/>
      <c r="I33" s="222"/>
      <c r="J33" s="223"/>
      <c r="K33" s="223"/>
      <c r="L33" s="223"/>
      <c r="M33" s="98"/>
      <c r="N33" s="176">
        <f>1-N32</f>
        <v>0.83805104924025409</v>
      </c>
      <c r="O33" s="178" t="s">
        <v>84</v>
      </c>
      <c r="P33" s="178"/>
      <c r="Q33" s="179"/>
      <c r="R33" s="224"/>
      <c r="S33" s="225"/>
      <c r="T33" s="225"/>
      <c r="U33" s="180"/>
    </row>
    <row r="34" spans="2:22" s="7" customFormat="1" ht="31.5" hidden="1" customHeight="1" x14ac:dyDescent="0.3">
      <c r="B34" s="111"/>
      <c r="F34" s="95"/>
      <c r="G34" s="226"/>
      <c r="H34" s="195" t="s">
        <v>85</v>
      </c>
      <c r="I34" s="227" t="s">
        <v>86</v>
      </c>
      <c r="J34" s="228">
        <f>ABS(J27)</f>
        <v>155.06598573115014</v>
      </c>
      <c r="K34" s="228">
        <f>ABS(L27)</f>
        <v>142.81031464614779</v>
      </c>
      <c r="L34" s="228">
        <f>ABS(K27)</f>
        <v>51.84739357419565</v>
      </c>
      <c r="M34" s="98"/>
      <c r="N34" s="81"/>
      <c r="O34" s="8"/>
      <c r="P34" s="8"/>
      <c r="Q34" s="8"/>
      <c r="R34" s="8"/>
      <c r="S34" s="8"/>
      <c r="T34" s="8"/>
      <c r="U34" s="8"/>
      <c r="V34" s="8"/>
    </row>
    <row r="35" spans="2:22" s="7" customFormat="1" ht="13.5" hidden="1" customHeight="1" x14ac:dyDescent="0.3">
      <c r="B35" s="111"/>
      <c r="G35" s="202"/>
      <c r="H35" s="203"/>
      <c r="I35" s="204" t="s">
        <v>76</v>
      </c>
      <c r="J35" s="205">
        <f>ABS((1-(D22-J26))*J27)</f>
        <v>141.72788584920178</v>
      </c>
      <c r="K35" s="205">
        <f>ABS((1-(D22-L26))*L27)</f>
        <v>128.60542934577592</v>
      </c>
      <c r="L35" s="205">
        <f>ABS((1-(D22-K26))*K27)</f>
        <v>48.053349901881965</v>
      </c>
      <c r="M35" s="98"/>
      <c r="N35" s="81"/>
      <c r="O35" s="8"/>
      <c r="P35" s="8"/>
      <c r="Q35" s="8"/>
      <c r="R35" s="8"/>
      <c r="S35" s="8"/>
      <c r="T35" s="8"/>
      <c r="U35" s="8"/>
      <c r="V35" s="8"/>
    </row>
    <row r="36" spans="2:22" s="7" customFormat="1" ht="12.75" hidden="1" customHeight="1" x14ac:dyDescent="0.3">
      <c r="B36" s="111"/>
      <c r="F36" s="229"/>
      <c r="G36" s="230"/>
      <c r="H36" s="231"/>
      <c r="I36" s="232" t="s">
        <v>87</v>
      </c>
      <c r="J36" s="233">
        <f>J27*J26</f>
        <v>1</v>
      </c>
      <c r="K36" s="233">
        <f>L27*L26</f>
        <v>1</v>
      </c>
      <c r="L36" s="233">
        <f>K27*K26</f>
        <v>1</v>
      </c>
      <c r="M36" s="98"/>
      <c r="N36" s="81"/>
      <c r="O36" s="8"/>
      <c r="P36" s="8"/>
      <c r="Q36" s="8"/>
      <c r="R36" s="8"/>
      <c r="S36" s="8"/>
      <c r="T36" s="8"/>
      <c r="U36" s="8"/>
      <c r="V36" s="8"/>
    </row>
    <row r="37" spans="2:22" ht="15.75" hidden="1" customHeight="1" x14ac:dyDescent="0.35">
      <c r="B37" s="234" t="s">
        <v>88</v>
      </c>
      <c r="C37" s="235"/>
      <c r="D37" s="235"/>
      <c r="E37" s="235"/>
      <c r="F37" s="236"/>
      <c r="G37" s="217"/>
      <c r="H37" s="218"/>
      <c r="I37" s="219" t="s">
        <v>89</v>
      </c>
      <c r="J37" s="220">
        <f>ABS(D22*J27)</f>
        <v>14.338099881948358</v>
      </c>
      <c r="K37" s="220">
        <f>ABS(D22*L27)</f>
        <v>13.204885300371874</v>
      </c>
      <c r="L37" s="220">
        <f>ABS(D22*K27)</f>
        <v>4.7940436723136859</v>
      </c>
      <c r="M37" s="82"/>
      <c r="N37" s="81"/>
      <c r="O37" s="8"/>
      <c r="P37" s="8"/>
      <c r="Q37" s="8"/>
      <c r="R37" s="8"/>
      <c r="S37" s="8"/>
      <c r="T37" s="8"/>
      <c r="U37" s="8"/>
      <c r="V37" s="8"/>
    </row>
    <row r="38" spans="2:22" s="6" customFormat="1" ht="12.75" hidden="1" customHeight="1" x14ac:dyDescent="0.3">
      <c r="B38" s="83"/>
      <c r="C38" s="237" t="s">
        <v>17</v>
      </c>
      <c r="D38" s="238" t="s">
        <v>18</v>
      </c>
      <c r="E38" s="8"/>
      <c r="F38" s="236"/>
      <c r="G38" s="239"/>
      <c r="H38" s="240"/>
      <c r="I38" s="241"/>
      <c r="J38" s="242"/>
      <c r="K38" s="242"/>
      <c r="L38" s="242"/>
      <c r="M38" s="122"/>
      <c r="N38" s="98"/>
      <c r="O38" s="7"/>
      <c r="P38" s="7"/>
      <c r="Q38" s="7"/>
      <c r="R38" s="7"/>
    </row>
    <row r="39" spans="2:22" ht="12.75" hidden="1" customHeight="1" x14ac:dyDescent="0.3">
      <c r="B39" s="243" t="s">
        <v>90</v>
      </c>
      <c r="C39" s="244" t="s">
        <v>19</v>
      </c>
      <c r="D39" s="245" t="s">
        <v>20</v>
      </c>
      <c r="E39" s="3" t="s">
        <v>21</v>
      </c>
      <c r="G39" s="82"/>
      <c r="H39" s="82"/>
      <c r="I39" s="82"/>
      <c r="J39" s="82"/>
      <c r="K39" s="82"/>
      <c r="L39" s="82"/>
      <c r="M39" s="82"/>
      <c r="N39" s="98"/>
      <c r="O39" s="7"/>
      <c r="P39" s="7"/>
      <c r="Q39" s="7"/>
      <c r="R39" s="7"/>
      <c r="U39" s="1"/>
      <c r="V39" s="1"/>
    </row>
    <row r="40" spans="2:22" ht="12.75" hidden="1" customHeight="1" x14ac:dyDescent="0.3">
      <c r="B40" s="246" t="s">
        <v>91</v>
      </c>
      <c r="C40" s="247">
        <f>F7*D9/F9</f>
        <v>484.813606597138</v>
      </c>
      <c r="D40" s="247">
        <f>F7*E9/F9</f>
        <v>5014.1863934028615</v>
      </c>
      <c r="E40" s="247">
        <f>F7</f>
        <v>5499</v>
      </c>
      <c r="G40" s="10"/>
      <c r="H40" s="248" t="s">
        <v>92</v>
      </c>
      <c r="I40" s="249">
        <f>CHIINV(0.05,K41)</f>
        <v>3.8414588206941236</v>
      </c>
      <c r="J40" s="82"/>
      <c r="K40" s="82"/>
      <c r="L40" s="82"/>
      <c r="M40" s="82"/>
      <c r="N40" s="98"/>
      <c r="O40" s="250"/>
      <c r="P40" s="250"/>
      <c r="Q40" s="250"/>
      <c r="R40" s="7"/>
      <c r="U40" s="1"/>
      <c r="V40" s="1"/>
    </row>
    <row r="41" spans="2:22" ht="12.75" hidden="1" customHeight="1" x14ac:dyDescent="0.3">
      <c r="B41" s="251" t="s">
        <v>93</v>
      </c>
      <c r="C41" s="247">
        <f>F8*D9/F9</f>
        <v>242.186393402862</v>
      </c>
      <c r="D41" s="247">
        <f>F8*E9/F9</f>
        <v>2504.813606597138</v>
      </c>
      <c r="E41" s="247">
        <f>F8</f>
        <v>2747</v>
      </c>
      <c r="F41" s="6"/>
      <c r="G41" s="252"/>
      <c r="H41" s="252"/>
      <c r="I41" s="253"/>
      <c r="J41" s="254" t="s">
        <v>94</v>
      </c>
      <c r="K41" s="255">
        <f>(COUNT(C40:D40)-1)*(COUNT(C40:C41)-1)</f>
        <v>1</v>
      </c>
      <c r="L41" s="82"/>
      <c r="M41" s="82"/>
      <c r="N41" s="82"/>
      <c r="O41" s="250"/>
      <c r="P41" s="250"/>
      <c r="Q41" s="250"/>
      <c r="R41" s="7"/>
      <c r="U41" s="1"/>
      <c r="V41" s="1"/>
    </row>
    <row r="42" spans="2:22" ht="12.75" hidden="1" customHeight="1" x14ac:dyDescent="0.3">
      <c r="B42" s="256" t="s">
        <v>95</v>
      </c>
      <c r="C42" s="247">
        <f>SUM(C40:C41)</f>
        <v>727</v>
      </c>
      <c r="D42" s="247">
        <f>SUM(D40:D41)</f>
        <v>7519</v>
      </c>
      <c r="E42" s="257">
        <f>SUM(E40:E41)</f>
        <v>8246</v>
      </c>
      <c r="F42" s="6"/>
      <c r="G42" s="122"/>
      <c r="H42" s="258" t="s">
        <v>96</v>
      </c>
      <c r="I42" s="259" t="s">
        <v>97</v>
      </c>
      <c r="J42" s="82"/>
      <c r="K42" s="82"/>
      <c r="L42" s="82"/>
      <c r="M42" s="82"/>
      <c r="N42" s="82"/>
      <c r="O42" s="250"/>
      <c r="P42" s="260"/>
      <c r="Q42" s="250"/>
      <c r="R42" s="7"/>
      <c r="U42" s="1"/>
      <c r="V42" s="1"/>
    </row>
    <row r="43" spans="2:22" ht="12.75" hidden="1" customHeight="1" x14ac:dyDescent="0.3">
      <c r="B43" s="256"/>
      <c r="C43" s="261"/>
      <c r="D43" s="261"/>
      <c r="E43" s="262"/>
      <c r="F43" s="6"/>
      <c r="G43" s="122"/>
      <c r="H43" s="258" t="s">
        <v>98</v>
      </c>
      <c r="I43" s="259" t="s">
        <v>99</v>
      </c>
      <c r="J43" s="82"/>
      <c r="K43" s="82"/>
      <c r="L43" s="82"/>
      <c r="M43" s="82"/>
      <c r="N43" s="82"/>
      <c r="O43" s="263"/>
      <c r="P43" s="263"/>
      <c r="Q43" s="263"/>
      <c r="R43" s="7"/>
      <c r="U43" s="1"/>
      <c r="V43" s="1"/>
    </row>
    <row r="44" spans="2:22" ht="26.25" hidden="1" customHeight="1" x14ac:dyDescent="0.3">
      <c r="B44" s="264"/>
      <c r="C44" s="567" t="s">
        <v>100</v>
      </c>
      <c r="D44" s="568"/>
      <c r="G44" s="82"/>
      <c r="H44" s="265"/>
      <c r="I44" s="82"/>
      <c r="J44" s="82"/>
      <c r="K44" s="82"/>
      <c r="L44" s="82"/>
      <c r="M44" s="82"/>
      <c r="N44" s="82"/>
      <c r="O44" s="1"/>
      <c r="P44" s="1"/>
      <c r="U44" s="1"/>
      <c r="V44" s="1"/>
    </row>
    <row r="45" spans="2:22" ht="12.75" hidden="1" customHeight="1" x14ac:dyDescent="0.3">
      <c r="B45" s="264"/>
      <c r="C45" s="266">
        <f>(D7-C40)^2/C40</f>
        <v>0.28786589099986382</v>
      </c>
      <c r="D45" s="266">
        <f>(E7-D40)^2/D40</f>
        <v>2.7833289367857044E-2</v>
      </c>
      <c r="F45" s="267"/>
      <c r="G45" s="268"/>
      <c r="H45" s="82"/>
      <c r="I45" s="82"/>
      <c r="J45" s="98"/>
      <c r="K45" s="98"/>
      <c r="L45" s="269"/>
      <c r="M45" s="82"/>
      <c r="N45" s="82"/>
      <c r="O45" s="1"/>
      <c r="P45" s="1"/>
      <c r="U45" s="1"/>
      <c r="V45" s="1"/>
    </row>
    <row r="46" spans="2:22" ht="12.75" hidden="1" customHeight="1" x14ac:dyDescent="0.3">
      <c r="B46" s="264"/>
      <c r="C46" s="266">
        <f>(D8-C41)^2/C41</f>
        <v>0.57625574612604702</v>
      </c>
      <c r="D46" s="266">
        <f>(E8-D41)^2/D41</f>
        <v>5.5717239983194063E-2</v>
      </c>
      <c r="E46" s="75"/>
      <c r="F46" s="270" t="s">
        <v>101</v>
      </c>
      <c r="G46" s="271">
        <f>C48-I40</f>
        <v>-2.8937866542171617</v>
      </c>
      <c r="H46" s="82"/>
      <c r="I46" s="82"/>
      <c r="J46" s="98"/>
      <c r="K46" s="98"/>
      <c r="L46" s="82"/>
      <c r="M46" s="82"/>
      <c r="N46" s="82"/>
      <c r="O46" s="1"/>
      <c r="P46" s="1"/>
      <c r="U46" s="1"/>
      <c r="V46" s="1"/>
    </row>
    <row r="47" spans="2:22" ht="12.75" hidden="1" customHeight="1" x14ac:dyDescent="0.3">
      <c r="B47" s="259" t="s">
        <v>102</v>
      </c>
      <c r="D47" s="272"/>
      <c r="G47" s="273" t="s">
        <v>103</v>
      </c>
      <c r="H47" s="82"/>
      <c r="I47" s="82"/>
      <c r="J47" s="98"/>
      <c r="K47" s="98"/>
      <c r="L47" s="82"/>
      <c r="M47" s="82"/>
      <c r="N47" s="82"/>
      <c r="O47" s="1"/>
      <c r="P47" s="1"/>
      <c r="U47" s="1"/>
      <c r="V47" s="1"/>
    </row>
    <row r="48" spans="2:22" ht="13.5" hidden="1" customHeight="1" x14ac:dyDescent="0.3">
      <c r="B48" s="274" t="s">
        <v>104</v>
      </c>
      <c r="C48" s="275">
        <f>SUM(C45:D46)</f>
        <v>0.94767216647696195</v>
      </c>
      <c r="D48" s="8"/>
      <c r="G48" s="273" t="s">
        <v>105</v>
      </c>
      <c r="H48" s="82"/>
      <c r="I48" s="276"/>
      <c r="J48" s="98"/>
      <c r="K48" s="98"/>
      <c r="L48" s="277"/>
      <c r="M48" s="82"/>
      <c r="N48" s="82"/>
      <c r="O48" s="1"/>
      <c r="P48" s="1"/>
      <c r="U48" s="1"/>
      <c r="V48" s="1"/>
    </row>
    <row r="49" spans="2:22" ht="12.75" hidden="1" customHeight="1" x14ac:dyDescent="0.3">
      <c r="B49" s="278" t="s">
        <v>106</v>
      </c>
      <c r="C49" s="279">
        <f>CHIDIST(C48,1)</f>
        <v>0.33031253592208198</v>
      </c>
      <c r="E49" s="8"/>
      <c r="F49" s="8"/>
      <c r="G49" s="81"/>
      <c r="H49" s="280"/>
      <c r="I49" s="81"/>
      <c r="J49" s="98"/>
      <c r="K49" s="98"/>
      <c r="L49" s="81"/>
      <c r="M49" s="82"/>
      <c r="N49" s="82"/>
      <c r="O49" s="1"/>
      <c r="P49" s="1"/>
      <c r="U49" s="1"/>
      <c r="V49" s="1"/>
    </row>
    <row r="50" spans="2:22" s="7" customFormat="1" ht="12.75" hidden="1" customHeight="1" x14ac:dyDescent="0.3">
      <c r="B50" s="111"/>
      <c r="E50" s="281"/>
      <c r="F50" s="281"/>
      <c r="G50" s="98"/>
      <c r="H50" s="98"/>
      <c r="I50" s="282"/>
      <c r="J50" s="98"/>
      <c r="K50" s="98"/>
      <c r="L50" s="98"/>
      <c r="M50" s="98"/>
      <c r="N50" s="98"/>
    </row>
    <row r="51" spans="2:22" ht="13.5" hidden="1" customHeight="1" x14ac:dyDescent="0.3">
      <c r="B51" s="83"/>
      <c r="G51" s="82"/>
      <c r="H51" s="82"/>
      <c r="I51" s="82"/>
      <c r="J51" s="98"/>
      <c r="K51" s="98"/>
      <c r="L51" s="82"/>
      <c r="M51" s="82"/>
      <c r="N51" s="82"/>
      <c r="O51" s="1"/>
      <c r="P51" s="1"/>
      <c r="U51" s="1"/>
      <c r="V51" s="1"/>
    </row>
    <row r="52" spans="2:22" ht="12.75" hidden="1" customHeight="1" x14ac:dyDescent="0.3">
      <c r="B52" s="283" t="s">
        <v>107</v>
      </c>
      <c r="C52" s="284"/>
      <c r="D52" s="284"/>
      <c r="E52" s="284"/>
      <c r="F52" s="284"/>
      <c r="G52" s="284"/>
      <c r="H52" s="285"/>
      <c r="I52" s="82"/>
      <c r="J52" s="286" t="s">
        <v>108</v>
      </c>
      <c r="K52" s="287"/>
      <c r="L52" s="288"/>
      <c r="M52" s="288"/>
      <c r="N52" s="288"/>
      <c r="O52" s="145"/>
      <c r="P52" s="1"/>
      <c r="U52" s="1"/>
      <c r="V52" s="1"/>
    </row>
    <row r="53" spans="2:22" ht="12.75" hidden="1" customHeight="1" x14ac:dyDescent="0.3">
      <c r="B53" s="289">
        <f>I2*100</f>
        <v>95</v>
      </c>
      <c r="C53" s="236"/>
      <c r="D53" s="236"/>
      <c r="E53" s="7"/>
      <c r="F53" s="7"/>
      <c r="G53" s="7"/>
      <c r="H53" s="158"/>
      <c r="I53" s="82"/>
      <c r="J53" s="290"/>
      <c r="K53" s="98"/>
      <c r="L53" s="81"/>
      <c r="M53" s="81"/>
      <c r="N53" s="81"/>
      <c r="O53" s="156"/>
      <c r="P53" s="1"/>
      <c r="U53" s="1"/>
      <c r="V53" s="1"/>
    </row>
    <row r="54" spans="2:22" ht="12.75" hidden="1" customHeight="1" x14ac:dyDescent="0.3">
      <c r="B54" s="291" t="s">
        <v>109</v>
      </c>
      <c r="C54" s="292"/>
      <c r="D54" s="292"/>
      <c r="E54" s="293">
        <f>ROUND(G14,2)</f>
        <v>0.93</v>
      </c>
      <c r="F54" s="294">
        <f>ROUND(J26,4)</f>
        <v>6.4000000000000003E-3</v>
      </c>
      <c r="G54" s="295">
        <f>ROUND(J27,0)</f>
        <v>155</v>
      </c>
      <c r="H54" s="296"/>
      <c r="I54" s="82"/>
      <c r="J54" s="297" t="s">
        <v>109</v>
      </c>
      <c r="K54" s="7"/>
      <c r="L54" s="7"/>
      <c r="M54" s="7"/>
      <c r="N54" s="81"/>
      <c r="O54" s="156"/>
      <c r="P54" s="1"/>
      <c r="U54" s="1"/>
      <c r="V54" s="1"/>
    </row>
    <row r="55" spans="2:22" ht="12.75" hidden="1" customHeight="1" x14ac:dyDescent="0.3">
      <c r="B55" s="291" t="s">
        <v>110</v>
      </c>
      <c r="C55" s="8"/>
      <c r="D55" s="8"/>
      <c r="E55" s="293">
        <f>ROUND(H14,2)</f>
        <v>0.8</v>
      </c>
      <c r="F55" s="294">
        <f>ROUND(L26,4)</f>
        <v>-7.0000000000000001E-3</v>
      </c>
      <c r="G55" s="295">
        <f>ROUND(L27,0)</f>
        <v>-143</v>
      </c>
      <c r="H55" s="296"/>
      <c r="I55" s="82"/>
      <c r="J55" s="297" t="s">
        <v>110</v>
      </c>
      <c r="K55" s="298" t="str">
        <f>ROUND(J21,4)*100&amp;J57</f>
        <v>8,6%</v>
      </c>
      <c r="L55" s="298" t="str">
        <f>ROUND(K21,4)*100&amp;J57</f>
        <v>7,89%</v>
      </c>
      <c r="M55" s="298" t="str">
        <f>ROUND(L21,4)*100&amp;J57</f>
        <v>9,37%</v>
      </c>
      <c r="N55" s="299" t="str">
        <f>CONCATENATE(K55," ",J54,L55," ",J58," ",M55,J56)</f>
        <v>8,6% (7,89% a 9,37%)</v>
      </c>
      <c r="O55" s="156"/>
      <c r="P55" s="1"/>
      <c r="U55" s="1"/>
      <c r="V55" s="1"/>
    </row>
    <row r="56" spans="2:22" s="6" customFormat="1" ht="12.75" hidden="1" customHeight="1" x14ac:dyDescent="0.3">
      <c r="B56" s="291" t="s">
        <v>111</v>
      </c>
      <c r="C56" s="292">
        <f>ROUND(D7,0)</f>
        <v>473</v>
      </c>
      <c r="D56" s="292">
        <f>ROUND(D8,0)</f>
        <v>254</v>
      </c>
      <c r="E56" s="293">
        <f>ROUND(I14,2)</f>
        <v>1.08</v>
      </c>
      <c r="F56" s="294">
        <f>ROUND(K26,4)</f>
        <v>1.9300000000000001E-2</v>
      </c>
      <c r="G56" s="295">
        <f>ROUND(K27,0)</f>
        <v>52</v>
      </c>
      <c r="H56" s="300">
        <f>ROUND(N32,4)</f>
        <v>0.16189999999999999</v>
      </c>
      <c r="I56" s="122"/>
      <c r="J56" s="297" t="s">
        <v>111</v>
      </c>
      <c r="K56" s="301" t="str">
        <f>ROUND(J22,4)*100&amp;J57</f>
        <v>9,25%</v>
      </c>
      <c r="L56" s="301" t="str">
        <f>ROUND(K22,4)*100&amp;J57</f>
        <v>8,22%</v>
      </c>
      <c r="M56" s="301" t="str">
        <f>ROUND(L22,4)*100&amp;J57</f>
        <v>10,39%</v>
      </c>
      <c r="N56" s="299" t="str">
        <f>CONCATENATE(K56," ",J54,L56," ",J58," ",M56,J56)</f>
        <v>9,25% (8,22% a 10,39%)</v>
      </c>
      <c r="O56" s="158"/>
    </row>
    <row r="57" spans="2:22" ht="12.75" hidden="1" customHeight="1" x14ac:dyDescent="0.3">
      <c r="B57" s="291" t="s">
        <v>112</v>
      </c>
      <c r="C57" s="302" t="s">
        <v>113</v>
      </c>
      <c r="D57" s="302" t="s">
        <v>114</v>
      </c>
      <c r="E57" s="302" t="s">
        <v>29</v>
      </c>
      <c r="F57" s="302" t="s">
        <v>115</v>
      </c>
      <c r="G57" s="303" t="s">
        <v>11</v>
      </c>
      <c r="H57" s="10" t="s">
        <v>116</v>
      </c>
      <c r="I57" s="82"/>
      <c r="J57" s="297" t="s">
        <v>112</v>
      </c>
      <c r="K57" s="301" t="str">
        <f>ROUND(J23,4)*100&amp;J57</f>
        <v>8,82%</v>
      </c>
      <c r="L57" s="301" t="str">
        <f>ROUND(K23,4)*100&amp;J57</f>
        <v>8,22%</v>
      </c>
      <c r="M57" s="301" t="str">
        <f>ROUND(L23,4)*100&amp;J57</f>
        <v>9,45%</v>
      </c>
      <c r="N57" s="299" t="str">
        <f>CONCATENATE(K57," ",J54,L57," ",J58," ",M57,J56)</f>
        <v>8,82% (8,22% a 9,45%)</v>
      </c>
      <c r="O57" s="158"/>
    </row>
    <row r="58" spans="2:22" ht="12.75" hidden="1" customHeight="1" x14ac:dyDescent="0.3">
      <c r="B58" s="304" t="s">
        <v>117</v>
      </c>
      <c r="C58" s="305" t="str">
        <f>CONCATENATE(C56,B59,C21," ",B54,K55,B56)</f>
        <v>473/5499 (8,6%)</v>
      </c>
      <c r="D58" s="65" t="str">
        <f>CONCATENATE(D56,B59,C22," ",B54,K56,B56)</f>
        <v>254/2747 (9,25%)</v>
      </c>
      <c r="E58" s="305" t="str">
        <f>CONCATENATE(E54," ",B54,E55,B55,E56,B56)</f>
        <v>0,93 (0,8-1,08)</v>
      </c>
      <c r="F58" s="305" t="str">
        <f>CONCATENATE(F54*100,B57," ",B54,F55*100,B57," ",B58," ",F56*100,B57,B56)</f>
        <v>0,64% (-0,7% a 1,93%)</v>
      </c>
      <c r="G58" s="10" t="str">
        <f>CONCATENATE(G54," ",B54,G56," ",B58," ",G55,B56)</f>
        <v>155 (52 a -143)</v>
      </c>
      <c r="H58" s="10" t="str">
        <f>CONCATENATE(H56*100,B57)</f>
        <v>16,19%</v>
      </c>
      <c r="I58" s="82"/>
      <c r="J58" s="306" t="s">
        <v>117</v>
      </c>
      <c r="K58" s="8"/>
      <c r="L58" s="8"/>
      <c r="M58" s="8"/>
      <c r="N58" s="81"/>
      <c r="O58" s="156"/>
      <c r="P58" s="1"/>
      <c r="U58" s="1"/>
      <c r="V58" s="1"/>
    </row>
    <row r="59" spans="2:22" ht="13.5" hidden="1" customHeight="1" x14ac:dyDescent="0.3">
      <c r="B59" s="307" t="s">
        <v>118</v>
      </c>
      <c r="C59" s="182"/>
      <c r="D59" s="182"/>
      <c r="E59" s="182"/>
      <c r="F59" s="182"/>
      <c r="G59" s="308"/>
      <c r="H59" s="309"/>
      <c r="I59" s="82"/>
      <c r="J59" s="310" t="s">
        <v>118</v>
      </c>
      <c r="K59" s="182"/>
      <c r="L59" s="182"/>
      <c r="M59" s="182"/>
      <c r="N59" s="311"/>
      <c r="O59" s="180"/>
      <c r="P59" s="1"/>
      <c r="U59" s="1"/>
      <c r="V59" s="1"/>
    </row>
    <row r="60" spans="2:22" x14ac:dyDescent="0.3">
      <c r="B60" s="83"/>
      <c r="G60" s="82"/>
      <c r="H60" s="82"/>
      <c r="I60" s="82"/>
      <c r="J60" s="82"/>
      <c r="K60" s="82"/>
      <c r="L60" s="98"/>
      <c r="M60" s="82"/>
      <c r="N60" s="82"/>
      <c r="O60" s="1"/>
      <c r="P60" s="1"/>
      <c r="U60" s="1"/>
      <c r="V60" s="1"/>
    </row>
    <row r="61" spans="2:22" ht="27" customHeight="1" x14ac:dyDescent="0.3">
      <c r="B61" s="83"/>
      <c r="C61" s="312" t="s">
        <v>113</v>
      </c>
      <c r="D61" s="312" t="s">
        <v>114</v>
      </c>
      <c r="E61" s="313" t="str">
        <f>CONCATENATE(E57," ",B54,H2," ",B53,B57,B56)</f>
        <v>RR (IC 95%)</v>
      </c>
      <c r="F61" s="313" t="str">
        <f>CONCATENATE(F57," ",B54,H2," ",B53,B57,B56)</f>
        <v>RAR (IC 95%)</v>
      </c>
      <c r="G61" s="313" t="str">
        <f>CONCATENATE(G57," ",B54,H2," ",B53,B57,B56)</f>
        <v>NNT (IC 95%)</v>
      </c>
      <c r="H61" s="313" t="s">
        <v>73</v>
      </c>
      <c r="I61" s="314"/>
      <c r="J61" s="346" t="s">
        <v>128</v>
      </c>
      <c r="L61" s="441" t="s">
        <v>120</v>
      </c>
      <c r="M61" s="441" t="s">
        <v>121</v>
      </c>
      <c r="O61" s="313" t="s">
        <v>140</v>
      </c>
      <c r="P61" s="313" t="s">
        <v>121</v>
      </c>
      <c r="R61" s="487" t="s">
        <v>2</v>
      </c>
      <c r="S61" s="488" t="s">
        <v>3</v>
      </c>
      <c r="T61" s="489" t="s">
        <v>1</v>
      </c>
      <c r="U61" s="490" t="s">
        <v>138</v>
      </c>
      <c r="V61" s="1"/>
    </row>
    <row r="62" spans="2:22" ht="21" customHeight="1" x14ac:dyDescent="0.3">
      <c r="B62" s="83"/>
      <c r="C62" s="65" t="str">
        <f t="shared" ref="C62:H62" si="1">C58</f>
        <v>473/5499 (8,6%)</v>
      </c>
      <c r="D62" s="65" t="str">
        <f t="shared" si="1"/>
        <v>254/2747 (9,25%)</v>
      </c>
      <c r="E62" s="65" t="str">
        <f t="shared" si="1"/>
        <v>0,93 (0,8-1,08)</v>
      </c>
      <c r="F62" s="65" t="str">
        <f t="shared" si="1"/>
        <v>0,64% (-0,7% a 1,93%)</v>
      </c>
      <c r="G62" s="65" t="str">
        <f t="shared" si="1"/>
        <v>155 (52 a -143)</v>
      </c>
      <c r="H62" s="65" t="str">
        <f t="shared" si="1"/>
        <v>16,19%</v>
      </c>
      <c r="I62" s="315"/>
      <c r="J62" s="316">
        <f>C49</f>
        <v>0.33031253592208198</v>
      </c>
      <c r="L62" s="317">
        <f>IF((K26*L26&lt;0),J23,J21)</f>
        <v>8.8163958282803781E-2</v>
      </c>
      <c r="M62" s="317">
        <f>IF((K26*L26&lt;0),J23,J22)</f>
        <v>8.8163958282803781E-2</v>
      </c>
      <c r="O62" s="605">
        <f>L62*100</f>
        <v>8.8163958282803776</v>
      </c>
      <c r="P62" s="605">
        <f>M62*100</f>
        <v>8.8163958282803776</v>
      </c>
      <c r="R62" s="331">
        <f>Q14</f>
        <v>34.219559263282008</v>
      </c>
      <c r="S62" s="332">
        <f>R14</f>
        <v>0.11607961549483847</v>
      </c>
      <c r="T62" s="370">
        <f>S14</f>
        <v>1.6643611212231526</v>
      </c>
      <c r="U62" s="371">
        <f>R62+S62+T62</f>
        <v>36</v>
      </c>
      <c r="V62" s="273" t="str">
        <f>I4</f>
        <v>meses</v>
      </c>
    </row>
    <row r="63" spans="2:22" x14ac:dyDescent="0.3">
      <c r="B63" s="8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318"/>
    </row>
    <row r="64" spans="2:22" x14ac:dyDescent="0.3">
      <c r="B64" s="386" t="s">
        <v>367</v>
      </c>
      <c r="C64" s="319"/>
      <c r="D64" s="443"/>
      <c r="E64" s="443"/>
      <c r="F64" s="319"/>
      <c r="G64" s="319"/>
      <c r="H64" s="319"/>
      <c r="I64" s="320"/>
      <c r="J64" s="321"/>
      <c r="K64" s="273"/>
      <c r="L64" s="273"/>
      <c r="M64" s="273"/>
      <c r="N64" s="273"/>
      <c r="O64" s="318"/>
    </row>
    <row r="65" spans="1:23" ht="13.5" thickBot="1" x14ac:dyDescent="0.35">
      <c r="A65" s="375"/>
      <c r="B65" s="385" t="s">
        <v>171</v>
      </c>
      <c r="C65" s="319"/>
      <c r="D65" s="319"/>
      <c r="E65" s="319"/>
      <c r="F65" s="319"/>
      <c r="G65" s="319"/>
      <c r="H65" s="319"/>
      <c r="I65" s="320"/>
      <c r="J65" s="321"/>
      <c r="K65" s="273"/>
      <c r="L65" s="273"/>
      <c r="M65" s="273"/>
      <c r="N65" s="273"/>
      <c r="O65" s="318"/>
    </row>
    <row r="66" spans="1:23" ht="39.75" customHeight="1" thickBot="1" x14ac:dyDescent="0.35">
      <c r="A66" s="375"/>
      <c r="B66" s="584" t="s">
        <v>172</v>
      </c>
      <c r="C66" s="585"/>
      <c r="D66" s="585"/>
      <c r="E66" s="585"/>
      <c r="F66" s="585"/>
      <c r="G66" s="585"/>
      <c r="H66" s="586"/>
      <c r="I66" s="375"/>
      <c r="J66" s="375"/>
      <c r="K66" s="375"/>
      <c r="L66" s="375"/>
      <c r="M66" s="375"/>
      <c r="N66" s="375"/>
      <c r="O66" s="575" t="s">
        <v>142</v>
      </c>
      <c r="P66" s="576"/>
      <c r="Q66" s="375"/>
      <c r="R66" s="569" t="s">
        <v>135</v>
      </c>
      <c r="S66" s="572" t="s">
        <v>136</v>
      </c>
      <c r="T66" s="558" t="s">
        <v>137</v>
      </c>
      <c r="U66" s="561" t="s">
        <v>139</v>
      </c>
      <c r="V66" s="375"/>
    </row>
    <row r="67" spans="1:23" ht="38.25" customHeight="1" thickBot="1" x14ac:dyDescent="0.35">
      <c r="A67" s="375"/>
      <c r="B67" s="582" t="s">
        <v>363</v>
      </c>
      <c r="C67" s="394" t="s">
        <v>174</v>
      </c>
      <c r="D67" s="376" t="s">
        <v>175</v>
      </c>
      <c r="E67" s="577" t="s">
        <v>149</v>
      </c>
      <c r="F67" s="578"/>
      <c r="G67" s="578"/>
      <c r="H67" s="579"/>
      <c r="I67" s="375"/>
      <c r="J67" s="375"/>
      <c r="K67" s="375"/>
      <c r="L67" s="375"/>
      <c r="M67" s="375"/>
      <c r="N67" s="375"/>
      <c r="O67" s="580" t="s">
        <v>362</v>
      </c>
      <c r="P67" s="581"/>
      <c r="Q67" s="375"/>
      <c r="R67" s="570"/>
      <c r="S67" s="573"/>
      <c r="T67" s="559"/>
      <c r="U67" s="562"/>
      <c r="V67" s="375"/>
    </row>
    <row r="68" spans="1:23" ht="26.25" customHeight="1" thickBot="1" x14ac:dyDescent="0.35">
      <c r="A68" s="375"/>
      <c r="B68" s="583"/>
      <c r="C68" s="377" t="s">
        <v>143</v>
      </c>
      <c r="D68" s="378" t="s">
        <v>143</v>
      </c>
      <c r="E68" s="379" t="s">
        <v>134</v>
      </c>
      <c r="F68" s="380" t="s">
        <v>178</v>
      </c>
      <c r="G68" s="380" t="s">
        <v>177</v>
      </c>
      <c r="H68" s="381" t="s">
        <v>119</v>
      </c>
      <c r="I68" s="375"/>
      <c r="J68" s="382" t="s">
        <v>144</v>
      </c>
      <c r="L68" s="101" t="s">
        <v>120</v>
      </c>
      <c r="M68" s="101" t="s">
        <v>121</v>
      </c>
      <c r="N68" s="375"/>
      <c r="O68" s="383" t="s">
        <v>173</v>
      </c>
      <c r="P68" s="384" t="s">
        <v>14</v>
      </c>
      <c r="Q68" s="375"/>
      <c r="R68" s="571"/>
      <c r="S68" s="574"/>
      <c r="T68" s="560"/>
      <c r="U68" s="563"/>
      <c r="V68" s="375"/>
    </row>
    <row r="69" spans="1:23" ht="16.5" customHeight="1" thickBot="1" x14ac:dyDescent="0.4">
      <c r="A69" s="375"/>
      <c r="B69" s="442" t="s">
        <v>165</v>
      </c>
      <c r="C69" s="355"/>
      <c r="D69" s="355"/>
      <c r="E69" s="356"/>
      <c r="F69" s="356"/>
      <c r="G69" s="356"/>
      <c r="H69" s="356"/>
      <c r="I69" s="353"/>
      <c r="J69" s="357"/>
      <c r="K69" s="358"/>
      <c r="L69" s="358"/>
      <c r="M69" s="358"/>
      <c r="N69" s="358"/>
      <c r="O69" s="358"/>
      <c r="P69" s="358"/>
      <c r="Q69" s="375"/>
      <c r="R69" s="375"/>
      <c r="S69" s="375"/>
      <c r="T69" s="375"/>
      <c r="U69" s="375"/>
      <c r="V69" s="375"/>
    </row>
    <row r="70" spans="1:23" ht="21.5" thickBot="1" x14ac:dyDescent="0.35">
      <c r="A70" s="375"/>
      <c r="B70" s="453" t="s">
        <v>148</v>
      </c>
      <c r="C70" s="454" t="s">
        <v>215</v>
      </c>
      <c r="D70" s="454" t="s">
        <v>216</v>
      </c>
      <c r="E70" s="454" t="s">
        <v>217</v>
      </c>
      <c r="F70" s="454" t="s">
        <v>218</v>
      </c>
      <c r="G70" s="455" t="s">
        <v>219</v>
      </c>
      <c r="H70" s="456" t="s">
        <v>220</v>
      </c>
      <c r="I70" s="353"/>
      <c r="J70" s="369">
        <v>0.33031253592208198</v>
      </c>
      <c r="K70" s="354"/>
      <c r="L70" s="359">
        <v>8.8163958282803781E-2</v>
      </c>
      <c r="M70" s="359">
        <v>8.8163958282803781E-2</v>
      </c>
      <c r="N70" s="354"/>
      <c r="O70" s="397">
        <v>8.8163958282803776</v>
      </c>
      <c r="P70" s="397">
        <v>8.8163958282803776</v>
      </c>
      <c r="Q70" s="375"/>
      <c r="R70" s="447">
        <v>34.219559263282008</v>
      </c>
      <c r="S70" s="447">
        <v>0.11607961549483847</v>
      </c>
      <c r="T70" s="447">
        <v>1.6643611212231526</v>
      </c>
      <c r="U70" s="448">
        <v>36</v>
      </c>
      <c r="V70" s="449" t="s">
        <v>146</v>
      </c>
    </row>
    <row r="71" spans="1:23" ht="4.5" customHeight="1" thickBot="1" x14ac:dyDescent="0.35">
      <c r="A71" s="375"/>
      <c r="B71" s="362"/>
      <c r="C71" s="358"/>
      <c r="D71" s="358"/>
      <c r="E71" s="358"/>
      <c r="F71" s="358"/>
      <c r="G71" s="411"/>
      <c r="H71" s="406"/>
      <c r="I71" s="353"/>
      <c r="J71" s="407"/>
      <c r="K71" s="354"/>
      <c r="L71" s="359"/>
      <c r="M71" s="359"/>
      <c r="N71" s="354"/>
      <c r="O71" s="446"/>
      <c r="P71" s="446"/>
      <c r="Q71" s="375"/>
      <c r="R71" s="412"/>
      <c r="S71" s="413"/>
      <c r="T71" s="414"/>
      <c r="U71" s="415"/>
      <c r="V71" s="354"/>
    </row>
    <row r="72" spans="1:23" ht="21" x14ac:dyDescent="0.3">
      <c r="A72" s="375"/>
      <c r="B72" s="457" t="s">
        <v>195</v>
      </c>
      <c r="C72" s="458" t="s">
        <v>189</v>
      </c>
      <c r="D72" s="458" t="s">
        <v>190</v>
      </c>
      <c r="E72" s="458" t="s">
        <v>191</v>
      </c>
      <c r="F72" s="458" t="s">
        <v>192</v>
      </c>
      <c r="G72" s="459" t="s">
        <v>193</v>
      </c>
      <c r="H72" s="460" t="s">
        <v>194</v>
      </c>
      <c r="I72" s="353"/>
      <c r="J72" s="369">
        <v>0.38354365706672278</v>
      </c>
      <c r="K72" s="354"/>
      <c r="L72" s="359">
        <v>6.3667232597623094E-2</v>
      </c>
      <c r="M72" s="359">
        <v>6.3667232597623094E-2</v>
      </c>
      <c r="N72" s="354"/>
      <c r="O72" s="397">
        <v>6.3667232597623098</v>
      </c>
      <c r="P72" s="397">
        <v>6.3667232597623098</v>
      </c>
      <c r="Q72" s="375"/>
      <c r="R72" s="447">
        <v>34.704845101068443</v>
      </c>
      <c r="S72" s="447">
        <v>8.9475976470686502E-2</v>
      </c>
      <c r="T72" s="447">
        <v>1.2056789224608664</v>
      </c>
      <c r="U72" s="448">
        <v>36</v>
      </c>
      <c r="V72" s="449" t="s">
        <v>146</v>
      </c>
    </row>
    <row r="73" spans="1:23" ht="21" x14ac:dyDescent="0.3">
      <c r="A73" s="375"/>
      <c r="B73" s="461" t="s">
        <v>145</v>
      </c>
      <c r="C73" s="360" t="s">
        <v>210</v>
      </c>
      <c r="D73" s="360" t="s">
        <v>211</v>
      </c>
      <c r="E73" s="360" t="s">
        <v>366</v>
      </c>
      <c r="F73" s="360" t="s">
        <v>212</v>
      </c>
      <c r="G73" s="399" t="s">
        <v>213</v>
      </c>
      <c r="H73" s="462" t="s">
        <v>214</v>
      </c>
      <c r="I73" s="353"/>
      <c r="J73" s="369">
        <v>5.9362607143574131E-3</v>
      </c>
      <c r="K73" s="354"/>
      <c r="L73" s="359">
        <v>2.5277323149663574E-2</v>
      </c>
      <c r="M73" s="359">
        <v>3.6039315617036764E-2</v>
      </c>
      <c r="N73" s="354"/>
      <c r="O73" s="395">
        <v>2.5277323149663573</v>
      </c>
      <c r="P73" s="396">
        <v>3.6039315617036762</v>
      </c>
      <c r="Q73" s="375"/>
      <c r="R73" s="474">
        <v>35.157576454480619</v>
      </c>
      <c r="S73" s="475">
        <v>0.19371586441271743</v>
      </c>
      <c r="T73" s="476">
        <v>0.64870768110666177</v>
      </c>
      <c r="U73" s="397">
        <v>36</v>
      </c>
      <c r="V73" s="434" t="s">
        <v>146</v>
      </c>
    </row>
    <row r="74" spans="1:23" ht="21" x14ac:dyDescent="0.3">
      <c r="A74" s="375"/>
      <c r="B74" s="461" t="s">
        <v>198</v>
      </c>
      <c r="C74" s="360" t="s">
        <v>199</v>
      </c>
      <c r="D74" s="360" t="s">
        <v>200</v>
      </c>
      <c r="E74" s="360" t="s">
        <v>201</v>
      </c>
      <c r="F74" s="360" t="s">
        <v>202</v>
      </c>
      <c r="G74" s="361" t="s">
        <v>203</v>
      </c>
      <c r="H74" s="462" t="s">
        <v>204</v>
      </c>
      <c r="I74" s="353"/>
      <c r="J74" s="369">
        <v>0.65104413559299856</v>
      </c>
      <c r="K74" s="354"/>
      <c r="L74" s="359">
        <v>5.9180208585981081E-2</v>
      </c>
      <c r="M74" s="359">
        <v>5.9180208585981081E-2</v>
      </c>
      <c r="N74" s="354"/>
      <c r="O74" s="397">
        <v>5.9180208585981084</v>
      </c>
      <c r="P74" s="397">
        <v>5.9180208585981084</v>
      </c>
      <c r="Q74" s="375"/>
      <c r="R74" s="447">
        <v>35.009573902075587</v>
      </c>
      <c r="S74" s="447">
        <v>-4.4885150710460842E-2</v>
      </c>
      <c r="T74" s="447">
        <v>1.0353112486348746</v>
      </c>
      <c r="U74" s="448">
        <v>36</v>
      </c>
      <c r="V74" s="449" t="s">
        <v>146</v>
      </c>
      <c r="W74" s="375"/>
    </row>
    <row r="75" spans="1:23" ht="21" x14ac:dyDescent="0.3">
      <c r="A75" s="375"/>
      <c r="B75" s="461" t="s">
        <v>221</v>
      </c>
      <c r="C75" s="360" t="s">
        <v>222</v>
      </c>
      <c r="D75" s="360" t="s">
        <v>223</v>
      </c>
      <c r="E75" s="360" t="s">
        <v>224</v>
      </c>
      <c r="F75" s="360" t="s">
        <v>225</v>
      </c>
      <c r="G75" s="361" t="s">
        <v>226</v>
      </c>
      <c r="H75" s="462" t="s">
        <v>227</v>
      </c>
      <c r="I75" s="353"/>
      <c r="J75" s="369">
        <v>0.64077940823853885</v>
      </c>
      <c r="K75" s="354"/>
      <c r="L75" s="359">
        <v>5.5542081008974051E-2</v>
      </c>
      <c r="M75" s="359">
        <v>5.5542081008974051E-2</v>
      </c>
      <c r="N75" s="354"/>
      <c r="O75" s="397">
        <v>5.5542081008974051</v>
      </c>
      <c r="P75" s="397">
        <v>5.5542081008974051</v>
      </c>
      <c r="Q75" s="375"/>
      <c r="R75" s="447">
        <v>35.075159510419638</v>
      </c>
      <c r="S75" s="447">
        <v>-4.4944730659901566E-2</v>
      </c>
      <c r="T75" s="447">
        <v>0.96978522024026215</v>
      </c>
      <c r="U75" s="448">
        <v>36</v>
      </c>
      <c r="V75" s="449" t="s">
        <v>146</v>
      </c>
      <c r="W75" s="375"/>
    </row>
    <row r="76" spans="1:23" ht="21" x14ac:dyDescent="0.3">
      <c r="A76" s="375"/>
      <c r="B76" s="461" t="s">
        <v>159</v>
      </c>
      <c r="C76" s="360" t="s">
        <v>205</v>
      </c>
      <c r="D76" s="360" t="s">
        <v>206</v>
      </c>
      <c r="E76" s="360" t="s">
        <v>207</v>
      </c>
      <c r="F76" s="360" t="s">
        <v>208</v>
      </c>
      <c r="G76" s="361" t="s">
        <v>209</v>
      </c>
      <c r="H76" s="462">
        <v>6.8400000000000002E-2</v>
      </c>
      <c r="I76" s="353"/>
      <c r="J76" s="369">
        <v>0.63658550455698037</v>
      </c>
      <c r="K76" s="354"/>
      <c r="L76" s="359">
        <v>3.2985690031530436E-2</v>
      </c>
      <c r="M76" s="359">
        <v>3.2985690031530436E-2</v>
      </c>
      <c r="N76" s="354"/>
      <c r="O76" s="397">
        <v>3.2985690031530437</v>
      </c>
      <c r="P76" s="397">
        <v>3.2985690031530437</v>
      </c>
      <c r="Q76" s="375"/>
      <c r="R76" s="447">
        <v>35.465411754051587</v>
      </c>
      <c r="S76" s="447">
        <v>-3.5488201084712623E-2</v>
      </c>
      <c r="T76" s="447">
        <v>0.57007644703312699</v>
      </c>
      <c r="U76" s="448">
        <v>36</v>
      </c>
      <c r="V76" s="449" t="s">
        <v>146</v>
      </c>
      <c r="W76" s="375"/>
    </row>
    <row r="77" spans="1:23" ht="21.5" thickBot="1" x14ac:dyDescent="0.35">
      <c r="A77" s="375"/>
      <c r="B77" s="463" t="s">
        <v>160</v>
      </c>
      <c r="C77" s="464" t="s">
        <v>228</v>
      </c>
      <c r="D77" s="464" t="s">
        <v>229</v>
      </c>
      <c r="E77" s="464" t="s">
        <v>230</v>
      </c>
      <c r="F77" s="464" t="s">
        <v>231</v>
      </c>
      <c r="G77" s="465" t="s">
        <v>232</v>
      </c>
      <c r="H77" s="466" t="s">
        <v>233</v>
      </c>
      <c r="I77" s="353"/>
      <c r="J77" s="369">
        <v>0.96798479882209409</v>
      </c>
      <c r="K77" s="354"/>
      <c r="L77" s="359">
        <v>2.849866601988843E-2</v>
      </c>
      <c r="M77" s="359">
        <v>2.849866601988843E-2</v>
      </c>
      <c r="N77" s="354"/>
      <c r="O77" s="397">
        <v>2.8498666019888432</v>
      </c>
      <c r="P77" s="397">
        <v>2.8498666019888432</v>
      </c>
      <c r="Q77" s="375"/>
      <c r="R77" s="447">
        <v>35.491705577338642</v>
      </c>
      <c r="S77" s="447">
        <v>-2.8085988166229869E-3</v>
      </c>
      <c r="T77" s="447">
        <v>0.51110302147797604</v>
      </c>
      <c r="U77" s="448">
        <v>36</v>
      </c>
      <c r="V77" s="449" t="s">
        <v>146</v>
      </c>
      <c r="W77" s="375"/>
    </row>
    <row r="78" spans="1:23" ht="4.5" customHeight="1" thickBot="1" x14ac:dyDescent="0.35">
      <c r="A78" s="375"/>
      <c r="B78" s="362"/>
      <c r="C78" s="358"/>
      <c r="D78" s="358"/>
      <c r="E78" s="358"/>
      <c r="F78" s="358"/>
      <c r="G78" s="411"/>
      <c r="H78" s="406"/>
      <c r="I78" s="353"/>
      <c r="J78" s="407"/>
      <c r="K78" s="354"/>
      <c r="L78" s="359"/>
      <c r="M78" s="359"/>
      <c r="N78" s="354"/>
      <c r="O78" s="408"/>
      <c r="P78" s="409"/>
      <c r="Q78" s="375"/>
      <c r="R78" s="447"/>
      <c r="S78" s="447"/>
      <c r="T78" s="447"/>
      <c r="U78" s="448"/>
      <c r="V78" s="449"/>
    </row>
    <row r="79" spans="1:23" ht="21" x14ac:dyDescent="0.3">
      <c r="A79" s="375"/>
      <c r="B79" s="457" t="s">
        <v>365</v>
      </c>
      <c r="C79" s="458" t="s">
        <v>196</v>
      </c>
      <c r="D79" s="458" t="s">
        <v>197</v>
      </c>
      <c r="E79" s="458" t="s">
        <v>247</v>
      </c>
      <c r="F79" s="467" t="s">
        <v>247</v>
      </c>
      <c r="G79" s="467" t="s">
        <v>247</v>
      </c>
      <c r="H79" s="467" t="s">
        <v>247</v>
      </c>
      <c r="I79" s="353"/>
      <c r="J79" s="369" t="e">
        <v>#DIV/0!</v>
      </c>
      <c r="K79" s="354"/>
      <c r="L79" s="359">
        <v>0</v>
      </c>
      <c r="M79" s="359">
        <v>0</v>
      </c>
      <c r="N79" s="354"/>
      <c r="O79" s="397">
        <v>0</v>
      </c>
      <c r="P79" s="397">
        <v>0</v>
      </c>
      <c r="Q79" s="375"/>
      <c r="R79" s="447">
        <v>36</v>
      </c>
      <c r="S79" s="447">
        <v>0</v>
      </c>
      <c r="T79" s="447">
        <v>0</v>
      </c>
      <c r="U79" s="448">
        <v>36</v>
      </c>
      <c r="V79" s="449" t="s">
        <v>146</v>
      </c>
      <c r="W79" s="375"/>
    </row>
    <row r="80" spans="1:23" ht="21" x14ac:dyDescent="0.3">
      <c r="A80" s="375"/>
      <c r="B80" s="461" t="s">
        <v>234</v>
      </c>
      <c r="C80" s="360" t="s">
        <v>242</v>
      </c>
      <c r="D80" s="360" t="s">
        <v>243</v>
      </c>
      <c r="E80" s="360" t="s">
        <v>249</v>
      </c>
      <c r="F80" s="360" t="s">
        <v>244</v>
      </c>
      <c r="G80" s="361" t="s">
        <v>245</v>
      </c>
      <c r="H80" s="462" t="s">
        <v>246</v>
      </c>
      <c r="I80" s="353"/>
      <c r="J80" s="369">
        <v>6.6441918852916726E-2</v>
      </c>
      <c r="K80" s="354"/>
      <c r="L80" s="359">
        <v>3.3106960950764007E-2</v>
      </c>
      <c r="M80" s="359">
        <v>3.3106960950764007E-2</v>
      </c>
      <c r="N80" s="354"/>
      <c r="O80" s="397">
        <v>3.3106960950764006</v>
      </c>
      <c r="P80" s="397">
        <v>3.3106960950764006</v>
      </c>
      <c r="Q80" s="375"/>
      <c r="R80" s="447">
        <v>35.173871570652587</v>
      </c>
      <c r="S80" s="447">
        <v>0.13810513120398571</v>
      </c>
      <c r="T80" s="447">
        <v>0.68802329814342922</v>
      </c>
      <c r="U80" s="448">
        <v>36</v>
      </c>
      <c r="V80" s="449" t="s">
        <v>146</v>
      </c>
      <c r="W80" s="375"/>
    </row>
    <row r="81" spans="1:23" ht="21.5" thickBot="1" x14ac:dyDescent="0.35">
      <c r="A81" s="375"/>
      <c r="B81" s="463" t="s">
        <v>235</v>
      </c>
      <c r="C81" s="464" t="s">
        <v>236</v>
      </c>
      <c r="D81" s="464" t="s">
        <v>237</v>
      </c>
      <c r="E81" s="464" t="s">
        <v>238</v>
      </c>
      <c r="F81" s="464" t="s">
        <v>239</v>
      </c>
      <c r="G81" s="465" t="s">
        <v>240</v>
      </c>
      <c r="H81" s="466" t="s">
        <v>241</v>
      </c>
      <c r="I81" s="353"/>
      <c r="J81" s="369">
        <v>0.82398727671901706</v>
      </c>
      <c r="K81" s="354"/>
      <c r="L81" s="359">
        <v>1.2127091923356779E-3</v>
      </c>
      <c r="M81" s="359">
        <v>1.2127091923356779E-3</v>
      </c>
      <c r="N81" s="354"/>
      <c r="O81" s="426">
        <v>0.12127091923356779</v>
      </c>
      <c r="P81" s="426">
        <v>0.12127091923356779</v>
      </c>
      <c r="Q81" s="375"/>
      <c r="R81" s="447">
        <v>35.983597639919047</v>
      </c>
      <c r="S81" s="447">
        <v>-3.2554484374264538E-3</v>
      </c>
      <c r="T81" s="447">
        <v>1.9657808518383692E-2</v>
      </c>
      <c r="U81" s="448">
        <v>36</v>
      </c>
      <c r="V81" s="449" t="s">
        <v>146</v>
      </c>
      <c r="W81" s="375"/>
    </row>
    <row r="82" spans="1:23" ht="21" customHeight="1" x14ac:dyDescent="0.35">
      <c r="A82" s="375"/>
      <c r="B82" s="442" t="s">
        <v>166</v>
      </c>
      <c r="C82" s="319"/>
      <c r="D82" s="319"/>
      <c r="E82" s="319"/>
      <c r="F82" s="319"/>
      <c r="G82" s="319"/>
      <c r="H82" s="319"/>
      <c r="I82" s="319"/>
      <c r="J82" s="321"/>
      <c r="K82" s="273"/>
      <c r="Q82" s="375"/>
      <c r="R82" s="375"/>
      <c r="S82" s="375"/>
      <c r="T82" s="375"/>
      <c r="U82" s="430"/>
      <c r="V82" s="375"/>
    </row>
    <row r="83" spans="1:23" ht="20.25" customHeight="1" x14ac:dyDescent="0.3">
      <c r="A83" s="445"/>
      <c r="B83" s="419" t="s">
        <v>161</v>
      </c>
      <c r="C83" s="420" t="s">
        <v>179</v>
      </c>
      <c r="D83" s="420" t="s">
        <v>176</v>
      </c>
      <c r="E83" s="420" t="s">
        <v>248</v>
      </c>
      <c r="F83" s="420" t="s">
        <v>180</v>
      </c>
      <c r="G83" s="422" t="s">
        <v>181</v>
      </c>
      <c r="H83" s="421" t="s">
        <v>182</v>
      </c>
      <c r="I83" s="353"/>
      <c r="J83" s="369">
        <v>0.97394931602582313</v>
      </c>
      <c r="K83" s="354"/>
      <c r="L83" s="359">
        <v>0.11896091284292304</v>
      </c>
      <c r="M83" s="359">
        <v>0.11896091284292304</v>
      </c>
      <c r="N83" s="354"/>
      <c r="O83" s="423">
        <v>11.896091284292304</v>
      </c>
      <c r="P83" s="423">
        <v>11.896091284292304</v>
      </c>
      <c r="Q83" s="375"/>
      <c r="R83" s="450">
        <v>33.851289718956764</v>
      </c>
      <c r="S83" s="450">
        <v>4.4479859612680528E-3</v>
      </c>
      <c r="T83" s="450">
        <v>2.1442622950819672</v>
      </c>
      <c r="U83" s="451">
        <v>36</v>
      </c>
      <c r="V83" s="452" t="s">
        <v>146</v>
      </c>
    </row>
    <row r="84" spans="1:23" ht="20.25" customHeight="1" x14ac:dyDescent="0.3">
      <c r="A84" s="375"/>
      <c r="B84" s="419" t="s">
        <v>162</v>
      </c>
      <c r="C84" s="420" t="s">
        <v>183</v>
      </c>
      <c r="D84" s="420" t="s">
        <v>184</v>
      </c>
      <c r="E84" s="420" t="s">
        <v>185</v>
      </c>
      <c r="F84" s="420" t="s">
        <v>186</v>
      </c>
      <c r="G84" s="422" t="s">
        <v>187</v>
      </c>
      <c r="H84" s="421" t="s">
        <v>188</v>
      </c>
      <c r="I84" s="353"/>
      <c r="J84" s="369">
        <v>0.2277030723015516</v>
      </c>
      <c r="K84" s="354"/>
      <c r="L84" s="359">
        <v>0.15304390007276256</v>
      </c>
      <c r="M84" s="359">
        <v>0.15304390007276256</v>
      </c>
      <c r="N84" s="354"/>
      <c r="O84" s="423">
        <v>15.304390007276256</v>
      </c>
      <c r="P84" s="423">
        <v>15.304390007276256</v>
      </c>
      <c r="Q84" s="375"/>
      <c r="R84" s="450">
        <v>32.940759060471862</v>
      </c>
      <c r="S84" s="450">
        <v>0.18264829300465868</v>
      </c>
      <c r="T84" s="450">
        <v>2.8765926465234801</v>
      </c>
      <c r="U84" s="451">
        <v>36</v>
      </c>
      <c r="V84" s="452" t="s">
        <v>146</v>
      </c>
    </row>
    <row r="85" spans="1:23" ht="4.5" customHeight="1" x14ac:dyDescent="0.3">
      <c r="A85" s="375"/>
      <c r="B85" s="362"/>
      <c r="C85" s="358"/>
      <c r="D85" s="358"/>
      <c r="E85" s="358"/>
      <c r="F85" s="358"/>
      <c r="G85" s="411"/>
      <c r="H85" s="406"/>
      <c r="I85" s="353"/>
      <c r="J85" s="407"/>
      <c r="K85" s="354"/>
      <c r="L85" s="359"/>
      <c r="M85" s="359"/>
      <c r="N85" s="354"/>
      <c r="O85" s="408"/>
      <c r="P85" s="409"/>
      <c r="Q85" s="375"/>
      <c r="R85" s="412"/>
      <c r="S85" s="413"/>
      <c r="T85" s="414"/>
      <c r="U85" s="415"/>
      <c r="V85" s="354"/>
    </row>
    <row r="86" spans="1:23" ht="43.5" customHeight="1" x14ac:dyDescent="0.3">
      <c r="A86" s="375"/>
      <c r="B86" s="551" t="s">
        <v>368</v>
      </c>
      <c r="C86" s="552"/>
      <c r="D86" s="552"/>
      <c r="E86" s="552"/>
      <c r="F86" s="552"/>
      <c r="G86" s="552"/>
      <c r="H86" s="553"/>
      <c r="I86" s="353"/>
      <c r="J86" s="407"/>
      <c r="K86" s="354"/>
      <c r="L86" s="359"/>
      <c r="M86" s="359"/>
      <c r="N86" s="354"/>
      <c r="O86" s="408"/>
      <c r="P86" s="409"/>
      <c r="Q86" s="375"/>
      <c r="R86" s="412"/>
      <c r="S86" s="413"/>
      <c r="T86" s="414"/>
      <c r="U86" s="415"/>
      <c r="V86" s="354"/>
    </row>
    <row r="87" spans="1:23" ht="24.75" customHeight="1" thickBot="1" x14ac:dyDescent="0.35">
      <c r="A87" s="375"/>
      <c r="B87" s="427"/>
      <c r="C87" s="427"/>
      <c r="D87" s="427"/>
      <c r="E87" s="427"/>
      <c r="F87" s="427"/>
      <c r="G87" s="427"/>
      <c r="H87" s="427"/>
      <c r="I87" s="353"/>
      <c r="J87" s="407"/>
      <c r="K87" s="354"/>
      <c r="L87" s="359"/>
      <c r="M87" s="359"/>
      <c r="N87" s="354"/>
      <c r="O87" s="408"/>
      <c r="P87" s="409"/>
      <c r="Q87" s="375"/>
      <c r="R87" s="412"/>
      <c r="S87" s="413"/>
      <c r="T87" s="414"/>
      <c r="U87" s="415"/>
      <c r="V87" s="354"/>
    </row>
    <row r="88" spans="1:23" ht="33" customHeight="1" thickBot="1" x14ac:dyDescent="0.35">
      <c r="A88" s="375"/>
      <c r="B88" s="554" t="s">
        <v>157</v>
      </c>
      <c r="C88" s="555"/>
      <c r="D88" s="555"/>
      <c r="E88" s="556"/>
      <c r="F88" s="556"/>
      <c r="G88" s="556"/>
      <c r="H88" s="557"/>
      <c r="I88" s="375"/>
      <c r="J88" s="375"/>
      <c r="K88" s="375"/>
      <c r="L88" s="375"/>
      <c r="M88" s="375"/>
      <c r="N88" s="375"/>
      <c r="O88" s="587" t="s">
        <v>142</v>
      </c>
      <c r="P88" s="588"/>
      <c r="Q88" s="375"/>
      <c r="R88" s="412"/>
      <c r="S88" s="413"/>
      <c r="T88" s="414"/>
      <c r="U88" s="415"/>
      <c r="V88" s="354"/>
    </row>
    <row r="89" spans="1:23" ht="30" customHeight="1" thickBot="1" x14ac:dyDescent="0.35">
      <c r="A89" s="375"/>
      <c r="B89" s="582" t="s">
        <v>363</v>
      </c>
      <c r="C89" s="394" t="s">
        <v>250</v>
      </c>
      <c r="D89" s="376" t="s">
        <v>251</v>
      </c>
      <c r="E89" s="577" t="s">
        <v>149</v>
      </c>
      <c r="F89" s="578"/>
      <c r="G89" s="578"/>
      <c r="H89" s="579"/>
      <c r="I89" s="375"/>
      <c r="J89" s="375"/>
      <c r="K89" s="375"/>
      <c r="L89" s="375"/>
      <c r="M89" s="375"/>
      <c r="N89" s="375"/>
      <c r="O89" s="580" t="s">
        <v>362</v>
      </c>
      <c r="P89" s="581"/>
      <c r="Q89" s="375"/>
      <c r="R89" s="412"/>
      <c r="S89" s="413"/>
      <c r="T89" s="414"/>
      <c r="U89" s="415"/>
      <c r="V89" s="354"/>
    </row>
    <row r="90" spans="1:23" ht="30" customHeight="1" thickBot="1" x14ac:dyDescent="0.35">
      <c r="A90" s="375"/>
      <c r="B90" s="583"/>
      <c r="C90" s="377" t="s">
        <v>143</v>
      </c>
      <c r="D90" s="378" t="s">
        <v>143</v>
      </c>
      <c r="E90" s="379" t="s">
        <v>134</v>
      </c>
      <c r="F90" s="380" t="s">
        <v>150</v>
      </c>
      <c r="G90" s="380" t="s">
        <v>252</v>
      </c>
      <c r="H90" s="381" t="s">
        <v>119</v>
      </c>
      <c r="I90" s="375"/>
      <c r="J90" s="382" t="s">
        <v>144</v>
      </c>
      <c r="K90" s="7"/>
      <c r="L90" s="101" t="s">
        <v>120</v>
      </c>
      <c r="M90" s="101" t="s">
        <v>121</v>
      </c>
      <c r="O90" s="383" t="s">
        <v>173</v>
      </c>
      <c r="P90" s="384" t="s">
        <v>14</v>
      </c>
      <c r="Q90" s="375"/>
      <c r="R90" s="412"/>
      <c r="S90" s="413"/>
      <c r="T90" s="414"/>
      <c r="U90" s="415"/>
      <c r="V90" s="354"/>
    </row>
    <row r="91" spans="1:23" ht="6.75" customHeight="1" x14ac:dyDescent="0.3">
      <c r="A91" s="375"/>
      <c r="B91" s="410"/>
      <c r="C91" s="358"/>
      <c r="D91" s="358"/>
      <c r="E91" s="358"/>
      <c r="F91" s="358"/>
      <c r="G91" s="411"/>
      <c r="H91" s="406"/>
      <c r="I91" s="353"/>
      <c r="J91" s="407"/>
      <c r="K91" s="354"/>
      <c r="L91" s="359"/>
      <c r="M91" s="359"/>
      <c r="N91" s="354"/>
      <c r="O91" s="408"/>
      <c r="P91" s="409"/>
      <c r="Q91" s="375"/>
      <c r="R91" s="412"/>
      <c r="S91" s="413"/>
      <c r="T91" s="414"/>
      <c r="U91" s="415"/>
      <c r="V91" s="354"/>
    </row>
    <row r="92" spans="1:23" ht="18.5" x14ac:dyDescent="0.3">
      <c r="A92" s="375"/>
      <c r="B92" s="405" t="s">
        <v>258</v>
      </c>
      <c r="C92" s="360" t="s">
        <v>253</v>
      </c>
      <c r="D92" s="360" t="s">
        <v>254</v>
      </c>
      <c r="E92" s="360" t="s">
        <v>255</v>
      </c>
      <c r="F92" s="360" t="s">
        <v>256</v>
      </c>
      <c r="G92" s="422" t="s">
        <v>257</v>
      </c>
      <c r="H92" s="404">
        <v>6.0400000000000002E-2</v>
      </c>
      <c r="I92" s="353"/>
      <c r="J92" s="369">
        <v>0.6825821633456548</v>
      </c>
      <c r="K92" s="354"/>
      <c r="L92" s="359">
        <v>0.85348385530468562</v>
      </c>
      <c r="M92" s="359">
        <v>0.85348385530468562</v>
      </c>
      <c r="N92" s="354"/>
      <c r="O92" s="491">
        <v>85.348385530468562</v>
      </c>
      <c r="P92" s="491">
        <v>85.348385530468562</v>
      </c>
      <c r="Q92" s="375"/>
      <c r="R92" s="375"/>
      <c r="S92" s="375"/>
      <c r="T92" s="375"/>
      <c r="U92" s="375"/>
      <c r="V92" s="375"/>
    </row>
    <row r="93" spans="1:23" ht="18.5" x14ac:dyDescent="0.3">
      <c r="A93" s="375"/>
      <c r="B93" s="405" t="s">
        <v>156</v>
      </c>
      <c r="C93" s="360" t="s">
        <v>259</v>
      </c>
      <c r="D93" s="360" t="s">
        <v>260</v>
      </c>
      <c r="E93" s="360" t="s">
        <v>261</v>
      </c>
      <c r="F93" s="360" t="s">
        <v>262</v>
      </c>
      <c r="G93" s="422" t="s">
        <v>263</v>
      </c>
      <c r="H93" s="404">
        <v>0.28960000000000002</v>
      </c>
      <c r="I93" s="353"/>
      <c r="J93" s="369">
        <v>0.15988508239963259</v>
      </c>
      <c r="K93" s="354"/>
      <c r="L93" s="359">
        <v>0.35020636076717648</v>
      </c>
      <c r="M93" s="359">
        <v>0.35020636076717648</v>
      </c>
      <c r="N93" s="354"/>
      <c r="O93" s="491">
        <v>35.020636076717651</v>
      </c>
      <c r="P93" s="491">
        <v>35.020636076717651</v>
      </c>
      <c r="Q93" s="375"/>
      <c r="R93" s="375"/>
      <c r="S93" s="375"/>
      <c r="T93" s="375"/>
      <c r="U93" s="375"/>
      <c r="V93" s="375"/>
    </row>
    <row r="94" spans="1:23" ht="26" x14ac:dyDescent="0.3">
      <c r="A94" s="375"/>
      <c r="B94" s="405" t="s">
        <v>264</v>
      </c>
      <c r="C94" s="360" t="s">
        <v>265</v>
      </c>
      <c r="D94" s="360" t="s">
        <v>266</v>
      </c>
      <c r="E94" s="360" t="s">
        <v>267</v>
      </c>
      <c r="F94" s="360" t="s">
        <v>268</v>
      </c>
      <c r="G94" s="422" t="s">
        <v>269</v>
      </c>
      <c r="H94" s="404">
        <v>0.15770000000000001</v>
      </c>
      <c r="I94" s="353"/>
      <c r="J94" s="369">
        <v>0.33913316244573244</v>
      </c>
      <c r="K94" s="354"/>
      <c r="L94" s="359">
        <v>7.2347657198349111E-2</v>
      </c>
      <c r="M94" s="359">
        <v>7.2347657198349111E-2</v>
      </c>
      <c r="N94" s="354"/>
      <c r="O94" s="491">
        <v>7.2347657198349111</v>
      </c>
      <c r="P94" s="491">
        <v>7.2347657198349111</v>
      </c>
      <c r="Q94" s="375"/>
      <c r="R94" s="375"/>
      <c r="S94" s="375"/>
      <c r="T94" s="375"/>
      <c r="U94" s="375"/>
      <c r="V94" s="375"/>
    </row>
    <row r="95" spans="1:23" ht="18.5" x14ac:dyDescent="0.3">
      <c r="A95" s="375"/>
      <c r="B95" s="405" t="s">
        <v>270</v>
      </c>
      <c r="C95" s="360" t="s">
        <v>271</v>
      </c>
      <c r="D95" s="360" t="s">
        <v>266</v>
      </c>
      <c r="E95" s="360" t="s">
        <v>272</v>
      </c>
      <c r="F95" s="360" t="s">
        <v>273</v>
      </c>
      <c r="G95" s="512" t="s">
        <v>274</v>
      </c>
      <c r="H95" s="404">
        <v>0.99139999999999995</v>
      </c>
      <c r="I95" s="353"/>
      <c r="J95" s="369">
        <v>1.4145515962572749E-5</v>
      </c>
      <c r="K95" s="354"/>
      <c r="L95" s="359">
        <v>4.5694520298561803E-2</v>
      </c>
      <c r="M95" s="359">
        <v>6.8488160291438976E-2</v>
      </c>
      <c r="N95" s="354"/>
      <c r="O95" s="494">
        <v>4.5694520298561798</v>
      </c>
      <c r="P95" s="493">
        <v>6.8488160291438973</v>
      </c>
      <c r="Q95" s="375"/>
      <c r="R95" s="375"/>
      <c r="S95" s="375"/>
      <c r="T95" s="375"/>
      <c r="U95" s="375"/>
      <c r="V95" s="375"/>
    </row>
    <row r="96" spans="1:23" ht="16" customHeight="1" x14ac:dyDescent="0.45">
      <c r="A96" s="375"/>
      <c r="B96" s="480" t="s">
        <v>275</v>
      </c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492"/>
      <c r="P96" s="492"/>
      <c r="Q96" s="375"/>
      <c r="R96" s="375"/>
      <c r="S96" s="375"/>
      <c r="T96" s="375"/>
      <c r="U96" s="375"/>
      <c r="V96" s="375"/>
    </row>
    <row r="97" spans="1:22" ht="18" customHeight="1" x14ac:dyDescent="0.3">
      <c r="A97" s="375"/>
      <c r="B97" s="405" t="s">
        <v>276</v>
      </c>
      <c r="C97" s="360" t="s">
        <v>277</v>
      </c>
      <c r="D97" s="360" t="s">
        <v>278</v>
      </c>
      <c r="E97" s="360" t="s">
        <v>279</v>
      </c>
      <c r="F97" s="360" t="s">
        <v>280</v>
      </c>
      <c r="G97" s="513" t="s">
        <v>281</v>
      </c>
      <c r="H97" s="404">
        <v>0.74929999999999997</v>
      </c>
      <c r="I97" s="353"/>
      <c r="J97" s="369">
        <v>8.48562422731239E-3</v>
      </c>
      <c r="K97" s="354"/>
      <c r="L97" s="359">
        <v>0.12124522119060623</v>
      </c>
      <c r="M97" s="359">
        <v>0.10163934426229508</v>
      </c>
      <c r="N97" s="354"/>
      <c r="O97" s="493">
        <v>12.124522119060623</v>
      </c>
      <c r="P97" s="494">
        <v>10.163934426229508</v>
      </c>
      <c r="Q97" s="375"/>
      <c r="R97" s="375"/>
      <c r="S97" s="375"/>
      <c r="T97" s="375"/>
      <c r="U97" s="375"/>
      <c r="V97" s="375"/>
    </row>
    <row r="98" spans="1:22" ht="18" customHeight="1" x14ac:dyDescent="0.3">
      <c r="A98" s="375"/>
      <c r="B98" s="405" t="s">
        <v>282</v>
      </c>
      <c r="C98" s="360" t="s">
        <v>283</v>
      </c>
      <c r="D98" s="360" t="s">
        <v>284</v>
      </c>
      <c r="E98" s="360" t="s">
        <v>285</v>
      </c>
      <c r="F98" s="360" t="s">
        <v>286</v>
      </c>
      <c r="G98" s="361" t="s">
        <v>287</v>
      </c>
      <c r="H98" s="404">
        <v>9.4899999999999998E-2</v>
      </c>
      <c r="I98" s="353"/>
      <c r="J98" s="369">
        <v>0.51648936368457021</v>
      </c>
      <c r="K98" s="354"/>
      <c r="L98" s="359">
        <v>7.1619325078902648E-3</v>
      </c>
      <c r="M98" s="359">
        <v>7.1619325078902648E-3</v>
      </c>
      <c r="N98" s="354"/>
      <c r="O98" s="495">
        <v>0.71619325078902651</v>
      </c>
      <c r="P98" s="495">
        <v>0.71619325078902651</v>
      </c>
      <c r="Q98" s="375"/>
      <c r="R98" s="375"/>
      <c r="S98" s="375"/>
      <c r="T98" s="375"/>
      <c r="U98" s="375"/>
      <c r="V98" s="375"/>
    </row>
    <row r="99" spans="1:22" ht="18" customHeight="1" x14ac:dyDescent="0.3">
      <c r="A99" s="375"/>
      <c r="B99" s="405" t="s">
        <v>288</v>
      </c>
      <c r="C99" s="360" t="s">
        <v>290</v>
      </c>
      <c r="D99" s="360" t="s">
        <v>291</v>
      </c>
      <c r="E99" s="360" t="s">
        <v>292</v>
      </c>
      <c r="F99" s="360" t="s">
        <v>293</v>
      </c>
      <c r="G99" s="513" t="s">
        <v>294</v>
      </c>
      <c r="H99" s="404">
        <v>0.99460000000000004</v>
      </c>
      <c r="I99" s="353"/>
      <c r="J99" s="369">
        <v>6.4855559852757568E-6</v>
      </c>
      <c r="K99" s="354"/>
      <c r="L99" s="359">
        <v>2.0571636628436193E-2</v>
      </c>
      <c r="M99" s="359">
        <v>7.2859744990892532E-3</v>
      </c>
      <c r="N99" s="354"/>
      <c r="O99" s="493">
        <v>2.0571636628436192</v>
      </c>
      <c r="P99" s="494">
        <v>0.72859744990892528</v>
      </c>
      <c r="Q99" s="375"/>
      <c r="R99" s="375"/>
      <c r="S99" s="375"/>
      <c r="T99" s="375"/>
      <c r="U99" s="375"/>
      <c r="V99" s="375"/>
    </row>
    <row r="100" spans="1:22" ht="18" customHeight="1" x14ac:dyDescent="0.3">
      <c r="A100" s="375"/>
      <c r="B100" s="405" t="s">
        <v>289</v>
      </c>
      <c r="C100" s="360" t="s">
        <v>295</v>
      </c>
      <c r="D100" s="360" t="s">
        <v>284</v>
      </c>
      <c r="E100" s="360" t="s">
        <v>296</v>
      </c>
      <c r="F100" s="360" t="s">
        <v>297</v>
      </c>
      <c r="G100" s="513" t="s">
        <v>298</v>
      </c>
      <c r="H100" s="481">
        <v>1</v>
      </c>
      <c r="I100" s="353"/>
      <c r="J100" s="369">
        <v>2.9082706711007001E-12</v>
      </c>
      <c r="K100" s="354"/>
      <c r="L100" s="359">
        <v>3.3497178226834151E-2</v>
      </c>
      <c r="M100" s="359">
        <v>8.0145719489981785E-3</v>
      </c>
      <c r="N100" s="354"/>
      <c r="O100" s="493">
        <v>3.3497178226834152</v>
      </c>
      <c r="P100" s="494">
        <v>0.80145719489981782</v>
      </c>
      <c r="Q100" s="375"/>
      <c r="R100" s="375"/>
      <c r="S100" s="375"/>
      <c r="T100" s="375"/>
      <c r="U100" s="375"/>
      <c r="V100" s="375"/>
    </row>
    <row r="101" spans="1:22" ht="18" customHeight="1" x14ac:dyDescent="0.3">
      <c r="A101" s="375"/>
      <c r="B101" s="405" t="s">
        <v>299</v>
      </c>
      <c r="C101" s="360" t="s">
        <v>300</v>
      </c>
      <c r="D101" s="360" t="s">
        <v>301</v>
      </c>
      <c r="E101" s="360" t="s">
        <v>302</v>
      </c>
      <c r="F101" s="360" t="s">
        <v>303</v>
      </c>
      <c r="G101" s="361" t="s">
        <v>304</v>
      </c>
      <c r="H101" s="404">
        <v>0.31430000000000002</v>
      </c>
      <c r="I101" s="353"/>
      <c r="J101" s="369">
        <v>0.13990584596260675</v>
      </c>
      <c r="K101" s="354"/>
      <c r="L101" s="359">
        <v>0.27749453750910413</v>
      </c>
      <c r="M101" s="359">
        <v>0.27749453750910413</v>
      </c>
      <c r="N101" s="354"/>
      <c r="O101" s="495">
        <v>27.749453750910412</v>
      </c>
      <c r="P101" s="495">
        <v>27.749453750910412</v>
      </c>
      <c r="Q101" s="375"/>
      <c r="R101" s="375"/>
      <c r="S101" s="375"/>
      <c r="T101" s="375"/>
      <c r="U101" s="375"/>
      <c r="V101" s="375"/>
    </row>
    <row r="102" spans="1:22" ht="18" customHeight="1" x14ac:dyDescent="0.3">
      <c r="A102" s="375"/>
      <c r="B102" s="405" t="s">
        <v>317</v>
      </c>
      <c r="C102" s="360" t="s">
        <v>305</v>
      </c>
      <c r="D102" s="360" t="s">
        <v>306</v>
      </c>
      <c r="E102" s="360" t="s">
        <v>307</v>
      </c>
      <c r="F102" s="360" t="s">
        <v>308</v>
      </c>
      <c r="G102" s="361" t="s">
        <v>309</v>
      </c>
      <c r="H102" s="404">
        <v>0.28189999999999998</v>
      </c>
      <c r="I102" s="353"/>
      <c r="J102" s="369">
        <v>0.16672226036530141</v>
      </c>
      <c r="K102" s="354"/>
      <c r="L102" s="359">
        <v>5.4139354212187421E-2</v>
      </c>
      <c r="M102" s="359">
        <v>5.4139354212187421E-2</v>
      </c>
      <c r="N102" s="354"/>
      <c r="O102" s="495">
        <v>5.4139354212187421</v>
      </c>
      <c r="P102" s="495">
        <v>5.4139354212187421</v>
      </c>
      <c r="Q102" s="375"/>
      <c r="R102" s="375"/>
      <c r="S102" s="375"/>
      <c r="T102" s="375"/>
      <c r="U102" s="375"/>
      <c r="V102" s="375"/>
    </row>
    <row r="103" spans="1:22" ht="18" customHeight="1" x14ac:dyDescent="0.3">
      <c r="A103" s="375"/>
      <c r="B103" s="405" t="s">
        <v>154</v>
      </c>
      <c r="C103" s="360" t="s">
        <v>322</v>
      </c>
      <c r="D103" s="360" t="s">
        <v>323</v>
      </c>
      <c r="E103" s="360" t="s">
        <v>324</v>
      </c>
      <c r="F103" s="360" t="s">
        <v>325</v>
      </c>
      <c r="G103" s="513" t="s">
        <v>326</v>
      </c>
      <c r="H103" s="404">
        <v>0.63929999999999998</v>
      </c>
      <c r="I103" s="353"/>
      <c r="J103" s="369">
        <v>2.0529052200062185E-2</v>
      </c>
      <c r="K103" s="354"/>
      <c r="L103" s="359">
        <v>3.4589477516839616E-3</v>
      </c>
      <c r="M103" s="359">
        <v>7.2859744990892532E-4</v>
      </c>
      <c r="N103" s="354"/>
      <c r="O103" s="496">
        <v>0.34589477516839617</v>
      </c>
      <c r="P103" s="497">
        <v>7.2859744990892539E-2</v>
      </c>
      <c r="Q103" s="375"/>
      <c r="R103" s="375"/>
      <c r="S103" s="375"/>
      <c r="T103" s="375"/>
      <c r="U103" s="375"/>
      <c r="V103" s="375"/>
    </row>
    <row r="104" spans="1:22" ht="18" customHeight="1" x14ac:dyDescent="0.3">
      <c r="A104" s="375"/>
      <c r="B104" s="405" t="s">
        <v>310</v>
      </c>
      <c r="C104" s="360" t="s">
        <v>311</v>
      </c>
      <c r="D104" s="360" t="s">
        <v>312</v>
      </c>
      <c r="E104" s="360" t="s">
        <v>313</v>
      </c>
      <c r="F104" s="360" t="s">
        <v>314</v>
      </c>
      <c r="G104" s="361" t="s">
        <v>315</v>
      </c>
      <c r="H104" s="404">
        <v>0.28699999999999998</v>
      </c>
      <c r="I104" s="353"/>
      <c r="J104" s="369">
        <v>0.16217275701535666</v>
      </c>
      <c r="K104" s="354"/>
      <c r="L104" s="359">
        <v>1.9907744598203447E-2</v>
      </c>
      <c r="M104" s="359">
        <v>1.9907744598203447E-2</v>
      </c>
      <c r="N104" s="354"/>
      <c r="O104" s="495">
        <v>1.9907744598203447</v>
      </c>
      <c r="P104" s="495">
        <v>1.9907744598203447</v>
      </c>
      <c r="Q104" s="375"/>
      <c r="R104" s="375"/>
      <c r="S104" s="375"/>
      <c r="T104" s="375"/>
      <c r="U104" s="375"/>
      <c r="V104" s="375"/>
    </row>
    <row r="105" spans="1:22" ht="18" customHeight="1" x14ac:dyDescent="0.3">
      <c r="A105" s="375"/>
      <c r="B105" s="405" t="s">
        <v>316</v>
      </c>
      <c r="C105" s="360" t="s">
        <v>318</v>
      </c>
      <c r="D105" s="360" t="s">
        <v>284</v>
      </c>
      <c r="E105" s="360" t="s">
        <v>319</v>
      </c>
      <c r="F105" s="360" t="s">
        <v>320</v>
      </c>
      <c r="G105" s="361" t="s">
        <v>321</v>
      </c>
      <c r="H105" s="404">
        <v>3.7499999999999999E-2</v>
      </c>
      <c r="I105" s="353"/>
      <c r="J105" s="369">
        <v>0.8575044183806928</v>
      </c>
      <c r="K105" s="354"/>
      <c r="L105" s="359">
        <v>7.7688759407623211E-3</v>
      </c>
      <c r="M105" s="359">
        <v>7.7688759407623211E-3</v>
      </c>
      <c r="N105" s="354"/>
      <c r="O105" s="495">
        <v>0.77688759407623209</v>
      </c>
      <c r="P105" s="495">
        <v>0.77688759407623209</v>
      </c>
      <c r="Q105" s="375"/>
      <c r="R105" s="375"/>
      <c r="S105" s="375"/>
      <c r="T105" s="375"/>
      <c r="U105" s="375"/>
      <c r="V105" s="375"/>
    </row>
    <row r="106" spans="1:22" ht="18" customHeight="1" x14ac:dyDescent="0.3">
      <c r="A106" s="375"/>
      <c r="B106" s="405" t="s">
        <v>327</v>
      </c>
      <c r="C106" s="360" t="s">
        <v>329</v>
      </c>
      <c r="D106" s="360" t="s">
        <v>330</v>
      </c>
      <c r="E106" s="360" t="s">
        <v>331</v>
      </c>
      <c r="F106" s="360" t="s">
        <v>332</v>
      </c>
      <c r="G106" s="361" t="s">
        <v>333</v>
      </c>
      <c r="H106" s="404">
        <v>6.0600000000000001E-2</v>
      </c>
      <c r="I106" s="353"/>
      <c r="J106" s="369">
        <v>0.68158841946702586</v>
      </c>
      <c r="K106" s="354"/>
      <c r="L106" s="359">
        <v>3.2774945375091042E-3</v>
      </c>
      <c r="M106" s="359">
        <v>3.2774945375091042E-3</v>
      </c>
      <c r="N106" s="354"/>
      <c r="O106" s="498">
        <v>0.32774945375091041</v>
      </c>
      <c r="P106" s="498">
        <v>0.32774945375091041</v>
      </c>
      <c r="Q106" s="375"/>
      <c r="R106" s="375"/>
      <c r="S106" s="375"/>
      <c r="T106" s="375"/>
      <c r="U106" s="375"/>
      <c r="V106" s="375"/>
    </row>
    <row r="107" spans="1:22" ht="18" customHeight="1" x14ac:dyDescent="0.3">
      <c r="A107" s="375"/>
      <c r="B107" s="405" t="s">
        <v>328</v>
      </c>
      <c r="C107" s="360" t="s">
        <v>334</v>
      </c>
      <c r="D107" s="360" t="s">
        <v>335</v>
      </c>
      <c r="E107" s="360" t="s">
        <v>336</v>
      </c>
      <c r="F107" s="360" t="s">
        <v>337</v>
      </c>
      <c r="G107" s="422" t="s">
        <v>338</v>
      </c>
      <c r="H107" s="404">
        <v>0.41749999999999998</v>
      </c>
      <c r="I107" s="353"/>
      <c r="J107" s="369">
        <v>7.9818771044090644E-2</v>
      </c>
      <c r="K107" s="354"/>
      <c r="L107" s="359">
        <v>9.7110949259529014E-4</v>
      </c>
      <c r="M107" s="359">
        <v>9.7110949259529014E-4</v>
      </c>
      <c r="N107" s="354"/>
      <c r="O107" s="498">
        <v>9.7110949259529011E-2</v>
      </c>
      <c r="P107" s="498">
        <v>9.7110949259529011E-2</v>
      </c>
      <c r="Q107" s="375"/>
      <c r="R107" s="375"/>
      <c r="S107" s="375"/>
      <c r="T107" s="375"/>
      <c r="U107" s="375"/>
      <c r="V107" s="375"/>
    </row>
    <row r="108" spans="1:22" ht="18" customHeight="1" x14ac:dyDescent="0.3">
      <c r="A108" s="375"/>
      <c r="B108" s="405" t="s">
        <v>350</v>
      </c>
      <c r="C108" s="360" t="s">
        <v>351</v>
      </c>
      <c r="D108" s="360" t="s">
        <v>352</v>
      </c>
      <c r="E108" s="360" t="s">
        <v>353</v>
      </c>
      <c r="F108" s="360" t="s">
        <v>354</v>
      </c>
      <c r="G108" s="422" t="s">
        <v>355</v>
      </c>
      <c r="H108" s="404">
        <v>9.2499999999999999E-2</v>
      </c>
      <c r="I108" s="353"/>
      <c r="J108" s="369">
        <v>0.52579668674165636</v>
      </c>
      <c r="K108" s="354"/>
      <c r="L108" s="359">
        <v>2.4277737314882253E-3</v>
      </c>
      <c r="M108" s="359">
        <v>2.4277737314882253E-3</v>
      </c>
      <c r="N108" s="354"/>
      <c r="O108" s="498">
        <v>0.24277737314882253</v>
      </c>
      <c r="P108" s="498">
        <v>0.24277737314882253</v>
      </c>
      <c r="Q108" s="375"/>
      <c r="R108" s="375"/>
      <c r="S108" s="375"/>
      <c r="T108" s="375"/>
      <c r="U108" s="375"/>
      <c r="V108" s="375"/>
    </row>
    <row r="109" spans="1:22" ht="18" customHeight="1" x14ac:dyDescent="0.3">
      <c r="A109" s="375"/>
      <c r="B109" s="405" t="s">
        <v>356</v>
      </c>
      <c r="C109" s="360" t="s">
        <v>357</v>
      </c>
      <c r="D109" s="360" t="s">
        <v>358</v>
      </c>
      <c r="E109" s="360" t="s">
        <v>359</v>
      </c>
      <c r="F109" s="360" t="s">
        <v>360</v>
      </c>
      <c r="G109" s="361" t="s">
        <v>361</v>
      </c>
      <c r="H109" s="404">
        <v>0.15210000000000001</v>
      </c>
      <c r="I109" s="353"/>
      <c r="J109" s="369">
        <v>0.35105417388580629</v>
      </c>
      <c r="K109" s="354"/>
      <c r="L109" s="359">
        <v>4.1514930808448654E-2</v>
      </c>
      <c r="M109" s="359">
        <v>4.1514930808448654E-2</v>
      </c>
      <c r="N109" s="354"/>
      <c r="O109" s="495">
        <v>4.1514930808448653</v>
      </c>
      <c r="P109" s="495">
        <v>4.1514930808448653</v>
      </c>
      <c r="Q109" s="375"/>
      <c r="R109" s="375"/>
      <c r="S109" s="375"/>
      <c r="T109" s="375"/>
      <c r="U109" s="375"/>
      <c r="V109" s="375"/>
    </row>
    <row r="110" spans="1:22" ht="18" customHeight="1" x14ac:dyDescent="0.3">
      <c r="A110" s="375"/>
      <c r="B110" s="405" t="s">
        <v>344</v>
      </c>
      <c r="C110" s="360" t="s">
        <v>345</v>
      </c>
      <c r="D110" s="360" t="s">
        <v>346</v>
      </c>
      <c r="E110" s="360" t="s">
        <v>347</v>
      </c>
      <c r="F110" s="360" t="s">
        <v>348</v>
      </c>
      <c r="G110" s="361" t="s">
        <v>349</v>
      </c>
      <c r="H110" s="404">
        <v>0.2228</v>
      </c>
      <c r="I110" s="353"/>
      <c r="J110" s="369">
        <v>0.23123950549998451</v>
      </c>
      <c r="K110" s="354"/>
      <c r="L110" s="359">
        <v>1.8936635105608158E-2</v>
      </c>
      <c r="M110" s="359">
        <v>1.8936635105608158E-2</v>
      </c>
      <c r="N110" s="354"/>
      <c r="O110" s="495">
        <v>1.8936635105608157</v>
      </c>
      <c r="P110" s="495">
        <v>1.8936635105608157</v>
      </c>
      <c r="Q110" s="375"/>
      <c r="R110" s="375"/>
      <c r="S110" s="375"/>
      <c r="T110" s="375"/>
      <c r="U110" s="375"/>
      <c r="V110" s="375"/>
    </row>
    <row r="111" spans="1:22" ht="18" customHeight="1" x14ac:dyDescent="0.3">
      <c r="A111" s="375"/>
      <c r="B111" s="405" t="s">
        <v>155</v>
      </c>
      <c r="C111" s="360" t="s">
        <v>339</v>
      </c>
      <c r="D111" s="360" t="s">
        <v>340</v>
      </c>
      <c r="E111" s="360" t="s">
        <v>341</v>
      </c>
      <c r="F111" s="360" t="s">
        <v>342</v>
      </c>
      <c r="G111" s="361" t="s">
        <v>343</v>
      </c>
      <c r="H111" s="404">
        <v>3.95E-2</v>
      </c>
      <c r="I111" s="353"/>
      <c r="J111" s="369">
        <v>0.83853891040169926</v>
      </c>
      <c r="K111" s="354"/>
      <c r="L111" s="359">
        <v>3.6295217285748971E-2</v>
      </c>
      <c r="M111" s="359">
        <v>3.6295217285748971E-2</v>
      </c>
      <c r="N111" s="354"/>
      <c r="O111" s="495">
        <v>3.6295217285748969</v>
      </c>
      <c r="P111" s="495">
        <v>3.6295217285748969</v>
      </c>
      <c r="Q111" s="375"/>
      <c r="R111" s="375"/>
      <c r="S111" s="375"/>
      <c r="T111" s="375"/>
      <c r="U111" s="375"/>
      <c r="V111" s="375"/>
    </row>
    <row r="112" spans="1:22" ht="6" customHeight="1" x14ac:dyDescent="0.3">
      <c r="A112" s="375"/>
      <c r="B112" s="375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</row>
    <row r="113" spans="1:22" ht="44.25" customHeight="1" x14ac:dyDescent="0.3">
      <c r="A113" s="375"/>
      <c r="B113" s="589" t="s">
        <v>147</v>
      </c>
      <c r="C113" s="590"/>
      <c r="D113" s="590"/>
      <c r="E113" s="590"/>
      <c r="F113" s="590"/>
      <c r="G113" s="590"/>
      <c r="H113" s="591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</row>
    <row r="114" spans="1:22" ht="27" customHeight="1" x14ac:dyDescent="0.3">
      <c r="A114" s="375"/>
      <c r="B114" s="551" t="s">
        <v>158</v>
      </c>
      <c r="C114" s="552"/>
      <c r="D114" s="552"/>
      <c r="E114" s="552"/>
      <c r="F114" s="552"/>
      <c r="G114" s="552"/>
      <c r="H114" s="553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</row>
    <row r="115" spans="1:22" x14ac:dyDescent="0.3">
      <c r="A115" s="375"/>
    </row>
    <row r="119" spans="1:22" x14ac:dyDescent="0.3">
      <c r="D119" s="2"/>
      <c r="E119" s="2"/>
    </row>
    <row r="120" spans="1:22" x14ac:dyDescent="0.3">
      <c r="D120" s="2"/>
    </row>
    <row r="121" spans="1:22" x14ac:dyDescent="0.3">
      <c r="D121" s="2"/>
    </row>
    <row r="122" spans="1:22" x14ac:dyDescent="0.3">
      <c r="D122" s="2"/>
    </row>
    <row r="123" spans="1:22" x14ac:dyDescent="0.3">
      <c r="D123" s="2"/>
    </row>
    <row r="124" spans="1:22" x14ac:dyDescent="0.3">
      <c r="D124" s="2"/>
    </row>
    <row r="125" spans="1:22" x14ac:dyDescent="0.3">
      <c r="D125" s="2"/>
    </row>
    <row r="126" spans="1:22" x14ac:dyDescent="0.3">
      <c r="D126" s="2"/>
    </row>
    <row r="127" spans="1:22" x14ac:dyDescent="0.3">
      <c r="E127" s="477"/>
      <c r="F127" s="2"/>
      <c r="G127" s="2"/>
    </row>
    <row r="128" spans="1:22" x14ac:dyDescent="0.3">
      <c r="F128" s="478"/>
      <c r="G128" s="478"/>
    </row>
    <row r="129" spans="4:7" x14ac:dyDescent="0.3">
      <c r="D129" s="2"/>
      <c r="E129" s="2"/>
    </row>
    <row r="130" spans="4:7" x14ac:dyDescent="0.3">
      <c r="D130" s="2"/>
    </row>
    <row r="131" spans="4:7" x14ac:dyDescent="0.3">
      <c r="D131" s="2"/>
    </row>
    <row r="132" spans="4:7" x14ac:dyDescent="0.3">
      <c r="D132" s="2"/>
    </row>
    <row r="133" spans="4:7" x14ac:dyDescent="0.3">
      <c r="D133" s="2"/>
    </row>
    <row r="134" spans="4:7" x14ac:dyDescent="0.3">
      <c r="D134" s="2"/>
    </row>
    <row r="135" spans="4:7" x14ac:dyDescent="0.3">
      <c r="D135" s="2"/>
    </row>
    <row r="136" spans="4:7" x14ac:dyDescent="0.3">
      <c r="D136" s="2"/>
    </row>
    <row r="137" spans="4:7" x14ac:dyDescent="0.3">
      <c r="E137" s="477"/>
      <c r="F137" s="2"/>
      <c r="G137" s="2"/>
    </row>
    <row r="138" spans="4:7" x14ac:dyDescent="0.3">
      <c r="F138" s="478"/>
      <c r="G138" s="478"/>
    </row>
    <row r="140" spans="4:7" x14ac:dyDescent="0.3">
      <c r="D140" s="2"/>
      <c r="E140" s="2"/>
    </row>
    <row r="141" spans="4:7" x14ac:dyDescent="0.3">
      <c r="D141" s="2"/>
    </row>
    <row r="142" spans="4:7" x14ac:dyDescent="0.3">
      <c r="D142" s="2"/>
    </row>
    <row r="143" spans="4:7" x14ac:dyDescent="0.3">
      <c r="D143" s="2"/>
    </row>
    <row r="144" spans="4:7" x14ac:dyDescent="0.3">
      <c r="D144" s="2"/>
    </row>
    <row r="145" spans="4:7" x14ac:dyDescent="0.3">
      <c r="D145" s="2"/>
    </row>
    <row r="146" spans="4:7" x14ac:dyDescent="0.3">
      <c r="D146" s="2"/>
    </row>
    <row r="147" spans="4:7" x14ac:dyDescent="0.3">
      <c r="D147" s="2"/>
    </row>
    <row r="148" spans="4:7" x14ac:dyDescent="0.3">
      <c r="E148" s="477"/>
      <c r="F148" s="2"/>
      <c r="G148" s="2"/>
    </row>
    <row r="149" spans="4:7" x14ac:dyDescent="0.3">
      <c r="F149" s="478"/>
      <c r="G149" s="478"/>
    </row>
  </sheetData>
  <mergeCells count="19">
    <mergeCell ref="B89:B90"/>
    <mergeCell ref="E89:H89"/>
    <mergeCell ref="O89:P89"/>
    <mergeCell ref="B114:H114"/>
    <mergeCell ref="B113:H113"/>
    <mergeCell ref="B86:H86"/>
    <mergeCell ref="B88:H88"/>
    <mergeCell ref="T66:T68"/>
    <mergeCell ref="U66:U68"/>
    <mergeCell ref="B3:F3"/>
    <mergeCell ref="C44:D44"/>
    <mergeCell ref="R66:R68"/>
    <mergeCell ref="S66:S68"/>
    <mergeCell ref="O66:P66"/>
    <mergeCell ref="E67:H67"/>
    <mergeCell ref="O67:P67"/>
    <mergeCell ref="B67:B68"/>
    <mergeCell ref="B66:H66"/>
    <mergeCell ref="O88:P88"/>
  </mergeCells>
  <pageMargins left="0.7" right="0.7" top="0.75" bottom="0.75" header="0.3" footer="0.3"/>
  <pageSetup paperSize="9" orientation="portrait" horizontalDpi="300" verticalDpi="300" r:id="rId1"/>
  <ignoredErrors>
    <ignoredError sqref="H83:H84 H70:H78 H80:H81" numberStoredAsText="1"/>
    <ignoredError sqref="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114"/>
  <sheetViews>
    <sheetView topLeftCell="A3" zoomScale="70" zoomScaleNormal="70" workbookViewId="0">
      <selection activeCell="A22" sqref="A22"/>
    </sheetView>
  </sheetViews>
  <sheetFormatPr baseColWidth="10" defaultRowHeight="14.5" x14ac:dyDescent="0.35"/>
  <cols>
    <col min="1" max="1" width="17.54296875" customWidth="1"/>
    <col min="3" max="4" width="10.54296875" customWidth="1"/>
    <col min="5" max="5" width="8.81640625" customWidth="1"/>
    <col min="6" max="6" width="5.1796875" customWidth="1"/>
    <col min="7" max="42" width="2.36328125" customWidth="1"/>
    <col min="43" max="43" width="3.26953125" customWidth="1"/>
    <col min="44" max="79" width="2.36328125" customWidth="1"/>
    <col min="80" max="80" width="5.453125" style="23" customWidth="1"/>
    <col min="81" max="88" width="3.7265625" style="23" customWidth="1"/>
  </cols>
  <sheetData>
    <row r="1" spans="1:84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CB1"/>
      <c r="CC1"/>
      <c r="CD1"/>
      <c r="CE1"/>
      <c r="CF1"/>
    </row>
    <row r="2" spans="1:84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93 pacientes, a los 36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CB2"/>
      <c r="CC2"/>
      <c r="CD2"/>
      <c r="CE2"/>
      <c r="CF2"/>
    </row>
    <row r="3" spans="1:84" ht="8.25" customHeight="1" thickBot="1" x14ac:dyDescent="0.4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CB3"/>
      <c r="CC3"/>
      <c r="CD3"/>
      <c r="CE3"/>
      <c r="CF3"/>
    </row>
    <row r="4" spans="1:84" ht="44" customHeight="1" thickBot="1" x14ac:dyDescent="0.4">
      <c r="A4" s="598" t="s">
        <v>364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599"/>
      <c r="BJ4" s="599"/>
      <c r="BK4" s="599"/>
      <c r="BL4" s="599"/>
      <c r="BM4" s="599"/>
      <c r="BN4" s="599"/>
      <c r="BO4" s="599"/>
      <c r="BP4" s="599"/>
      <c r="BQ4" s="599"/>
      <c r="BR4" s="599"/>
      <c r="BS4" s="599"/>
      <c r="BT4" s="599"/>
      <c r="BU4" s="599"/>
      <c r="BV4" s="599"/>
      <c r="BW4" s="599"/>
      <c r="BX4" s="599"/>
      <c r="BY4" s="599"/>
      <c r="BZ4" s="599"/>
      <c r="CA4" s="599"/>
      <c r="CB4" s="599"/>
      <c r="CC4" s="599"/>
      <c r="CD4" s="599"/>
      <c r="CE4" s="600"/>
      <c r="CF4"/>
    </row>
    <row r="5" spans="1:84" ht="29.25" customHeight="1" x14ac:dyDescent="0.35">
      <c r="A5" s="392" t="s">
        <v>163</v>
      </c>
      <c r="B5" s="27">
        <f>C5+D5+E5</f>
        <v>93</v>
      </c>
      <c r="C5" s="439">
        <v>2</v>
      </c>
      <c r="D5" s="437">
        <v>1</v>
      </c>
      <c r="E5" s="438">
        <v>90</v>
      </c>
      <c r="G5" s="25"/>
      <c r="H5" s="25"/>
      <c r="I5" s="25"/>
      <c r="J5" s="386" t="s">
        <v>367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CB5"/>
      <c r="CC5"/>
      <c r="CD5"/>
      <c r="CE5"/>
      <c r="CF5"/>
    </row>
    <row r="6" spans="1:84" ht="15" customHeight="1" x14ac:dyDescent="0.35">
      <c r="A6" s="483"/>
      <c r="B6" s="484">
        <f>C8/C5</f>
        <v>30.164907171459774</v>
      </c>
      <c r="C6" s="484">
        <f>30*2</f>
        <v>60</v>
      </c>
      <c r="D6" s="485">
        <f>D8/(C5+D5)</f>
        <v>26.115129911100752</v>
      </c>
      <c r="E6" s="485">
        <f>26*(C5+D5)</f>
        <v>78</v>
      </c>
      <c r="F6" s="25"/>
      <c r="G6" s="25"/>
      <c r="H6" s="25"/>
      <c r="I6" s="25"/>
      <c r="J6" s="385" t="s">
        <v>171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CB6"/>
      <c r="CC6"/>
      <c r="CD6"/>
      <c r="CE6"/>
      <c r="CF6"/>
    </row>
    <row r="7" spans="1:84" ht="39" x14ac:dyDescent="0.35">
      <c r="A7" s="393" t="s">
        <v>164</v>
      </c>
      <c r="B7" s="29" t="s">
        <v>146</v>
      </c>
      <c r="C7" s="30" t="str">
        <f>CONCATENATE(A1," ",B1," ",B5," ",C1)</f>
        <v>meses de los 93 del grupo Interv</v>
      </c>
      <c r="D7" s="30" t="str">
        <f>CONCATENATE(A1," ",B1," ",B5," ",D1)</f>
        <v>meses de los 93 del grupo Contr</v>
      </c>
      <c r="E7" s="48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CB7"/>
      <c r="CC7"/>
      <c r="CD7"/>
      <c r="CE7"/>
      <c r="CF7"/>
    </row>
    <row r="8" spans="1:84" x14ac:dyDescent="0.35">
      <c r="A8" s="31" t="s">
        <v>1</v>
      </c>
      <c r="B8" s="32">
        <v>0.64870768110666177</v>
      </c>
      <c r="C8" s="424">
        <f>B8*B5</f>
        <v>60.329814342919548</v>
      </c>
      <c r="D8" s="592">
        <f>(B8+B9)*B5</f>
        <v>78.345389733302255</v>
      </c>
      <c r="E8" s="486">
        <f>C8-C6</f>
        <v>0.3298143429195477</v>
      </c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25"/>
      <c r="CB8"/>
      <c r="CC8"/>
      <c r="CD8"/>
      <c r="CE8"/>
      <c r="CF8"/>
    </row>
    <row r="9" spans="1:84" ht="26.5" x14ac:dyDescent="0.35">
      <c r="A9" s="35" t="s">
        <v>3</v>
      </c>
      <c r="B9" s="36">
        <v>0.19371586441271743</v>
      </c>
      <c r="C9" s="593">
        <f>(B10+B9)*B5</f>
        <v>3287.6701856570803</v>
      </c>
      <c r="D9" s="592"/>
      <c r="E9" s="486">
        <f>D8-E6</f>
        <v>0.34538973330225531</v>
      </c>
      <c r="F9" s="3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25"/>
      <c r="CB9"/>
      <c r="CC9"/>
      <c r="CD9"/>
      <c r="CE9"/>
      <c r="CF9"/>
    </row>
    <row r="10" spans="1:84" ht="26.5" x14ac:dyDescent="0.35">
      <c r="A10" s="38" t="s">
        <v>2</v>
      </c>
      <c r="B10" s="39">
        <v>35.157576454480619</v>
      </c>
      <c r="C10" s="593"/>
      <c r="D10" s="40">
        <f>B10*B5</f>
        <v>3269.6546102666975</v>
      </c>
      <c r="E10" s="28"/>
      <c r="F10" s="37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25"/>
      <c r="CB10"/>
      <c r="CC10"/>
      <c r="CD10"/>
      <c r="CE10"/>
      <c r="CF10"/>
    </row>
    <row r="11" spans="1:84" x14ac:dyDescent="0.35">
      <c r="A11" s="2"/>
      <c r="B11" s="42">
        <v>36</v>
      </c>
      <c r="C11" s="43">
        <f>C8+C9</f>
        <v>3348</v>
      </c>
      <c r="D11" s="43">
        <f>D8+D10</f>
        <v>3348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ht="9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</row>
    <row r="13" spans="1:84" x14ac:dyDescent="0.35">
      <c r="A13" s="25"/>
      <c r="B13" s="25"/>
      <c r="C13" s="21">
        <f>(E5+D5)*B11</f>
        <v>3276</v>
      </c>
      <c r="D13" s="21">
        <f>E5*B11</f>
        <v>3240</v>
      </c>
      <c r="E13" s="25"/>
      <c r="F13" s="45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</row>
    <row r="14" spans="1:84" ht="36" customHeight="1" x14ac:dyDescent="0.35">
      <c r="A14" s="594" t="s">
        <v>13</v>
      </c>
      <c r="B14" s="594"/>
      <c r="C14" s="46">
        <f>C9-C13</f>
        <v>11.67018565708031</v>
      </c>
      <c r="D14" s="46">
        <f>D10-D13</f>
        <v>29.654610266697546</v>
      </c>
      <c r="F14" s="595" t="str">
        <f>IF((AND(((B9+B10)/B11)&gt;((D5+E5)/B5),(B10/B11)&gt;(E5/B5))),E2,#REF!)</f>
        <v>puede representarse llegando los 93 pacientes, a los 36 meses</v>
      </c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7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</row>
    <row r="15" spans="1:84" ht="18.75" customHeight="1" thickBot="1" x14ac:dyDescent="0.4">
      <c r="A15" s="47"/>
      <c r="B15" s="47"/>
      <c r="C15" s="47"/>
      <c r="D15" s="47"/>
      <c r="F15" s="48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25"/>
      <c r="CF15" s="25"/>
    </row>
    <row r="16" spans="1:84" ht="17.25" customHeight="1" thickBot="1" x14ac:dyDescent="0.4">
      <c r="A16" s="403" t="s">
        <v>153</v>
      </c>
      <c r="B16" s="363"/>
      <c r="C16" s="364"/>
      <c r="G16" s="49" t="s">
        <v>173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8"/>
      <c r="AR16" s="49" t="s">
        <v>14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8"/>
      <c r="CC16" s="48"/>
      <c r="CD16" s="48"/>
      <c r="CE16" s="48"/>
      <c r="CF16" s="48"/>
    </row>
    <row r="17" spans="1:88" x14ac:dyDescent="0.35">
      <c r="A17" s="362" t="s">
        <v>174</v>
      </c>
      <c r="G17" s="49" t="s">
        <v>167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R17" s="49" t="s">
        <v>167</v>
      </c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</row>
    <row r="18" spans="1:88" ht="20" customHeight="1" x14ac:dyDescent="0.35">
      <c r="A18" s="362" t="s">
        <v>175</v>
      </c>
      <c r="F18" s="23"/>
      <c r="G18" s="472">
        <v>1</v>
      </c>
      <c r="H18" s="472">
        <v>2</v>
      </c>
      <c r="I18" s="472">
        <v>3</v>
      </c>
      <c r="J18" s="472">
        <v>4</v>
      </c>
      <c r="K18" s="472">
        <v>5</v>
      </c>
      <c r="L18" s="472">
        <v>6</v>
      </c>
      <c r="M18" s="472">
        <v>7</v>
      </c>
      <c r="N18" s="472">
        <v>8</v>
      </c>
      <c r="O18" s="472">
        <v>9</v>
      </c>
      <c r="P18" s="472">
        <v>10</v>
      </c>
      <c r="Q18" s="472">
        <v>11</v>
      </c>
      <c r="R18" s="472">
        <v>12</v>
      </c>
      <c r="S18" s="472">
        <v>13</v>
      </c>
      <c r="T18" s="472">
        <v>14</v>
      </c>
      <c r="U18" s="472">
        <v>15</v>
      </c>
      <c r="V18" s="472">
        <v>16</v>
      </c>
      <c r="W18" s="472">
        <v>17</v>
      </c>
      <c r="X18" s="472">
        <v>18</v>
      </c>
      <c r="Y18" s="472">
        <v>19</v>
      </c>
      <c r="Z18" s="472">
        <v>20</v>
      </c>
      <c r="AA18" s="472">
        <v>21</v>
      </c>
      <c r="AB18" s="472">
        <v>22</v>
      </c>
      <c r="AC18" s="472">
        <v>23</v>
      </c>
      <c r="AD18" s="472">
        <v>24</v>
      </c>
      <c r="AE18" s="472">
        <v>25</v>
      </c>
      <c r="AF18" s="472">
        <v>26</v>
      </c>
      <c r="AG18" s="472">
        <v>27</v>
      </c>
      <c r="AH18" s="472">
        <v>28</v>
      </c>
      <c r="AI18" s="472">
        <v>29</v>
      </c>
      <c r="AJ18" s="472">
        <v>30</v>
      </c>
      <c r="AK18" s="472">
        <v>31</v>
      </c>
      <c r="AL18" s="472">
        <v>32</v>
      </c>
      <c r="AM18" s="472">
        <v>33</v>
      </c>
      <c r="AN18" s="472">
        <v>34</v>
      </c>
      <c r="AO18" s="472">
        <v>35</v>
      </c>
      <c r="AP18" s="472">
        <v>36</v>
      </c>
      <c r="AQ18" s="398"/>
      <c r="AR18" s="472">
        <v>1</v>
      </c>
      <c r="AS18" s="472">
        <v>2</v>
      </c>
      <c r="AT18" s="472">
        <v>3</v>
      </c>
      <c r="AU18" s="472">
        <v>4</v>
      </c>
      <c r="AV18" s="472">
        <v>5</v>
      </c>
      <c r="AW18" s="472">
        <v>6</v>
      </c>
      <c r="AX18" s="472">
        <v>7</v>
      </c>
      <c r="AY18" s="472">
        <v>8</v>
      </c>
      <c r="AZ18" s="472">
        <v>9</v>
      </c>
      <c r="BA18" s="472">
        <v>10</v>
      </c>
      <c r="BB18" s="472">
        <v>11</v>
      </c>
      <c r="BC18" s="472">
        <v>12</v>
      </c>
      <c r="BD18" s="472">
        <v>13</v>
      </c>
      <c r="BE18" s="472">
        <v>14</v>
      </c>
      <c r="BF18" s="472">
        <v>15</v>
      </c>
      <c r="BG18" s="472">
        <v>16</v>
      </c>
      <c r="BH18" s="472">
        <v>17</v>
      </c>
      <c r="BI18" s="472">
        <v>18</v>
      </c>
      <c r="BJ18" s="472">
        <v>19</v>
      </c>
      <c r="BK18" s="472">
        <v>20</v>
      </c>
      <c r="BL18" s="472">
        <v>21</v>
      </c>
      <c r="BM18" s="472">
        <v>22</v>
      </c>
      <c r="BN18" s="472">
        <v>23</v>
      </c>
      <c r="BO18" s="472">
        <v>24</v>
      </c>
      <c r="BP18" s="472">
        <v>25</v>
      </c>
      <c r="BQ18" s="472">
        <v>26</v>
      </c>
      <c r="BR18" s="472">
        <v>27</v>
      </c>
      <c r="BS18" s="472">
        <v>28</v>
      </c>
      <c r="BT18" s="472">
        <v>29</v>
      </c>
      <c r="BU18" s="472">
        <v>30</v>
      </c>
      <c r="BV18" s="472">
        <v>31</v>
      </c>
      <c r="BW18" s="472">
        <v>32</v>
      </c>
      <c r="BX18" s="472">
        <v>33</v>
      </c>
      <c r="BY18" s="472">
        <v>34</v>
      </c>
      <c r="BZ18" s="472">
        <v>35</v>
      </c>
      <c r="CA18" s="472">
        <v>36</v>
      </c>
    </row>
    <row r="19" spans="1:88" x14ac:dyDescent="0.35">
      <c r="E19" s="50" t="s">
        <v>15</v>
      </c>
      <c r="F19" s="55">
        <v>93</v>
      </c>
      <c r="G19" s="52"/>
      <c r="H19" s="52"/>
      <c r="I19" s="52"/>
      <c r="J19" s="52"/>
      <c r="K19" s="52"/>
      <c r="L19" s="52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23"/>
      <c r="AR19" s="52"/>
      <c r="AS19" s="52"/>
      <c r="AT19" s="52"/>
      <c r="AU19" s="52"/>
      <c r="AV19" s="52"/>
      <c r="AW19" s="52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55">
        <v>93</v>
      </c>
      <c r="CC19" s="435" t="s">
        <v>15</v>
      </c>
      <c r="CD19" s="51"/>
      <c r="CE19" s="51"/>
      <c r="CF19" s="51"/>
      <c r="CG19" s="51"/>
      <c r="CH19" s="51"/>
      <c r="CI19" s="51"/>
      <c r="CJ19" s="51"/>
    </row>
    <row r="20" spans="1:88" x14ac:dyDescent="0.35">
      <c r="F20" s="55">
        <v>92</v>
      </c>
      <c r="G20" s="52"/>
      <c r="H20" s="52"/>
      <c r="I20" s="52"/>
      <c r="J20" s="52"/>
      <c r="K20" s="52"/>
      <c r="L20" s="52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R20" s="52"/>
      <c r="AS20" s="52"/>
      <c r="AT20" s="52"/>
      <c r="AU20" s="52"/>
      <c r="AV20" s="52"/>
      <c r="AW20" s="52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55">
        <v>92</v>
      </c>
      <c r="CC20"/>
      <c r="CD20" s="51"/>
      <c r="CE20" s="51"/>
      <c r="CF20" s="51"/>
      <c r="CG20" s="51"/>
      <c r="CH20" s="51"/>
      <c r="CI20" s="51"/>
      <c r="CJ20" s="51"/>
    </row>
    <row r="21" spans="1:88" ht="16" thickBot="1" x14ac:dyDescent="0.4">
      <c r="F21" s="365">
        <v>91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23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25">
        <v>91</v>
      </c>
      <c r="CC21"/>
      <c r="CD21" s="51"/>
      <c r="CE21" s="51"/>
      <c r="CF21" s="51"/>
      <c r="CG21" s="51"/>
      <c r="CH21" s="51"/>
      <c r="CI21" s="51"/>
      <c r="CJ21" s="51"/>
    </row>
    <row r="22" spans="1:88" x14ac:dyDescent="0.35">
      <c r="A22" s="333" t="s">
        <v>130</v>
      </c>
      <c r="B22" s="334"/>
      <c r="C22" s="334"/>
      <c r="D22" s="335"/>
      <c r="F22" s="53">
        <v>90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23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>
        <v>90</v>
      </c>
      <c r="CC22" s="51"/>
      <c r="CD22" s="51"/>
      <c r="CE22" s="51"/>
      <c r="CF22" s="51"/>
      <c r="CG22" s="51"/>
      <c r="CH22" s="51"/>
      <c r="CI22" s="51"/>
      <c r="CJ22" s="51"/>
    </row>
    <row r="23" spans="1:88" x14ac:dyDescent="0.35">
      <c r="A23" s="336" t="s">
        <v>126</v>
      </c>
      <c r="B23" s="337" t="s">
        <v>127</v>
      </c>
      <c r="C23" s="337" t="s">
        <v>115</v>
      </c>
      <c r="D23" s="338" t="s">
        <v>11</v>
      </c>
      <c r="F23" s="53">
        <v>89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23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>
        <v>89</v>
      </c>
      <c r="CC23" s="51"/>
      <c r="CD23" s="51"/>
      <c r="CE23" s="51"/>
      <c r="CF23" s="51"/>
      <c r="CG23" s="51"/>
      <c r="CH23" s="51"/>
      <c r="CI23" s="51"/>
      <c r="CJ23" s="51"/>
    </row>
    <row r="24" spans="1:88" x14ac:dyDescent="0.35">
      <c r="A24" s="339">
        <v>2.5277323149663574E-2</v>
      </c>
      <c r="B24" s="340">
        <v>3.6039315617036764E-2</v>
      </c>
      <c r="C24" s="341">
        <f>B24-A24</f>
        <v>1.076199246737319E-2</v>
      </c>
      <c r="D24" s="342">
        <f>1/C24</f>
        <v>92.91959672260225</v>
      </c>
      <c r="F24" s="53">
        <v>88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23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>
        <v>88</v>
      </c>
      <c r="CC24" s="51"/>
      <c r="CD24" s="51"/>
      <c r="CE24" s="51"/>
      <c r="CF24" s="51"/>
      <c r="CG24" s="51"/>
      <c r="CH24" s="51"/>
      <c r="CI24" s="51"/>
      <c r="CJ24" s="51"/>
    </row>
    <row r="25" spans="1:88" ht="15" thickBot="1" x14ac:dyDescent="0.4">
      <c r="A25" s="444" t="s">
        <v>170</v>
      </c>
      <c r="B25" s="374">
        <f>A24*D24</f>
        <v>2.3487586732936374</v>
      </c>
      <c r="C25" s="343">
        <f>C24*D24</f>
        <v>1</v>
      </c>
      <c r="D25" s="373">
        <f>(1-B24)*D24</f>
        <v>89.570838049308605</v>
      </c>
      <c r="F25" s="53">
        <v>87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23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>
        <v>87</v>
      </c>
      <c r="CC25" s="51"/>
      <c r="CD25" s="51"/>
      <c r="CE25" s="51"/>
      <c r="CF25" s="51"/>
      <c r="CG25" s="51"/>
      <c r="CH25" s="51"/>
      <c r="CI25" s="51"/>
      <c r="CJ25" s="51"/>
    </row>
    <row r="26" spans="1:88" x14ac:dyDescent="0.35">
      <c r="F26" s="53">
        <v>86</v>
      </c>
      <c r="G26" s="40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4"/>
      <c r="AR26" s="40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>
        <v>86</v>
      </c>
      <c r="CC26" s="51"/>
      <c r="CD26" s="51"/>
      <c r="CE26" s="51"/>
      <c r="CF26" s="51"/>
      <c r="CG26" s="51"/>
      <c r="CH26" s="51"/>
      <c r="CI26" s="51"/>
      <c r="CJ26" s="51"/>
    </row>
    <row r="27" spans="1:88" x14ac:dyDescent="0.35">
      <c r="F27" s="53">
        <v>85</v>
      </c>
      <c r="G27" s="40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4"/>
      <c r="AR27" s="401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>
        <v>85</v>
      </c>
      <c r="CC27" s="51"/>
      <c r="CD27" s="51"/>
      <c r="CE27" s="51"/>
      <c r="CF27" s="51"/>
      <c r="CG27" s="51"/>
      <c r="CH27" s="51"/>
      <c r="CI27" s="51"/>
      <c r="CJ27" s="51"/>
    </row>
    <row r="28" spans="1:88" x14ac:dyDescent="0.35">
      <c r="F28" s="53">
        <v>84</v>
      </c>
      <c r="G28" s="40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R28" s="401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>
        <v>84</v>
      </c>
    </row>
    <row r="29" spans="1:88" x14ac:dyDescent="0.35">
      <c r="F29" s="53">
        <v>83</v>
      </c>
      <c r="G29" s="40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R29" s="401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>
        <v>83</v>
      </c>
    </row>
    <row r="30" spans="1:88" x14ac:dyDescent="0.35">
      <c r="F30" s="53">
        <v>82</v>
      </c>
      <c r="G30" s="40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R30" s="401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>
        <v>82</v>
      </c>
    </row>
    <row r="31" spans="1:88" x14ac:dyDescent="0.35">
      <c r="F31" s="53">
        <v>81</v>
      </c>
      <c r="G31" s="40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R31" s="401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>
        <v>81</v>
      </c>
    </row>
    <row r="32" spans="1:88" x14ac:dyDescent="0.35">
      <c r="F32" s="53">
        <v>80</v>
      </c>
      <c r="G32" s="40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R32" s="401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>
        <v>80</v>
      </c>
    </row>
    <row r="33" spans="6:80" x14ac:dyDescent="0.35">
      <c r="F33" s="53">
        <v>79</v>
      </c>
      <c r="G33" s="401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R33" s="401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>
        <v>79</v>
      </c>
    </row>
    <row r="34" spans="6:80" x14ac:dyDescent="0.35">
      <c r="F34" s="53">
        <v>78</v>
      </c>
      <c r="G34" s="40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R34" s="40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>
        <v>78</v>
      </c>
    </row>
    <row r="35" spans="6:80" x14ac:dyDescent="0.35">
      <c r="F35" s="53">
        <v>77</v>
      </c>
      <c r="G35" s="40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R35" s="401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>
        <v>77</v>
      </c>
    </row>
    <row r="36" spans="6:80" x14ac:dyDescent="0.35">
      <c r="F36" s="53">
        <v>76</v>
      </c>
      <c r="G36" s="40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R36" s="401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>
        <v>76</v>
      </c>
    </row>
    <row r="37" spans="6:80" x14ac:dyDescent="0.35">
      <c r="F37" s="53">
        <v>75</v>
      </c>
      <c r="G37" s="40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R37" s="401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>
        <v>75</v>
      </c>
    </row>
    <row r="38" spans="6:80" x14ac:dyDescent="0.35">
      <c r="F38" s="53">
        <v>74</v>
      </c>
      <c r="G38" s="40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53">
        <v>74</v>
      </c>
    </row>
    <row r="39" spans="6:80" x14ac:dyDescent="0.35">
      <c r="F39" s="53">
        <v>73</v>
      </c>
      <c r="G39" s="40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398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53">
        <v>73</v>
      </c>
    </row>
    <row r="40" spans="6:80" x14ac:dyDescent="0.35">
      <c r="F40" s="53">
        <v>72</v>
      </c>
      <c r="G40" s="40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398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53">
        <v>72</v>
      </c>
    </row>
    <row r="41" spans="6:80" x14ac:dyDescent="0.35">
      <c r="F41" s="53">
        <v>71</v>
      </c>
      <c r="G41" s="40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398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53">
        <v>71</v>
      </c>
    </row>
    <row r="42" spans="6:80" x14ac:dyDescent="0.35">
      <c r="F42" s="53">
        <v>70</v>
      </c>
      <c r="G42" s="40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398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53">
        <v>70</v>
      </c>
    </row>
    <row r="43" spans="6:80" x14ac:dyDescent="0.35">
      <c r="F43" s="53">
        <v>69</v>
      </c>
      <c r="G43" s="40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398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53">
        <v>69</v>
      </c>
    </row>
    <row r="44" spans="6:80" x14ac:dyDescent="0.35">
      <c r="F44" s="53">
        <v>68</v>
      </c>
      <c r="G44" s="401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398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53">
        <v>68</v>
      </c>
    </row>
    <row r="45" spans="6:80" x14ac:dyDescent="0.35">
      <c r="F45" s="53">
        <v>67</v>
      </c>
      <c r="G45" s="40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398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53">
        <v>67</v>
      </c>
    </row>
    <row r="46" spans="6:80" x14ac:dyDescent="0.35">
      <c r="F46" s="53">
        <v>66</v>
      </c>
      <c r="G46" s="401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53">
        <v>66</v>
      </c>
    </row>
    <row r="47" spans="6:80" x14ac:dyDescent="0.35">
      <c r="F47" s="53">
        <v>65</v>
      </c>
      <c r="G47" s="40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48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53">
        <v>65</v>
      </c>
    </row>
    <row r="48" spans="6:80" x14ac:dyDescent="0.35">
      <c r="F48" s="53">
        <v>64</v>
      </c>
      <c r="G48" s="40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53">
        <v>64</v>
      </c>
    </row>
    <row r="49" spans="6:80" x14ac:dyDescent="0.35">
      <c r="F49" s="53">
        <v>63</v>
      </c>
      <c r="G49" s="401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53">
        <v>63</v>
      </c>
    </row>
    <row r="50" spans="6:80" x14ac:dyDescent="0.35">
      <c r="F50" s="53">
        <v>62</v>
      </c>
      <c r="G50" s="40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53">
        <v>62</v>
      </c>
    </row>
    <row r="51" spans="6:80" x14ac:dyDescent="0.35">
      <c r="F51" s="53">
        <v>61</v>
      </c>
      <c r="G51" s="40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53">
        <v>61</v>
      </c>
    </row>
    <row r="52" spans="6:80" x14ac:dyDescent="0.35">
      <c r="F52" s="53">
        <v>60</v>
      </c>
      <c r="G52" s="40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53">
        <v>60</v>
      </c>
    </row>
    <row r="53" spans="6:80" x14ac:dyDescent="0.35">
      <c r="F53" s="53">
        <v>59</v>
      </c>
      <c r="G53" s="401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53">
        <v>59</v>
      </c>
    </row>
    <row r="54" spans="6:80" x14ac:dyDescent="0.35">
      <c r="F54" s="53">
        <v>58</v>
      </c>
      <c r="G54" s="40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53">
        <v>58</v>
      </c>
    </row>
    <row r="55" spans="6:80" x14ac:dyDescent="0.35">
      <c r="F55" s="53">
        <v>57</v>
      </c>
      <c r="G55" s="401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53">
        <v>57</v>
      </c>
    </row>
    <row r="56" spans="6:80" x14ac:dyDescent="0.35">
      <c r="F56" s="53">
        <v>56</v>
      </c>
      <c r="G56" s="401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53">
        <v>56</v>
      </c>
    </row>
    <row r="57" spans="6:80" x14ac:dyDescent="0.35">
      <c r="F57" s="53">
        <v>55</v>
      </c>
      <c r="G57" s="40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53">
        <v>55</v>
      </c>
    </row>
    <row r="58" spans="6:80" x14ac:dyDescent="0.35">
      <c r="F58" s="53">
        <v>54</v>
      </c>
      <c r="G58" s="40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53">
        <v>54</v>
      </c>
    </row>
    <row r="59" spans="6:80" x14ac:dyDescent="0.35">
      <c r="F59" s="53">
        <v>53</v>
      </c>
      <c r="G59" s="40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53">
        <v>53</v>
      </c>
    </row>
    <row r="60" spans="6:80" x14ac:dyDescent="0.35">
      <c r="F60" s="53">
        <v>52</v>
      </c>
      <c r="G60" s="401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53">
        <v>52</v>
      </c>
    </row>
    <row r="61" spans="6:80" x14ac:dyDescent="0.35">
      <c r="F61" s="53">
        <v>51</v>
      </c>
      <c r="G61" s="401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53">
        <v>51</v>
      </c>
    </row>
    <row r="62" spans="6:80" x14ac:dyDescent="0.35">
      <c r="F62" s="53">
        <v>50</v>
      </c>
      <c r="G62" s="401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53">
        <v>50</v>
      </c>
    </row>
    <row r="63" spans="6:80" x14ac:dyDescent="0.35">
      <c r="F63" s="53">
        <v>49</v>
      </c>
      <c r="G63" s="401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1"/>
      <c r="BN63" s="401"/>
      <c r="BO63" s="401"/>
      <c r="BP63" s="401"/>
      <c r="BQ63" s="401"/>
      <c r="BR63" s="401"/>
      <c r="BS63" s="401"/>
      <c r="BT63" s="401"/>
      <c r="BU63" s="401"/>
      <c r="BV63" s="401"/>
      <c r="BW63" s="401"/>
      <c r="BX63" s="401"/>
      <c r="BY63" s="401"/>
      <c r="BZ63" s="401"/>
      <c r="CA63" s="401"/>
      <c r="CB63" s="53">
        <v>49</v>
      </c>
    </row>
    <row r="64" spans="6:80" x14ac:dyDescent="0.35">
      <c r="F64" s="53">
        <v>48</v>
      </c>
      <c r="G64" s="401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53">
        <v>48</v>
      </c>
    </row>
    <row r="65" spans="6:80" x14ac:dyDescent="0.35">
      <c r="F65" s="53">
        <v>47</v>
      </c>
      <c r="G65" s="401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1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53">
        <v>47</v>
      </c>
    </row>
    <row r="66" spans="6:80" x14ac:dyDescent="0.35">
      <c r="F66" s="53">
        <v>46</v>
      </c>
      <c r="G66" s="401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R66" s="401"/>
      <c r="AS66" s="401"/>
      <c r="AT66" s="401"/>
      <c r="AU66" s="401"/>
      <c r="AV66" s="401"/>
      <c r="AW66" s="401"/>
      <c r="AX66" s="401"/>
      <c r="AY66" s="401"/>
      <c r="AZ66" s="401"/>
      <c r="BA66" s="401"/>
      <c r="BB66" s="401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1"/>
      <c r="BQ66" s="401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53">
        <v>46</v>
      </c>
    </row>
    <row r="67" spans="6:80" x14ac:dyDescent="0.35">
      <c r="F67" s="53">
        <v>45</v>
      </c>
      <c r="G67" s="401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1"/>
      <c r="BO67" s="401"/>
      <c r="BP67" s="401"/>
      <c r="BQ67" s="401"/>
      <c r="BR67" s="401"/>
      <c r="BS67" s="401"/>
      <c r="BT67" s="401"/>
      <c r="BU67" s="401"/>
      <c r="BV67" s="401"/>
      <c r="BW67" s="401"/>
      <c r="BX67" s="401"/>
      <c r="BY67" s="401"/>
      <c r="BZ67" s="401"/>
      <c r="CA67" s="401"/>
      <c r="CB67" s="53">
        <v>45</v>
      </c>
    </row>
    <row r="68" spans="6:80" x14ac:dyDescent="0.35">
      <c r="F68" s="53">
        <v>44</v>
      </c>
      <c r="G68" s="401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1"/>
      <c r="BI68" s="401"/>
      <c r="BJ68" s="401"/>
      <c r="BK68" s="401"/>
      <c r="BL68" s="401"/>
      <c r="BM68" s="401"/>
      <c r="BN68" s="401"/>
      <c r="BO68" s="401"/>
      <c r="BP68" s="401"/>
      <c r="BQ68" s="401"/>
      <c r="BR68" s="401"/>
      <c r="BS68" s="401"/>
      <c r="BT68" s="401"/>
      <c r="BU68" s="401"/>
      <c r="BV68" s="401"/>
      <c r="BW68" s="401"/>
      <c r="BX68" s="401"/>
      <c r="BY68" s="401"/>
      <c r="BZ68" s="401"/>
      <c r="CA68" s="401"/>
      <c r="CB68" s="53">
        <v>44</v>
      </c>
    </row>
    <row r="69" spans="6:80" x14ac:dyDescent="0.35">
      <c r="F69" s="53">
        <v>43</v>
      </c>
      <c r="G69" s="401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53">
        <v>43</v>
      </c>
    </row>
    <row r="70" spans="6:80" x14ac:dyDescent="0.35">
      <c r="F70" s="53">
        <v>42</v>
      </c>
      <c r="G70" s="401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53">
        <v>42</v>
      </c>
    </row>
    <row r="71" spans="6:80" x14ac:dyDescent="0.35">
      <c r="F71" s="53">
        <v>41</v>
      </c>
      <c r="G71" s="40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53">
        <v>41</v>
      </c>
    </row>
    <row r="72" spans="6:80" x14ac:dyDescent="0.35">
      <c r="F72" s="53">
        <v>40</v>
      </c>
      <c r="G72" s="40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53">
        <v>40</v>
      </c>
    </row>
    <row r="73" spans="6:80" x14ac:dyDescent="0.35">
      <c r="F73" s="53">
        <v>39</v>
      </c>
      <c r="G73" s="401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53">
        <v>39</v>
      </c>
    </row>
    <row r="74" spans="6:80" x14ac:dyDescent="0.35">
      <c r="F74" s="53">
        <v>38</v>
      </c>
      <c r="G74" s="40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R74" s="401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1"/>
      <c r="BE74" s="401"/>
      <c r="BF74" s="401"/>
      <c r="BG74" s="401"/>
      <c r="BH74" s="401"/>
      <c r="BI74" s="401"/>
      <c r="BJ74" s="401"/>
      <c r="BK74" s="401"/>
      <c r="BL74" s="401"/>
      <c r="BM74" s="401"/>
      <c r="BN74" s="401"/>
      <c r="BO74" s="401"/>
      <c r="BP74" s="401"/>
      <c r="BQ74" s="401"/>
      <c r="BR74" s="401"/>
      <c r="BS74" s="401"/>
      <c r="BT74" s="401"/>
      <c r="BU74" s="401"/>
      <c r="BV74" s="401"/>
      <c r="BW74" s="401"/>
      <c r="BX74" s="401"/>
      <c r="BY74" s="401"/>
      <c r="BZ74" s="401"/>
      <c r="CA74" s="401"/>
      <c r="CB74" s="53">
        <v>38</v>
      </c>
    </row>
    <row r="75" spans="6:80" x14ac:dyDescent="0.35">
      <c r="F75" s="53">
        <v>37</v>
      </c>
      <c r="G75" s="401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R75" s="401"/>
      <c r="AS75" s="401"/>
      <c r="AT75" s="401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1"/>
      <c r="BM75" s="401"/>
      <c r="BN75" s="401"/>
      <c r="BO75" s="401"/>
      <c r="BP75" s="401"/>
      <c r="BQ75" s="401"/>
      <c r="BR75" s="401"/>
      <c r="BS75" s="401"/>
      <c r="BT75" s="401"/>
      <c r="BU75" s="401"/>
      <c r="BV75" s="401"/>
      <c r="BW75" s="401"/>
      <c r="BX75" s="401"/>
      <c r="BY75" s="401"/>
      <c r="BZ75" s="401"/>
      <c r="CA75" s="401"/>
      <c r="CB75" s="53">
        <v>37</v>
      </c>
    </row>
    <row r="76" spans="6:80" x14ac:dyDescent="0.35">
      <c r="F76" s="53">
        <v>36</v>
      </c>
      <c r="G76" s="401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  <c r="CB76" s="53">
        <v>36</v>
      </c>
    </row>
    <row r="77" spans="6:80" x14ac:dyDescent="0.35">
      <c r="F77" s="53">
        <v>35</v>
      </c>
      <c r="G77" s="401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R77" s="401"/>
      <c r="AS77" s="401"/>
      <c r="AT77" s="401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N77" s="401"/>
      <c r="BO77" s="401"/>
      <c r="BP77" s="401"/>
      <c r="BQ77" s="401"/>
      <c r="BR77" s="401"/>
      <c r="BS77" s="401"/>
      <c r="BT77" s="401"/>
      <c r="BU77" s="401"/>
      <c r="BV77" s="401"/>
      <c r="BW77" s="401"/>
      <c r="BX77" s="401"/>
      <c r="BY77" s="401"/>
      <c r="BZ77" s="401"/>
      <c r="CA77" s="401"/>
      <c r="CB77" s="53">
        <v>35</v>
      </c>
    </row>
    <row r="78" spans="6:80" x14ac:dyDescent="0.35">
      <c r="F78" s="53">
        <v>34</v>
      </c>
      <c r="G78" s="40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R78" s="401"/>
      <c r="AS78" s="401"/>
      <c r="AT78" s="401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N78" s="401"/>
      <c r="BO78" s="401"/>
      <c r="BP78" s="401"/>
      <c r="BQ78" s="401"/>
      <c r="BR78" s="401"/>
      <c r="BS78" s="401"/>
      <c r="BT78" s="401"/>
      <c r="BU78" s="401"/>
      <c r="BV78" s="401"/>
      <c r="BW78" s="401"/>
      <c r="BX78" s="401"/>
      <c r="BY78" s="401"/>
      <c r="BZ78" s="401"/>
      <c r="CA78" s="401"/>
      <c r="CB78" s="53">
        <v>34</v>
      </c>
    </row>
    <row r="79" spans="6:80" x14ac:dyDescent="0.35">
      <c r="F79" s="53">
        <v>33</v>
      </c>
      <c r="G79" s="40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R79" s="401"/>
      <c r="AS79" s="401"/>
      <c r="AT79" s="401"/>
      <c r="AU79" s="401"/>
      <c r="AV79" s="401"/>
      <c r="AW79" s="401"/>
      <c r="AX79" s="401"/>
      <c r="AY79" s="401"/>
      <c r="AZ79" s="401"/>
      <c r="BA79" s="401"/>
      <c r="BB79" s="401"/>
      <c r="BC79" s="401"/>
      <c r="BD79" s="401"/>
      <c r="BE79" s="401"/>
      <c r="BF79" s="401"/>
      <c r="BG79" s="401"/>
      <c r="BH79" s="401"/>
      <c r="BI79" s="401"/>
      <c r="BJ79" s="401"/>
      <c r="BK79" s="401"/>
      <c r="BL79" s="401"/>
      <c r="BM79" s="401"/>
      <c r="BN79" s="401"/>
      <c r="BO79" s="401"/>
      <c r="BP79" s="401"/>
      <c r="BQ79" s="401"/>
      <c r="BR79" s="401"/>
      <c r="BS79" s="401"/>
      <c r="BT79" s="401"/>
      <c r="BU79" s="401"/>
      <c r="BV79" s="401"/>
      <c r="BW79" s="401"/>
      <c r="BX79" s="401"/>
      <c r="BY79" s="401"/>
      <c r="BZ79" s="401"/>
      <c r="CA79" s="401"/>
      <c r="CB79" s="53">
        <v>33</v>
      </c>
    </row>
    <row r="80" spans="6:80" x14ac:dyDescent="0.35">
      <c r="F80" s="53">
        <v>32</v>
      </c>
      <c r="G80" s="401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53">
        <v>32</v>
      </c>
    </row>
    <row r="81" spans="6:80" x14ac:dyDescent="0.35">
      <c r="F81" s="53">
        <v>31</v>
      </c>
      <c r="G81" s="401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R81" s="401"/>
      <c r="AS81" s="401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  <c r="BF81" s="401"/>
      <c r="BG81" s="401"/>
      <c r="BH81" s="401"/>
      <c r="BI81" s="401"/>
      <c r="BJ81" s="401"/>
      <c r="BK81" s="401"/>
      <c r="BL81" s="401"/>
      <c r="BM81" s="401"/>
      <c r="BN81" s="401"/>
      <c r="BO81" s="401"/>
      <c r="BP81" s="401"/>
      <c r="BQ81" s="401"/>
      <c r="BR81" s="401"/>
      <c r="BS81" s="401"/>
      <c r="BT81" s="401"/>
      <c r="BU81" s="401"/>
      <c r="BV81" s="401"/>
      <c r="BW81" s="401"/>
      <c r="BX81" s="401"/>
      <c r="BY81" s="401"/>
      <c r="BZ81" s="401"/>
      <c r="CA81" s="401"/>
      <c r="CB81" s="53">
        <v>31</v>
      </c>
    </row>
    <row r="82" spans="6:80" x14ac:dyDescent="0.35">
      <c r="F82" s="53">
        <v>30</v>
      </c>
      <c r="G82" s="401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R82" s="401"/>
      <c r="AS82" s="401"/>
      <c r="AT82" s="401"/>
      <c r="AU82" s="401"/>
      <c r="AV82" s="401"/>
      <c r="AW82" s="401"/>
      <c r="AX82" s="401"/>
      <c r="AY82" s="401"/>
      <c r="AZ82" s="401"/>
      <c r="BA82" s="401"/>
      <c r="BB82" s="401"/>
      <c r="BC82" s="401"/>
      <c r="BD82" s="401"/>
      <c r="BE82" s="401"/>
      <c r="BF82" s="401"/>
      <c r="BG82" s="401"/>
      <c r="BH82" s="401"/>
      <c r="BI82" s="401"/>
      <c r="BJ82" s="401"/>
      <c r="BK82" s="401"/>
      <c r="BL82" s="401"/>
      <c r="BM82" s="401"/>
      <c r="BN82" s="401"/>
      <c r="BO82" s="401"/>
      <c r="BP82" s="401"/>
      <c r="BQ82" s="401"/>
      <c r="BR82" s="401"/>
      <c r="BS82" s="401"/>
      <c r="BT82" s="401"/>
      <c r="BU82" s="401"/>
      <c r="BV82" s="401"/>
      <c r="BW82" s="401"/>
      <c r="BX82" s="401"/>
      <c r="BY82" s="401"/>
      <c r="BZ82" s="401"/>
      <c r="CA82" s="401"/>
      <c r="CB82" s="53">
        <v>30</v>
      </c>
    </row>
    <row r="83" spans="6:80" x14ac:dyDescent="0.35">
      <c r="F83" s="53">
        <v>29</v>
      </c>
      <c r="G83" s="401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53">
        <v>29</v>
      </c>
    </row>
    <row r="84" spans="6:80" x14ac:dyDescent="0.35">
      <c r="F84" s="53">
        <v>28</v>
      </c>
      <c r="G84" s="401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R84" s="401"/>
      <c r="AS84" s="401"/>
      <c r="AT84" s="401"/>
      <c r="AU84" s="401"/>
      <c r="AV84" s="401"/>
      <c r="AW84" s="401"/>
      <c r="AX84" s="401"/>
      <c r="AY84" s="401"/>
      <c r="AZ84" s="401"/>
      <c r="BA84" s="401"/>
      <c r="BB84" s="401"/>
      <c r="BC84" s="401"/>
      <c r="BD84" s="401"/>
      <c r="BE84" s="401"/>
      <c r="BF84" s="401"/>
      <c r="BG84" s="401"/>
      <c r="BH84" s="401"/>
      <c r="BI84" s="401"/>
      <c r="BJ84" s="401"/>
      <c r="BK84" s="401"/>
      <c r="BL84" s="401"/>
      <c r="BM84" s="401"/>
      <c r="BN84" s="401"/>
      <c r="BO84" s="401"/>
      <c r="BP84" s="401"/>
      <c r="BQ84" s="401"/>
      <c r="BR84" s="401"/>
      <c r="BS84" s="401"/>
      <c r="BT84" s="401"/>
      <c r="BU84" s="401"/>
      <c r="BV84" s="401"/>
      <c r="BW84" s="401"/>
      <c r="BX84" s="401"/>
      <c r="BY84" s="401"/>
      <c r="BZ84" s="401"/>
      <c r="CA84" s="401"/>
      <c r="CB84" s="53">
        <v>28</v>
      </c>
    </row>
    <row r="85" spans="6:80" x14ac:dyDescent="0.35">
      <c r="F85" s="53">
        <v>27</v>
      </c>
      <c r="G85" s="401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R85" s="401"/>
      <c r="AS85" s="401"/>
      <c r="AT85" s="401"/>
      <c r="AU85" s="401"/>
      <c r="AV85" s="401"/>
      <c r="AW85" s="401"/>
      <c r="AX85" s="401"/>
      <c r="AY85" s="401"/>
      <c r="AZ85" s="401"/>
      <c r="BA85" s="401"/>
      <c r="BB85" s="401"/>
      <c r="BC85" s="401"/>
      <c r="BD85" s="401"/>
      <c r="BE85" s="401"/>
      <c r="BF85" s="401"/>
      <c r="BG85" s="401"/>
      <c r="BH85" s="401"/>
      <c r="BI85" s="401"/>
      <c r="BJ85" s="401"/>
      <c r="BK85" s="401"/>
      <c r="BL85" s="401"/>
      <c r="BM85" s="401"/>
      <c r="BN85" s="401"/>
      <c r="BO85" s="401"/>
      <c r="BP85" s="401"/>
      <c r="BQ85" s="401"/>
      <c r="BR85" s="401"/>
      <c r="BS85" s="401"/>
      <c r="BT85" s="401"/>
      <c r="BU85" s="401"/>
      <c r="BV85" s="401"/>
      <c r="BW85" s="401"/>
      <c r="BX85" s="401"/>
      <c r="BY85" s="401"/>
      <c r="BZ85" s="401"/>
      <c r="CA85" s="401"/>
      <c r="CB85" s="53">
        <v>27</v>
      </c>
    </row>
    <row r="86" spans="6:80" x14ac:dyDescent="0.35">
      <c r="F86" s="53">
        <v>26</v>
      </c>
      <c r="G86" s="401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R86" s="401"/>
      <c r="AS86" s="401"/>
      <c r="AT86" s="401"/>
      <c r="AU86" s="401"/>
      <c r="AV86" s="401"/>
      <c r="AW86" s="401"/>
      <c r="AX86" s="401"/>
      <c r="AY86" s="401"/>
      <c r="AZ86" s="401"/>
      <c r="BA86" s="401"/>
      <c r="BB86" s="401"/>
      <c r="BC86" s="401"/>
      <c r="BD86" s="401"/>
      <c r="BE86" s="401"/>
      <c r="BF86" s="401"/>
      <c r="BG86" s="401"/>
      <c r="BH86" s="401"/>
      <c r="BI86" s="401"/>
      <c r="BJ86" s="401"/>
      <c r="BK86" s="401"/>
      <c r="BL86" s="401"/>
      <c r="BM86" s="401"/>
      <c r="BN86" s="401"/>
      <c r="BO86" s="401"/>
      <c r="BP86" s="401"/>
      <c r="BQ86" s="401"/>
      <c r="BR86" s="401"/>
      <c r="BS86" s="401"/>
      <c r="BT86" s="401"/>
      <c r="BU86" s="401"/>
      <c r="BV86" s="401"/>
      <c r="BW86" s="401"/>
      <c r="BX86" s="401"/>
      <c r="BY86" s="401"/>
      <c r="BZ86" s="401"/>
      <c r="CA86" s="401"/>
      <c r="CB86" s="53">
        <v>26</v>
      </c>
    </row>
    <row r="87" spans="6:80" x14ac:dyDescent="0.35">
      <c r="F87" s="53">
        <v>25</v>
      </c>
      <c r="G87" s="401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53">
        <v>25</v>
      </c>
    </row>
    <row r="88" spans="6:80" x14ac:dyDescent="0.35">
      <c r="F88" s="53">
        <v>24</v>
      </c>
      <c r="G88" s="401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53">
        <v>24</v>
      </c>
    </row>
    <row r="89" spans="6:80" x14ac:dyDescent="0.35">
      <c r="F89" s="53">
        <v>23</v>
      </c>
      <c r="G89" s="401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53">
        <v>23</v>
      </c>
    </row>
    <row r="90" spans="6:80" x14ac:dyDescent="0.35">
      <c r="F90" s="53">
        <v>22</v>
      </c>
      <c r="G90" s="401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53">
        <v>22</v>
      </c>
    </row>
    <row r="91" spans="6:80" x14ac:dyDescent="0.35">
      <c r="F91" s="53">
        <v>21</v>
      </c>
      <c r="G91" s="401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  <c r="BF91" s="401"/>
      <c r="BG91" s="401"/>
      <c r="BH91" s="401"/>
      <c r="BI91" s="401"/>
      <c r="BJ91" s="401"/>
      <c r="BK91" s="401"/>
      <c r="BL91" s="401"/>
      <c r="BM91" s="401"/>
      <c r="BN91" s="401"/>
      <c r="BO91" s="401"/>
      <c r="BP91" s="401"/>
      <c r="BQ91" s="401"/>
      <c r="BR91" s="401"/>
      <c r="BS91" s="401"/>
      <c r="BT91" s="401"/>
      <c r="BU91" s="401"/>
      <c r="BV91" s="401"/>
      <c r="BW91" s="401"/>
      <c r="BX91" s="401"/>
      <c r="BY91" s="401"/>
      <c r="BZ91" s="401"/>
      <c r="CA91" s="401"/>
      <c r="CB91" s="53">
        <v>21</v>
      </c>
    </row>
    <row r="92" spans="6:80" x14ac:dyDescent="0.35">
      <c r="F92" s="53">
        <v>20</v>
      </c>
      <c r="G92" s="401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401"/>
      <c r="BF92" s="401"/>
      <c r="BG92" s="401"/>
      <c r="BH92" s="401"/>
      <c r="BI92" s="401"/>
      <c r="BJ92" s="401"/>
      <c r="BK92" s="401"/>
      <c r="BL92" s="401"/>
      <c r="BM92" s="401"/>
      <c r="BN92" s="401"/>
      <c r="BO92" s="401"/>
      <c r="BP92" s="401"/>
      <c r="BQ92" s="401"/>
      <c r="BR92" s="401"/>
      <c r="BS92" s="401"/>
      <c r="BT92" s="401"/>
      <c r="BU92" s="401"/>
      <c r="BV92" s="401"/>
      <c r="BW92" s="401"/>
      <c r="BX92" s="401"/>
      <c r="BY92" s="401"/>
      <c r="BZ92" s="401"/>
      <c r="CA92" s="401"/>
      <c r="CB92" s="53">
        <v>20</v>
      </c>
    </row>
    <row r="93" spans="6:80" x14ac:dyDescent="0.35">
      <c r="F93" s="53">
        <v>19</v>
      </c>
      <c r="G93" s="401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R93" s="401"/>
      <c r="AS93" s="401"/>
      <c r="AT93" s="401"/>
      <c r="AU93" s="401"/>
      <c r="AV93" s="401"/>
      <c r="AW93" s="401"/>
      <c r="AX93" s="401"/>
      <c r="AY93" s="401"/>
      <c r="AZ93" s="401"/>
      <c r="BA93" s="401"/>
      <c r="BB93" s="401"/>
      <c r="BC93" s="401"/>
      <c r="BD93" s="401"/>
      <c r="BE93" s="401"/>
      <c r="BF93" s="401"/>
      <c r="BG93" s="401"/>
      <c r="BH93" s="401"/>
      <c r="BI93" s="401"/>
      <c r="BJ93" s="401"/>
      <c r="BK93" s="401"/>
      <c r="BL93" s="401"/>
      <c r="BM93" s="401"/>
      <c r="BN93" s="401"/>
      <c r="BO93" s="401"/>
      <c r="BP93" s="401"/>
      <c r="BQ93" s="401"/>
      <c r="BR93" s="401"/>
      <c r="BS93" s="401"/>
      <c r="BT93" s="401"/>
      <c r="BU93" s="401"/>
      <c r="BV93" s="401"/>
      <c r="BW93" s="401"/>
      <c r="BX93" s="401"/>
      <c r="BY93" s="401"/>
      <c r="BZ93" s="401"/>
      <c r="CA93" s="401"/>
      <c r="CB93" s="53">
        <v>19</v>
      </c>
    </row>
    <row r="94" spans="6:80" x14ac:dyDescent="0.35">
      <c r="F94" s="53">
        <v>18</v>
      </c>
      <c r="G94" s="401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  <c r="BD94" s="401"/>
      <c r="BE94" s="401"/>
      <c r="BF94" s="401"/>
      <c r="BG94" s="401"/>
      <c r="BH94" s="401"/>
      <c r="BI94" s="401"/>
      <c r="BJ94" s="401"/>
      <c r="BK94" s="401"/>
      <c r="BL94" s="401"/>
      <c r="BM94" s="401"/>
      <c r="BN94" s="401"/>
      <c r="BO94" s="401"/>
      <c r="BP94" s="401"/>
      <c r="BQ94" s="401"/>
      <c r="BR94" s="401"/>
      <c r="BS94" s="401"/>
      <c r="BT94" s="401"/>
      <c r="BU94" s="401"/>
      <c r="BV94" s="401"/>
      <c r="BW94" s="401"/>
      <c r="BX94" s="401"/>
      <c r="BY94" s="401"/>
      <c r="BZ94" s="401"/>
      <c r="CA94" s="401"/>
      <c r="CB94" s="53">
        <v>18</v>
      </c>
    </row>
    <row r="95" spans="6:80" x14ac:dyDescent="0.35">
      <c r="F95" s="53">
        <v>17</v>
      </c>
      <c r="G95" s="401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R95" s="401"/>
      <c r="AS95" s="401"/>
      <c r="AT95" s="401"/>
      <c r="AU95" s="401"/>
      <c r="AV95" s="401"/>
      <c r="AW95" s="401"/>
      <c r="AX95" s="401"/>
      <c r="AY95" s="401"/>
      <c r="AZ95" s="401"/>
      <c r="BA95" s="401"/>
      <c r="BB95" s="401"/>
      <c r="BC95" s="401"/>
      <c r="BD95" s="401"/>
      <c r="BE95" s="401"/>
      <c r="BF95" s="401"/>
      <c r="BG95" s="401"/>
      <c r="BH95" s="401"/>
      <c r="BI95" s="401"/>
      <c r="BJ95" s="401"/>
      <c r="BK95" s="401"/>
      <c r="BL95" s="401"/>
      <c r="BM95" s="401"/>
      <c r="BN95" s="401"/>
      <c r="BO95" s="401"/>
      <c r="BP95" s="401"/>
      <c r="BQ95" s="401"/>
      <c r="BR95" s="401"/>
      <c r="BS95" s="401"/>
      <c r="BT95" s="401"/>
      <c r="BU95" s="401"/>
      <c r="BV95" s="401"/>
      <c r="BW95" s="401"/>
      <c r="BX95" s="401"/>
      <c r="BY95" s="401"/>
      <c r="BZ95" s="401"/>
      <c r="CA95" s="401"/>
      <c r="CB95" s="53">
        <v>17</v>
      </c>
    </row>
    <row r="96" spans="6:80" x14ac:dyDescent="0.35">
      <c r="F96" s="53">
        <v>16</v>
      </c>
      <c r="G96" s="401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1"/>
      <c r="BY96" s="401"/>
      <c r="BZ96" s="401"/>
      <c r="CA96" s="401"/>
      <c r="CB96" s="53">
        <v>16</v>
      </c>
    </row>
    <row r="97" spans="6:80" x14ac:dyDescent="0.35">
      <c r="F97" s="53">
        <v>15</v>
      </c>
      <c r="G97" s="40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01"/>
      <c r="BE97" s="401"/>
      <c r="BF97" s="401"/>
      <c r="BG97" s="401"/>
      <c r="BH97" s="401"/>
      <c r="BI97" s="401"/>
      <c r="BJ97" s="401"/>
      <c r="BK97" s="401"/>
      <c r="BL97" s="401"/>
      <c r="BM97" s="401"/>
      <c r="BN97" s="401"/>
      <c r="BO97" s="401"/>
      <c r="BP97" s="401"/>
      <c r="BQ97" s="401"/>
      <c r="BR97" s="401"/>
      <c r="BS97" s="401"/>
      <c r="BT97" s="401"/>
      <c r="BU97" s="401"/>
      <c r="BV97" s="401"/>
      <c r="BW97" s="401"/>
      <c r="BX97" s="401"/>
      <c r="BY97" s="401"/>
      <c r="BZ97" s="401"/>
      <c r="CA97" s="401"/>
      <c r="CB97" s="53">
        <v>15</v>
      </c>
    </row>
    <row r="98" spans="6:80" x14ac:dyDescent="0.35">
      <c r="F98" s="53">
        <v>14</v>
      </c>
      <c r="G98" s="40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R98" s="401"/>
      <c r="AS98" s="401"/>
      <c r="AT98" s="401"/>
      <c r="AU98" s="401"/>
      <c r="AV98" s="401"/>
      <c r="AW98" s="401"/>
      <c r="AX98" s="401"/>
      <c r="AY98" s="401"/>
      <c r="AZ98" s="401"/>
      <c r="BA98" s="401"/>
      <c r="BB98" s="401"/>
      <c r="BC98" s="401"/>
      <c r="BD98" s="401"/>
      <c r="BE98" s="401"/>
      <c r="BF98" s="401"/>
      <c r="BG98" s="401"/>
      <c r="BH98" s="401"/>
      <c r="BI98" s="401"/>
      <c r="BJ98" s="401"/>
      <c r="BK98" s="401"/>
      <c r="BL98" s="401"/>
      <c r="BM98" s="401"/>
      <c r="BN98" s="401"/>
      <c r="BO98" s="401"/>
      <c r="BP98" s="401"/>
      <c r="BQ98" s="401"/>
      <c r="BR98" s="401"/>
      <c r="BS98" s="401"/>
      <c r="BT98" s="401"/>
      <c r="BU98" s="401"/>
      <c r="BV98" s="401"/>
      <c r="BW98" s="401"/>
      <c r="BX98" s="401"/>
      <c r="BY98" s="401"/>
      <c r="BZ98" s="401"/>
      <c r="CA98" s="401"/>
      <c r="CB98" s="53">
        <v>14</v>
      </c>
    </row>
    <row r="99" spans="6:80" x14ac:dyDescent="0.35">
      <c r="F99" s="53">
        <v>13</v>
      </c>
      <c r="G99" s="401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1"/>
      <c r="BC99" s="401"/>
      <c r="BD99" s="401"/>
      <c r="BE99" s="401"/>
      <c r="BF99" s="401"/>
      <c r="BG99" s="401"/>
      <c r="BH99" s="401"/>
      <c r="BI99" s="401"/>
      <c r="BJ99" s="401"/>
      <c r="BK99" s="401"/>
      <c r="BL99" s="401"/>
      <c r="BM99" s="401"/>
      <c r="BN99" s="401"/>
      <c r="BO99" s="401"/>
      <c r="BP99" s="401"/>
      <c r="BQ99" s="401"/>
      <c r="BR99" s="401"/>
      <c r="BS99" s="401"/>
      <c r="BT99" s="401"/>
      <c r="BU99" s="401"/>
      <c r="BV99" s="401"/>
      <c r="BW99" s="401"/>
      <c r="BX99" s="401"/>
      <c r="BY99" s="401"/>
      <c r="BZ99" s="401"/>
      <c r="CA99" s="401"/>
      <c r="CB99" s="53">
        <v>13</v>
      </c>
    </row>
    <row r="100" spans="6:80" x14ac:dyDescent="0.35">
      <c r="F100" s="53">
        <v>12</v>
      </c>
      <c r="G100" s="401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R100" s="401"/>
      <c r="AS100" s="401"/>
      <c r="AT100" s="401"/>
      <c r="AU100" s="401"/>
      <c r="AV100" s="401"/>
      <c r="AW100" s="401"/>
      <c r="AX100" s="401"/>
      <c r="AY100" s="401"/>
      <c r="AZ100" s="401"/>
      <c r="BA100" s="401"/>
      <c r="BB100" s="401"/>
      <c r="BC100" s="401"/>
      <c r="BD100" s="401"/>
      <c r="BE100" s="401"/>
      <c r="BF100" s="401"/>
      <c r="BG100" s="401"/>
      <c r="BH100" s="401"/>
      <c r="BI100" s="401"/>
      <c r="BJ100" s="401"/>
      <c r="BK100" s="401"/>
      <c r="BL100" s="401"/>
      <c r="BM100" s="401"/>
      <c r="BN100" s="401"/>
      <c r="BO100" s="401"/>
      <c r="BP100" s="401"/>
      <c r="BQ100" s="401"/>
      <c r="BR100" s="401"/>
      <c r="BS100" s="401"/>
      <c r="BT100" s="401"/>
      <c r="BU100" s="401"/>
      <c r="BV100" s="401"/>
      <c r="BW100" s="401"/>
      <c r="BX100" s="401"/>
      <c r="BY100" s="401"/>
      <c r="BZ100" s="401"/>
      <c r="CA100" s="401"/>
      <c r="CB100" s="53">
        <v>12</v>
      </c>
    </row>
    <row r="101" spans="6:80" x14ac:dyDescent="0.35">
      <c r="F101" s="53">
        <v>11</v>
      </c>
      <c r="G101" s="401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01"/>
      <c r="BE101" s="401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 s="401"/>
      <c r="BP101" s="401"/>
      <c r="BQ101" s="401"/>
      <c r="BR101" s="401"/>
      <c r="BS101" s="401"/>
      <c r="BT101" s="401"/>
      <c r="BU101" s="401"/>
      <c r="BV101" s="401"/>
      <c r="BW101" s="401"/>
      <c r="BX101" s="401"/>
      <c r="BY101" s="401"/>
      <c r="BZ101" s="401"/>
      <c r="CA101" s="401"/>
      <c r="CB101" s="53">
        <v>11</v>
      </c>
    </row>
    <row r="102" spans="6:80" x14ac:dyDescent="0.35">
      <c r="F102" s="53">
        <v>10</v>
      </c>
      <c r="G102" s="401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53">
        <v>10</v>
      </c>
    </row>
    <row r="103" spans="6:80" x14ac:dyDescent="0.35">
      <c r="F103" s="53">
        <v>9</v>
      </c>
      <c r="G103" s="401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53">
        <v>9</v>
      </c>
    </row>
    <row r="104" spans="6:80" x14ac:dyDescent="0.35">
      <c r="F104" s="53">
        <v>8</v>
      </c>
      <c r="G104" s="401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53">
        <v>8</v>
      </c>
    </row>
    <row r="105" spans="6:80" x14ac:dyDescent="0.35">
      <c r="F105" s="53">
        <v>7</v>
      </c>
      <c r="G105" s="40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53">
        <v>7</v>
      </c>
    </row>
    <row r="106" spans="6:80" x14ac:dyDescent="0.35">
      <c r="F106" s="53">
        <v>6</v>
      </c>
      <c r="G106" s="401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  <c r="BQ106" s="401"/>
      <c r="BR106" s="401"/>
      <c r="BS106" s="401"/>
      <c r="BT106" s="401"/>
      <c r="BU106" s="401"/>
      <c r="BV106" s="401"/>
      <c r="BW106" s="401"/>
      <c r="BX106" s="401"/>
      <c r="BY106" s="401"/>
      <c r="BZ106" s="401"/>
      <c r="CA106" s="401"/>
      <c r="CB106" s="53">
        <v>6</v>
      </c>
    </row>
    <row r="107" spans="6:80" x14ac:dyDescent="0.35">
      <c r="F107" s="53">
        <v>5</v>
      </c>
      <c r="G107" s="401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R107" s="401"/>
      <c r="AS107" s="401"/>
      <c r="AT107" s="401"/>
      <c r="AU107" s="401"/>
      <c r="AV107" s="401"/>
      <c r="AW107" s="401"/>
      <c r="AX107" s="401"/>
      <c r="AY107" s="401"/>
      <c r="AZ107" s="401"/>
      <c r="BA107" s="401"/>
      <c r="BB107" s="401"/>
      <c r="BC107" s="401"/>
      <c r="BD107" s="401"/>
      <c r="BE107" s="401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 s="401"/>
      <c r="BP107" s="401"/>
      <c r="BQ107" s="401"/>
      <c r="BR107" s="401"/>
      <c r="BS107" s="401"/>
      <c r="BT107" s="401"/>
      <c r="BU107" s="401"/>
      <c r="BV107" s="401"/>
      <c r="BW107" s="401"/>
      <c r="BX107" s="401"/>
      <c r="BY107" s="401"/>
      <c r="BZ107" s="401"/>
      <c r="CA107" s="401"/>
      <c r="CB107" s="53">
        <v>5</v>
      </c>
    </row>
    <row r="108" spans="6:80" x14ac:dyDescent="0.35">
      <c r="F108" s="53">
        <v>4</v>
      </c>
      <c r="G108" s="401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  <c r="BQ108" s="401"/>
      <c r="BR108" s="401"/>
      <c r="BS108" s="401"/>
      <c r="BT108" s="401"/>
      <c r="BU108" s="401"/>
      <c r="BV108" s="401"/>
      <c r="BW108" s="401"/>
      <c r="BX108" s="401"/>
      <c r="BY108" s="401"/>
      <c r="BZ108" s="401"/>
      <c r="CA108" s="401"/>
      <c r="CB108" s="53">
        <v>4</v>
      </c>
    </row>
    <row r="109" spans="6:80" x14ac:dyDescent="0.35">
      <c r="F109" s="53">
        <v>3</v>
      </c>
      <c r="G109" s="401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  <c r="BQ109" s="401"/>
      <c r="BR109" s="401"/>
      <c r="BS109" s="401"/>
      <c r="BT109" s="401"/>
      <c r="BU109" s="401"/>
      <c r="BV109" s="401"/>
      <c r="BW109" s="401"/>
      <c r="BX109" s="401"/>
      <c r="BY109" s="401"/>
      <c r="BZ109" s="401"/>
      <c r="CA109" s="401"/>
      <c r="CB109" s="53">
        <v>3</v>
      </c>
    </row>
    <row r="110" spans="6:80" x14ac:dyDescent="0.35">
      <c r="F110" s="53">
        <v>2</v>
      </c>
      <c r="G110" s="401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1"/>
      <c r="BG110" s="401"/>
      <c r="BH110" s="401"/>
      <c r="BI110" s="401"/>
      <c r="BJ110" s="401"/>
      <c r="BK110" s="401"/>
      <c r="BL110" s="401"/>
      <c r="BM110" s="401"/>
      <c r="BN110" s="401"/>
      <c r="BO110" s="401"/>
      <c r="BP110" s="401"/>
      <c r="BQ110" s="401"/>
      <c r="BR110" s="401"/>
      <c r="BS110" s="401"/>
      <c r="BT110" s="401"/>
      <c r="BU110" s="401"/>
      <c r="BV110" s="401"/>
      <c r="BW110" s="401"/>
      <c r="BX110" s="401"/>
      <c r="BY110" s="401"/>
      <c r="BZ110" s="401"/>
      <c r="CA110" s="401"/>
      <c r="CB110" s="53">
        <v>2</v>
      </c>
    </row>
    <row r="111" spans="6:80" x14ac:dyDescent="0.35">
      <c r="F111" s="53">
        <v>1</v>
      </c>
      <c r="G111" s="401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401"/>
      <c r="BB111" s="401"/>
      <c r="BC111" s="401"/>
      <c r="BD111" s="401"/>
      <c r="BE111" s="401"/>
      <c r="BF111" s="401"/>
      <c r="BG111" s="401"/>
      <c r="BH111" s="401"/>
      <c r="BI111" s="401"/>
      <c r="BJ111" s="401"/>
      <c r="BK111" s="401"/>
      <c r="BL111" s="401"/>
      <c r="BM111" s="401"/>
      <c r="BN111" s="401"/>
      <c r="BO111" s="401"/>
      <c r="BP111" s="401"/>
      <c r="BQ111" s="401"/>
      <c r="BR111" s="401"/>
      <c r="BS111" s="401"/>
      <c r="BT111" s="401"/>
      <c r="BU111" s="401"/>
      <c r="BV111" s="401"/>
      <c r="BW111" s="401"/>
      <c r="BX111" s="401"/>
      <c r="BY111" s="401"/>
      <c r="BZ111" s="401"/>
      <c r="CA111" s="401"/>
      <c r="CB111" s="53">
        <v>1</v>
      </c>
    </row>
    <row r="112" spans="6:80" ht="19" customHeight="1" x14ac:dyDescent="0.35">
      <c r="G112" s="472">
        <v>1</v>
      </c>
      <c r="H112" s="472">
        <v>2</v>
      </c>
      <c r="I112" s="472">
        <v>3</v>
      </c>
      <c r="J112" s="472">
        <v>4</v>
      </c>
      <c r="K112" s="472">
        <v>5</v>
      </c>
      <c r="L112" s="472">
        <v>6</v>
      </c>
      <c r="M112" s="472">
        <v>7</v>
      </c>
      <c r="N112" s="472">
        <v>8</v>
      </c>
      <c r="O112" s="472">
        <v>9</v>
      </c>
      <c r="P112" s="472">
        <v>10</v>
      </c>
      <c r="Q112" s="472">
        <v>11</v>
      </c>
      <c r="R112" s="472">
        <v>12</v>
      </c>
      <c r="S112" s="472">
        <v>13</v>
      </c>
      <c r="T112" s="472">
        <v>14</v>
      </c>
      <c r="U112" s="472">
        <v>15</v>
      </c>
      <c r="V112" s="472">
        <v>16</v>
      </c>
      <c r="W112" s="472">
        <v>17</v>
      </c>
      <c r="X112" s="472">
        <v>18</v>
      </c>
      <c r="Y112" s="472">
        <v>19</v>
      </c>
      <c r="Z112" s="472">
        <v>20</v>
      </c>
      <c r="AA112" s="472">
        <v>21</v>
      </c>
      <c r="AB112" s="472">
        <v>22</v>
      </c>
      <c r="AC112" s="472">
        <v>23</v>
      </c>
      <c r="AD112" s="472">
        <v>24</v>
      </c>
      <c r="AE112" s="472">
        <v>25</v>
      </c>
      <c r="AF112" s="472">
        <v>26</v>
      </c>
      <c r="AG112" s="472">
        <v>27</v>
      </c>
      <c r="AH112" s="472">
        <v>28</v>
      </c>
      <c r="AI112" s="472">
        <v>29</v>
      </c>
      <c r="AJ112" s="472">
        <v>30</v>
      </c>
      <c r="AK112" s="472">
        <v>31</v>
      </c>
      <c r="AL112" s="472">
        <v>32</v>
      </c>
      <c r="AM112" s="472">
        <v>33</v>
      </c>
      <c r="AN112" s="472">
        <v>34</v>
      </c>
      <c r="AO112" s="472">
        <v>35</v>
      </c>
      <c r="AP112" s="472">
        <v>36</v>
      </c>
      <c r="AQ112" s="436"/>
      <c r="AR112" s="472">
        <v>1</v>
      </c>
      <c r="AS112" s="472">
        <v>2</v>
      </c>
      <c r="AT112" s="472">
        <v>3</v>
      </c>
      <c r="AU112" s="472">
        <v>4</v>
      </c>
      <c r="AV112" s="472">
        <v>5</v>
      </c>
      <c r="AW112" s="472">
        <v>6</v>
      </c>
      <c r="AX112" s="472">
        <v>7</v>
      </c>
      <c r="AY112" s="472">
        <v>8</v>
      </c>
      <c r="AZ112" s="472">
        <v>9</v>
      </c>
      <c r="BA112" s="472">
        <v>10</v>
      </c>
      <c r="BB112" s="472">
        <v>11</v>
      </c>
      <c r="BC112" s="472">
        <v>12</v>
      </c>
      <c r="BD112" s="472">
        <v>13</v>
      </c>
      <c r="BE112" s="472">
        <v>14</v>
      </c>
      <c r="BF112" s="472">
        <v>15</v>
      </c>
      <c r="BG112" s="472">
        <v>16</v>
      </c>
      <c r="BH112" s="472">
        <v>17</v>
      </c>
      <c r="BI112" s="472">
        <v>18</v>
      </c>
      <c r="BJ112" s="472">
        <v>19</v>
      </c>
      <c r="BK112" s="472">
        <v>20</v>
      </c>
      <c r="BL112" s="472">
        <v>21</v>
      </c>
      <c r="BM112" s="472">
        <v>22</v>
      </c>
      <c r="BN112" s="472">
        <v>23</v>
      </c>
      <c r="BO112" s="472">
        <v>24</v>
      </c>
      <c r="BP112" s="472">
        <v>25</v>
      </c>
      <c r="BQ112" s="472">
        <v>26</v>
      </c>
      <c r="BR112" s="472">
        <v>27</v>
      </c>
      <c r="BS112" s="472">
        <v>28</v>
      </c>
      <c r="BT112" s="472">
        <v>29</v>
      </c>
      <c r="BU112" s="472">
        <v>30</v>
      </c>
      <c r="BV112" s="472">
        <v>31</v>
      </c>
      <c r="BW112" s="472">
        <v>32</v>
      </c>
      <c r="BX112" s="472">
        <v>33</v>
      </c>
      <c r="BY112" s="472">
        <v>34</v>
      </c>
      <c r="BZ112" s="472">
        <v>35</v>
      </c>
      <c r="CA112" s="472">
        <v>36</v>
      </c>
    </row>
    <row r="113" spans="7:44" x14ac:dyDescent="0.35">
      <c r="G113" s="49" t="s">
        <v>167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AR113" s="49" t="s">
        <v>167</v>
      </c>
    </row>
    <row r="114" spans="7:44" x14ac:dyDescent="0.35">
      <c r="G114" s="49" t="s">
        <v>173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AR114" s="49" t="s">
        <v>14</v>
      </c>
    </row>
  </sheetData>
  <mergeCells count="5">
    <mergeCell ref="D8:D9"/>
    <mergeCell ref="C9:C10"/>
    <mergeCell ref="A14:B14"/>
    <mergeCell ref="F14:R14"/>
    <mergeCell ref="A4:C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6103-67A3-4B02-A455-6C017CB885C5}">
  <dimension ref="A1:LL93"/>
  <sheetViews>
    <sheetView topLeftCell="A3" zoomScale="55" zoomScaleNormal="55" workbookViewId="0">
      <selection activeCell="A28" sqref="A28:C28"/>
    </sheetView>
  </sheetViews>
  <sheetFormatPr baseColWidth="10" defaultRowHeight="14.5" x14ac:dyDescent="0.35"/>
  <cols>
    <col min="1" max="1" width="15.453125" customWidth="1"/>
    <col min="2" max="2" width="11.453125" customWidth="1"/>
    <col min="3" max="3" width="11.54296875" customWidth="1"/>
    <col min="4" max="4" width="15" customWidth="1"/>
    <col min="5" max="5" width="7.81640625" customWidth="1"/>
    <col min="6" max="6" width="4.26953125" style="49" customWidth="1"/>
    <col min="7" max="107" width="1.26953125" customWidth="1"/>
    <col min="108" max="109" width="3.26953125" customWidth="1"/>
    <col min="110" max="110" width="5" customWidth="1"/>
    <col min="111" max="326" width="1.26953125" customWidth="1"/>
  </cols>
  <sheetData>
    <row r="1" spans="1:111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514"/>
      <c r="G1" s="22"/>
      <c r="H1" s="22"/>
      <c r="I1" s="22"/>
      <c r="J1" s="22"/>
      <c r="K1" s="22"/>
    </row>
    <row r="2" spans="1:111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100 pacientes, a los 36 meses</v>
      </c>
      <c r="F2" s="514"/>
      <c r="G2" s="22"/>
      <c r="H2" s="22"/>
      <c r="I2" s="22"/>
      <c r="J2" s="22"/>
      <c r="K2" s="22"/>
      <c r="L2" s="24" t="str">
        <f>CONCATENATE(A2," ",E2,D2)</f>
        <v>NO puede representarse llegando los 100 pacientes, a los 36 meses, pues habría que recortar o ampliar los tiempos respectivos de uno o más pacientes "libres de evento" o "con evento"</v>
      </c>
      <c r="M2" s="24"/>
      <c r="N2" s="24"/>
      <c r="O2" s="24"/>
      <c r="P2" s="24"/>
    </row>
    <row r="3" spans="1:111" ht="6.75" customHeight="1" thickBot="1" x14ac:dyDescent="0.4">
      <c r="A3" s="25"/>
      <c r="C3" s="25"/>
      <c r="D3" s="25"/>
      <c r="E3" s="25"/>
      <c r="F3" s="51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6"/>
      <c r="AA3" s="26"/>
      <c r="AB3" s="26"/>
    </row>
    <row r="4" spans="1:111" ht="40.5" customHeight="1" thickBot="1" x14ac:dyDescent="0.4">
      <c r="A4" s="602" t="s">
        <v>385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03"/>
      <c r="CZ4" s="603"/>
      <c r="DA4" s="603"/>
      <c r="DB4" s="603"/>
      <c r="DC4" s="603"/>
      <c r="DD4" s="604"/>
      <c r="DE4" s="516"/>
    </row>
    <row r="5" spans="1:111" ht="26" x14ac:dyDescent="0.35">
      <c r="A5" s="517" t="s">
        <v>369</v>
      </c>
      <c r="B5" s="518">
        <v>100</v>
      </c>
      <c r="C5" s="439">
        <v>8.6015639207128576</v>
      </c>
      <c r="D5" s="437">
        <v>0.64488675274910201</v>
      </c>
      <c r="E5" s="550">
        <v>90.753549326538035</v>
      </c>
      <c r="H5" s="386" t="s">
        <v>367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111" ht="15" customHeight="1" x14ac:dyDescent="0.35">
      <c r="A6" s="25"/>
      <c r="B6" s="519">
        <f>C8/C5</f>
        <v>19.349517559420963</v>
      </c>
      <c r="C6" s="520">
        <f>19*C5</f>
        <v>163.42971449354428</v>
      </c>
      <c r="D6" s="521">
        <f>D8/(C5+D5)</f>
        <v>19.255396471513077</v>
      </c>
      <c r="E6" s="522">
        <f>19*(C5+D5)</f>
        <v>175.68256279577722</v>
      </c>
      <c r="F6" s="515"/>
      <c r="G6" s="25"/>
      <c r="H6" s="385" t="s">
        <v>171</v>
      </c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111" ht="39" x14ac:dyDescent="0.35">
      <c r="A7" s="393" t="s">
        <v>164</v>
      </c>
      <c r="B7" s="29" t="s">
        <v>146</v>
      </c>
      <c r="C7" s="30" t="str">
        <f>CONCATENATE(A1," ",B1," ",B5," ",C1)</f>
        <v>meses de los 100 del grupo Interv</v>
      </c>
      <c r="D7" s="30" t="str">
        <f>CONCATENATE(A1," ",B1," ",B5," ",D1)</f>
        <v>meses de los 100 del grupo Contr</v>
      </c>
      <c r="E7" s="523"/>
      <c r="F7" s="5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111" ht="25.5" customHeight="1" x14ac:dyDescent="0.35">
      <c r="A8" s="31" t="s">
        <v>1</v>
      </c>
      <c r="B8" s="32">
        <v>1.6643611212231526</v>
      </c>
      <c r="C8" s="424">
        <f>B8*B5</f>
        <v>166.43611212231525</v>
      </c>
      <c r="D8" s="592">
        <f>(B8+B9)*B5</f>
        <v>178.04407367179911</v>
      </c>
      <c r="E8" s="525">
        <f>C8-C6</f>
        <v>3.0063976287709693</v>
      </c>
      <c r="F8" s="524"/>
      <c r="G8" s="33"/>
      <c r="H8" s="33"/>
      <c r="I8" s="33"/>
      <c r="J8" s="33"/>
      <c r="K8" s="33"/>
      <c r="L8" s="34"/>
      <c r="M8" s="34"/>
      <c r="N8" s="34"/>
      <c r="O8" s="34"/>
      <c r="P8" s="3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111" ht="26.5" x14ac:dyDescent="0.35">
      <c r="A9" s="35" t="s">
        <v>3</v>
      </c>
      <c r="B9" s="36">
        <v>0.11607961549483847</v>
      </c>
      <c r="C9" s="593">
        <f>(B10+B9)*B5</f>
        <v>3433.5638878776849</v>
      </c>
      <c r="D9" s="592"/>
      <c r="E9" s="526"/>
      <c r="F9"/>
      <c r="G9" s="37"/>
      <c r="H9" s="37"/>
      <c r="I9" s="37"/>
      <c r="J9" s="37"/>
      <c r="K9" s="37"/>
      <c r="L9" s="34"/>
      <c r="M9" s="34"/>
      <c r="N9" s="34"/>
      <c r="O9" s="34"/>
      <c r="P9" s="34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111" ht="26.5" x14ac:dyDescent="0.35">
      <c r="A10" s="38" t="s">
        <v>2</v>
      </c>
      <c r="B10" s="39">
        <v>34.219559263282008</v>
      </c>
      <c r="C10" s="593"/>
      <c r="D10" s="40">
        <f>B10*B5</f>
        <v>3421.9559263282008</v>
      </c>
      <c r="E10" s="525">
        <f>D8-C8</f>
        <v>11.607961549483861</v>
      </c>
      <c r="F10" s="524"/>
      <c r="G10" s="37"/>
      <c r="H10" s="37"/>
      <c r="I10" s="37"/>
      <c r="J10" s="37"/>
      <c r="K10" s="37"/>
      <c r="L10" s="41"/>
      <c r="M10" s="41"/>
      <c r="N10" s="41"/>
      <c r="O10" s="41"/>
      <c r="P10" s="41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111" x14ac:dyDescent="0.35">
      <c r="A11" s="2"/>
      <c r="B11" s="42">
        <v>36</v>
      </c>
      <c r="C11" s="43">
        <f>C8+C9</f>
        <v>3600</v>
      </c>
      <c r="D11" s="43">
        <f>D8+D10</f>
        <v>3600</v>
      </c>
      <c r="E11" s="525">
        <f>D8/9</f>
        <v>19.782674852422122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111" ht="9" customHeight="1" x14ac:dyDescent="0.35">
      <c r="A12" s="25"/>
      <c r="B12" s="25"/>
      <c r="C12" s="25"/>
      <c r="D12" s="25"/>
      <c r="E12" s="25"/>
      <c r="F12" s="51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111" x14ac:dyDescent="0.35">
      <c r="A13" s="25"/>
      <c r="B13" s="25"/>
      <c r="C13" s="21">
        <f>(E5+D5)*B11</f>
        <v>3290.3436988543372</v>
      </c>
      <c r="D13" s="21">
        <f>E5*B11</f>
        <v>3267.1277757553694</v>
      </c>
      <c r="E13" s="527"/>
      <c r="F13" s="528" t="s">
        <v>12</v>
      </c>
      <c r="G13" s="45"/>
      <c r="H13" s="45"/>
      <c r="I13" s="45"/>
      <c r="J13" s="45"/>
      <c r="K13" s="4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11" ht="36" customHeight="1" x14ac:dyDescent="0.35">
      <c r="A14" s="594" t="s">
        <v>13</v>
      </c>
      <c r="B14" s="594"/>
      <c r="C14" s="46">
        <f>C9-C13</f>
        <v>143.22018902334776</v>
      </c>
      <c r="D14" s="46">
        <f>D10-D13</f>
        <v>154.82815057283142</v>
      </c>
      <c r="F14" s="595" t="str">
        <f>IF((AND(((B9+B10)/B11)&gt;((D5+E5)/B5),(B10/B11)&gt;(E5/B5))),E2,L2)</f>
        <v>puede representarse llegando los 100 pacientes, a los 36 meses</v>
      </c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7"/>
    </row>
    <row r="15" spans="1:111" ht="17.5" customHeight="1" x14ac:dyDescent="0.35">
      <c r="A15" s="529"/>
      <c r="B15" s="529"/>
      <c r="C15" s="529"/>
      <c r="D15" s="529"/>
      <c r="F15" s="530"/>
      <c r="G15" s="49" t="s">
        <v>387</v>
      </c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DG15" s="49" t="s">
        <v>370</v>
      </c>
    </row>
    <row r="16" spans="1:111" ht="15" thickBot="1" x14ac:dyDescent="0.4">
      <c r="G16" s="49" t="s">
        <v>371</v>
      </c>
      <c r="H16" s="49"/>
      <c r="I16" s="49"/>
      <c r="J16" s="49"/>
      <c r="K16" s="49"/>
      <c r="L16" s="49"/>
      <c r="M16" s="49"/>
      <c r="N16" s="49"/>
      <c r="O16" s="49"/>
      <c r="AV16" s="531"/>
      <c r="DG16" s="49" t="s">
        <v>371</v>
      </c>
    </row>
    <row r="17" spans="1:324" ht="15" thickBot="1" x14ac:dyDescent="0.4">
      <c r="A17" s="403" t="s">
        <v>372</v>
      </c>
      <c r="B17" s="363"/>
      <c r="C17" s="364"/>
      <c r="G17" s="532">
        <v>1</v>
      </c>
      <c r="H17" s="532">
        <v>2</v>
      </c>
      <c r="I17" s="532">
        <v>3</v>
      </c>
      <c r="J17" s="532">
        <v>4</v>
      </c>
      <c r="K17" s="532">
        <v>5</v>
      </c>
      <c r="L17" s="532">
        <v>6</v>
      </c>
      <c r="M17" s="532">
        <v>7</v>
      </c>
      <c r="N17" s="532">
        <v>8</v>
      </c>
      <c r="O17" s="532">
        <v>9</v>
      </c>
      <c r="P17" s="532">
        <v>10</v>
      </c>
      <c r="Q17" s="532">
        <v>11</v>
      </c>
      <c r="R17" s="532">
        <v>12</v>
      </c>
      <c r="S17" s="532">
        <v>13</v>
      </c>
      <c r="T17" s="532">
        <v>14</v>
      </c>
      <c r="U17" s="532">
        <v>15</v>
      </c>
      <c r="V17" s="532">
        <v>16</v>
      </c>
      <c r="W17" s="532">
        <v>17</v>
      </c>
      <c r="X17" s="532">
        <v>18</v>
      </c>
      <c r="Y17" s="532">
        <v>19</v>
      </c>
      <c r="Z17" s="532">
        <v>20</v>
      </c>
      <c r="AA17" s="532">
        <v>21</v>
      </c>
      <c r="AB17" s="532">
        <v>22</v>
      </c>
      <c r="AC17" s="532">
        <v>23</v>
      </c>
      <c r="AD17" s="532">
        <v>24</v>
      </c>
      <c r="AE17" s="532">
        <v>25</v>
      </c>
      <c r="AF17" s="532">
        <v>26</v>
      </c>
      <c r="AG17" s="532">
        <v>27</v>
      </c>
      <c r="AH17" s="532">
        <v>28</v>
      </c>
      <c r="AI17" s="532">
        <v>29</v>
      </c>
      <c r="AJ17" s="532">
        <v>30</v>
      </c>
      <c r="AK17" s="532">
        <v>31</v>
      </c>
      <c r="AL17" s="532">
        <v>32</v>
      </c>
      <c r="AM17" s="532">
        <v>33</v>
      </c>
      <c r="AN17" s="532">
        <v>34</v>
      </c>
      <c r="AO17" s="532">
        <v>35</v>
      </c>
      <c r="AP17" s="532">
        <v>36</v>
      </c>
      <c r="AQ17" s="532">
        <v>37</v>
      </c>
      <c r="AR17" s="532">
        <v>38</v>
      </c>
      <c r="AS17" s="532">
        <v>39</v>
      </c>
      <c r="AT17" s="532">
        <v>40</v>
      </c>
      <c r="AU17" s="532">
        <v>41</v>
      </c>
      <c r="AV17" s="532">
        <v>42</v>
      </c>
      <c r="AW17" s="532">
        <v>43</v>
      </c>
      <c r="AX17" s="532">
        <v>44</v>
      </c>
      <c r="AY17" s="532">
        <v>45</v>
      </c>
      <c r="AZ17" s="532">
        <v>46</v>
      </c>
      <c r="BA17" s="532">
        <v>47</v>
      </c>
      <c r="BB17" s="532">
        <v>48</v>
      </c>
      <c r="BC17" s="532">
        <v>49</v>
      </c>
      <c r="BD17" s="532">
        <v>50</v>
      </c>
      <c r="BE17" s="532">
        <v>51</v>
      </c>
      <c r="BF17" s="532">
        <v>52</v>
      </c>
      <c r="BG17" s="532">
        <v>53</v>
      </c>
      <c r="BH17" s="532">
        <v>54</v>
      </c>
      <c r="BI17" s="532">
        <v>55</v>
      </c>
      <c r="BJ17" s="532">
        <v>56</v>
      </c>
      <c r="BK17" s="532">
        <v>57</v>
      </c>
      <c r="BL17" s="532">
        <v>58</v>
      </c>
      <c r="BM17" s="532">
        <v>59</v>
      </c>
      <c r="BN17" s="532">
        <v>60</v>
      </c>
      <c r="BO17" s="532">
        <v>61</v>
      </c>
      <c r="BP17" s="532">
        <v>62</v>
      </c>
      <c r="BQ17" s="532">
        <v>63</v>
      </c>
      <c r="BR17" s="532">
        <v>64</v>
      </c>
      <c r="BS17" s="532">
        <v>65</v>
      </c>
      <c r="BT17" s="532">
        <v>66</v>
      </c>
      <c r="BU17" s="532">
        <v>67</v>
      </c>
      <c r="BV17" s="532">
        <v>68</v>
      </c>
      <c r="BW17" s="532">
        <v>69</v>
      </c>
      <c r="BX17" s="532">
        <v>70</v>
      </c>
      <c r="BY17" s="532">
        <v>71</v>
      </c>
      <c r="BZ17" s="532">
        <v>72</v>
      </c>
      <c r="CA17" s="532">
        <v>73</v>
      </c>
      <c r="CB17" s="532">
        <v>74</v>
      </c>
      <c r="CC17" s="532">
        <v>75</v>
      </c>
      <c r="CD17" s="532">
        <v>76</v>
      </c>
      <c r="CE17" s="532">
        <v>77</v>
      </c>
      <c r="CF17" s="532">
        <v>78</v>
      </c>
      <c r="CG17" s="532">
        <v>79</v>
      </c>
      <c r="CH17" s="532">
        <v>80</v>
      </c>
      <c r="CI17" s="532">
        <v>81</v>
      </c>
      <c r="CJ17" s="532">
        <v>82</v>
      </c>
      <c r="CK17" s="532">
        <v>83</v>
      </c>
      <c r="CL17" s="532">
        <v>84</v>
      </c>
      <c r="CM17" s="532">
        <v>85</v>
      </c>
      <c r="CN17" s="532">
        <v>86</v>
      </c>
      <c r="CO17" s="532">
        <v>87</v>
      </c>
      <c r="CP17" s="532">
        <v>88</v>
      </c>
      <c r="CQ17" s="532">
        <v>89</v>
      </c>
      <c r="CR17" s="532">
        <v>90</v>
      </c>
      <c r="CS17" s="532">
        <v>91</v>
      </c>
      <c r="CT17" s="533">
        <v>92</v>
      </c>
      <c r="CU17" s="533">
        <v>93</v>
      </c>
      <c r="CV17" s="533">
        <v>94</v>
      </c>
      <c r="CW17" s="533">
        <v>95</v>
      </c>
      <c r="CX17" s="533">
        <v>96</v>
      </c>
      <c r="CY17" s="533">
        <v>97</v>
      </c>
      <c r="CZ17" s="533">
        <v>98</v>
      </c>
      <c r="DA17" s="533">
        <v>99</v>
      </c>
      <c r="DB17" s="533">
        <v>100</v>
      </c>
      <c r="DE17" s="532"/>
      <c r="DF17" s="49"/>
      <c r="DG17" s="533">
        <v>100</v>
      </c>
      <c r="DH17" s="533">
        <v>99</v>
      </c>
      <c r="DI17" s="533">
        <v>98</v>
      </c>
      <c r="DJ17" s="532">
        <v>97</v>
      </c>
      <c r="DK17" s="532">
        <v>96</v>
      </c>
      <c r="DL17" s="532">
        <v>95</v>
      </c>
      <c r="DM17" s="532">
        <v>94</v>
      </c>
      <c r="DN17" s="532">
        <v>93</v>
      </c>
      <c r="DO17" s="532">
        <v>92</v>
      </c>
      <c r="DP17" s="532">
        <v>91</v>
      </c>
      <c r="DQ17" s="532">
        <v>90</v>
      </c>
      <c r="DR17" s="532">
        <v>89</v>
      </c>
      <c r="DS17" s="532">
        <v>88</v>
      </c>
      <c r="DT17" s="532">
        <v>87</v>
      </c>
      <c r="DU17" s="532">
        <v>86</v>
      </c>
      <c r="DV17" s="532">
        <v>85</v>
      </c>
      <c r="DW17" s="532">
        <v>84</v>
      </c>
      <c r="DX17" s="532">
        <v>83</v>
      </c>
      <c r="DY17" s="532">
        <v>82</v>
      </c>
      <c r="DZ17" s="532">
        <v>81</v>
      </c>
      <c r="EA17" s="532">
        <v>80</v>
      </c>
      <c r="EB17" s="532">
        <v>79</v>
      </c>
      <c r="EC17" s="532">
        <v>78</v>
      </c>
      <c r="ED17" s="532">
        <v>77</v>
      </c>
      <c r="EE17" s="532">
        <v>76</v>
      </c>
      <c r="EF17" s="532">
        <v>75</v>
      </c>
      <c r="EG17" s="532">
        <v>74</v>
      </c>
      <c r="EH17" s="532">
        <v>73</v>
      </c>
      <c r="EI17" s="532">
        <v>72</v>
      </c>
      <c r="EJ17" s="532">
        <v>71</v>
      </c>
      <c r="EK17" s="532">
        <v>70</v>
      </c>
      <c r="EL17" s="532">
        <v>69</v>
      </c>
      <c r="EM17" s="532">
        <v>68</v>
      </c>
      <c r="EN17" s="532">
        <v>67</v>
      </c>
      <c r="EO17" s="532">
        <v>66</v>
      </c>
      <c r="EP17" s="532">
        <v>65</v>
      </c>
      <c r="EQ17" s="532">
        <v>64</v>
      </c>
      <c r="ER17" s="532">
        <v>63</v>
      </c>
      <c r="ES17" s="532">
        <v>62</v>
      </c>
      <c r="ET17" s="532">
        <v>61</v>
      </c>
      <c r="EU17" s="532">
        <v>60</v>
      </c>
      <c r="EV17" s="532">
        <v>59</v>
      </c>
      <c r="EW17" s="532">
        <v>58</v>
      </c>
      <c r="EX17" s="532">
        <v>57</v>
      </c>
      <c r="EY17" s="532">
        <v>56</v>
      </c>
      <c r="EZ17" s="532">
        <v>55</v>
      </c>
      <c r="FA17" s="532">
        <v>54</v>
      </c>
      <c r="FB17" s="532">
        <v>53</v>
      </c>
      <c r="FC17" s="532">
        <v>52</v>
      </c>
      <c r="FD17" s="532">
        <v>51</v>
      </c>
      <c r="FE17" s="532">
        <v>50</v>
      </c>
      <c r="FF17" s="532">
        <v>49</v>
      </c>
      <c r="FG17" s="532">
        <v>48</v>
      </c>
      <c r="FH17" s="532">
        <v>47</v>
      </c>
      <c r="FI17" s="532">
        <v>46</v>
      </c>
      <c r="FJ17" s="532">
        <v>45</v>
      </c>
      <c r="FK17" s="532">
        <v>44</v>
      </c>
      <c r="FL17" s="532">
        <v>43</v>
      </c>
      <c r="FM17" s="532">
        <v>42</v>
      </c>
      <c r="FN17" s="532">
        <v>41</v>
      </c>
      <c r="FO17" s="532">
        <v>40</v>
      </c>
      <c r="FP17" s="532">
        <v>39</v>
      </c>
      <c r="FQ17" s="532">
        <v>38</v>
      </c>
      <c r="FR17" s="532">
        <v>37</v>
      </c>
      <c r="FS17" s="532">
        <v>36</v>
      </c>
      <c r="FT17" s="532">
        <v>35</v>
      </c>
      <c r="FU17" s="532">
        <v>34</v>
      </c>
      <c r="FV17" s="532">
        <v>33</v>
      </c>
      <c r="FW17" s="532">
        <v>32</v>
      </c>
      <c r="FX17" s="532">
        <v>31</v>
      </c>
      <c r="FY17" s="532">
        <v>30</v>
      </c>
      <c r="FZ17" s="532">
        <v>29</v>
      </c>
      <c r="GA17" s="532">
        <v>28</v>
      </c>
      <c r="GB17" s="532">
        <v>27</v>
      </c>
      <c r="GC17" s="532">
        <v>26</v>
      </c>
      <c r="GD17" s="532">
        <v>25</v>
      </c>
      <c r="GE17" s="532">
        <v>24</v>
      </c>
      <c r="GF17" s="532">
        <v>23</v>
      </c>
      <c r="GG17" s="532">
        <v>22</v>
      </c>
      <c r="GH17" s="532">
        <v>21</v>
      </c>
      <c r="GI17" s="532">
        <v>20</v>
      </c>
      <c r="GJ17" s="532">
        <v>19</v>
      </c>
      <c r="GK17" s="532">
        <v>18</v>
      </c>
      <c r="GL17" s="532">
        <v>17</v>
      </c>
      <c r="GM17" s="532">
        <v>16</v>
      </c>
      <c r="GN17" s="532">
        <v>15</v>
      </c>
      <c r="GO17" s="532">
        <v>14</v>
      </c>
      <c r="GP17" s="532">
        <v>13</v>
      </c>
      <c r="GQ17" s="532">
        <v>12</v>
      </c>
      <c r="GR17" s="532">
        <v>11</v>
      </c>
      <c r="GS17" s="532">
        <v>10</v>
      </c>
      <c r="GT17" s="532">
        <v>9</v>
      </c>
      <c r="GU17" s="532">
        <v>8</v>
      </c>
      <c r="GV17" s="532">
        <v>7</v>
      </c>
      <c r="GW17" s="532">
        <v>6</v>
      </c>
      <c r="GX17" s="532">
        <v>5</v>
      </c>
      <c r="GY17" s="532">
        <v>4</v>
      </c>
      <c r="GZ17" s="532">
        <v>3</v>
      </c>
      <c r="HA17" s="532">
        <v>2</v>
      </c>
      <c r="HB17" s="532">
        <v>1</v>
      </c>
      <c r="HD17" s="532"/>
      <c r="LJ17" s="532"/>
      <c r="LK17" s="532"/>
      <c r="LL17" s="532"/>
    </row>
    <row r="18" spans="1:324" ht="15.75" customHeight="1" x14ac:dyDescent="0.35">
      <c r="A18" s="534" t="s">
        <v>174</v>
      </c>
      <c r="E18" s="601" t="s">
        <v>373</v>
      </c>
      <c r="F18" s="49">
        <v>1</v>
      </c>
      <c r="G18" s="52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5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2"/>
      <c r="CX18" s="52"/>
      <c r="CY18" s="52"/>
      <c r="CZ18" s="52"/>
      <c r="DA18" s="52"/>
      <c r="DB18" s="52"/>
      <c r="DE18" s="601" t="s">
        <v>373</v>
      </c>
      <c r="DF18" s="49">
        <v>1</v>
      </c>
      <c r="DG18" s="52"/>
      <c r="DH18" s="535"/>
      <c r="DI18" s="535"/>
      <c r="DJ18" s="535"/>
      <c r="DK18" s="535"/>
      <c r="DL18" s="535"/>
      <c r="DM18" s="535"/>
      <c r="DN18" s="535"/>
      <c r="DO18" s="535"/>
      <c r="DP18" s="535"/>
      <c r="DQ18" s="535"/>
      <c r="DR18" s="535"/>
      <c r="DS18" s="535"/>
      <c r="DT18" s="535"/>
      <c r="DU18" s="535"/>
      <c r="DV18" s="535"/>
      <c r="DW18" s="535"/>
      <c r="DX18" s="535"/>
      <c r="DY18" s="535"/>
      <c r="DZ18" s="535"/>
      <c r="EA18" s="535"/>
      <c r="EB18" s="535"/>
      <c r="EC18" s="535"/>
      <c r="ED18" s="535"/>
      <c r="EE18" s="535"/>
      <c r="EF18" s="535"/>
      <c r="EG18" s="535"/>
      <c r="EH18" s="535"/>
      <c r="EI18" s="535"/>
      <c r="EJ18" s="535"/>
      <c r="EK18" s="535"/>
      <c r="EL18" s="535"/>
      <c r="EM18" s="535"/>
      <c r="EN18" s="535"/>
      <c r="EO18" s="535"/>
      <c r="EP18" s="535"/>
      <c r="EQ18" s="535"/>
      <c r="ER18" s="535"/>
      <c r="ES18" s="535"/>
      <c r="ET18" s="535"/>
      <c r="EU18" s="535"/>
      <c r="EV18" s="535"/>
      <c r="EW18" s="535"/>
      <c r="EX18" s="535"/>
      <c r="EY18" s="535"/>
      <c r="EZ18" s="535"/>
      <c r="FA18" s="535"/>
      <c r="FB18" s="535"/>
      <c r="FC18" s="535"/>
      <c r="FD18" s="535"/>
      <c r="FE18" s="535"/>
      <c r="FF18" s="535"/>
      <c r="FG18" s="535"/>
      <c r="FH18" s="535"/>
      <c r="FI18" s="535"/>
      <c r="FJ18" s="535"/>
      <c r="FK18" s="535"/>
      <c r="FL18" s="535"/>
      <c r="FM18" s="535"/>
      <c r="FN18" s="535"/>
      <c r="FO18" s="535"/>
      <c r="FP18" s="535"/>
      <c r="FQ18" s="535"/>
      <c r="FR18" s="535"/>
      <c r="FS18" s="535"/>
      <c r="FT18" s="535"/>
      <c r="FU18" s="535"/>
      <c r="FV18" s="535"/>
      <c r="FW18" s="535"/>
      <c r="FX18" s="535"/>
      <c r="FY18" s="535"/>
      <c r="FZ18" s="535"/>
      <c r="GA18" s="535"/>
      <c r="GB18" s="535"/>
      <c r="GC18" s="535"/>
      <c r="GD18" s="535"/>
      <c r="GE18" s="535"/>
      <c r="GF18" s="535"/>
      <c r="GG18" s="535"/>
      <c r="GH18" s="535"/>
      <c r="GI18" s="535"/>
      <c r="GJ18" s="535"/>
      <c r="GK18" s="535"/>
      <c r="GL18" s="535"/>
      <c r="GM18" s="535"/>
      <c r="GN18" s="535"/>
      <c r="GO18" s="535"/>
      <c r="GP18" s="535"/>
      <c r="GQ18" s="535"/>
      <c r="GR18" s="535"/>
      <c r="GS18" s="535"/>
      <c r="GT18" s="535"/>
      <c r="GU18" s="535"/>
      <c r="GV18" s="535"/>
      <c r="GW18" s="535"/>
      <c r="GX18" s="535"/>
      <c r="GY18" s="535"/>
      <c r="GZ18" s="52"/>
      <c r="HA18" s="52"/>
      <c r="HB18" s="52"/>
      <c r="HE18">
        <v>33</v>
      </c>
    </row>
    <row r="19" spans="1:324" x14ac:dyDescent="0.35">
      <c r="A19" s="534" t="s">
        <v>175</v>
      </c>
      <c r="E19" s="601"/>
      <c r="F19" s="49">
        <v>2</v>
      </c>
      <c r="G19" s="52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E19" s="601"/>
      <c r="DF19" s="49">
        <v>2</v>
      </c>
      <c r="DG19" s="52"/>
      <c r="DH19" s="535"/>
      <c r="DI19" s="535"/>
      <c r="DJ19" s="535"/>
      <c r="DK19" s="535"/>
      <c r="DL19" s="535"/>
      <c r="DM19" s="535"/>
      <c r="DN19" s="535"/>
      <c r="DO19" s="535"/>
      <c r="DP19" s="535"/>
      <c r="DQ19" s="535"/>
      <c r="DR19" s="535"/>
      <c r="DS19" s="535"/>
      <c r="DT19" s="535"/>
      <c r="DU19" s="535"/>
      <c r="DV19" s="535"/>
      <c r="DW19" s="535"/>
      <c r="DX19" s="535"/>
      <c r="DY19" s="535"/>
      <c r="DZ19" s="535"/>
      <c r="EA19" s="535"/>
      <c r="EB19" s="535"/>
      <c r="EC19" s="535"/>
      <c r="ED19" s="535"/>
      <c r="EE19" s="535"/>
      <c r="EF19" s="535"/>
      <c r="EG19" s="535"/>
      <c r="EH19" s="535"/>
      <c r="EI19" s="535"/>
      <c r="EJ19" s="535"/>
      <c r="EK19" s="535"/>
      <c r="EL19" s="535"/>
      <c r="EM19" s="535"/>
      <c r="EN19" s="535"/>
      <c r="EO19" s="535"/>
      <c r="EP19" s="535"/>
      <c r="EQ19" s="535"/>
      <c r="ER19" s="535"/>
      <c r="ES19" s="535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35"/>
      <c r="GT19" s="535"/>
      <c r="GU19" s="535"/>
      <c r="GV19" s="535"/>
      <c r="GW19" s="535"/>
      <c r="GX19" s="535"/>
      <c r="GY19" s="535"/>
      <c r="GZ19" s="52"/>
      <c r="HA19" s="52"/>
      <c r="HB19" s="52"/>
      <c r="HE19">
        <v>32</v>
      </c>
    </row>
    <row r="20" spans="1:324" x14ac:dyDescent="0.35">
      <c r="E20" s="601"/>
      <c r="F20" s="49">
        <v>3</v>
      </c>
      <c r="G20" s="52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E20" s="601"/>
      <c r="DF20" s="49">
        <v>3</v>
      </c>
      <c r="DG20" s="52"/>
      <c r="DH20" s="535"/>
      <c r="DI20" s="535"/>
      <c r="DJ20" s="535"/>
      <c r="DK20" s="535"/>
      <c r="DL20" s="535"/>
      <c r="DM20" s="535"/>
      <c r="DN20" s="535"/>
      <c r="DO20" s="535"/>
      <c r="DP20" s="535"/>
      <c r="DQ20" s="535"/>
      <c r="DR20" s="535"/>
      <c r="DS20" s="535"/>
      <c r="DT20" s="535"/>
      <c r="DU20" s="535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35"/>
      <c r="GT20" s="535"/>
      <c r="GU20" s="535"/>
      <c r="GV20" s="535"/>
      <c r="GW20" s="535"/>
      <c r="GX20" s="535"/>
      <c r="GY20" s="535"/>
      <c r="GZ20" s="52"/>
      <c r="HA20" s="52"/>
      <c r="HB20" s="52"/>
      <c r="HE20">
        <v>31</v>
      </c>
    </row>
    <row r="21" spans="1:324" x14ac:dyDescent="0.35">
      <c r="E21" s="601"/>
      <c r="F21" s="49">
        <v>4</v>
      </c>
      <c r="G21" s="52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E21" s="601"/>
      <c r="DF21" s="49">
        <v>4</v>
      </c>
      <c r="DG21" s="52"/>
      <c r="DH21" s="535"/>
      <c r="DI21" s="535"/>
      <c r="DJ21" s="535"/>
      <c r="DK21" s="535"/>
      <c r="DL21" s="535"/>
      <c r="DM21" s="535"/>
      <c r="DN21" s="535"/>
      <c r="DO21" s="535"/>
      <c r="DP21" s="535"/>
      <c r="DQ21" s="535"/>
      <c r="DR21" s="535"/>
      <c r="DS21" s="535"/>
      <c r="DT21" s="535"/>
      <c r="DU21" s="535"/>
      <c r="DV21" s="535"/>
      <c r="DW21" s="535"/>
      <c r="DX21" s="535"/>
      <c r="DY21" s="535"/>
      <c r="DZ21" s="535"/>
      <c r="EA21" s="535"/>
      <c r="EB21" s="535"/>
      <c r="EC21" s="535"/>
      <c r="ED21" s="535"/>
      <c r="EE21" s="535"/>
      <c r="EF21" s="535"/>
      <c r="EG21" s="535"/>
      <c r="EH21" s="535"/>
      <c r="EI21" s="535"/>
      <c r="EJ21" s="535"/>
      <c r="EK21" s="535"/>
      <c r="EL21" s="535"/>
      <c r="EM21" s="535"/>
      <c r="EN21" s="535"/>
      <c r="EO21" s="535"/>
      <c r="EP21" s="535"/>
      <c r="EQ21" s="535"/>
      <c r="ER21" s="535"/>
      <c r="ES21" s="535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35"/>
      <c r="GT21" s="535"/>
      <c r="GU21" s="535"/>
      <c r="GV21" s="535"/>
      <c r="GW21" s="535"/>
      <c r="GX21" s="535"/>
      <c r="GY21" s="535"/>
      <c r="GZ21" s="52"/>
      <c r="HA21" s="52"/>
      <c r="HB21" s="52"/>
      <c r="HE21">
        <v>30</v>
      </c>
    </row>
    <row r="22" spans="1:324" ht="15" thickBot="1" x14ac:dyDescent="0.4">
      <c r="E22" s="601"/>
      <c r="F22" s="49">
        <v>5</v>
      </c>
      <c r="G22" s="52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E22" s="601"/>
      <c r="DF22" s="49">
        <v>5</v>
      </c>
      <c r="DG22" s="52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5"/>
      <c r="DV22" s="535"/>
      <c r="DW22" s="535"/>
      <c r="DX22" s="535"/>
      <c r="DY22" s="535"/>
      <c r="DZ22" s="535"/>
      <c r="EA22" s="535"/>
      <c r="EB22" s="535"/>
      <c r="EC22" s="535"/>
      <c r="ED22" s="535"/>
      <c r="EE22" s="535"/>
      <c r="EF22" s="535"/>
      <c r="EG22" s="535"/>
      <c r="EH22" s="535"/>
      <c r="EI22" s="535"/>
      <c r="EJ22" s="535"/>
      <c r="EK22" s="535"/>
      <c r="EL22" s="535"/>
      <c r="EM22" s="535"/>
      <c r="EN22" s="535"/>
      <c r="EO22" s="535"/>
      <c r="EP22" s="535"/>
      <c r="EQ22" s="535"/>
      <c r="ER22" s="535"/>
      <c r="ES22" s="535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35"/>
      <c r="GT22" s="535"/>
      <c r="GU22" s="535"/>
      <c r="GV22" s="535"/>
      <c r="GW22" s="535"/>
      <c r="GX22" s="535"/>
      <c r="GY22" s="535"/>
      <c r="GZ22" s="52"/>
      <c r="HA22" s="52"/>
      <c r="HB22" s="52"/>
      <c r="HE22">
        <v>29</v>
      </c>
    </row>
    <row r="23" spans="1:324" x14ac:dyDescent="0.35">
      <c r="A23" s="333" t="s">
        <v>386</v>
      </c>
      <c r="B23" s="334"/>
      <c r="C23" s="334"/>
      <c r="D23" s="335"/>
      <c r="F23" s="49">
        <v>6</v>
      </c>
      <c r="G23" s="52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F23" s="49">
        <v>6</v>
      </c>
      <c r="DG23" s="52"/>
      <c r="DH23" s="535"/>
      <c r="DI23" s="535"/>
      <c r="DJ23" s="535"/>
      <c r="DK23" s="535"/>
      <c r="DL23" s="535"/>
      <c r="DM23" s="535"/>
      <c r="DN23" s="535"/>
      <c r="DO23" s="535"/>
      <c r="DP23" s="535"/>
      <c r="DQ23" s="535"/>
      <c r="DR23" s="535"/>
      <c r="DS23" s="535"/>
      <c r="DT23" s="535"/>
      <c r="DU23" s="535"/>
      <c r="DV23" s="535"/>
      <c r="DW23" s="535"/>
      <c r="DX23" s="535"/>
      <c r="DY23" s="535"/>
      <c r="DZ23" s="535"/>
      <c r="EA23" s="535"/>
      <c r="EB23" s="535"/>
      <c r="EC23" s="535"/>
      <c r="ED23" s="535"/>
      <c r="EE23" s="535"/>
      <c r="EF23" s="535"/>
      <c r="EG23" s="535"/>
      <c r="EH23" s="535"/>
      <c r="EI23" s="535"/>
      <c r="EJ23" s="535"/>
      <c r="EK23" s="535"/>
      <c r="EL23" s="535"/>
      <c r="EM23" s="535"/>
      <c r="EN23" s="535"/>
      <c r="EO23" s="535"/>
      <c r="EP23" s="535"/>
      <c r="EQ23" s="535"/>
      <c r="ER23" s="535"/>
      <c r="ES23" s="535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35"/>
      <c r="GT23" s="535"/>
      <c r="GU23" s="535"/>
      <c r="GV23" s="535"/>
      <c r="GW23" s="535"/>
      <c r="GX23" s="535"/>
      <c r="GY23" s="535"/>
      <c r="GZ23" s="52"/>
      <c r="HA23" s="52"/>
      <c r="HB23" s="52"/>
      <c r="HE23">
        <v>28</v>
      </c>
    </row>
    <row r="24" spans="1:324" x14ac:dyDescent="0.35">
      <c r="A24" s="336" t="s">
        <v>126</v>
      </c>
      <c r="B24" s="536" t="s">
        <v>127</v>
      </c>
      <c r="C24" s="536" t="s">
        <v>115</v>
      </c>
      <c r="D24" s="338" t="s">
        <v>11</v>
      </c>
      <c r="F24" s="49">
        <v>7</v>
      </c>
      <c r="G24" s="52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F24" s="49">
        <v>7</v>
      </c>
      <c r="DG24" s="52"/>
      <c r="DH24" s="535"/>
      <c r="DI24" s="535"/>
      <c r="DJ24" s="535"/>
      <c r="DK24" s="535"/>
      <c r="DL24" s="535"/>
      <c r="DM24" s="535"/>
      <c r="DN24" s="535"/>
      <c r="DO24" s="535"/>
      <c r="DP24" s="535"/>
      <c r="DQ24" s="535"/>
      <c r="DR24" s="535"/>
      <c r="DS24" s="535"/>
      <c r="DT24" s="535"/>
      <c r="DU24" s="535"/>
      <c r="DV24" s="535"/>
      <c r="DW24" s="535"/>
      <c r="DX24" s="535"/>
      <c r="DY24" s="535"/>
      <c r="DZ24" s="535"/>
      <c r="EA24" s="535"/>
      <c r="EB24" s="535"/>
      <c r="EC24" s="535"/>
      <c r="ED24" s="535"/>
      <c r="EE24" s="535"/>
      <c r="EF24" s="535"/>
      <c r="EG24" s="535"/>
      <c r="EH24" s="535"/>
      <c r="EI24" s="535"/>
      <c r="EJ24" s="535"/>
      <c r="EK24" s="535"/>
      <c r="EL24" s="535"/>
      <c r="EM24" s="535"/>
      <c r="EN24" s="535"/>
      <c r="EO24" s="535"/>
      <c r="EP24" s="535"/>
      <c r="EQ24" s="535"/>
      <c r="ER24" s="535"/>
      <c r="ES24" s="535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35"/>
      <c r="GT24" s="535"/>
      <c r="GU24" s="535"/>
      <c r="GV24" s="535"/>
      <c r="GW24" s="535"/>
      <c r="GX24" s="535"/>
      <c r="GY24" s="535"/>
      <c r="GZ24" s="52"/>
      <c r="HA24" s="52"/>
      <c r="HB24" s="52"/>
      <c r="HE24">
        <v>27</v>
      </c>
    </row>
    <row r="25" spans="1:324" x14ac:dyDescent="0.35">
      <c r="A25" s="339">
        <v>8.6015639207128569E-2</v>
      </c>
      <c r="B25" s="537">
        <v>9.2464506734619589E-2</v>
      </c>
      <c r="C25" s="538">
        <f>B25-A25</f>
        <v>6.4488675274910201E-3</v>
      </c>
      <c r="D25" s="342">
        <f>1/C25</f>
        <v>155.06598573115014</v>
      </c>
      <c r="F25" s="49">
        <v>8</v>
      </c>
      <c r="G25" s="52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F25" s="49">
        <v>8</v>
      </c>
      <c r="DG25" s="52"/>
      <c r="DH25" s="535"/>
      <c r="DI25" s="535"/>
      <c r="DJ25" s="535"/>
      <c r="DK25" s="535"/>
      <c r="DL25" s="535"/>
      <c r="DM25" s="535"/>
      <c r="DN25" s="535"/>
      <c r="DO25" s="535"/>
      <c r="DP25" s="535"/>
      <c r="DQ25" s="535"/>
      <c r="DR25" s="535"/>
      <c r="DS25" s="535"/>
      <c r="DT25" s="535"/>
      <c r="DU25" s="535"/>
      <c r="DV25" s="535"/>
      <c r="DW25" s="535"/>
      <c r="DX25" s="535"/>
      <c r="DY25" s="535"/>
      <c r="DZ25" s="535"/>
      <c r="EA25" s="535"/>
      <c r="EB25" s="535"/>
      <c r="EC25" s="535"/>
      <c r="ED25" s="535"/>
      <c r="EE25" s="535"/>
      <c r="EF25" s="535"/>
      <c r="EG25" s="535"/>
      <c r="EH25" s="535"/>
      <c r="EI25" s="535"/>
      <c r="EJ25" s="535"/>
      <c r="EK25" s="535"/>
      <c r="EL25" s="535"/>
      <c r="EM25" s="535"/>
      <c r="EN25" s="535"/>
      <c r="EO25" s="535"/>
      <c r="EP25" s="535"/>
      <c r="EQ25" s="535"/>
      <c r="ER25" s="535"/>
      <c r="ES25" s="535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35"/>
      <c r="GT25" s="535"/>
      <c r="GU25" s="535"/>
      <c r="GV25" s="535"/>
      <c r="GW25" s="535"/>
      <c r="GX25" s="535"/>
      <c r="GY25" s="535"/>
      <c r="GZ25" s="52"/>
      <c r="HA25" s="52"/>
      <c r="HB25" s="52"/>
      <c r="HE25">
        <v>26</v>
      </c>
    </row>
    <row r="26" spans="1:324" ht="15" thickBot="1" x14ac:dyDescent="0.4">
      <c r="A26" s="539" t="s">
        <v>374</v>
      </c>
      <c r="B26" s="374">
        <f>A25*D25</f>
        <v>13.338099881948358</v>
      </c>
      <c r="C26" s="343">
        <f>C25*D25</f>
        <v>1</v>
      </c>
      <c r="D26" s="373">
        <f>(1-B25)*D25</f>
        <v>140.72788584920178</v>
      </c>
      <c r="F26" s="49">
        <v>9</v>
      </c>
      <c r="G26" s="52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F26" s="49">
        <v>9</v>
      </c>
      <c r="DG26" s="52"/>
      <c r="DH26" s="535"/>
      <c r="DI26" s="535"/>
      <c r="DJ26" s="535"/>
      <c r="DK26" s="535"/>
      <c r="DL26" s="535"/>
      <c r="DM26" s="535"/>
      <c r="DN26" s="535"/>
      <c r="DO26" s="535"/>
      <c r="DP26" s="535"/>
      <c r="DQ26" s="535"/>
      <c r="DR26" s="535"/>
      <c r="DS26" s="535"/>
      <c r="DT26" s="535"/>
      <c r="DU26" s="535"/>
      <c r="DV26" s="535"/>
      <c r="DW26" s="535"/>
      <c r="DX26" s="535"/>
      <c r="DY26" s="535"/>
      <c r="DZ26" s="535"/>
      <c r="EA26" s="535"/>
      <c r="EB26" s="535"/>
      <c r="EC26" s="535"/>
      <c r="ED26" s="535"/>
      <c r="EE26" s="535"/>
      <c r="EF26" s="535"/>
      <c r="EG26" s="535"/>
      <c r="EH26" s="535"/>
      <c r="EI26" s="535"/>
      <c r="EJ26" s="535"/>
      <c r="EK26" s="535"/>
      <c r="EL26" s="535"/>
      <c r="EM26" s="535"/>
      <c r="EN26" s="535"/>
      <c r="EO26" s="535"/>
      <c r="EP26" s="535"/>
      <c r="EQ26" s="535"/>
      <c r="ER26" s="535"/>
      <c r="ES26" s="535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35"/>
      <c r="GT26" s="535"/>
      <c r="GU26" s="535"/>
      <c r="GV26" s="535"/>
      <c r="GW26" s="535"/>
      <c r="GX26" s="535"/>
      <c r="GY26" s="535"/>
      <c r="GZ26" s="52"/>
      <c r="HA26" s="52"/>
      <c r="HB26" s="52"/>
      <c r="HE26">
        <v>25</v>
      </c>
    </row>
    <row r="27" spans="1:324" x14ac:dyDescent="0.35">
      <c r="A27" s="540"/>
      <c r="B27" s="540"/>
      <c r="C27" s="536"/>
      <c r="D27" s="536"/>
      <c r="F27" s="49">
        <v>10</v>
      </c>
      <c r="G27" s="52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F27" s="49">
        <v>10</v>
      </c>
      <c r="DG27" s="52"/>
      <c r="DH27" s="535"/>
      <c r="DI27" s="535"/>
      <c r="DJ27" s="535"/>
      <c r="DK27" s="535"/>
      <c r="DL27" s="535"/>
      <c r="DM27" s="535"/>
      <c r="DN27" s="535"/>
      <c r="DO27" s="535"/>
      <c r="DP27" s="535"/>
      <c r="DQ27" s="535"/>
      <c r="DR27" s="535"/>
      <c r="DS27" s="535"/>
      <c r="DT27" s="535"/>
      <c r="DU27" s="535"/>
      <c r="DV27" s="535"/>
      <c r="DW27" s="535"/>
      <c r="DX27" s="535"/>
      <c r="DY27" s="535"/>
      <c r="DZ27" s="535"/>
      <c r="EA27" s="535"/>
      <c r="EB27" s="535"/>
      <c r="EC27" s="535"/>
      <c r="ED27" s="535"/>
      <c r="EE27" s="535"/>
      <c r="EF27" s="535"/>
      <c r="EG27" s="535"/>
      <c r="EH27" s="535"/>
      <c r="EI27" s="535"/>
      <c r="EJ27" s="535"/>
      <c r="EK27" s="535"/>
      <c r="EL27" s="535"/>
      <c r="EM27" s="535"/>
      <c r="EN27" s="535"/>
      <c r="EO27" s="535"/>
      <c r="EP27" s="535"/>
      <c r="EQ27" s="535"/>
      <c r="ER27" s="535"/>
      <c r="ES27" s="535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35"/>
      <c r="GT27" s="535"/>
      <c r="GU27" s="535"/>
      <c r="GV27" s="535"/>
      <c r="GW27" s="535"/>
      <c r="GX27" s="535"/>
      <c r="GY27" s="535"/>
      <c r="GZ27" s="52"/>
      <c r="HA27" s="52"/>
      <c r="HB27" s="52"/>
      <c r="HE27">
        <v>24</v>
      </c>
    </row>
    <row r="28" spans="1:324" x14ac:dyDescent="0.35">
      <c r="A28" s="536"/>
      <c r="B28" s="536"/>
      <c r="C28" s="536"/>
      <c r="D28" s="536"/>
      <c r="F28" s="49">
        <v>11</v>
      </c>
      <c r="G28" s="52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F28" s="49">
        <v>11</v>
      </c>
      <c r="DG28" s="52"/>
      <c r="DH28" s="535"/>
      <c r="DI28" s="535"/>
      <c r="DJ28" s="535"/>
      <c r="DK28" s="535"/>
      <c r="DL28" s="535"/>
      <c r="DM28" s="535"/>
      <c r="DN28" s="535"/>
      <c r="DO28" s="535"/>
      <c r="DP28" s="535"/>
      <c r="DQ28" s="535"/>
      <c r="DR28" s="535"/>
      <c r="DS28" s="535"/>
      <c r="DT28" s="535"/>
      <c r="DU28" s="535"/>
      <c r="DV28" s="535"/>
      <c r="DW28" s="535"/>
      <c r="DX28" s="535"/>
      <c r="DY28" s="535"/>
      <c r="DZ28" s="535"/>
      <c r="EA28" s="535"/>
      <c r="EB28" s="535"/>
      <c r="EC28" s="535"/>
      <c r="ED28" s="535"/>
      <c r="EE28" s="535"/>
      <c r="EF28" s="535"/>
      <c r="EG28" s="535"/>
      <c r="EH28" s="535"/>
      <c r="EI28" s="535"/>
      <c r="EJ28" s="535"/>
      <c r="EK28" s="535"/>
      <c r="EL28" s="535"/>
      <c r="EM28" s="535"/>
      <c r="EN28" s="535"/>
      <c r="EO28" s="535"/>
      <c r="EP28" s="535"/>
      <c r="EQ28" s="535"/>
      <c r="ER28" s="535"/>
      <c r="ES28" s="535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35"/>
      <c r="GT28" s="535"/>
      <c r="GU28" s="535"/>
      <c r="GV28" s="535"/>
      <c r="GW28" s="535"/>
      <c r="GX28" s="535"/>
      <c r="GY28" s="535"/>
      <c r="GZ28" s="52"/>
      <c r="HA28" s="52"/>
      <c r="HB28" s="52"/>
      <c r="HE28">
        <v>23</v>
      </c>
    </row>
    <row r="29" spans="1:324" x14ac:dyDescent="0.35">
      <c r="A29" s="536"/>
      <c r="B29" s="536"/>
      <c r="C29" s="536"/>
      <c r="D29" s="536"/>
      <c r="F29" s="49">
        <v>12</v>
      </c>
      <c r="G29" s="52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F29" s="49">
        <v>12</v>
      </c>
      <c r="DG29" s="52"/>
      <c r="DH29" s="535"/>
      <c r="DI29" s="535"/>
      <c r="DJ29" s="535"/>
      <c r="DK29" s="535"/>
      <c r="DL29" s="535"/>
      <c r="DM29" s="535"/>
      <c r="DN29" s="535"/>
      <c r="DO29" s="535"/>
      <c r="DP29" s="535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35"/>
      <c r="GT29" s="535"/>
      <c r="GU29" s="535"/>
      <c r="GV29" s="535"/>
      <c r="GW29" s="535"/>
      <c r="GX29" s="535"/>
      <c r="GY29" s="535"/>
      <c r="GZ29" s="52"/>
      <c r="HA29" s="52"/>
      <c r="HB29" s="52"/>
      <c r="HE29">
        <v>22</v>
      </c>
    </row>
    <row r="30" spans="1:324" ht="16" customHeight="1" x14ac:dyDescent="0.35">
      <c r="A30" s="536"/>
      <c r="B30" s="536"/>
      <c r="C30" s="536"/>
      <c r="D30" s="536"/>
      <c r="F30" s="49">
        <v>13</v>
      </c>
      <c r="G30" s="52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F30" s="49">
        <v>13</v>
      </c>
      <c r="DG30" s="52"/>
      <c r="DH30" s="535"/>
      <c r="DI30" s="535"/>
      <c r="DJ30" s="535"/>
      <c r="DK30" s="535"/>
      <c r="DL30" s="535"/>
      <c r="DM30" s="535"/>
      <c r="DN30" s="535"/>
      <c r="DO30" s="535"/>
      <c r="DP30" s="535"/>
      <c r="DQ30" s="535"/>
      <c r="DR30" s="535"/>
      <c r="DS30" s="535"/>
      <c r="DT30" s="535"/>
      <c r="DU30" s="535"/>
      <c r="DV30" s="535"/>
      <c r="DW30" s="535"/>
      <c r="DX30" s="535"/>
      <c r="DY30" s="535"/>
      <c r="DZ30" s="535"/>
      <c r="EA30" s="535"/>
      <c r="EB30" s="535"/>
      <c r="EC30" s="535"/>
      <c r="ED30" s="535"/>
      <c r="EE30" s="535"/>
      <c r="EF30" s="535"/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35"/>
      <c r="GT30" s="535"/>
      <c r="GU30" s="535"/>
      <c r="GV30" s="535"/>
      <c r="GW30" s="535"/>
      <c r="GX30" s="535"/>
      <c r="GY30" s="535"/>
      <c r="GZ30" s="52"/>
      <c r="HA30" s="52"/>
      <c r="HB30" s="52"/>
      <c r="HE30">
        <v>21</v>
      </c>
    </row>
    <row r="31" spans="1:324" x14ac:dyDescent="0.35">
      <c r="A31" s="536"/>
      <c r="B31" s="536"/>
      <c r="C31" s="536"/>
      <c r="D31" s="536"/>
      <c r="F31" s="49">
        <v>14</v>
      </c>
      <c r="G31" s="52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F31" s="49">
        <v>14</v>
      </c>
      <c r="DG31" s="52"/>
      <c r="DH31" s="535"/>
      <c r="DI31" s="535"/>
      <c r="DJ31" s="535"/>
      <c r="DK31" s="535"/>
      <c r="DL31" s="535"/>
      <c r="DM31" s="535"/>
      <c r="DN31" s="535"/>
      <c r="DO31" s="535"/>
      <c r="DP31" s="535"/>
      <c r="DQ31" s="535"/>
      <c r="DR31" s="535"/>
      <c r="DS31" s="535"/>
      <c r="DT31" s="535"/>
      <c r="DU31" s="535"/>
      <c r="DV31" s="535"/>
      <c r="DW31" s="535"/>
      <c r="DX31" s="535"/>
      <c r="DY31" s="535"/>
      <c r="DZ31" s="535"/>
      <c r="EA31" s="535"/>
      <c r="EB31" s="535"/>
      <c r="EC31" s="535"/>
      <c r="ED31" s="535"/>
      <c r="EE31" s="535"/>
      <c r="EF31" s="535"/>
      <c r="EG31" s="535"/>
      <c r="EH31" s="535"/>
      <c r="EI31" s="535"/>
      <c r="EJ31" s="535"/>
      <c r="EK31" s="535"/>
      <c r="EL31" s="535"/>
      <c r="EM31" s="535"/>
      <c r="EN31" s="535"/>
      <c r="EO31" s="535"/>
      <c r="EP31" s="535"/>
      <c r="EQ31" s="535"/>
      <c r="ER31" s="535"/>
      <c r="ES31" s="535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35"/>
      <c r="GT31" s="535"/>
      <c r="GU31" s="535"/>
      <c r="GV31" s="535"/>
      <c r="GW31" s="535"/>
      <c r="GX31" s="535"/>
      <c r="GY31" s="535"/>
      <c r="GZ31" s="52"/>
      <c r="HA31" s="52"/>
      <c r="HB31" s="52"/>
      <c r="HE31">
        <v>20</v>
      </c>
    </row>
    <row r="32" spans="1:324" x14ac:dyDescent="0.35">
      <c r="A32" s="536"/>
      <c r="B32" s="536"/>
      <c r="C32" s="536"/>
      <c r="D32" s="536"/>
      <c r="F32" s="49">
        <v>15</v>
      </c>
      <c r="G32" s="52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F32" s="49">
        <v>15</v>
      </c>
      <c r="DG32" s="52"/>
      <c r="DH32" s="535"/>
      <c r="DI32" s="535"/>
      <c r="DJ32" s="535"/>
      <c r="DK32" s="535"/>
      <c r="DL32" s="535"/>
      <c r="DM32" s="535"/>
      <c r="DN32" s="535"/>
      <c r="DO32" s="535"/>
      <c r="DP32" s="535"/>
      <c r="DQ32" s="535"/>
      <c r="DR32" s="535"/>
      <c r="DS32" s="535"/>
      <c r="DT32" s="535"/>
      <c r="DU32" s="535"/>
      <c r="DV32" s="535"/>
      <c r="DW32" s="535"/>
      <c r="DX32" s="535"/>
      <c r="DY32" s="535"/>
      <c r="DZ32" s="535"/>
      <c r="EA32" s="535"/>
      <c r="EB32" s="535"/>
      <c r="EC32" s="535"/>
      <c r="ED32" s="535"/>
      <c r="EE32" s="535"/>
      <c r="EF32" s="535"/>
      <c r="EG32" s="535"/>
      <c r="EH32" s="535"/>
      <c r="EI32" s="535"/>
      <c r="EJ32" s="535"/>
      <c r="EK32" s="535"/>
      <c r="EL32" s="535"/>
      <c r="EM32" s="535"/>
      <c r="EN32" s="535"/>
      <c r="EO32" s="535"/>
      <c r="EP32" s="535"/>
      <c r="EQ32" s="535"/>
      <c r="ER32" s="535"/>
      <c r="ES32" s="535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35"/>
      <c r="GT32" s="535"/>
      <c r="GU32" s="535"/>
      <c r="GV32" s="535"/>
      <c r="GW32" s="535"/>
      <c r="GX32" s="535"/>
      <c r="GY32" s="535"/>
      <c r="GZ32" s="52"/>
      <c r="HA32" s="52"/>
      <c r="HB32" s="52"/>
      <c r="HE32">
        <v>19</v>
      </c>
    </row>
    <row r="33" spans="1:213" x14ac:dyDescent="0.35">
      <c r="A33" s="536"/>
      <c r="B33" s="536"/>
      <c r="C33" s="536"/>
      <c r="D33" s="536"/>
      <c r="F33" s="49">
        <v>16</v>
      </c>
      <c r="G33" s="52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F33" s="49">
        <v>16</v>
      </c>
      <c r="DG33" s="52"/>
      <c r="DH33" s="52"/>
      <c r="DI33" s="52"/>
      <c r="DJ33" s="535"/>
      <c r="DK33" s="535"/>
      <c r="DL33" s="535"/>
      <c r="DM33" s="535"/>
      <c r="DN33" s="535"/>
      <c r="DO33" s="535"/>
      <c r="DP33" s="535"/>
      <c r="DQ33" s="535"/>
      <c r="DR33" s="535"/>
      <c r="DS33" s="535"/>
      <c r="DT33" s="535"/>
      <c r="DU33" s="535"/>
      <c r="DV33" s="535"/>
      <c r="DW33" s="535"/>
      <c r="DX33" s="535"/>
      <c r="DY33" s="535"/>
      <c r="DZ33" s="535"/>
      <c r="EA33" s="535"/>
      <c r="EB33" s="535"/>
      <c r="EC33" s="535"/>
      <c r="ED33" s="535"/>
      <c r="EE33" s="535"/>
      <c r="EF33" s="535"/>
      <c r="EG33" s="535"/>
      <c r="EH33" s="535"/>
      <c r="EI33" s="535"/>
      <c r="EJ33" s="535"/>
      <c r="EK33" s="535"/>
      <c r="EL33" s="535"/>
      <c r="EM33" s="535"/>
      <c r="EN33" s="535"/>
      <c r="EO33" s="535"/>
      <c r="EP33" s="535"/>
      <c r="EQ33" s="535"/>
      <c r="ER33" s="535"/>
      <c r="ES33" s="535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35"/>
      <c r="GT33" s="535"/>
      <c r="GU33" s="535"/>
      <c r="GV33" s="535"/>
      <c r="GW33" s="535"/>
      <c r="GX33" s="535"/>
      <c r="GY33" s="535"/>
      <c r="GZ33" s="52"/>
      <c r="HA33" s="52"/>
      <c r="HB33" s="52"/>
      <c r="HE33">
        <v>18</v>
      </c>
    </row>
    <row r="34" spans="1:213" x14ac:dyDescent="0.35">
      <c r="A34" s="536"/>
      <c r="B34" s="536"/>
      <c r="C34" s="536"/>
      <c r="D34" s="536"/>
      <c r="E34" s="50"/>
      <c r="F34" s="49">
        <v>17</v>
      </c>
      <c r="G34" s="52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5"/>
      <c r="AM34" s="535"/>
      <c r="AN34" s="535"/>
      <c r="AO34" s="535"/>
      <c r="AP34" s="535"/>
      <c r="AQ34" s="535"/>
      <c r="AR34" s="535"/>
      <c r="AS34" s="535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41"/>
      <c r="CU34" s="541"/>
      <c r="CV34" s="541"/>
      <c r="CW34" s="541"/>
      <c r="CX34" s="541"/>
      <c r="CY34" s="541"/>
      <c r="CZ34" s="541"/>
      <c r="DA34" s="541"/>
      <c r="DB34" s="541"/>
      <c r="DF34" s="49">
        <v>17</v>
      </c>
      <c r="DG34" s="52"/>
      <c r="DH34" s="52"/>
      <c r="DI34" s="52"/>
      <c r="DJ34" s="535"/>
      <c r="DK34" s="535"/>
      <c r="DL34" s="535"/>
      <c r="DM34" s="535"/>
      <c r="DN34" s="535"/>
      <c r="DO34" s="535"/>
      <c r="DP34" s="535"/>
      <c r="DQ34" s="535"/>
      <c r="DR34" s="535"/>
      <c r="DS34" s="535"/>
      <c r="DT34" s="535"/>
      <c r="DU34" s="535"/>
      <c r="DV34" s="535"/>
      <c r="DW34" s="535"/>
      <c r="DX34" s="535"/>
      <c r="DY34" s="535"/>
      <c r="DZ34" s="535"/>
      <c r="EA34" s="535"/>
      <c r="EB34" s="535"/>
      <c r="EC34" s="535"/>
      <c r="ED34" s="535"/>
      <c r="EE34" s="535"/>
      <c r="EF34" s="535"/>
      <c r="EG34" s="535"/>
      <c r="EH34" s="535"/>
      <c r="EI34" s="535"/>
      <c r="EJ34" s="535"/>
      <c r="EK34" s="535"/>
      <c r="EL34" s="535"/>
      <c r="EM34" s="535"/>
      <c r="EN34" s="535"/>
      <c r="EO34" s="535"/>
      <c r="EP34" s="535"/>
      <c r="EQ34" s="535"/>
      <c r="ER34" s="535"/>
      <c r="ES34" s="535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35"/>
      <c r="GT34" s="535"/>
      <c r="GU34" s="535"/>
      <c r="GV34" s="535"/>
      <c r="GW34" s="535"/>
      <c r="GX34" s="535"/>
      <c r="GY34" s="535"/>
      <c r="GZ34" s="52"/>
      <c r="HA34" s="52"/>
      <c r="HB34" s="52"/>
      <c r="HE34">
        <v>17</v>
      </c>
    </row>
    <row r="35" spans="1:213" x14ac:dyDescent="0.35">
      <c r="A35" s="536"/>
      <c r="B35" s="536"/>
      <c r="C35" s="536"/>
      <c r="D35" s="536"/>
      <c r="F35" s="49">
        <v>18</v>
      </c>
      <c r="G35" s="52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41"/>
      <c r="CU35" s="541"/>
      <c r="CV35" s="541"/>
      <c r="CW35" s="541"/>
      <c r="CX35" s="541"/>
      <c r="CY35" s="541"/>
      <c r="CZ35" s="541"/>
      <c r="DA35" s="541"/>
      <c r="DB35" s="541"/>
      <c r="DF35" s="49">
        <v>18</v>
      </c>
      <c r="DG35" s="52"/>
      <c r="DH35" s="52"/>
      <c r="DI35" s="52"/>
      <c r="DJ35" s="535"/>
      <c r="DK35" s="535"/>
      <c r="DL35" s="535"/>
      <c r="DM35" s="535"/>
      <c r="DN35" s="535"/>
      <c r="DO35" s="535"/>
      <c r="DP35" s="535"/>
      <c r="DQ35" s="535"/>
      <c r="DR35" s="535"/>
      <c r="DS35" s="535"/>
      <c r="DT35" s="535"/>
      <c r="DU35" s="535"/>
      <c r="DV35" s="535"/>
      <c r="DW35" s="535"/>
      <c r="DX35" s="535"/>
      <c r="DY35" s="535"/>
      <c r="DZ35" s="535"/>
      <c r="EA35" s="535"/>
      <c r="EB35" s="535"/>
      <c r="EC35" s="535"/>
      <c r="ED35" s="535"/>
      <c r="EE35" s="535"/>
      <c r="EF35" s="535"/>
      <c r="EG35" s="535"/>
      <c r="EH35" s="535"/>
      <c r="EI35" s="535"/>
      <c r="EJ35" s="535"/>
      <c r="EK35" s="535"/>
      <c r="EL35" s="535"/>
      <c r="EM35" s="535"/>
      <c r="EN35" s="535"/>
      <c r="EO35" s="535"/>
      <c r="EP35" s="535"/>
      <c r="EQ35" s="535"/>
      <c r="ER35" s="535"/>
      <c r="ES35" s="535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35"/>
      <c r="GT35" s="535"/>
      <c r="GU35" s="535"/>
      <c r="GV35" s="535"/>
      <c r="GW35" s="535"/>
      <c r="GX35" s="535"/>
      <c r="GY35" s="535"/>
      <c r="GZ35" s="52"/>
      <c r="HA35" s="52"/>
      <c r="HB35" s="52"/>
      <c r="HE35">
        <v>16</v>
      </c>
    </row>
    <row r="36" spans="1:213" x14ac:dyDescent="0.35">
      <c r="A36" s="536"/>
      <c r="B36" s="536"/>
      <c r="C36" s="536"/>
      <c r="D36" s="536"/>
      <c r="F36" s="49">
        <v>19</v>
      </c>
      <c r="G36" s="52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  <c r="AO36" s="535"/>
      <c r="AP36" s="535"/>
      <c r="AQ36" s="535"/>
      <c r="AR36" s="535"/>
      <c r="AS36" s="535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41"/>
      <c r="CU36" s="541"/>
      <c r="CV36" s="541"/>
      <c r="CW36" s="541"/>
      <c r="CX36" s="541"/>
      <c r="CY36" s="541"/>
      <c r="CZ36" s="541"/>
      <c r="DA36" s="541"/>
      <c r="DB36" s="541"/>
      <c r="DF36" s="49">
        <v>19</v>
      </c>
      <c r="DG36" s="541"/>
      <c r="DH36" s="541"/>
      <c r="DI36" s="541"/>
      <c r="DJ36" s="535"/>
      <c r="DK36" s="535"/>
      <c r="DL36" s="535"/>
      <c r="DM36" s="535"/>
      <c r="DN36" s="535"/>
      <c r="DO36" s="535"/>
      <c r="DP36" s="535"/>
      <c r="DQ36" s="535"/>
      <c r="DR36" s="535"/>
      <c r="DS36" s="535"/>
      <c r="DT36" s="535"/>
      <c r="DU36" s="535"/>
      <c r="DV36" s="535"/>
      <c r="DW36" s="535"/>
      <c r="DX36" s="535"/>
      <c r="DY36" s="535"/>
      <c r="DZ36" s="535"/>
      <c r="EA36" s="535"/>
      <c r="EB36" s="535"/>
      <c r="EC36" s="535"/>
      <c r="ED36" s="535"/>
      <c r="EE36" s="535"/>
      <c r="EF36" s="535"/>
      <c r="EG36" s="535"/>
      <c r="EH36" s="535"/>
      <c r="EI36" s="535"/>
      <c r="EJ36" s="535"/>
      <c r="EK36" s="535"/>
      <c r="EL36" s="535"/>
      <c r="EM36" s="535"/>
      <c r="EN36" s="535"/>
      <c r="EO36" s="535"/>
      <c r="EP36" s="535"/>
      <c r="EQ36" s="535"/>
      <c r="ER36" s="535"/>
      <c r="ES36" s="535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35"/>
      <c r="GT36" s="535"/>
      <c r="GU36" s="535"/>
      <c r="GV36" s="535"/>
      <c r="GW36" s="535"/>
      <c r="GX36" s="535"/>
      <c r="GY36" s="535"/>
      <c r="GZ36" s="52"/>
      <c r="HA36" s="52"/>
      <c r="HB36" s="52"/>
      <c r="HE36">
        <v>15</v>
      </c>
    </row>
    <row r="37" spans="1:213" x14ac:dyDescent="0.35">
      <c r="A37" s="536"/>
      <c r="B37" s="536"/>
      <c r="C37" s="536"/>
      <c r="D37" s="536"/>
      <c r="F37" s="49">
        <v>20</v>
      </c>
      <c r="G37" s="52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41"/>
      <c r="CU37" s="541"/>
      <c r="CV37" s="541"/>
      <c r="CW37" s="541"/>
      <c r="CX37" s="541"/>
      <c r="CY37" s="541"/>
      <c r="CZ37" s="541"/>
      <c r="DA37" s="541"/>
      <c r="DB37" s="541"/>
      <c r="DF37" s="49">
        <v>20</v>
      </c>
      <c r="DG37" s="541"/>
      <c r="DH37" s="541"/>
      <c r="DI37" s="541"/>
      <c r="DJ37" s="535"/>
      <c r="DK37" s="535"/>
      <c r="DL37" s="535"/>
      <c r="DM37" s="535"/>
      <c r="DN37" s="535"/>
      <c r="DO37" s="535"/>
      <c r="DP37" s="535"/>
      <c r="DQ37" s="535"/>
      <c r="DR37" s="535"/>
      <c r="DS37" s="535"/>
      <c r="DT37" s="535"/>
      <c r="DU37" s="535"/>
      <c r="DV37" s="535"/>
      <c r="DW37" s="535"/>
      <c r="DX37" s="535"/>
      <c r="DY37" s="535"/>
      <c r="DZ37" s="535"/>
      <c r="EA37" s="535"/>
      <c r="EB37" s="535"/>
      <c r="EC37" s="535"/>
      <c r="ED37" s="535"/>
      <c r="EE37" s="535"/>
      <c r="EF37" s="535"/>
      <c r="EG37" s="535"/>
      <c r="EH37" s="535"/>
      <c r="EI37" s="535"/>
      <c r="EJ37" s="535"/>
      <c r="EK37" s="535"/>
      <c r="EL37" s="535"/>
      <c r="EM37" s="535"/>
      <c r="EN37" s="535"/>
      <c r="EO37" s="535"/>
      <c r="EP37" s="535"/>
      <c r="EQ37" s="535"/>
      <c r="ER37" s="535"/>
      <c r="ES37" s="535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35"/>
      <c r="GT37" s="535"/>
      <c r="GU37" s="535"/>
      <c r="GV37" s="535"/>
      <c r="GW37" s="535"/>
      <c r="GX37" s="535"/>
      <c r="GY37" s="535"/>
      <c r="GZ37" s="52"/>
      <c r="HA37" s="52"/>
      <c r="HB37" s="52"/>
      <c r="HE37">
        <v>14</v>
      </c>
    </row>
    <row r="38" spans="1:213" x14ac:dyDescent="0.35">
      <c r="A38" s="536"/>
      <c r="B38" s="536"/>
      <c r="C38" s="536"/>
      <c r="D38" s="536"/>
      <c r="F38" s="49">
        <v>21</v>
      </c>
      <c r="G38" s="52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41"/>
      <c r="CU38" s="541"/>
      <c r="CV38" s="541"/>
      <c r="CW38" s="541"/>
      <c r="CX38" s="541"/>
      <c r="CY38" s="541"/>
      <c r="CZ38" s="541"/>
      <c r="DA38" s="541"/>
      <c r="DB38" s="541"/>
      <c r="DF38" s="49">
        <v>21</v>
      </c>
      <c r="DG38" s="541"/>
      <c r="DH38" s="541"/>
      <c r="DI38" s="541"/>
      <c r="DJ38" s="535"/>
      <c r="DK38" s="535"/>
      <c r="DL38" s="535"/>
      <c r="DM38" s="535"/>
      <c r="DN38" s="535"/>
      <c r="DO38" s="535"/>
      <c r="DP38" s="535"/>
      <c r="DQ38" s="535"/>
      <c r="DR38" s="535"/>
      <c r="DS38" s="535"/>
      <c r="DT38" s="535"/>
      <c r="DU38" s="535"/>
      <c r="DV38" s="535"/>
      <c r="DW38" s="535"/>
      <c r="DX38" s="535"/>
      <c r="DY38" s="535"/>
      <c r="DZ38" s="535"/>
      <c r="EA38" s="535"/>
      <c r="EB38" s="535"/>
      <c r="EC38" s="535"/>
      <c r="ED38" s="535"/>
      <c r="EE38" s="535"/>
      <c r="EF38" s="535"/>
      <c r="EG38" s="535"/>
      <c r="EH38" s="535"/>
      <c r="EI38" s="535"/>
      <c r="EJ38" s="535"/>
      <c r="EK38" s="535"/>
      <c r="EL38" s="535"/>
      <c r="EM38" s="535"/>
      <c r="EN38" s="535"/>
      <c r="EO38" s="535"/>
      <c r="EP38" s="535"/>
      <c r="EQ38" s="535"/>
      <c r="ER38" s="535"/>
      <c r="ES38" s="535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35"/>
      <c r="GT38" s="535"/>
      <c r="GU38" s="535"/>
      <c r="GV38" s="535"/>
      <c r="GW38" s="535"/>
      <c r="GX38" s="535"/>
      <c r="GY38" s="535"/>
      <c r="GZ38" s="52"/>
      <c r="HA38" s="52"/>
      <c r="HB38" s="52"/>
      <c r="HE38">
        <v>13</v>
      </c>
    </row>
    <row r="39" spans="1:213" x14ac:dyDescent="0.35">
      <c r="A39" s="536"/>
      <c r="B39" s="536"/>
      <c r="C39" s="536"/>
      <c r="D39" s="536"/>
      <c r="F39" s="49">
        <v>22</v>
      </c>
      <c r="G39" s="52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41"/>
      <c r="CU39" s="541"/>
      <c r="CV39" s="541"/>
      <c r="CW39" s="541"/>
      <c r="CX39" s="541"/>
      <c r="CY39" s="541"/>
      <c r="CZ39" s="541"/>
      <c r="DA39" s="541"/>
      <c r="DB39" s="541"/>
      <c r="DF39" s="49">
        <v>22</v>
      </c>
      <c r="DG39" s="541"/>
      <c r="DH39" s="541"/>
      <c r="DI39" s="541"/>
      <c r="DJ39" s="535"/>
      <c r="DK39" s="535"/>
      <c r="DL39" s="535"/>
      <c r="DM39" s="535"/>
      <c r="DN39" s="535"/>
      <c r="DO39" s="535"/>
      <c r="DP39" s="535"/>
      <c r="DQ39" s="535"/>
      <c r="DR39" s="535"/>
      <c r="DS39" s="535"/>
      <c r="DT39" s="535"/>
      <c r="DU39" s="535"/>
      <c r="DV39" s="535"/>
      <c r="DW39" s="535"/>
      <c r="DX39" s="535"/>
      <c r="DY39" s="535"/>
      <c r="DZ39" s="535"/>
      <c r="EA39" s="535"/>
      <c r="EB39" s="535"/>
      <c r="EC39" s="535"/>
      <c r="ED39" s="535"/>
      <c r="EE39" s="535"/>
      <c r="EF39" s="535"/>
      <c r="EG39" s="535"/>
      <c r="EH39" s="535"/>
      <c r="EI39" s="535"/>
      <c r="EJ39" s="535"/>
      <c r="EK39" s="535"/>
      <c r="EL39" s="535"/>
      <c r="EM39" s="535"/>
      <c r="EN39" s="535"/>
      <c r="EO39" s="535"/>
      <c r="EP39" s="535"/>
      <c r="EQ39" s="535"/>
      <c r="ER39" s="535"/>
      <c r="ES39" s="535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35"/>
      <c r="GT39" s="535"/>
      <c r="GU39" s="535"/>
      <c r="GV39" s="535"/>
      <c r="GW39" s="535"/>
      <c r="GX39" s="535"/>
      <c r="GY39" s="535"/>
      <c r="GZ39" s="52"/>
      <c r="HA39" s="52"/>
      <c r="HB39" s="52"/>
      <c r="HE39">
        <v>12</v>
      </c>
    </row>
    <row r="40" spans="1:213" x14ac:dyDescent="0.35">
      <c r="A40" s="536"/>
      <c r="B40" s="536"/>
      <c r="C40" s="536"/>
      <c r="D40" s="536"/>
      <c r="F40" s="49">
        <v>23</v>
      </c>
      <c r="G40" s="52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41"/>
      <c r="CU40" s="541"/>
      <c r="CV40" s="541"/>
      <c r="CW40" s="541"/>
      <c r="CX40" s="541"/>
      <c r="CY40" s="541"/>
      <c r="CZ40" s="541"/>
      <c r="DA40" s="541"/>
      <c r="DB40" s="541"/>
      <c r="DF40" s="49">
        <v>23</v>
      </c>
      <c r="DG40" s="541"/>
      <c r="DH40" s="541"/>
      <c r="DI40" s="541"/>
      <c r="DJ40" s="535"/>
      <c r="DK40" s="535"/>
      <c r="DL40" s="535"/>
      <c r="DM40" s="535"/>
      <c r="DN40" s="535"/>
      <c r="DO40" s="535"/>
      <c r="DP40" s="535"/>
      <c r="DQ40" s="535"/>
      <c r="DR40" s="535"/>
      <c r="DS40" s="535"/>
      <c r="DT40" s="535"/>
      <c r="DU40" s="535"/>
      <c r="DV40" s="535"/>
      <c r="DW40" s="535"/>
      <c r="DX40" s="535"/>
      <c r="DY40" s="535"/>
      <c r="DZ40" s="535"/>
      <c r="EA40" s="535"/>
      <c r="EB40" s="535"/>
      <c r="EC40" s="535"/>
      <c r="ED40" s="535"/>
      <c r="EE40" s="535"/>
      <c r="EF40" s="535"/>
      <c r="EG40" s="535"/>
      <c r="EH40" s="535"/>
      <c r="EI40" s="535"/>
      <c r="EJ40" s="535"/>
      <c r="EK40" s="535"/>
      <c r="EL40" s="535"/>
      <c r="EM40" s="535"/>
      <c r="EN40" s="535"/>
      <c r="EO40" s="535"/>
      <c r="EP40" s="535"/>
      <c r="EQ40" s="535"/>
      <c r="ER40" s="535"/>
      <c r="ES40" s="535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35"/>
      <c r="GT40" s="535"/>
      <c r="GU40" s="535"/>
      <c r="GV40" s="535"/>
      <c r="GW40" s="535"/>
      <c r="GX40" s="535"/>
      <c r="GY40" s="535"/>
      <c r="GZ40" s="52"/>
      <c r="HA40" s="52"/>
      <c r="HB40" s="52"/>
      <c r="HE40">
        <v>11</v>
      </c>
    </row>
    <row r="41" spans="1:213" x14ac:dyDescent="0.35">
      <c r="A41" s="536"/>
      <c r="F41" s="49">
        <v>24</v>
      </c>
      <c r="G41" s="52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41"/>
      <c r="CU41" s="541"/>
      <c r="CV41" s="541"/>
      <c r="CW41" s="541"/>
      <c r="CX41" s="541"/>
      <c r="CY41" s="541"/>
      <c r="CZ41" s="541"/>
      <c r="DA41" s="541"/>
      <c r="DB41" s="541"/>
      <c r="DF41" s="49">
        <v>24</v>
      </c>
      <c r="DG41" s="541"/>
      <c r="DH41" s="541"/>
      <c r="DI41" s="541"/>
      <c r="DJ41" s="535"/>
      <c r="DK41" s="535"/>
      <c r="DL41" s="535"/>
      <c r="DM41" s="535"/>
      <c r="DN41" s="535"/>
      <c r="DO41" s="535"/>
      <c r="DP41" s="535"/>
      <c r="DQ41" s="535"/>
      <c r="DR41" s="535"/>
      <c r="DS41" s="535"/>
      <c r="DT41" s="535"/>
      <c r="DU41" s="535"/>
      <c r="DV41" s="535"/>
      <c r="DW41" s="535"/>
      <c r="DX41" s="535"/>
      <c r="DY41" s="535"/>
      <c r="DZ41" s="535"/>
      <c r="EA41" s="535"/>
      <c r="EB41" s="535"/>
      <c r="EC41" s="535"/>
      <c r="ED41" s="535"/>
      <c r="EE41" s="535"/>
      <c r="EF41" s="535"/>
      <c r="EG41" s="535"/>
      <c r="EH41" s="535"/>
      <c r="EI41" s="535"/>
      <c r="EJ41" s="535"/>
      <c r="EK41" s="535"/>
      <c r="EL41" s="535"/>
      <c r="EM41" s="535"/>
      <c r="EN41" s="535"/>
      <c r="EO41" s="535"/>
      <c r="EP41" s="535"/>
      <c r="EQ41" s="535"/>
      <c r="ER41" s="535"/>
      <c r="ES41" s="535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35"/>
      <c r="GT41" s="535"/>
      <c r="GU41" s="535"/>
      <c r="GV41" s="535"/>
      <c r="GW41" s="535"/>
      <c r="GX41" s="535"/>
      <c r="GY41" s="535"/>
      <c r="GZ41" s="52"/>
      <c r="HA41" s="52"/>
      <c r="HB41" s="52"/>
      <c r="HE41">
        <v>10</v>
      </c>
    </row>
    <row r="42" spans="1:213" x14ac:dyDescent="0.35">
      <c r="F42" s="49">
        <v>25</v>
      </c>
      <c r="G42" s="52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41"/>
      <c r="CU42" s="541"/>
      <c r="CV42" s="541"/>
      <c r="CW42" s="541"/>
      <c r="CX42" s="541"/>
      <c r="CY42" s="541"/>
      <c r="CZ42" s="541"/>
      <c r="DA42" s="541"/>
      <c r="DB42" s="541"/>
      <c r="DF42" s="49">
        <v>25</v>
      </c>
      <c r="DG42" s="541"/>
      <c r="DH42" s="541"/>
      <c r="DI42" s="541"/>
      <c r="DJ42" s="535"/>
      <c r="DK42" s="535"/>
      <c r="DL42" s="535"/>
      <c r="DM42" s="535"/>
      <c r="DN42" s="535"/>
      <c r="DO42" s="535"/>
      <c r="DP42" s="535"/>
      <c r="DQ42" s="535"/>
      <c r="DR42" s="535"/>
      <c r="DS42" s="535"/>
      <c r="DT42" s="535"/>
      <c r="DU42" s="535"/>
      <c r="DV42" s="535"/>
      <c r="DW42" s="535"/>
      <c r="DX42" s="535"/>
      <c r="DY42" s="535"/>
      <c r="DZ42" s="535"/>
      <c r="EA42" s="535"/>
      <c r="EB42" s="535"/>
      <c r="EC42" s="535"/>
      <c r="ED42" s="535"/>
      <c r="EE42" s="535"/>
      <c r="EF42" s="535"/>
      <c r="EG42" s="535"/>
      <c r="EH42" s="535"/>
      <c r="EI42" s="535"/>
      <c r="EJ42" s="535"/>
      <c r="EK42" s="535"/>
      <c r="EL42" s="535"/>
      <c r="EM42" s="535"/>
      <c r="EN42" s="535"/>
      <c r="EO42" s="535"/>
      <c r="EP42" s="535"/>
      <c r="EQ42" s="535"/>
      <c r="ER42" s="535"/>
      <c r="ES42" s="535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35"/>
      <c r="GT42" s="535"/>
      <c r="GU42" s="535"/>
      <c r="GV42" s="535"/>
      <c r="GW42" s="535"/>
      <c r="GX42" s="535"/>
      <c r="GY42" s="535"/>
      <c r="GZ42" s="52"/>
      <c r="HA42" s="52"/>
      <c r="HB42" s="52"/>
      <c r="HE42">
        <v>9</v>
      </c>
    </row>
    <row r="43" spans="1:213" x14ac:dyDescent="0.35">
      <c r="F43" s="49">
        <v>26</v>
      </c>
      <c r="G43" s="52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41"/>
      <c r="CU43" s="541"/>
      <c r="CV43" s="541"/>
      <c r="CW43" s="541"/>
      <c r="CX43" s="541"/>
      <c r="CY43" s="541"/>
      <c r="CZ43" s="541"/>
      <c r="DA43" s="541"/>
      <c r="DB43" s="541"/>
      <c r="DF43" s="49">
        <v>26</v>
      </c>
      <c r="DG43" s="541"/>
      <c r="DH43" s="541"/>
      <c r="DI43" s="541"/>
      <c r="DJ43" s="535"/>
      <c r="DK43" s="535"/>
      <c r="DL43" s="535"/>
      <c r="DM43" s="535"/>
      <c r="DN43" s="535"/>
      <c r="DO43" s="535"/>
      <c r="DP43" s="535"/>
      <c r="DQ43" s="535"/>
      <c r="DR43" s="535"/>
      <c r="DS43" s="535"/>
      <c r="DT43" s="535"/>
      <c r="DU43" s="535"/>
      <c r="DV43" s="535"/>
      <c r="DW43" s="535"/>
      <c r="DX43" s="535"/>
      <c r="DY43" s="535"/>
      <c r="DZ43" s="535"/>
      <c r="EA43" s="535"/>
      <c r="EB43" s="535"/>
      <c r="EC43" s="535"/>
      <c r="ED43" s="535"/>
      <c r="EE43" s="535"/>
      <c r="EF43" s="535"/>
      <c r="EG43" s="535"/>
      <c r="EH43" s="535"/>
      <c r="EI43" s="535"/>
      <c r="EJ43" s="535"/>
      <c r="EK43" s="535"/>
      <c r="EL43" s="535"/>
      <c r="EM43" s="535"/>
      <c r="EN43" s="535"/>
      <c r="EO43" s="535"/>
      <c r="EP43" s="535"/>
      <c r="EQ43" s="535"/>
      <c r="ER43" s="535"/>
      <c r="ES43" s="535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35"/>
      <c r="GT43" s="535"/>
      <c r="GU43" s="535"/>
      <c r="GV43" s="535"/>
      <c r="GW43" s="535"/>
      <c r="GX43" s="535"/>
      <c r="GY43" s="535"/>
      <c r="GZ43" s="52"/>
      <c r="HA43" s="52"/>
      <c r="HB43" s="52"/>
      <c r="HE43">
        <v>8</v>
      </c>
    </row>
    <row r="44" spans="1:213" x14ac:dyDescent="0.35">
      <c r="F44" s="49">
        <v>27</v>
      </c>
      <c r="G44" s="52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41"/>
      <c r="CU44" s="541"/>
      <c r="CV44" s="541"/>
      <c r="CW44" s="541"/>
      <c r="CX44" s="541"/>
      <c r="CY44" s="541"/>
      <c r="CZ44" s="541"/>
      <c r="DA44" s="541"/>
      <c r="DB44" s="541"/>
      <c r="DF44" s="49">
        <v>27</v>
      </c>
      <c r="DG44" s="541"/>
      <c r="DH44" s="541"/>
      <c r="DI44" s="541"/>
      <c r="DJ44" s="535"/>
      <c r="DK44" s="535"/>
      <c r="DL44" s="535"/>
      <c r="DM44" s="535"/>
      <c r="DN44" s="535"/>
      <c r="DO44" s="535"/>
      <c r="DP44" s="535"/>
      <c r="DQ44" s="535"/>
      <c r="DR44" s="535"/>
      <c r="DS44" s="535"/>
      <c r="DT44" s="535"/>
      <c r="DU44" s="535"/>
      <c r="DV44" s="535"/>
      <c r="DW44" s="535"/>
      <c r="DX44" s="535"/>
      <c r="DY44" s="535"/>
      <c r="DZ44" s="535"/>
      <c r="EA44" s="535"/>
      <c r="EB44" s="535"/>
      <c r="EC44" s="535"/>
      <c r="ED44" s="535"/>
      <c r="EE44" s="535"/>
      <c r="EF44" s="535"/>
      <c r="EG44" s="535"/>
      <c r="EH44" s="535"/>
      <c r="EI44" s="535"/>
      <c r="EJ44" s="535"/>
      <c r="EK44" s="535"/>
      <c r="EL44" s="535"/>
      <c r="EM44" s="535"/>
      <c r="EN44" s="535"/>
      <c r="EO44" s="535"/>
      <c r="EP44" s="535"/>
      <c r="EQ44" s="535"/>
      <c r="ER44" s="535"/>
      <c r="ES44" s="535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35"/>
      <c r="GT44" s="535"/>
      <c r="GU44" s="535"/>
      <c r="GV44" s="535"/>
      <c r="GW44" s="535"/>
      <c r="GX44" s="535"/>
      <c r="GY44" s="535"/>
      <c r="GZ44" s="52"/>
      <c r="HA44" s="52"/>
      <c r="HB44" s="52"/>
      <c r="HE44">
        <v>7</v>
      </c>
    </row>
    <row r="45" spans="1:213" x14ac:dyDescent="0.35">
      <c r="F45" s="49">
        <v>28</v>
      </c>
      <c r="G45" s="52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5"/>
      <c r="AJ45" s="535"/>
      <c r="AK45" s="535"/>
      <c r="AL45" s="535"/>
      <c r="AM45" s="535"/>
      <c r="AN45" s="535"/>
      <c r="AO45" s="535"/>
      <c r="AP45" s="535"/>
      <c r="AQ45" s="535"/>
      <c r="AR45" s="535"/>
      <c r="AS45" s="535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41"/>
      <c r="CU45" s="541"/>
      <c r="CV45" s="541"/>
      <c r="CW45" s="541"/>
      <c r="CX45" s="541"/>
      <c r="CY45" s="541"/>
      <c r="CZ45" s="541"/>
      <c r="DA45" s="541"/>
      <c r="DB45" s="541"/>
      <c r="DF45" s="49">
        <v>28</v>
      </c>
      <c r="DG45" s="541"/>
      <c r="DH45" s="541"/>
      <c r="DI45" s="541"/>
      <c r="DJ45" s="535"/>
      <c r="DK45" s="535"/>
      <c r="DL45" s="535"/>
      <c r="DM45" s="535"/>
      <c r="DN45" s="535"/>
      <c r="DO45" s="535"/>
      <c r="DP45" s="535"/>
      <c r="DQ45" s="535"/>
      <c r="DR45" s="535"/>
      <c r="DS45" s="535"/>
      <c r="DT45" s="535"/>
      <c r="DU45" s="535"/>
      <c r="DV45" s="535"/>
      <c r="DW45" s="535"/>
      <c r="DX45" s="535"/>
      <c r="DY45" s="535"/>
      <c r="DZ45" s="535"/>
      <c r="EA45" s="535"/>
      <c r="EB45" s="535"/>
      <c r="EC45" s="535"/>
      <c r="ED45" s="535"/>
      <c r="EE45" s="535"/>
      <c r="EF45" s="535"/>
      <c r="EG45" s="535"/>
      <c r="EH45" s="535"/>
      <c r="EI45" s="535"/>
      <c r="EJ45" s="535"/>
      <c r="EK45" s="535"/>
      <c r="EL45" s="535"/>
      <c r="EM45" s="535"/>
      <c r="EN45" s="535"/>
      <c r="EO45" s="535"/>
      <c r="EP45" s="535"/>
      <c r="EQ45" s="535"/>
      <c r="ER45" s="535"/>
      <c r="ES45" s="535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35"/>
      <c r="GT45" s="535"/>
      <c r="GU45" s="535"/>
      <c r="GV45" s="535"/>
      <c r="GW45" s="535"/>
      <c r="GX45" s="535"/>
      <c r="GY45" s="535"/>
      <c r="GZ45" s="52"/>
      <c r="HA45" s="52"/>
      <c r="HB45" s="52"/>
      <c r="HE45">
        <v>6</v>
      </c>
    </row>
    <row r="46" spans="1:213" x14ac:dyDescent="0.35">
      <c r="F46" s="49">
        <v>29</v>
      </c>
      <c r="G46" s="52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  <c r="AQ46" s="535"/>
      <c r="AR46" s="535"/>
      <c r="AS46" s="535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41"/>
      <c r="CU46" s="541"/>
      <c r="CV46" s="541"/>
      <c r="CW46" s="541"/>
      <c r="CX46" s="541"/>
      <c r="CY46" s="541"/>
      <c r="CZ46" s="541"/>
      <c r="DA46" s="541"/>
      <c r="DB46" s="541"/>
      <c r="DF46" s="49">
        <v>29</v>
      </c>
      <c r="DG46" s="541"/>
      <c r="DH46" s="541"/>
      <c r="DI46" s="541"/>
      <c r="DJ46" s="535"/>
      <c r="DK46" s="535"/>
      <c r="DL46" s="535"/>
      <c r="DM46" s="535"/>
      <c r="DN46" s="535"/>
      <c r="DO46" s="535"/>
      <c r="DP46" s="535"/>
      <c r="DQ46" s="535"/>
      <c r="DR46" s="535"/>
      <c r="DS46" s="535"/>
      <c r="DT46" s="535"/>
      <c r="DU46" s="535"/>
      <c r="DV46" s="535"/>
      <c r="DW46" s="535"/>
      <c r="DX46" s="535"/>
      <c r="DY46" s="535"/>
      <c r="DZ46" s="535"/>
      <c r="EA46" s="535"/>
      <c r="EB46" s="535"/>
      <c r="EC46" s="535"/>
      <c r="ED46" s="535"/>
      <c r="EE46" s="535"/>
      <c r="EF46" s="535"/>
      <c r="EG46" s="535"/>
      <c r="EH46" s="535"/>
      <c r="EI46" s="535"/>
      <c r="EJ46" s="535"/>
      <c r="EK46" s="535"/>
      <c r="EL46" s="535"/>
      <c r="EM46" s="535"/>
      <c r="EN46" s="535"/>
      <c r="EO46" s="535"/>
      <c r="EP46" s="535"/>
      <c r="EQ46" s="535"/>
      <c r="ER46" s="535"/>
      <c r="ES46" s="535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35"/>
      <c r="GT46" s="535"/>
      <c r="GU46" s="535"/>
      <c r="GV46" s="535"/>
      <c r="GW46" s="535"/>
      <c r="GX46" s="535"/>
      <c r="GY46" s="535"/>
      <c r="GZ46" s="52"/>
      <c r="HA46" s="52"/>
      <c r="HB46" s="52"/>
    </row>
    <row r="47" spans="1:213" x14ac:dyDescent="0.35">
      <c r="F47" s="49">
        <v>30</v>
      </c>
      <c r="G47" s="52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41"/>
      <c r="CU47" s="541"/>
      <c r="CV47" s="541"/>
      <c r="CW47" s="541"/>
      <c r="CX47" s="541"/>
      <c r="CY47" s="541"/>
      <c r="CZ47" s="541"/>
      <c r="DA47" s="541"/>
      <c r="DB47" s="541"/>
      <c r="DF47" s="49">
        <v>30</v>
      </c>
      <c r="DG47" s="541"/>
      <c r="DH47" s="541"/>
      <c r="DI47" s="541"/>
      <c r="DJ47" s="535"/>
      <c r="DK47" s="535"/>
      <c r="DL47" s="535"/>
      <c r="DM47" s="535"/>
      <c r="DN47" s="535"/>
      <c r="DO47" s="535"/>
      <c r="DP47" s="535"/>
      <c r="DQ47" s="535"/>
      <c r="DR47" s="535"/>
      <c r="DS47" s="535"/>
      <c r="DT47" s="535"/>
      <c r="DU47" s="535"/>
      <c r="DV47" s="535"/>
      <c r="DW47" s="535"/>
      <c r="DX47" s="535"/>
      <c r="DY47" s="535"/>
      <c r="DZ47" s="535"/>
      <c r="EA47" s="535"/>
      <c r="EB47" s="535"/>
      <c r="EC47" s="535"/>
      <c r="ED47" s="535"/>
      <c r="EE47" s="535"/>
      <c r="EF47" s="535"/>
      <c r="EG47" s="535"/>
      <c r="EH47" s="535"/>
      <c r="EI47" s="535"/>
      <c r="EJ47" s="535"/>
      <c r="EK47" s="535"/>
      <c r="EL47" s="535"/>
      <c r="EM47" s="535"/>
      <c r="EN47" s="535"/>
      <c r="EO47" s="535"/>
      <c r="EP47" s="535"/>
      <c r="EQ47" s="535"/>
      <c r="ER47" s="535"/>
      <c r="ES47" s="535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35"/>
      <c r="GT47" s="535"/>
      <c r="GU47" s="535"/>
      <c r="GV47" s="535"/>
      <c r="GW47" s="535"/>
      <c r="GX47" s="535"/>
      <c r="GY47" s="535"/>
      <c r="GZ47" s="52"/>
      <c r="HA47" s="52"/>
      <c r="HB47" s="52"/>
    </row>
    <row r="48" spans="1:213" x14ac:dyDescent="0.35">
      <c r="F48" s="49">
        <v>31</v>
      </c>
      <c r="G48" s="52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41"/>
      <c r="CU48" s="541"/>
      <c r="CV48" s="541"/>
      <c r="CW48" s="541"/>
      <c r="CX48" s="541"/>
      <c r="CY48" s="541"/>
      <c r="CZ48" s="541"/>
      <c r="DA48" s="541"/>
      <c r="DB48" s="541"/>
      <c r="DF48" s="49">
        <v>31</v>
      </c>
      <c r="DG48" s="541"/>
      <c r="DH48" s="541"/>
      <c r="DI48" s="541"/>
      <c r="DJ48" s="535"/>
      <c r="DK48" s="535"/>
      <c r="DL48" s="535"/>
      <c r="DM48" s="535"/>
      <c r="DN48" s="535"/>
      <c r="DO48" s="535"/>
      <c r="DP48" s="535"/>
      <c r="DQ48" s="535"/>
      <c r="DR48" s="535"/>
      <c r="DS48" s="535"/>
      <c r="DT48" s="535"/>
      <c r="DU48" s="535"/>
      <c r="DV48" s="535"/>
      <c r="DW48" s="535"/>
      <c r="DX48" s="535"/>
      <c r="DY48" s="535"/>
      <c r="DZ48" s="535"/>
      <c r="EA48" s="535"/>
      <c r="EB48" s="535"/>
      <c r="EC48" s="535"/>
      <c r="ED48" s="535"/>
      <c r="EE48" s="535"/>
      <c r="EF48" s="535"/>
      <c r="EG48" s="535"/>
      <c r="EH48" s="535"/>
      <c r="EI48" s="535"/>
      <c r="EJ48" s="535"/>
      <c r="EK48" s="535"/>
      <c r="EL48" s="535"/>
      <c r="EM48" s="535"/>
      <c r="EN48" s="535"/>
      <c r="EO48" s="535"/>
      <c r="EP48" s="535"/>
      <c r="EQ48" s="535"/>
      <c r="ER48" s="535"/>
      <c r="ES48" s="535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35"/>
      <c r="GT48" s="535"/>
      <c r="GU48" s="535"/>
      <c r="GV48" s="535"/>
      <c r="GW48" s="535"/>
      <c r="GX48" s="535"/>
      <c r="GY48" s="535"/>
      <c r="GZ48" s="52"/>
      <c r="HA48" s="52"/>
      <c r="HB48" s="52"/>
    </row>
    <row r="49" spans="1:213" x14ac:dyDescent="0.35">
      <c r="F49" s="49">
        <v>32</v>
      </c>
      <c r="G49" s="52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41"/>
      <c r="CU49" s="541"/>
      <c r="CV49" s="541"/>
      <c r="CW49" s="541"/>
      <c r="CX49" s="541"/>
      <c r="CY49" s="541"/>
      <c r="CZ49" s="541"/>
      <c r="DA49" s="541"/>
      <c r="DB49" s="541"/>
      <c r="DF49" s="49">
        <v>32</v>
      </c>
      <c r="DG49" s="541"/>
      <c r="DH49" s="541"/>
      <c r="DI49" s="541"/>
      <c r="DJ49" s="535"/>
      <c r="DK49" s="535"/>
      <c r="DL49" s="535"/>
      <c r="DM49" s="535"/>
      <c r="DN49" s="535"/>
      <c r="DO49" s="535"/>
      <c r="DP49" s="535"/>
      <c r="DQ49" s="535"/>
      <c r="DR49" s="535"/>
      <c r="DS49" s="535"/>
      <c r="DT49" s="535"/>
      <c r="DU49" s="535"/>
      <c r="DV49" s="535"/>
      <c r="DW49" s="535"/>
      <c r="DX49" s="535"/>
      <c r="DY49" s="535"/>
      <c r="DZ49" s="535"/>
      <c r="EA49" s="535"/>
      <c r="EB49" s="535"/>
      <c r="EC49" s="535"/>
      <c r="ED49" s="535"/>
      <c r="EE49" s="535"/>
      <c r="EF49" s="535"/>
      <c r="EG49" s="535"/>
      <c r="EH49" s="535"/>
      <c r="EI49" s="535"/>
      <c r="EJ49" s="535"/>
      <c r="EK49" s="535"/>
      <c r="EL49" s="535"/>
      <c r="EM49" s="535"/>
      <c r="EN49" s="535"/>
      <c r="EO49" s="535"/>
      <c r="EP49" s="535"/>
      <c r="EQ49" s="535"/>
      <c r="ER49" s="535"/>
      <c r="ES49" s="535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35"/>
      <c r="GT49" s="535"/>
      <c r="GU49" s="535"/>
      <c r="GV49" s="535"/>
      <c r="GW49" s="535"/>
      <c r="GX49" s="535"/>
      <c r="GY49" s="535"/>
      <c r="GZ49" s="52"/>
      <c r="HA49" s="52"/>
      <c r="HB49" s="52"/>
      <c r="HE49">
        <v>5</v>
      </c>
    </row>
    <row r="50" spans="1:213" x14ac:dyDescent="0.35">
      <c r="F50" s="49">
        <v>33</v>
      </c>
      <c r="G50" s="52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  <c r="AS50" s="535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41"/>
      <c r="CU50" s="541"/>
      <c r="CV50" s="541"/>
      <c r="CW50" s="541"/>
      <c r="CX50" s="541"/>
      <c r="CY50" s="541"/>
      <c r="CZ50" s="541"/>
      <c r="DA50" s="541"/>
      <c r="DB50" s="541"/>
      <c r="DF50" s="49">
        <v>33</v>
      </c>
      <c r="DG50" s="541"/>
      <c r="DH50" s="541"/>
      <c r="DI50" s="541"/>
      <c r="DJ50" s="535"/>
      <c r="DK50" s="535"/>
      <c r="DL50" s="535"/>
      <c r="DM50" s="535"/>
      <c r="DN50" s="535"/>
      <c r="DO50" s="535"/>
      <c r="DP50" s="535"/>
      <c r="DQ50" s="535"/>
      <c r="DR50" s="535"/>
      <c r="DS50" s="535"/>
      <c r="DT50" s="535"/>
      <c r="DU50" s="535"/>
      <c r="DV50" s="535"/>
      <c r="DW50" s="535"/>
      <c r="DX50" s="535"/>
      <c r="DY50" s="535"/>
      <c r="DZ50" s="535"/>
      <c r="EA50" s="535"/>
      <c r="EB50" s="535"/>
      <c r="EC50" s="535"/>
      <c r="ED50" s="535"/>
      <c r="EE50" s="535"/>
      <c r="EF50" s="535"/>
      <c r="EG50" s="535"/>
      <c r="EH50" s="535"/>
      <c r="EI50" s="535"/>
      <c r="EJ50" s="535"/>
      <c r="EK50" s="535"/>
      <c r="EL50" s="535"/>
      <c r="EM50" s="535"/>
      <c r="EN50" s="535"/>
      <c r="EO50" s="535"/>
      <c r="EP50" s="535"/>
      <c r="EQ50" s="535"/>
      <c r="ER50" s="535"/>
      <c r="ES50" s="535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35"/>
      <c r="GT50" s="535"/>
      <c r="GU50" s="535"/>
      <c r="GV50" s="535"/>
      <c r="GW50" s="535"/>
      <c r="GX50" s="535"/>
      <c r="GY50" s="535"/>
      <c r="GZ50" s="52"/>
      <c r="HA50" s="52"/>
      <c r="HB50" s="52"/>
    </row>
    <row r="51" spans="1:213" x14ac:dyDescent="0.35">
      <c r="F51" s="49">
        <v>34</v>
      </c>
      <c r="G51" s="52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41"/>
      <c r="CU51" s="541"/>
      <c r="CV51" s="541"/>
      <c r="CW51" s="541"/>
      <c r="CX51" s="541"/>
      <c r="CY51" s="541"/>
      <c r="CZ51" s="541"/>
      <c r="DA51" s="541"/>
      <c r="DB51" s="541"/>
      <c r="DF51" s="49">
        <v>34</v>
      </c>
      <c r="DG51" s="541"/>
      <c r="DH51" s="541"/>
      <c r="DI51" s="541"/>
      <c r="DJ51" s="535"/>
      <c r="DK51" s="535"/>
      <c r="DL51" s="535"/>
      <c r="DM51" s="535"/>
      <c r="DN51" s="535"/>
      <c r="DO51" s="535"/>
      <c r="DP51" s="535"/>
      <c r="DQ51" s="535"/>
      <c r="DR51" s="535"/>
      <c r="DS51" s="535"/>
      <c r="DT51" s="535"/>
      <c r="DU51" s="535"/>
      <c r="DV51" s="535"/>
      <c r="DW51" s="535"/>
      <c r="DX51" s="535"/>
      <c r="DY51" s="535"/>
      <c r="DZ51" s="535"/>
      <c r="EA51" s="535"/>
      <c r="EB51" s="535"/>
      <c r="EC51" s="535"/>
      <c r="ED51" s="535"/>
      <c r="EE51" s="535"/>
      <c r="EF51" s="535"/>
      <c r="EG51" s="535"/>
      <c r="EH51" s="535"/>
      <c r="EI51" s="535"/>
      <c r="EJ51" s="535"/>
      <c r="EK51" s="535"/>
      <c r="EL51" s="535"/>
      <c r="EM51" s="535"/>
      <c r="EN51" s="535"/>
      <c r="EO51" s="535"/>
      <c r="EP51" s="535"/>
      <c r="EQ51" s="535"/>
      <c r="ER51" s="535"/>
      <c r="ES51" s="535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35"/>
      <c r="GT51" s="535"/>
      <c r="GU51" s="535"/>
      <c r="GV51" s="535"/>
      <c r="GW51" s="535"/>
      <c r="GX51" s="535"/>
      <c r="GY51" s="535"/>
      <c r="GZ51" s="52"/>
      <c r="HA51" s="52"/>
      <c r="HB51" s="52"/>
    </row>
    <row r="52" spans="1:213" x14ac:dyDescent="0.35">
      <c r="F52" s="49">
        <v>35</v>
      </c>
      <c r="G52" s="52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535"/>
      <c r="AL52" s="535"/>
      <c r="AM52" s="535"/>
      <c r="AN52" s="535"/>
      <c r="AO52" s="535"/>
      <c r="AP52" s="535"/>
      <c r="AQ52" s="535"/>
      <c r="AR52" s="535"/>
      <c r="AS52" s="535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41"/>
      <c r="CU52" s="541"/>
      <c r="CV52" s="541"/>
      <c r="CW52" s="541"/>
      <c r="CX52" s="541"/>
      <c r="CY52" s="541"/>
      <c r="CZ52" s="541"/>
      <c r="DA52" s="541"/>
      <c r="DB52" s="541"/>
      <c r="DF52" s="49">
        <v>35</v>
      </c>
      <c r="DG52" s="541"/>
      <c r="DH52" s="541"/>
      <c r="DI52" s="541"/>
      <c r="DJ52" s="535"/>
      <c r="DK52" s="535"/>
      <c r="DL52" s="535"/>
      <c r="DM52" s="535"/>
      <c r="DN52" s="535"/>
      <c r="DO52" s="535"/>
      <c r="DP52" s="535"/>
      <c r="DQ52" s="535"/>
      <c r="DR52" s="535"/>
      <c r="DS52" s="535"/>
      <c r="DT52" s="535"/>
      <c r="DU52" s="535"/>
      <c r="DV52" s="535"/>
      <c r="DW52" s="535"/>
      <c r="DX52" s="535"/>
      <c r="DY52" s="535"/>
      <c r="DZ52" s="535"/>
      <c r="EA52" s="535"/>
      <c r="EB52" s="535"/>
      <c r="EC52" s="535"/>
      <c r="ED52" s="535"/>
      <c r="EE52" s="535"/>
      <c r="EF52" s="535"/>
      <c r="EG52" s="535"/>
      <c r="EH52" s="535"/>
      <c r="EI52" s="535"/>
      <c r="EJ52" s="535"/>
      <c r="EK52" s="535"/>
      <c r="EL52" s="535"/>
      <c r="EM52" s="535"/>
      <c r="EN52" s="535"/>
      <c r="EO52" s="535"/>
      <c r="EP52" s="535"/>
      <c r="EQ52" s="535"/>
      <c r="ER52" s="535"/>
      <c r="ES52" s="535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35"/>
      <c r="GT52" s="535"/>
      <c r="GU52" s="535"/>
      <c r="GV52" s="535"/>
      <c r="GW52" s="535"/>
      <c r="GX52" s="535"/>
      <c r="GY52" s="535"/>
      <c r="GZ52" s="52"/>
      <c r="HA52" s="52"/>
      <c r="HB52" s="52"/>
    </row>
    <row r="53" spans="1:213" x14ac:dyDescent="0.35">
      <c r="F53" s="49">
        <v>36</v>
      </c>
      <c r="G53" s="52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41"/>
      <c r="CU53" s="541"/>
      <c r="CV53" s="541"/>
      <c r="CW53" s="541"/>
      <c r="CX53" s="541"/>
      <c r="CY53" s="541"/>
      <c r="CZ53" s="541"/>
      <c r="DA53" s="541"/>
      <c r="DB53" s="541"/>
      <c r="DF53" s="49">
        <v>36</v>
      </c>
      <c r="DG53" s="541"/>
      <c r="DH53" s="541"/>
      <c r="DI53" s="541"/>
      <c r="DJ53" s="535"/>
      <c r="DK53" s="535"/>
      <c r="DL53" s="535"/>
      <c r="DM53" s="535"/>
      <c r="DN53" s="535"/>
      <c r="DO53" s="535"/>
      <c r="DP53" s="535"/>
      <c r="DQ53" s="535"/>
      <c r="DR53" s="535"/>
      <c r="DS53" s="535"/>
      <c r="DT53" s="535"/>
      <c r="DU53" s="535"/>
      <c r="DV53" s="535"/>
      <c r="DW53" s="535"/>
      <c r="DX53" s="535"/>
      <c r="DY53" s="535"/>
      <c r="DZ53" s="535"/>
      <c r="EA53" s="535"/>
      <c r="EB53" s="535"/>
      <c r="EC53" s="535"/>
      <c r="ED53" s="535"/>
      <c r="EE53" s="535"/>
      <c r="EF53" s="535"/>
      <c r="EG53" s="535"/>
      <c r="EH53" s="535"/>
      <c r="EI53" s="535"/>
      <c r="EJ53" s="535"/>
      <c r="EK53" s="535"/>
      <c r="EL53" s="535"/>
      <c r="EM53" s="535"/>
      <c r="EN53" s="535"/>
      <c r="EO53" s="535"/>
      <c r="EP53" s="535"/>
      <c r="EQ53" s="535"/>
      <c r="ER53" s="535"/>
      <c r="ES53" s="535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35"/>
      <c r="GT53" s="535"/>
      <c r="GU53" s="535"/>
      <c r="GV53" s="535"/>
      <c r="GW53" s="535"/>
      <c r="GX53" s="535"/>
      <c r="GY53" s="535"/>
      <c r="GZ53" s="52"/>
      <c r="HA53" s="52"/>
      <c r="HB53" s="52"/>
    </row>
    <row r="55" spans="1:213" x14ac:dyDescent="0.35">
      <c r="G55" s="49" t="s">
        <v>370</v>
      </c>
    </row>
    <row r="56" spans="1:213" x14ac:dyDescent="0.35">
      <c r="G56" s="49" t="s">
        <v>371</v>
      </c>
    </row>
    <row r="57" spans="1:213" x14ac:dyDescent="0.35">
      <c r="A57" s="542" t="s">
        <v>146</v>
      </c>
      <c r="B57" s="542" t="s">
        <v>375</v>
      </c>
      <c r="C57" s="542" t="s">
        <v>376</v>
      </c>
      <c r="D57" s="542" t="s">
        <v>377</v>
      </c>
      <c r="G57" s="532">
        <v>1</v>
      </c>
      <c r="H57" s="532">
        <v>2</v>
      </c>
      <c r="I57" s="532">
        <v>3</v>
      </c>
      <c r="J57" s="532">
        <v>4</v>
      </c>
      <c r="K57" s="532">
        <v>5</v>
      </c>
      <c r="L57" s="532">
        <v>6</v>
      </c>
      <c r="M57" s="532">
        <v>7</v>
      </c>
      <c r="N57" s="532">
        <v>8</v>
      </c>
      <c r="O57" s="532">
        <v>9</v>
      </c>
      <c r="P57" s="532">
        <v>10</v>
      </c>
      <c r="Q57" s="532">
        <v>11</v>
      </c>
      <c r="R57" s="532">
        <v>12</v>
      </c>
      <c r="S57" s="532">
        <v>13</v>
      </c>
      <c r="T57" s="532">
        <v>14</v>
      </c>
      <c r="U57" s="532">
        <v>15</v>
      </c>
      <c r="V57" s="532">
        <v>16</v>
      </c>
      <c r="W57" s="532">
        <v>17</v>
      </c>
      <c r="X57" s="532">
        <v>18</v>
      </c>
      <c r="Y57" s="532">
        <v>19</v>
      </c>
      <c r="Z57" s="532">
        <v>20</v>
      </c>
      <c r="AA57" s="532">
        <v>21</v>
      </c>
      <c r="AB57" s="532">
        <v>22</v>
      </c>
      <c r="AC57" s="532">
        <v>23</v>
      </c>
      <c r="AD57" s="532">
        <v>24</v>
      </c>
      <c r="AE57" s="532">
        <v>25</v>
      </c>
      <c r="AF57" s="532">
        <v>26</v>
      </c>
      <c r="AG57" s="532">
        <v>27</v>
      </c>
      <c r="AH57" s="532">
        <v>28</v>
      </c>
      <c r="AI57" s="532">
        <v>29</v>
      </c>
      <c r="AJ57" s="532">
        <v>30</v>
      </c>
      <c r="AK57" s="532">
        <v>31</v>
      </c>
      <c r="AL57" s="532">
        <v>32</v>
      </c>
      <c r="AM57" s="532">
        <v>33</v>
      </c>
      <c r="AN57" s="532">
        <v>34</v>
      </c>
      <c r="AO57" s="532">
        <v>35</v>
      </c>
      <c r="AP57" s="532">
        <v>36</v>
      </c>
      <c r="AQ57" s="532">
        <v>37</v>
      </c>
      <c r="AR57" s="532">
        <v>38</v>
      </c>
      <c r="AS57" s="532">
        <v>39</v>
      </c>
      <c r="AT57" s="532">
        <v>40</v>
      </c>
      <c r="AU57" s="532">
        <v>41</v>
      </c>
      <c r="AV57" s="532">
        <v>42</v>
      </c>
      <c r="AW57" s="532">
        <v>43</v>
      </c>
      <c r="AX57" s="532">
        <v>44</v>
      </c>
      <c r="AY57" s="532">
        <v>45</v>
      </c>
      <c r="AZ57" s="532">
        <v>46</v>
      </c>
      <c r="BA57" s="532">
        <v>47</v>
      </c>
      <c r="BB57" s="532">
        <v>48</v>
      </c>
      <c r="BC57" s="532">
        <v>49</v>
      </c>
      <c r="BD57" s="532">
        <v>50</v>
      </c>
      <c r="BE57" s="532">
        <v>51</v>
      </c>
      <c r="BF57" s="532">
        <v>52</v>
      </c>
      <c r="BG57" s="532">
        <v>53</v>
      </c>
      <c r="BH57" s="532">
        <v>54</v>
      </c>
      <c r="BI57" s="532">
        <v>55</v>
      </c>
      <c r="BJ57" s="532">
        <v>56</v>
      </c>
      <c r="BK57" s="532">
        <v>57</v>
      </c>
      <c r="BL57" s="532">
        <v>58</v>
      </c>
      <c r="BM57" s="532">
        <v>59</v>
      </c>
      <c r="BN57" s="532">
        <v>60</v>
      </c>
      <c r="BO57" s="532">
        <v>61</v>
      </c>
      <c r="BP57" s="532">
        <v>62</v>
      </c>
      <c r="BQ57" s="532">
        <v>63</v>
      </c>
      <c r="BR57" s="532">
        <v>64</v>
      </c>
      <c r="BS57" s="532">
        <v>65</v>
      </c>
      <c r="BT57" s="532">
        <v>66</v>
      </c>
      <c r="BU57" s="532">
        <v>67</v>
      </c>
      <c r="BV57" s="532">
        <v>68</v>
      </c>
      <c r="BW57" s="532">
        <v>69</v>
      </c>
      <c r="BX57" s="532">
        <v>70</v>
      </c>
      <c r="BY57" s="532">
        <v>71</v>
      </c>
      <c r="BZ57" s="532">
        <v>72</v>
      </c>
      <c r="CA57" s="532">
        <v>73</v>
      </c>
      <c r="CB57" s="532">
        <v>74</v>
      </c>
      <c r="CC57" s="532">
        <v>75</v>
      </c>
      <c r="CD57" s="532">
        <v>76</v>
      </c>
      <c r="CE57" s="532">
        <v>77</v>
      </c>
      <c r="CF57" s="532">
        <v>78</v>
      </c>
      <c r="CG57" s="532">
        <v>79</v>
      </c>
      <c r="CH57" s="532">
        <v>80</v>
      </c>
      <c r="CI57" s="532">
        <v>81</v>
      </c>
      <c r="CJ57" s="532">
        <v>82</v>
      </c>
      <c r="CK57" s="532">
        <v>83</v>
      </c>
      <c r="CL57" s="532">
        <v>84</v>
      </c>
      <c r="CM57" s="532">
        <v>85</v>
      </c>
      <c r="CN57" s="532">
        <v>86</v>
      </c>
      <c r="CO57" s="532">
        <v>87</v>
      </c>
      <c r="CP57" s="532">
        <v>88</v>
      </c>
      <c r="CQ57" s="532">
        <v>89</v>
      </c>
      <c r="CR57" s="532">
        <v>90</v>
      </c>
      <c r="CS57" s="532">
        <v>91</v>
      </c>
      <c r="CT57" s="532">
        <v>92</v>
      </c>
      <c r="CU57" s="532">
        <v>93</v>
      </c>
      <c r="CV57" s="532">
        <v>94</v>
      </c>
      <c r="CW57" s="532">
        <v>95</v>
      </c>
      <c r="CX57" s="532">
        <v>96</v>
      </c>
      <c r="CY57" s="532">
        <v>97</v>
      </c>
      <c r="CZ57" s="533">
        <v>98</v>
      </c>
      <c r="DA57" s="533">
        <v>99</v>
      </c>
      <c r="DB57" s="533">
        <v>100</v>
      </c>
      <c r="DE57" s="532"/>
    </row>
    <row r="58" spans="1:213" x14ac:dyDescent="0.35">
      <c r="A58" s="543">
        <v>12</v>
      </c>
      <c r="B58" s="543">
        <v>100</v>
      </c>
      <c r="C58" s="542">
        <f>B58*A58</f>
        <v>1200</v>
      </c>
      <c r="D58" s="542">
        <f>C58</f>
        <v>1200</v>
      </c>
      <c r="E58" s="601" t="s">
        <v>373</v>
      </c>
      <c r="F58" s="49">
        <v>1</v>
      </c>
      <c r="G58" s="52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5"/>
      <c r="BG58" s="535"/>
      <c r="BH58" s="535"/>
      <c r="BI58" s="535"/>
      <c r="BJ58" s="535"/>
      <c r="BK58" s="535"/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5"/>
      <c r="CG58" s="535"/>
      <c r="CH58" s="535"/>
      <c r="CI58" s="535"/>
      <c r="CJ58" s="535"/>
      <c r="CK58" s="535"/>
      <c r="CL58" s="535"/>
      <c r="CM58" s="535"/>
      <c r="CN58" s="535"/>
      <c r="CO58" s="535"/>
      <c r="CP58" s="535"/>
      <c r="CQ58" s="535"/>
      <c r="CR58" s="535"/>
      <c r="CS58" s="535"/>
      <c r="CT58" s="535"/>
      <c r="CU58" s="535"/>
      <c r="CV58" s="535"/>
      <c r="CW58" s="535"/>
      <c r="CX58" s="535"/>
      <c r="CY58" s="535"/>
      <c r="CZ58" s="52"/>
      <c r="DA58" s="52"/>
      <c r="DB58" s="52"/>
    </row>
    <row r="59" spans="1:213" x14ac:dyDescent="0.35">
      <c r="E59" s="601"/>
      <c r="F59" s="49">
        <v>2</v>
      </c>
      <c r="G59" s="52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35"/>
      <c r="CT59" s="535"/>
      <c r="CU59" s="535"/>
      <c r="CV59" s="535"/>
      <c r="CW59" s="535"/>
      <c r="CX59" s="535"/>
      <c r="CY59" s="535"/>
      <c r="CZ59" s="52"/>
      <c r="DA59" s="52"/>
      <c r="DB59" s="52"/>
    </row>
    <row r="60" spans="1:213" x14ac:dyDescent="0.35">
      <c r="A60" t="s">
        <v>378</v>
      </c>
      <c r="E60" s="601"/>
      <c r="F60" s="49">
        <v>3</v>
      </c>
      <c r="G60" s="52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535"/>
      <c r="AQ60" s="535"/>
      <c r="AR60" s="535"/>
      <c r="AS60" s="535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35"/>
      <c r="CT60" s="535"/>
      <c r="CU60" s="535"/>
      <c r="CV60" s="535"/>
      <c r="CW60" s="535"/>
      <c r="CX60" s="535"/>
      <c r="CY60" s="535"/>
      <c r="CZ60" s="52"/>
      <c r="DA60" s="52"/>
      <c r="DB60" s="52"/>
    </row>
    <row r="61" spans="1:213" x14ac:dyDescent="0.35">
      <c r="A61" s="544" t="s">
        <v>379</v>
      </c>
      <c r="B61" s="542" t="s">
        <v>380</v>
      </c>
      <c r="C61" s="542" t="s">
        <v>381</v>
      </c>
      <c r="D61" s="542" t="s">
        <v>382</v>
      </c>
      <c r="E61" s="601"/>
      <c r="F61" s="49">
        <v>4</v>
      </c>
      <c r="G61" s="52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35"/>
      <c r="CT61" s="535"/>
      <c r="CU61" s="535"/>
      <c r="CV61" s="535"/>
      <c r="CW61" s="535"/>
      <c r="CX61" s="535"/>
      <c r="CY61" s="535"/>
      <c r="CZ61" s="52"/>
      <c r="DA61" s="52"/>
      <c r="DB61" s="52"/>
    </row>
    <row r="62" spans="1:213" x14ac:dyDescent="0.35">
      <c r="A62" s="544" t="s">
        <v>383</v>
      </c>
      <c r="B62" s="545">
        <v>1.4881432986403459E-2</v>
      </c>
      <c r="C62" s="543">
        <v>12</v>
      </c>
      <c r="D62" s="546">
        <f>B62*100*C62/2</f>
        <v>8.9288597918420756</v>
      </c>
      <c r="E62" s="601"/>
      <c r="F62" s="49">
        <v>5</v>
      </c>
      <c r="G62" s="52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35"/>
      <c r="CT62" s="535"/>
      <c r="CU62" s="535"/>
      <c r="CV62" s="535"/>
      <c r="CW62" s="535"/>
      <c r="CX62" s="535"/>
      <c r="CY62" s="535"/>
      <c r="CZ62" s="52"/>
      <c r="DA62" s="52"/>
      <c r="DB62" s="52"/>
    </row>
    <row r="63" spans="1:213" x14ac:dyDescent="0.35">
      <c r="F63" s="49">
        <v>6</v>
      </c>
      <c r="G63" s="52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35"/>
      <c r="CT63" s="535"/>
      <c r="CU63" s="535"/>
      <c r="CV63" s="535"/>
      <c r="CW63" s="535"/>
      <c r="CX63" s="535"/>
      <c r="CY63" s="535"/>
      <c r="CZ63" s="52"/>
      <c r="DA63" s="52"/>
      <c r="DB63" s="52"/>
    </row>
    <row r="64" spans="1:213" x14ac:dyDescent="0.35">
      <c r="F64" s="49">
        <v>7</v>
      </c>
      <c r="G64" s="52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35"/>
      <c r="CT64" s="535"/>
      <c r="CU64" s="535"/>
      <c r="CV64" s="535"/>
      <c r="CW64" s="535"/>
      <c r="CX64" s="535"/>
      <c r="CY64" s="535"/>
      <c r="CZ64" s="52"/>
      <c r="DA64" s="52"/>
      <c r="DB64" s="52"/>
    </row>
    <row r="65" spans="1:106" x14ac:dyDescent="0.35">
      <c r="A65" s="544" t="s">
        <v>379</v>
      </c>
      <c r="B65" s="542" t="s">
        <v>380</v>
      </c>
      <c r="C65" s="542" t="s">
        <v>381</v>
      </c>
      <c r="D65" s="542" t="s">
        <v>382</v>
      </c>
      <c r="F65" s="49">
        <v>8</v>
      </c>
      <c r="G65" s="52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5"/>
      <c r="AK65" s="535"/>
      <c r="AL65" s="535"/>
      <c r="AM65" s="535"/>
      <c r="AN65" s="535"/>
      <c r="AO65" s="535"/>
      <c r="AP65" s="535"/>
      <c r="AQ65" s="535"/>
      <c r="AR65" s="535"/>
      <c r="AS65" s="535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35"/>
      <c r="CT65" s="535"/>
      <c r="CU65" s="535"/>
      <c r="CV65" s="535"/>
      <c r="CW65" s="535"/>
      <c r="CX65" s="535"/>
      <c r="CY65" s="535"/>
      <c r="CZ65" s="52"/>
      <c r="DA65" s="52"/>
      <c r="DB65" s="52"/>
    </row>
    <row r="66" spans="1:106" x14ac:dyDescent="0.35">
      <c r="A66" s="544" t="s">
        <v>383</v>
      </c>
      <c r="B66" s="547">
        <f>B62*18/12</f>
        <v>2.2322149479605188E-2</v>
      </c>
      <c r="C66" s="543">
        <v>24</v>
      </c>
      <c r="D66" s="546">
        <f>B66*100*C66/2</f>
        <v>26.786579375526227</v>
      </c>
      <c r="F66" s="49">
        <v>9</v>
      </c>
      <c r="G66" s="52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S66" s="535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35"/>
      <c r="CT66" s="535"/>
      <c r="CU66" s="535"/>
      <c r="CV66" s="535"/>
      <c r="CW66" s="535"/>
      <c r="CX66" s="535"/>
      <c r="CY66" s="535"/>
      <c r="CZ66" s="52"/>
      <c r="DA66" s="52"/>
      <c r="DB66" s="52"/>
    </row>
    <row r="67" spans="1:106" x14ac:dyDescent="0.35">
      <c r="F67" s="49">
        <v>10</v>
      </c>
      <c r="G67" s="52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  <c r="AJ67" s="535"/>
      <c r="AK67" s="535"/>
      <c r="AL67" s="535"/>
      <c r="AM67" s="535"/>
      <c r="AN67" s="535"/>
      <c r="AO67" s="535"/>
      <c r="AP67" s="535"/>
      <c r="AQ67" s="535"/>
      <c r="AR67" s="535"/>
      <c r="AS67" s="535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35"/>
      <c r="CT67" s="535"/>
      <c r="CU67" s="535"/>
      <c r="CV67" s="535"/>
      <c r="CW67" s="535"/>
      <c r="CX67" s="535"/>
      <c r="CY67" s="535"/>
      <c r="CZ67" s="52"/>
      <c r="DA67" s="52"/>
      <c r="DB67" s="52"/>
    </row>
    <row r="68" spans="1:106" x14ac:dyDescent="0.35">
      <c r="A68" s="548"/>
      <c r="F68" s="49">
        <v>11</v>
      </c>
      <c r="G68" s="52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5"/>
      <c r="AK68" s="535"/>
      <c r="AL68" s="535"/>
      <c r="AM68" s="535"/>
      <c r="AN68" s="535"/>
      <c r="AO68" s="535"/>
      <c r="AP68" s="535"/>
      <c r="AQ68" s="535"/>
      <c r="AR68" s="535"/>
      <c r="AS68" s="535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35"/>
      <c r="CT68" s="535"/>
      <c r="CU68" s="535"/>
      <c r="CV68" s="535"/>
      <c r="CW68" s="535"/>
      <c r="CX68" s="535"/>
      <c r="CY68" s="535"/>
      <c r="CZ68" s="52"/>
      <c r="DA68" s="52"/>
      <c r="DB68" s="52"/>
    </row>
    <row r="69" spans="1:106" x14ac:dyDescent="0.35">
      <c r="A69" s="544" t="s">
        <v>379</v>
      </c>
      <c r="B69" s="542" t="s">
        <v>384</v>
      </c>
      <c r="C69" s="542" t="s">
        <v>381</v>
      </c>
      <c r="D69" s="542" t="s">
        <v>382</v>
      </c>
      <c r="F69" s="49">
        <v>12</v>
      </c>
      <c r="G69" s="52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535"/>
      <c r="AL69" s="535"/>
      <c r="AM69" s="535"/>
      <c r="AN69" s="535"/>
      <c r="AO69" s="535"/>
      <c r="AP69" s="535"/>
      <c r="AQ69" s="535"/>
      <c r="AR69" s="535"/>
      <c r="AS69" s="535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35"/>
      <c r="CT69" s="535"/>
      <c r="CU69" s="535"/>
      <c r="CV69" s="535"/>
      <c r="CW69" s="535"/>
      <c r="CX69" s="535"/>
      <c r="CY69" s="535"/>
      <c r="CZ69" s="52"/>
      <c r="DA69" s="52"/>
      <c r="DB69" s="52"/>
    </row>
    <row r="70" spans="1:106" x14ac:dyDescent="0.35">
      <c r="A70" s="544" t="s">
        <v>383</v>
      </c>
      <c r="B70" s="547">
        <f>B62*2</f>
        <v>2.9762865972806918E-2</v>
      </c>
      <c r="C70" s="543">
        <v>36</v>
      </c>
      <c r="D70" s="546">
        <f>B70*100*C70/2</f>
        <v>53.573158751052446</v>
      </c>
      <c r="F70" s="49">
        <v>13</v>
      </c>
      <c r="G70" s="52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5"/>
      <c r="AK70" s="535"/>
      <c r="AL70" s="535"/>
      <c r="AM70" s="535"/>
      <c r="AN70" s="535"/>
      <c r="AO70" s="535"/>
      <c r="AP70" s="535"/>
      <c r="AQ70" s="535"/>
      <c r="AR70" s="535"/>
      <c r="AS70" s="535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35"/>
      <c r="CT70" s="535"/>
      <c r="CU70" s="535"/>
      <c r="CV70" s="535"/>
      <c r="CW70" s="535"/>
      <c r="CX70" s="535"/>
      <c r="CY70" s="535"/>
      <c r="CZ70" s="52"/>
      <c r="DA70" s="52"/>
      <c r="DB70" s="52"/>
    </row>
    <row r="71" spans="1:106" x14ac:dyDescent="0.35">
      <c r="F71" s="49">
        <v>14</v>
      </c>
      <c r="G71" s="52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/>
      <c r="AA71" s="535"/>
      <c r="AB71" s="535"/>
      <c r="AC71" s="535"/>
      <c r="AD71" s="535"/>
      <c r="AE71" s="535"/>
      <c r="AF71" s="535"/>
      <c r="AG71" s="535"/>
      <c r="AH71" s="535"/>
      <c r="AI71" s="535"/>
      <c r="AJ71" s="535"/>
      <c r="AK71" s="535"/>
      <c r="AL71" s="535"/>
      <c r="AM71" s="535"/>
      <c r="AN71" s="535"/>
      <c r="AO71" s="535"/>
      <c r="AP71" s="535"/>
      <c r="AQ71" s="535"/>
      <c r="AR71" s="535"/>
      <c r="AS71" s="535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35"/>
      <c r="CT71" s="535"/>
      <c r="CU71" s="535"/>
      <c r="CV71" s="535"/>
      <c r="CW71" s="535"/>
      <c r="CX71" s="535"/>
      <c r="CY71" s="535"/>
      <c r="CZ71" s="52"/>
      <c r="DA71" s="52"/>
      <c r="DB71" s="52"/>
    </row>
    <row r="72" spans="1:106" x14ac:dyDescent="0.35">
      <c r="D72" s="549">
        <f>C8/D70</f>
        <v>3.1067070899388698</v>
      </c>
      <c r="F72" s="49">
        <v>15</v>
      </c>
      <c r="G72" s="52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/>
      <c r="AA72" s="535"/>
      <c r="AB72" s="535"/>
      <c r="AC72" s="535"/>
      <c r="AD72" s="535"/>
      <c r="AE72" s="535"/>
      <c r="AF72" s="535"/>
      <c r="AG72" s="535"/>
      <c r="AH72" s="535"/>
      <c r="AI72" s="535"/>
      <c r="AJ72" s="535"/>
      <c r="AK72" s="535"/>
      <c r="AL72" s="535"/>
      <c r="AM72" s="535"/>
      <c r="AN72" s="535"/>
      <c r="AO72" s="535"/>
      <c r="AP72" s="535"/>
      <c r="AQ72" s="535"/>
      <c r="AR72" s="535"/>
      <c r="AS72" s="535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35"/>
      <c r="CT72" s="535"/>
      <c r="CU72" s="535"/>
      <c r="CV72" s="535"/>
      <c r="CW72" s="535"/>
      <c r="CX72" s="535"/>
      <c r="CY72" s="535"/>
      <c r="CZ72" s="52"/>
      <c r="DA72" s="52"/>
      <c r="DB72" s="52"/>
    </row>
    <row r="73" spans="1:106" x14ac:dyDescent="0.35">
      <c r="D73" s="549">
        <f>D8/D70</f>
        <v>3.3233820409796433</v>
      </c>
      <c r="F73" s="49">
        <v>16</v>
      </c>
      <c r="G73" s="52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5"/>
      <c r="AN73" s="535"/>
      <c r="AO73" s="535"/>
      <c r="AP73" s="535"/>
      <c r="AQ73" s="535"/>
      <c r="AR73" s="535"/>
      <c r="AS73" s="535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35"/>
      <c r="CT73" s="535"/>
      <c r="CU73" s="535"/>
      <c r="CV73" s="535"/>
      <c r="CW73" s="535"/>
      <c r="CX73" s="535"/>
      <c r="CY73" s="535"/>
      <c r="CZ73" s="52"/>
      <c r="DA73" s="52"/>
      <c r="DB73" s="52"/>
    </row>
    <row r="74" spans="1:106" x14ac:dyDescent="0.35">
      <c r="F74" s="49">
        <v>17</v>
      </c>
      <c r="G74" s="52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5"/>
      <c r="AK74" s="535"/>
      <c r="AL74" s="535"/>
      <c r="AM74" s="535"/>
      <c r="AN74" s="535"/>
      <c r="AO74" s="535"/>
      <c r="AP74" s="535"/>
      <c r="AQ74" s="535"/>
      <c r="AR74" s="535"/>
      <c r="AS74" s="535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35"/>
      <c r="CT74" s="535"/>
      <c r="CU74" s="535"/>
      <c r="CV74" s="535"/>
      <c r="CW74" s="535"/>
      <c r="CX74" s="535"/>
      <c r="CY74" s="535"/>
      <c r="CZ74" s="535"/>
      <c r="DA74" s="535"/>
      <c r="DB74" s="535"/>
    </row>
    <row r="75" spans="1:106" x14ac:dyDescent="0.35">
      <c r="F75" s="49">
        <v>18</v>
      </c>
      <c r="G75" s="52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5"/>
      <c r="AK75" s="535"/>
      <c r="AL75" s="535"/>
      <c r="AM75" s="535"/>
      <c r="AN75" s="535"/>
      <c r="AO75" s="535"/>
      <c r="AP75" s="535"/>
      <c r="AQ75" s="535"/>
      <c r="AR75" s="535"/>
      <c r="AS75" s="535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35"/>
      <c r="CT75" s="535"/>
      <c r="CU75" s="535"/>
      <c r="CV75" s="535"/>
      <c r="CW75" s="535"/>
      <c r="CX75" s="535"/>
      <c r="CY75" s="535"/>
      <c r="CZ75" s="535"/>
      <c r="DA75" s="535"/>
      <c r="DB75" s="535"/>
    </row>
    <row r="76" spans="1:106" x14ac:dyDescent="0.35">
      <c r="F76" s="49">
        <v>19</v>
      </c>
      <c r="G76" s="52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5"/>
      <c r="AK76" s="535"/>
      <c r="AL76" s="535"/>
      <c r="AM76" s="535"/>
      <c r="AN76" s="535"/>
      <c r="AO76" s="535"/>
      <c r="AP76" s="535"/>
      <c r="AQ76" s="535"/>
      <c r="AR76" s="535"/>
      <c r="AS76" s="535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35"/>
      <c r="CT76" s="535"/>
      <c r="CU76" s="535"/>
      <c r="CV76" s="535"/>
      <c r="CW76" s="535"/>
      <c r="CX76" s="535"/>
      <c r="CY76" s="535"/>
      <c r="CZ76" s="541"/>
      <c r="DA76" s="541"/>
      <c r="DB76" s="541"/>
    </row>
    <row r="77" spans="1:106" x14ac:dyDescent="0.35">
      <c r="F77" s="49">
        <v>20</v>
      </c>
      <c r="G77" s="52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535"/>
      <c r="AQ77" s="535"/>
      <c r="AR77" s="535"/>
      <c r="AS77" s="535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35"/>
      <c r="CT77" s="535"/>
      <c r="CU77" s="535"/>
      <c r="CV77" s="535"/>
      <c r="CW77" s="535"/>
      <c r="CX77" s="535"/>
      <c r="CY77" s="535"/>
      <c r="CZ77" s="541"/>
      <c r="DA77" s="541"/>
      <c r="DB77" s="541"/>
    </row>
    <row r="78" spans="1:106" x14ac:dyDescent="0.35">
      <c r="F78" s="49">
        <v>21</v>
      </c>
      <c r="G78" s="52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/>
      <c r="AA78" s="535"/>
      <c r="AB78" s="535"/>
      <c r="AC78" s="535"/>
      <c r="AD78" s="535"/>
      <c r="AE78" s="535"/>
      <c r="AF78" s="535"/>
      <c r="AG78" s="535"/>
      <c r="AH78" s="535"/>
      <c r="AI78" s="535"/>
      <c r="AJ78" s="535"/>
      <c r="AK78" s="535"/>
      <c r="AL78" s="535"/>
      <c r="AM78" s="535"/>
      <c r="AN78" s="535"/>
      <c r="AO78" s="535"/>
      <c r="AP78" s="535"/>
      <c r="AQ78" s="535"/>
      <c r="AR78" s="535"/>
      <c r="AS78" s="535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35"/>
      <c r="CT78" s="535"/>
      <c r="CU78" s="535"/>
      <c r="CV78" s="535"/>
      <c r="CW78" s="535"/>
      <c r="CX78" s="535"/>
      <c r="CY78" s="535"/>
      <c r="CZ78" s="541"/>
      <c r="DA78" s="541"/>
      <c r="DB78" s="541"/>
    </row>
    <row r="79" spans="1:106" x14ac:dyDescent="0.35">
      <c r="F79" s="49">
        <v>22</v>
      </c>
      <c r="G79" s="52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5"/>
      <c r="AC79" s="535"/>
      <c r="AD79" s="535"/>
      <c r="AE79" s="535"/>
      <c r="AF79" s="535"/>
      <c r="AG79" s="535"/>
      <c r="AH79" s="535"/>
      <c r="AI79" s="535"/>
      <c r="AJ79" s="535"/>
      <c r="AK79" s="535"/>
      <c r="AL79" s="535"/>
      <c r="AM79" s="535"/>
      <c r="AN79" s="535"/>
      <c r="AO79" s="535"/>
      <c r="AP79" s="535"/>
      <c r="AQ79" s="535"/>
      <c r="AR79" s="535"/>
      <c r="AS79" s="535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35"/>
      <c r="CT79" s="535"/>
      <c r="CU79" s="535"/>
      <c r="CV79" s="535"/>
      <c r="CW79" s="535"/>
      <c r="CX79" s="535"/>
      <c r="CY79" s="535"/>
      <c r="CZ79" s="541"/>
      <c r="DA79" s="541"/>
      <c r="DB79" s="541"/>
    </row>
    <row r="80" spans="1:106" x14ac:dyDescent="0.35">
      <c r="F80" s="49">
        <v>23</v>
      </c>
      <c r="G80" s="52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/>
      <c r="AA80" s="535"/>
      <c r="AB80" s="535"/>
      <c r="AC80" s="535"/>
      <c r="AD80" s="535"/>
      <c r="AE80" s="535"/>
      <c r="AF80" s="535"/>
      <c r="AG80" s="535"/>
      <c r="AH80" s="535"/>
      <c r="AI80" s="535"/>
      <c r="AJ80" s="535"/>
      <c r="AK80" s="535"/>
      <c r="AL80" s="535"/>
      <c r="AM80" s="535"/>
      <c r="AN80" s="535"/>
      <c r="AO80" s="535"/>
      <c r="AP80" s="535"/>
      <c r="AQ80" s="535"/>
      <c r="AR80" s="535"/>
      <c r="AS80" s="535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35"/>
      <c r="CT80" s="535"/>
      <c r="CU80" s="535"/>
      <c r="CV80" s="535"/>
      <c r="CW80" s="535"/>
      <c r="CX80" s="535"/>
      <c r="CY80" s="535"/>
      <c r="CZ80" s="541"/>
      <c r="DA80" s="541"/>
      <c r="DB80" s="541"/>
    </row>
    <row r="81" spans="6:106" x14ac:dyDescent="0.35">
      <c r="F81" s="49">
        <v>24</v>
      </c>
      <c r="G81" s="52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/>
      <c r="AA81" s="535"/>
      <c r="AB81" s="535"/>
      <c r="AC81" s="535"/>
      <c r="AD81" s="535"/>
      <c r="AE81" s="535"/>
      <c r="AF81" s="535"/>
      <c r="AG81" s="535"/>
      <c r="AH81" s="535"/>
      <c r="AI81" s="535"/>
      <c r="AJ81" s="535"/>
      <c r="AK81" s="535"/>
      <c r="AL81" s="535"/>
      <c r="AM81" s="535"/>
      <c r="AN81" s="535"/>
      <c r="AO81" s="535"/>
      <c r="AP81" s="535"/>
      <c r="AQ81" s="535"/>
      <c r="AR81" s="535"/>
      <c r="AS81" s="535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35"/>
      <c r="CT81" s="535"/>
      <c r="CU81" s="535"/>
      <c r="CV81" s="535"/>
      <c r="CW81" s="535"/>
      <c r="CX81" s="535"/>
      <c r="CY81" s="535"/>
      <c r="CZ81" s="541"/>
      <c r="DA81" s="541"/>
      <c r="DB81" s="541"/>
    </row>
    <row r="82" spans="6:106" x14ac:dyDescent="0.35">
      <c r="F82" s="49">
        <v>25</v>
      </c>
      <c r="G82" s="52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5"/>
      <c r="AK82" s="535"/>
      <c r="AL82" s="535"/>
      <c r="AM82" s="535"/>
      <c r="AN82" s="535"/>
      <c r="AO82" s="535"/>
      <c r="AP82" s="535"/>
      <c r="AQ82" s="535"/>
      <c r="AR82" s="535"/>
      <c r="AS82" s="535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35"/>
      <c r="CT82" s="535"/>
      <c r="CU82" s="535"/>
      <c r="CV82" s="535"/>
      <c r="CW82" s="535"/>
      <c r="CX82" s="535"/>
      <c r="CY82" s="535"/>
      <c r="CZ82" s="541"/>
      <c r="DA82" s="541"/>
      <c r="DB82" s="541"/>
    </row>
    <row r="83" spans="6:106" x14ac:dyDescent="0.35">
      <c r="F83" s="49">
        <v>26</v>
      </c>
      <c r="G83" s="52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  <c r="AA83" s="535"/>
      <c r="AB83" s="535"/>
      <c r="AC83" s="535"/>
      <c r="AD83" s="535"/>
      <c r="AE83" s="535"/>
      <c r="AF83" s="535"/>
      <c r="AG83" s="535"/>
      <c r="AH83" s="535"/>
      <c r="AI83" s="535"/>
      <c r="AJ83" s="535"/>
      <c r="AK83" s="535"/>
      <c r="AL83" s="535"/>
      <c r="AM83" s="535"/>
      <c r="AN83" s="535"/>
      <c r="AO83" s="535"/>
      <c r="AP83" s="535"/>
      <c r="AQ83" s="535"/>
      <c r="AR83" s="535"/>
      <c r="AS83" s="535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35"/>
      <c r="CT83" s="535"/>
      <c r="CU83" s="535"/>
      <c r="CV83" s="535"/>
      <c r="CW83" s="535"/>
      <c r="CX83" s="535"/>
      <c r="CY83" s="535"/>
      <c r="CZ83" s="541"/>
      <c r="DA83" s="541"/>
      <c r="DB83" s="541"/>
    </row>
    <row r="84" spans="6:106" x14ac:dyDescent="0.35">
      <c r="F84" s="49">
        <v>27</v>
      </c>
      <c r="G84" s="52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/>
      <c r="AA84" s="535"/>
      <c r="AB84" s="535"/>
      <c r="AC84" s="535"/>
      <c r="AD84" s="535"/>
      <c r="AE84" s="535"/>
      <c r="AF84" s="535"/>
      <c r="AG84" s="535"/>
      <c r="AH84" s="535"/>
      <c r="AI84" s="535"/>
      <c r="AJ84" s="535"/>
      <c r="AK84" s="535"/>
      <c r="AL84" s="535"/>
      <c r="AM84" s="535"/>
      <c r="AN84" s="535"/>
      <c r="AO84" s="535"/>
      <c r="AP84" s="535"/>
      <c r="AQ84" s="535"/>
      <c r="AR84" s="535"/>
      <c r="AS84" s="535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35"/>
      <c r="CT84" s="535"/>
      <c r="CU84" s="535"/>
      <c r="CV84" s="535"/>
      <c r="CW84" s="535"/>
      <c r="CX84" s="535"/>
      <c r="CY84" s="535"/>
      <c r="CZ84" s="541"/>
      <c r="DA84" s="541"/>
      <c r="DB84" s="541"/>
    </row>
    <row r="85" spans="6:106" x14ac:dyDescent="0.35">
      <c r="F85" s="49">
        <v>28</v>
      </c>
      <c r="G85" s="52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/>
      <c r="AA85" s="535"/>
      <c r="AB85" s="535"/>
      <c r="AC85" s="535"/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535"/>
      <c r="AS85" s="535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35"/>
      <c r="CT85" s="535"/>
      <c r="CU85" s="535"/>
      <c r="CV85" s="535"/>
      <c r="CW85" s="535"/>
      <c r="CX85" s="535"/>
      <c r="CY85" s="535"/>
      <c r="CZ85" s="541"/>
      <c r="DA85" s="541"/>
      <c r="DB85" s="541"/>
    </row>
    <row r="86" spans="6:106" x14ac:dyDescent="0.35">
      <c r="F86" s="49">
        <v>29</v>
      </c>
      <c r="G86" s="52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5"/>
      <c r="AN86" s="535"/>
      <c r="AO86" s="535"/>
      <c r="AP86" s="535"/>
      <c r="AQ86" s="535"/>
      <c r="AR86" s="535"/>
      <c r="AS86" s="535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35"/>
      <c r="CT86" s="535"/>
      <c r="CU86" s="535"/>
      <c r="CV86" s="535"/>
      <c r="CW86" s="535"/>
      <c r="CX86" s="535"/>
      <c r="CY86" s="535"/>
      <c r="CZ86" s="541"/>
      <c r="DA86" s="541"/>
      <c r="DB86" s="541"/>
    </row>
    <row r="87" spans="6:106" x14ac:dyDescent="0.35">
      <c r="F87" s="49">
        <v>30</v>
      </c>
      <c r="G87" s="52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/>
      <c r="AA87" s="535"/>
      <c r="AB87" s="535"/>
      <c r="AC87" s="535"/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35"/>
      <c r="CT87" s="535"/>
      <c r="CU87" s="535"/>
      <c r="CV87" s="535"/>
      <c r="CW87" s="535"/>
      <c r="CX87" s="535"/>
      <c r="CY87" s="535"/>
      <c r="CZ87" s="541"/>
      <c r="DA87" s="541"/>
      <c r="DB87" s="541"/>
    </row>
    <row r="88" spans="6:106" x14ac:dyDescent="0.35">
      <c r="F88" s="49">
        <v>31</v>
      </c>
      <c r="G88" s="52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5"/>
      <c r="AK88" s="535"/>
      <c r="AL88" s="535"/>
      <c r="AM88" s="535"/>
      <c r="AN88" s="535"/>
      <c r="AO88" s="535"/>
      <c r="AP88" s="535"/>
      <c r="AQ88" s="535"/>
      <c r="AR88" s="535"/>
      <c r="AS88" s="535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35"/>
      <c r="CT88" s="535"/>
      <c r="CU88" s="535"/>
      <c r="CV88" s="535"/>
      <c r="CW88" s="535"/>
      <c r="CX88" s="535"/>
      <c r="CY88" s="535"/>
      <c r="CZ88" s="541"/>
      <c r="DA88" s="541"/>
      <c r="DB88" s="541"/>
    </row>
    <row r="89" spans="6:106" x14ac:dyDescent="0.35">
      <c r="F89" s="49">
        <v>32</v>
      </c>
      <c r="G89" s="52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35"/>
      <c r="CT89" s="535"/>
      <c r="CU89" s="535"/>
      <c r="CV89" s="535"/>
      <c r="CW89" s="535"/>
      <c r="CX89" s="535"/>
      <c r="CY89" s="535"/>
      <c r="CZ89" s="541"/>
      <c r="DA89" s="541"/>
      <c r="DB89" s="541"/>
    </row>
    <row r="90" spans="6:106" x14ac:dyDescent="0.35">
      <c r="F90" s="49">
        <v>33</v>
      </c>
      <c r="G90" s="52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535"/>
      <c r="AL90" s="535"/>
      <c r="AM90" s="535"/>
      <c r="AN90" s="535"/>
      <c r="AO90" s="535"/>
      <c r="AP90" s="535"/>
      <c r="AQ90" s="535"/>
      <c r="AR90" s="535"/>
      <c r="AS90" s="535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35"/>
      <c r="CT90" s="535"/>
      <c r="CU90" s="535"/>
      <c r="CV90" s="535"/>
      <c r="CW90" s="535"/>
      <c r="CX90" s="535"/>
      <c r="CY90" s="535"/>
      <c r="CZ90" s="541"/>
      <c r="DA90" s="541"/>
      <c r="DB90" s="541"/>
    </row>
    <row r="91" spans="6:106" x14ac:dyDescent="0.35">
      <c r="F91" s="49">
        <v>34</v>
      </c>
      <c r="G91" s="52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35"/>
      <c r="CT91" s="535"/>
      <c r="CU91" s="535"/>
      <c r="CV91" s="535"/>
      <c r="CW91" s="535"/>
      <c r="CX91" s="535"/>
      <c r="CY91" s="535"/>
      <c r="CZ91" s="541"/>
      <c r="DA91" s="541"/>
      <c r="DB91" s="541"/>
    </row>
    <row r="92" spans="6:106" x14ac:dyDescent="0.35">
      <c r="F92" s="49">
        <v>35</v>
      </c>
      <c r="G92" s="52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35"/>
      <c r="CT92" s="535"/>
      <c r="CU92" s="535"/>
      <c r="CV92" s="535"/>
      <c r="CW92" s="535"/>
      <c r="CX92" s="535"/>
      <c r="CY92" s="535"/>
      <c r="CZ92" s="541"/>
      <c r="DA92" s="541"/>
      <c r="DB92" s="541"/>
    </row>
    <row r="93" spans="6:106" x14ac:dyDescent="0.35">
      <c r="F93" s="49">
        <v>36</v>
      </c>
      <c r="G93" s="52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535"/>
      <c r="AL93" s="535"/>
      <c r="AM93" s="535"/>
      <c r="AN93" s="535"/>
      <c r="AO93" s="535"/>
      <c r="AP93" s="535"/>
      <c r="AQ93" s="535"/>
      <c r="AR93" s="535"/>
      <c r="AS93" s="535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35"/>
      <c r="CT93" s="535"/>
      <c r="CU93" s="535"/>
      <c r="CV93" s="535"/>
      <c r="CW93" s="535"/>
      <c r="CX93" s="535"/>
      <c r="CY93" s="535"/>
      <c r="CZ93" s="541"/>
      <c r="DA93" s="541"/>
      <c r="DB93" s="541"/>
    </row>
  </sheetData>
  <mergeCells count="8">
    <mergeCell ref="DE18:DE22"/>
    <mergeCell ref="E58:E62"/>
    <mergeCell ref="A4:DD4"/>
    <mergeCell ref="D8:D9"/>
    <mergeCell ref="C9:C10"/>
    <mergeCell ref="A14:B14"/>
    <mergeCell ref="F14:AK14"/>
    <mergeCell ref="E18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IncAcum</vt:lpstr>
      <vt:lpstr>Gr1 InsCar 3x3</vt:lpstr>
      <vt:lpstr>Gr2 Mort 3x3, en%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2022-02-21T17:17:57Z</dcterms:modified>
</cp:coreProperties>
</file>