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220328-Galo\0-Datos\10-Temas publc\20220311-VÑ FOURIER\"/>
    </mc:Choice>
  </mc:AlternateContent>
  <xr:revisionPtr revIDLastSave="0" documentId="13_ncr:1_{3ECE0664-E8DB-4DDF-874A-82138302B3C1}" xr6:coauthVersionLast="47" xr6:coauthVersionMax="47" xr10:uidLastSave="{00000000-0000-0000-0000-000000000000}"/>
  <bookViews>
    <workbookView xWindow="-110" yWindow="-110" windowWidth="19420" windowHeight="10420" tabRatio="564" xr2:uid="{00000000-000D-0000-FFFF-FFFF00000000}"/>
  </bookViews>
  <sheets>
    <sheet name="Inc Acumul" sheetId="1" r:id="rId1"/>
  </sheets>
  <definedNames>
    <definedName name="ArticleComments" localSheetId="0">'Inc Acumul'!#REF!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C23" i="1" l="1"/>
  <c r="E56" i="1"/>
  <c r="C53" i="1"/>
  <c r="F61" i="1" s="1"/>
  <c r="F41" i="1"/>
  <c r="F40" i="1"/>
  <c r="J23" i="1"/>
  <c r="J22" i="1"/>
  <c r="D22" i="1"/>
  <c r="C22" i="1"/>
  <c r="J21" i="1"/>
  <c r="D21" i="1"/>
  <c r="E14" i="1"/>
  <c r="G9" i="1"/>
  <c r="D23" i="1" s="1"/>
  <c r="F8" i="1"/>
  <c r="C14" i="1"/>
  <c r="H14" i="1"/>
  <c r="F54" i="1" s="1"/>
  <c r="F7" i="1"/>
  <c r="C21" i="1"/>
  <c r="D56" i="1"/>
  <c r="H21" i="1" l="1"/>
  <c r="H61" i="1"/>
  <c r="F21" i="1"/>
  <c r="G61" i="1"/>
  <c r="F9" i="1"/>
  <c r="E41" i="1" s="1"/>
  <c r="E46" i="1" s="1"/>
  <c r="E21" i="1"/>
  <c r="K21" i="1" s="1"/>
  <c r="L55" i="1" s="1"/>
  <c r="D58" i="1" s="1"/>
  <c r="D62" i="1" s="1"/>
  <c r="F23" i="1"/>
  <c r="F22" i="1"/>
  <c r="D14" i="1"/>
  <c r="F14" i="1" s="1"/>
  <c r="I14" i="1" s="1"/>
  <c r="M14" i="1" s="1"/>
  <c r="L14" i="1"/>
  <c r="O21" i="1"/>
  <c r="F42" i="1"/>
  <c r="E22" i="1"/>
  <c r="G22" i="1" s="1"/>
  <c r="H22" i="1"/>
  <c r="O23" i="1"/>
  <c r="E23" i="1"/>
  <c r="H23" i="1"/>
  <c r="D41" i="1"/>
  <c r="D46" i="1" s="1"/>
  <c r="D40" i="1"/>
  <c r="E40" i="1" l="1"/>
  <c r="E45" i="1" s="1"/>
  <c r="G21" i="1"/>
  <c r="M21" i="1" s="1"/>
  <c r="N55" i="1" s="1"/>
  <c r="G14" i="1"/>
  <c r="J14" i="1" s="1"/>
  <c r="F56" i="1" s="1"/>
  <c r="F55" i="1"/>
  <c r="X21" i="1"/>
  <c r="K26" i="1"/>
  <c r="O22" i="1" s="1"/>
  <c r="O24" i="1" s="1"/>
  <c r="O25" i="1" s="1"/>
  <c r="O26" i="1" s="1"/>
  <c r="K22" i="1"/>
  <c r="L56" i="1" s="1"/>
  <c r="E58" i="1" s="1"/>
  <c r="E62" i="1" s="1"/>
  <c r="L22" i="1"/>
  <c r="M22" i="1"/>
  <c r="R28" i="1"/>
  <c r="G23" i="1"/>
  <c r="X22" i="1"/>
  <c r="K23" i="1"/>
  <c r="L57" i="1" s="1"/>
  <c r="D42" i="1"/>
  <c r="D45" i="1"/>
  <c r="L41" i="1" l="1"/>
  <c r="J40" i="1" s="1"/>
  <c r="L21" i="1"/>
  <c r="M55" i="1" s="1"/>
  <c r="O55" i="1" s="1"/>
  <c r="E42" i="1"/>
  <c r="N14" i="1"/>
  <c r="F58" i="1"/>
  <c r="F62" i="1" s="1"/>
  <c r="X23" i="1"/>
  <c r="X24" i="1" s="1"/>
  <c r="X25" i="1" s="1"/>
  <c r="O31" i="1"/>
  <c r="O32" i="1" s="1"/>
  <c r="O33" i="1" s="1"/>
  <c r="G54" i="1"/>
  <c r="K27" i="1"/>
  <c r="M56" i="1"/>
  <c r="L26" i="1"/>
  <c r="N56" i="1"/>
  <c r="D48" i="1"/>
  <c r="L23" i="1"/>
  <c r="M57" i="1" s="1"/>
  <c r="M23" i="1"/>
  <c r="N57" i="1" s="1"/>
  <c r="M26" i="1" l="1"/>
  <c r="M62" i="1" s="1"/>
  <c r="I56" i="1"/>
  <c r="I58" i="1" s="1"/>
  <c r="I62" i="1" s="1"/>
  <c r="K29" i="1"/>
  <c r="H54" i="1"/>
  <c r="K34" i="1"/>
  <c r="K36" i="1"/>
  <c r="K31" i="1"/>
  <c r="K37" i="1"/>
  <c r="K35" i="1"/>
  <c r="K32" i="1"/>
  <c r="K30" i="1"/>
  <c r="O57" i="1"/>
  <c r="L27" i="1"/>
  <c r="G56" i="1"/>
  <c r="O56" i="1"/>
  <c r="H46" i="1"/>
  <c r="D49" i="1"/>
  <c r="K62" i="1" s="1"/>
  <c r="N62" i="1" l="1"/>
  <c r="G55" i="1"/>
  <c r="G58" i="1" s="1"/>
  <c r="G62" i="1" s="1"/>
  <c r="M27" i="1"/>
  <c r="M32" i="1" s="1"/>
  <c r="L29" i="1"/>
  <c r="M34" i="1"/>
  <c r="M35" i="1"/>
  <c r="H56" i="1"/>
  <c r="L30" i="1"/>
  <c r="L31" i="1"/>
  <c r="M36" i="1"/>
  <c r="M37" i="1"/>
  <c r="L32" i="1"/>
  <c r="L34" i="1" l="1"/>
  <c r="L37" i="1"/>
  <c r="L35" i="1"/>
  <c r="M29" i="1"/>
  <c r="M30" i="1"/>
  <c r="H55" i="1"/>
  <c r="H58" i="1" s="1"/>
  <c r="H62" i="1" s="1"/>
  <c r="M31" i="1"/>
  <c r="L36" i="1"/>
</calcChain>
</file>

<file path=xl/sharedStrings.xml><?xml version="1.0" encoding="utf-8"?>
<sst xmlns="http://schemas.openxmlformats.org/spreadsheetml/2006/main" count="237" uniqueCount="208">
  <si>
    <t>Límite inferior del IC</t>
  </si>
  <si>
    <t>Límite superior del IC</t>
  </si>
  <si>
    <t>Sin eventos</t>
  </si>
  <si>
    <t>Con eventos</t>
  </si>
  <si>
    <t>RR</t>
  </si>
  <si>
    <t>Z α/2 (0,05)</t>
  </si>
  <si>
    <t>pM = proporción "media" de los eventos = nº total eventos / nº suma de ambos grupos; qM= complementario</t>
  </si>
  <si>
    <t>C= 2(n+z^2)</t>
  </si>
  <si>
    <t>IC = (A+-B)/C</t>
  </si>
  <si>
    <t>A= 2*eventos + z^2</t>
  </si>
  <si>
    <t>p (proporción) = eventos / n</t>
  </si>
  <si>
    <t>Operar</t>
  </si>
  <si>
    <t>A continuación, se aplica: IC = RAR - Raíz [(p1-Li1)^2 + (Ls2-p2)^2]  hasta RAR + Raíz [(p2-Li2)^2 + (Ls1-p1)^2], cuidando colocar arriba la proporción mayor y abajo la menor</t>
  </si>
  <si>
    <t>CÁLCULO DE LA POTENCIA:</t>
  </si>
  <si>
    <t>n = nº de los que hay en cada grupo (ojo, no de la suma de ambos)</t>
  </si>
  <si>
    <t>d = diferencia de proporciones de ambos grupos o RAR</t>
  </si>
  <si>
    <t>1 -β = potencia estadística resultante =&gt; probab de detectar una diferencia entre ambos, en caso de que exista</t>
  </si>
  <si>
    <t>Expuestos</t>
  </si>
  <si>
    <t>No expuestos</t>
  </si>
  <si>
    <t>a</t>
  </si>
  <si>
    <t>Enferman</t>
  </si>
  <si>
    <t>No enferman</t>
  </si>
  <si>
    <t>Total</t>
  </si>
  <si>
    <t>RAR =</t>
  </si>
  <si>
    <t>NNT =</t>
  </si>
  <si>
    <t>ln RR</t>
  </si>
  <si>
    <t>n (de muestra)</t>
  </si>
  <si>
    <t>Aunque es mejor calcularlo por ji^2 de Pearson, puede utilizarse una aproximación al cálculo de la "p de la diferencia"</t>
  </si>
  <si>
    <t>Coinciden z^2 de una distribución normal tipificada (=&gt; muestras grandes) con ji^2 con un grado de libertad (EA, pág 254)</t>
  </si>
  <si>
    <t>Totales</t>
  </si>
  <si>
    <t xml:space="preserve">χ² teórico alfa 0,05, y 1 g.l = </t>
  </si>
  <si>
    <t>Grados de libertad = (Nº filas - 1 ) x (Nº columnas -1) =</t>
  </si>
  <si>
    <t>Esperadas</t>
  </si>
  <si>
    <t>Si χ² cal &lt; χ² teórico =&gt;</t>
  </si>
  <si>
    <t>Se acepta Ho =&gt; existe homogeneidad o independencia de la intervención estudiada</t>
  </si>
  <si>
    <t>Si χ² cal &gt; χ² teórico =&gt;</t>
  </si>
  <si>
    <t>Se rechaza Ho =&gt; existe heterogenicidad o dependencia de la intervención estudiada</t>
  </si>
  <si>
    <t>χ² cal - χ² teórico =</t>
  </si>
  <si>
    <t>χ² cal=</t>
  </si>
  <si>
    <t>χ² cal= Suma [(ao-ae)^2/ae +(bo-be)^2/be + (co-ce)^2/ce + (do-de)^2/de)]</t>
  </si>
  <si>
    <t>Es &lt; 0 =&gt;Acepto Ho =&gt; Homogeneidad o independencia (o tratamiento no eficaz)</t>
  </si>
  <si>
    <t>Es &gt; 0 =&gt;Rechazo Ho =&gt; Heterogenicidad o dependencia (o tratamiento eficaz)</t>
  </si>
  <si>
    <t>Z α/2 = Dif Proporc / EE Dif proporc</t>
  </si>
  <si>
    <t>RRR</t>
  </si>
  <si>
    <t>(</t>
  </si>
  <si>
    <t>)</t>
  </si>
  <si>
    <t>-</t>
  </si>
  <si>
    <t>%</t>
  </si>
  <si>
    <t>NNT</t>
  </si>
  <si>
    <t>/</t>
  </si>
  <si>
    <t>RAR</t>
  </si>
  <si>
    <t>potencia</t>
  </si>
  <si>
    <t>Potencia</t>
  </si>
  <si>
    <t>APLICAR SÓLO SI EL NNT Y SUS IC SON POSITIVOS</t>
  </si>
  <si>
    <t>APLICAR SÓLO SI EL NNT Y SUS IC SON NEGATIVOS</t>
  </si>
  <si>
    <t>Permanecerán sanos sin tomar el Mto de Intervención</t>
  </si>
  <si>
    <t>Enfermarán por tomar el Mto de Intervención</t>
  </si>
  <si>
    <t>Enfermarán incluso sin tomar el Mto de Intervención</t>
  </si>
  <si>
    <t>Permanecerán sanos por tomar el Mto de Intervención</t>
  </si>
  <si>
    <t>Enfermarán incluso tomando el Mto de Intervención</t>
  </si>
  <si>
    <t xml:space="preserve"> </t>
  </si>
  <si>
    <t>Nº event Interv (%)</t>
  </si>
  <si>
    <t>Nº event Control (%)</t>
  </si>
  <si>
    <r>
      <t>Zβ = [Raíz (nd^2 /2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>m*</t>
    </r>
    <r>
      <rPr>
        <i/>
        <sz val="10"/>
        <rFont val="Calibri"/>
        <family val="2"/>
      </rPr>
      <t>q</t>
    </r>
    <r>
      <rPr>
        <sz val="10"/>
        <rFont val="Calibri"/>
        <family val="2"/>
      </rPr>
      <t>m)] - Z α/2 (0,05)</t>
    </r>
  </si>
  <si>
    <r>
      <t xml:space="preserve">CÁLCULO DE LA </t>
    </r>
    <r>
      <rPr>
        <b/>
        <i/>
        <sz val="9"/>
        <rFont val="Calibri"/>
        <family val="2"/>
      </rPr>
      <t>p</t>
    </r>
  </si>
  <si>
    <r>
      <t>Corresponde a</t>
    </r>
    <r>
      <rPr>
        <b/>
        <i/>
        <sz val="10"/>
        <rFont val="Calibri"/>
        <family val="2"/>
      </rPr>
      <t xml:space="preserve"> p</t>
    </r>
    <r>
      <rPr>
        <sz val="10"/>
        <rFont val="Calibri"/>
        <family val="2"/>
      </rPr>
      <t>=</t>
    </r>
  </si>
  <si>
    <r>
      <t xml:space="preserve">Valor de </t>
    </r>
    <r>
      <rPr>
        <i/>
        <sz val="10"/>
        <rFont val="Calibri"/>
        <family val="2"/>
      </rPr>
      <t xml:space="preserve">p </t>
    </r>
    <r>
      <rPr>
        <b/>
        <sz val="10"/>
        <rFont val="Calibri"/>
        <family val="2"/>
      </rPr>
      <t>para la diferencia</t>
    </r>
  </si>
  <si>
    <t>Cálculo por incidencias acumuladas de RR, RAR, NNT con sus IC 95%, potencia estadística y valor de p</t>
  </si>
  <si>
    <t>EE del ln RR = Raíz (varianza del ln RR) = Raíz [b/ a(a+b)]+[d / c(c+d)]. También es igual a Raíz (1/a + 1/c - 1/a+b -1/c+d)</t>
  </si>
  <si>
    <t>EE del ln RR = Raíz (varianza del ln RR) = Raíz [b / a(a+b)]+[d/ c(c+d)]</t>
  </si>
  <si>
    <t>ln del LI IC</t>
  </si>
  <si>
    <t>ln del LS IC</t>
  </si>
  <si>
    <t>IC</t>
  </si>
  <si>
    <r>
      <t xml:space="preserve">Los límites del intervalos de confianza son los exponentes neperianos o antilogaritmos de la ecuación [ ln RR + - Z </t>
    </r>
    <r>
      <rPr>
        <b/>
        <vertAlign val="subscript"/>
        <sz val="10"/>
        <rFont val="Calibri"/>
        <family val="2"/>
      </rPr>
      <t>α/2</t>
    </r>
    <r>
      <rPr>
        <b/>
        <sz val="10"/>
        <rFont val="Calibri"/>
        <family val="2"/>
      </rPr>
      <t xml:space="preserve"> * EE (ln RR) ]</t>
    </r>
  </si>
  <si>
    <r>
      <t xml:space="preserve">Z </t>
    </r>
    <r>
      <rPr>
        <b/>
        <vertAlign val="subscript"/>
        <sz val="10"/>
        <rFont val="Calibri"/>
        <family val="2"/>
      </rPr>
      <t>α/2</t>
    </r>
  </si>
  <si>
    <t>LI del IC</t>
  </si>
  <si>
    <t>LS del IC</t>
  </si>
  <si>
    <r>
      <t xml:space="preserve">MÉTODO DE NEWCOMBE-WILSON: </t>
    </r>
    <r>
      <rPr>
        <sz val="10"/>
        <rFont val="Calibri"/>
        <family val="2"/>
      </rPr>
      <t>Que puede utilizarse sin necesidad de estar pendientes del tamaño del amuestra o de proporciones cuyo p &lt;5 / n. Por ello puede utilizarse para las excepciones anteriores y para todas todas</t>
    </r>
  </si>
  <si>
    <t>Para calcular el IC 95% se sigue la iteración de calcular tres valores, que denominamos A, B y C. Pues bien, el IC = (A+-B) / C; y sale directamente sin sumar ni restar a la estimación puntual. Se observará que los extremos tienen distinta extensión.</t>
  </si>
  <si>
    <r>
      <t>p</t>
    </r>
    <r>
      <rPr>
        <sz val="10"/>
        <rFont val="Calibri"/>
        <family val="2"/>
      </rPr>
      <t xml:space="preserve"> = eventos / n</t>
    </r>
  </si>
  <si>
    <r>
      <t xml:space="preserve">B= z * Raíz [z^2 + 4*eventos (1 - 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 xml:space="preserve">)] </t>
    </r>
  </si>
  <si>
    <t>eventos</t>
  </si>
  <si>
    <r>
      <t xml:space="preserve">B= z * Raíz [z^2 + 4*eventos (1 - </t>
    </r>
    <r>
      <rPr>
        <b/>
        <i/>
        <sz val="10"/>
        <rFont val="Calibri"/>
        <family val="2"/>
      </rPr>
      <t>p</t>
    </r>
    <r>
      <rPr>
        <b/>
        <sz val="10"/>
        <rFont val="Calibri"/>
        <family val="2"/>
      </rPr>
      <t xml:space="preserve">)] </t>
    </r>
  </si>
  <si>
    <t>Proporción</t>
  </si>
  <si>
    <r>
      <t xml:space="preserve">Z 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= Dif Proporc / EE</t>
    </r>
    <r>
      <rPr>
        <vertAlign val="subscript"/>
        <sz val="10"/>
        <rFont val="Calibri"/>
        <family val="2"/>
      </rPr>
      <t xml:space="preserve"> dif proporc</t>
    </r>
  </si>
  <si>
    <t xml:space="preserve"> p (no rechazar Ho │ Ho verdadera)</t>
  </si>
  <si>
    <t>Dif Proporc =  RAR</t>
  </si>
  <si>
    <r>
      <t xml:space="preserve">1-α =  p (no rechazar Ho </t>
    </r>
    <r>
      <rPr>
        <sz val="10"/>
        <rFont val="Calibri"/>
        <family val="2"/>
      </rPr>
      <t>│ Ho verdadera)</t>
    </r>
  </si>
  <si>
    <r>
      <t xml:space="preserve">EE </t>
    </r>
    <r>
      <rPr>
        <vertAlign val="subscript"/>
        <sz val="10"/>
        <rFont val="Calibri"/>
        <family val="2"/>
      </rPr>
      <t>dif proporc</t>
    </r>
    <r>
      <rPr>
        <sz val="10"/>
        <rFont val="Calibri"/>
        <family val="2"/>
      </rPr>
      <t xml:space="preserve"> = Raíz{ [PM*(1-PM)/n</t>
    </r>
    <r>
      <rPr>
        <vertAlign val="subscript"/>
        <sz val="10"/>
        <rFont val="Calibri"/>
        <family val="2"/>
      </rPr>
      <t>1</t>
    </r>
    <r>
      <rPr>
        <sz val="10"/>
        <rFont val="Calibri"/>
        <family val="2"/>
      </rPr>
      <t>] + [PM*(1-PM)/n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 xml:space="preserve">] }= </t>
    </r>
  </si>
  <si>
    <r>
      <t>Zβ = [Raíz (n* Dif Proporc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/2PM</t>
    </r>
    <r>
      <rPr>
        <sz val="10"/>
        <rFont val="Calibri"/>
        <family val="2"/>
      </rPr>
      <t>*(1-PM)] - Z α/2</t>
    </r>
  </si>
  <si>
    <t>α = probab de que la diferencia detectada entre ambos sea debida al azar, en caso de que no exista</t>
  </si>
  <si>
    <r>
      <t>Ls1:</t>
    </r>
    <r>
      <rPr>
        <sz val="10"/>
        <rFont val="Calibri"/>
        <family val="2"/>
      </rPr>
      <t xml:space="preserve"> límite superior del grupo 1; </t>
    </r>
    <r>
      <rPr>
        <b/>
        <sz val="10"/>
        <rFont val="Calibri"/>
        <family val="2"/>
      </rPr>
      <t xml:space="preserve">Li2: </t>
    </r>
    <r>
      <rPr>
        <sz val="10"/>
        <rFont val="Calibri"/>
        <family val="2"/>
      </rPr>
      <t>límite inferior del grupo 2</t>
    </r>
  </si>
  <si>
    <t>1-α = nivel e confianza =  p (no rechazar Ho │ Ho verdadera)</t>
  </si>
  <si>
    <t xml:space="preserve"> β =&gt; probabilidad de no detectar una diferencia que sí exista.</t>
  </si>
  <si>
    <t>Potencia de contraste</t>
  </si>
  <si>
    <r>
      <t xml:space="preserve">1 -β =  p (rechazar Ho </t>
    </r>
    <r>
      <rPr>
        <sz val="10"/>
        <rFont val="Calibri"/>
        <family val="2"/>
      </rPr>
      <t>│ Ho falsa)</t>
    </r>
  </si>
  <si>
    <t>DM: diferencia de proporciones</t>
  </si>
  <si>
    <r>
      <t>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= DM</t>
    </r>
  </si>
  <si>
    <t>=&gt;</t>
  </si>
  <si>
    <r>
      <t>EEDM (Z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) </t>
    </r>
    <r>
      <rPr>
        <sz val="10"/>
        <rFont val="Calibri"/>
        <family val="2"/>
      </rPr>
      <t>= DM</t>
    </r>
  </si>
  <si>
    <r>
      <t>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 =  (DM/EE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>) - Z</t>
    </r>
    <r>
      <rPr>
        <vertAlign val="subscript"/>
        <sz val="10"/>
        <rFont val="Calibri"/>
        <family val="2"/>
      </rPr>
      <t>1-α/2</t>
    </r>
    <r>
      <rPr>
        <sz val="10"/>
        <rFont val="Calibri"/>
        <family val="2"/>
      </rPr>
      <t xml:space="preserve"> </t>
    </r>
  </si>
  <si>
    <t>1 -β =  potencia estadística resultante =  p de detectar una diferencia entre ambos, en caso de que exista</t>
  </si>
  <si>
    <t>β =  probabilidad de no detectar una diferencia que sí exista =  p (no rechazar Ho │ Ho falsa)</t>
  </si>
  <si>
    <t>NND</t>
  </si>
  <si>
    <t>Chi cuadrado de Pearson</t>
  </si>
  <si>
    <r>
      <t>χ² cal= Sumat (observado</t>
    </r>
    <r>
      <rPr>
        <vertAlign val="subscript"/>
        <sz val="10"/>
        <rFont val="Calibri"/>
        <family val="2"/>
      </rPr>
      <t xml:space="preserve"> i </t>
    </r>
    <r>
      <rPr>
        <sz val="10"/>
        <rFont val="Calibri"/>
        <family val="2"/>
      </rPr>
      <t xml:space="preserve">-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</si>
  <si>
    <t>Cálculo por incidencias acumuladas</t>
  </si>
  <si>
    <t>Estimación puntual e IC de cada proporción</t>
  </si>
  <si>
    <t>% Intervención (Fact Box)</t>
  </si>
  <si>
    <t>% Control (Fact Box)</t>
  </si>
  <si>
    <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RA</t>
    </r>
    <r>
      <rPr>
        <sz val="10"/>
        <rFont val="Calibri"/>
        <family val="2"/>
      </rPr>
      <t>: Riesgo Absoluto;</t>
    </r>
    <r>
      <rPr>
        <b/>
        <sz val="10"/>
        <rFont val="Calibri"/>
        <family val="2"/>
      </rPr>
      <t xml:space="preserve"> RR</t>
    </r>
    <r>
      <rPr>
        <sz val="10"/>
        <rFont val="Calibri"/>
        <family val="2"/>
      </rPr>
      <t xml:space="preserve">: Riesgo Relativo; </t>
    </r>
    <r>
      <rPr>
        <b/>
        <sz val="10"/>
        <rFont val="Calibri"/>
        <family val="2"/>
      </rPr>
      <t>RAR</t>
    </r>
    <r>
      <rPr>
        <sz val="10"/>
        <rFont val="Calibri"/>
        <family val="2"/>
      </rPr>
      <t xml:space="preserve">: Reducción Absoluta del Riesgo; </t>
    </r>
    <r>
      <rPr>
        <b/>
        <sz val="10"/>
        <rFont val="Calibri"/>
        <family val="2"/>
      </rPr>
      <t>NNT</t>
    </r>
    <r>
      <rPr>
        <sz val="10"/>
        <rFont val="Calibri"/>
        <family val="2"/>
      </rPr>
      <t xml:space="preserve">: Número Necesario a Tratar con la intervención, para evitar un evento más que con el control; </t>
    </r>
    <r>
      <rPr>
        <b/>
        <sz val="10"/>
        <rFont val="Calibri"/>
        <family val="2"/>
      </rPr>
      <t>IC</t>
    </r>
    <r>
      <rPr>
        <sz val="10"/>
        <rFont val="Calibri"/>
        <family val="2"/>
      </rPr>
      <t>: intervalo de confianza.</t>
    </r>
  </si>
  <si>
    <t>valor de p para la diferencia</t>
  </si>
  <si>
    <t>Edad, años</t>
  </si>
  <si>
    <t>Región Geográfica</t>
  </si>
  <si>
    <t>Europa</t>
  </si>
  <si>
    <t>Varones</t>
  </si>
  <si>
    <t>Infarto de miocardio</t>
  </si>
  <si>
    <t>Enfermedad arterial periférica</t>
  </si>
  <si>
    <t>Norteamérica</t>
  </si>
  <si>
    <t>Sabatine MS, Giugliano RP, Keech AC, Honarpour N, on behalf of the FOURIER Steering Committee and Investigators. Evolocumab and Clinical Outcomes in Patients with Cardiovascular Disease. N Engl J Med. 2017 May 4;376(18):1713-1722.</t>
  </si>
  <si>
    <t>Las variables dicotómicas se informan en número (%) y las variables continuas en Media (desviación estándar = DE)</t>
  </si>
  <si>
    <t>62,5 (DE 9,1)</t>
  </si>
  <si>
    <t>62,5 (DE 8,9)</t>
  </si>
  <si>
    <t>10397 (75,4%)</t>
  </si>
  <si>
    <t>10398 (75,4%)</t>
  </si>
  <si>
    <t>Raza blanca</t>
  </si>
  <si>
    <t>Peso; Kg</t>
  </si>
  <si>
    <t>85 (DE 17,3)</t>
  </si>
  <si>
    <t>85,5 (DE 17,4)</t>
  </si>
  <si>
    <t>2287 (16,6%)</t>
  </si>
  <si>
    <t>2284 (16,6%)</t>
  </si>
  <si>
    <t>8666 (62,9%)</t>
  </si>
  <si>
    <t>8669 (62,9%)</t>
  </si>
  <si>
    <t>America Latina</t>
  </si>
  <si>
    <t>913 (6,6%)</t>
  </si>
  <si>
    <t>910 (6,6%)</t>
  </si>
  <si>
    <t>Asia, Pacifico y Sudáfrica</t>
  </si>
  <si>
    <t>1918 (13,9%)</t>
  </si>
  <si>
    <t>1917 (13,9%)</t>
  </si>
  <si>
    <t>11145 (80,8%)</t>
  </si>
  <si>
    <t>11206 (81,3%)</t>
  </si>
  <si>
    <t>mediana de tiempo desde el Infarto más reciente (años)</t>
  </si>
  <si>
    <t>3,4 [IQR; 1 a 7,4]</t>
  </si>
  <si>
    <t>3,3 [IQR; 0,9 a 7,7]</t>
  </si>
  <si>
    <t>Ictus no hemorrágico</t>
  </si>
  <si>
    <t>2686 (19,5%)</t>
  </si>
  <si>
    <t>2651 (19,2%)</t>
  </si>
  <si>
    <t>mediana de tiempo desde el ictus más reciente (años)</t>
  </si>
  <si>
    <t>3,2 [IQR; 1,1 a 7,1]</t>
  </si>
  <si>
    <t>3,3 [IQR; 1,1 a 7,3]</t>
  </si>
  <si>
    <t>1858 (13,48%)</t>
  </si>
  <si>
    <t>1784 (12,95%)</t>
  </si>
  <si>
    <t>Factores de Riesgo cardiovascular</t>
  </si>
  <si>
    <t>Hipertensión</t>
  </si>
  <si>
    <t>11045 (80,13%)</t>
  </si>
  <si>
    <t>11039 (80,11%)</t>
  </si>
  <si>
    <t>Diabetes</t>
  </si>
  <si>
    <t>5054 (36,67%)</t>
  </si>
  <si>
    <t>5027 (36,48%)</t>
  </si>
  <si>
    <t>Fumador</t>
  </si>
  <si>
    <t>3854 (27,96%)</t>
  </si>
  <si>
    <t>3923 (28,47%)</t>
  </si>
  <si>
    <r>
      <t>Terapia hipolipemiante</t>
    </r>
    <r>
      <rPr>
        <b/>
        <sz val="10"/>
        <color indexed="12"/>
        <rFont val="Calibri"/>
        <family val="2"/>
      </rPr>
      <t xml:space="preserve"> *</t>
    </r>
  </si>
  <si>
    <t>Estatinas intensidad alta</t>
  </si>
  <si>
    <t>9585 (69,54%)</t>
  </si>
  <si>
    <t>9518 (69,07%)</t>
  </si>
  <si>
    <t>Estatinas intensidad media</t>
  </si>
  <si>
    <t>4161 (30,19%)</t>
  </si>
  <si>
    <t>4231 (30,7%)</t>
  </si>
  <si>
    <t>Estatina intensidad baja, desconocida o sin datos</t>
  </si>
  <si>
    <t>38 (0,28%)</t>
  </si>
  <si>
    <t>31 (0,22%)</t>
  </si>
  <si>
    <t>Ezetimiba + Estatinas</t>
  </si>
  <si>
    <t>726 (5,27%)</t>
  </si>
  <si>
    <t>714 (5,18%)</t>
  </si>
  <si>
    <t xml:space="preserve">Otras medicaciones </t>
  </si>
  <si>
    <r>
      <t>AAS, inhibidores del receptor plaquetario P2Y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, o ambos</t>
    </r>
  </si>
  <si>
    <t>12766 (93%)</t>
  </si>
  <si>
    <t>12666 (92%)</t>
  </si>
  <si>
    <t>Beta-bloqueantes</t>
  </si>
  <si>
    <t>10441 (75,81%)</t>
  </si>
  <si>
    <t>10374 (75,35%)</t>
  </si>
  <si>
    <t>IECA, ARA-II, antagonista de aldosterona, o ambos</t>
  </si>
  <si>
    <t>10803 (78,44%)</t>
  </si>
  <si>
    <t>10730 (77,94%)</t>
  </si>
  <si>
    <t>Mediianas de valores lipídicos</t>
  </si>
  <si>
    <t>Colesterol LDL; mg/dl</t>
  </si>
  <si>
    <t>92 [IQR; 80 a 109]</t>
  </si>
  <si>
    <t>Colesterol Total; mg/dl</t>
  </si>
  <si>
    <t>168 [IQR; 151 a 188]</t>
  </si>
  <si>
    <t>168 [IQR; 151 a 189]</t>
  </si>
  <si>
    <t>Colesterol HDL; mg/dl</t>
  </si>
  <si>
    <t>44 [IQR; 37 a 53]</t>
  </si>
  <si>
    <t>Trigliceridos; mg/dl</t>
  </si>
  <si>
    <t>134 [IQR; 101 a 183]</t>
  </si>
  <si>
    <t>133 [IQR; 99 a 181]</t>
  </si>
  <si>
    <t>Lipoproteina A; mmol/l</t>
  </si>
  <si>
    <t>37 [IQR; 13 a 166]</t>
  </si>
  <si>
    <t>37 [IQR; 13 a 164]</t>
  </si>
  <si>
    <r>
      <rPr>
        <u/>
        <sz val="10"/>
        <rFont val="Calibri"/>
        <family val="2"/>
      </rPr>
      <t>Abreviaturas</t>
    </r>
    <r>
      <rPr>
        <sz val="10"/>
        <rFont val="Calibri"/>
        <family val="2"/>
      </rPr>
      <t xml:space="preserve">:  </t>
    </r>
    <r>
      <rPr>
        <b/>
        <sz val="10"/>
        <rFont val="Calibri"/>
        <family val="2"/>
      </rPr>
      <t xml:space="preserve">DE: </t>
    </r>
    <r>
      <rPr>
        <sz val="10"/>
        <rFont val="Calibri"/>
        <family val="2"/>
      </rPr>
      <t xml:space="preserve">desviación estándar; </t>
    </r>
    <r>
      <rPr>
        <b/>
        <sz val="10"/>
        <rFont val="Calibri"/>
        <family val="2"/>
      </rPr>
      <t>IQR:</t>
    </r>
    <r>
      <rPr>
        <sz val="10"/>
        <rFont val="Calibri"/>
        <family val="2"/>
      </rPr>
      <t xml:space="preserve"> rango intercuartílico entre el percentil 25 y el percentil 75.</t>
    </r>
  </si>
  <si>
    <t>Evolocumab + Estatinas; 
n= 13.784</t>
  </si>
  <si>
    <t>Placebo + Estatinas; 
n= 13.780</t>
  </si>
  <si>
    <t>Evolocumab + Estatinas</t>
  </si>
  <si>
    <t>Placebo + Estatinas</t>
  </si>
  <si>
    <t>20170504-ECA FOURIER 26m, EnfCV +Estat [Evolo vs Pl], -MACE -LDL. Sabatine</t>
  </si>
  <si>
    <t>Tipo de enfermedad arteriosclerósica</t>
  </si>
  <si>
    <r>
      <rPr>
        <b/>
        <sz val="10"/>
        <color indexed="12"/>
        <rFont val="Calibri"/>
        <family val="2"/>
      </rPr>
      <t>*</t>
    </r>
    <r>
      <rPr>
        <sz val="10"/>
        <rFont val="Calibri"/>
        <family val="2"/>
      </rPr>
      <t xml:space="preserve"> La intensidad de las estatinas se categorizó según las guías de la American College of Cardiology y American Heart Association:  Stone NJ, Robinson JG, Lichtenstein AH, et al. 2013 ACC/AHA guideline on the treatment of blood cholesterol to reduce atherosclerotic cardiovascular risk in adults: a report of the American College of Cardiology/American Heart Association Task Force on Practice Guidelines. Circulation 2014; 129: Suppl 2: S1-S45.</t>
    </r>
  </si>
  <si>
    <r>
      <rPr>
        <b/>
        <sz val="10"/>
        <color indexed="60"/>
        <rFont val="Calibri"/>
        <family val="2"/>
      </rPr>
      <t>Suplemento 1:</t>
    </r>
    <r>
      <rPr>
        <b/>
        <sz val="10"/>
        <rFont val="Calibri"/>
        <family val="2"/>
      </rPr>
      <t xml:space="preserve"> Características sociodemográficas y clínicas en el inicio (baseline), ECA FOURIER.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</si>
</sst>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00\ _€_-;\-* #,##0.000\ _€_-;_-* &quot;-&quot;??\ _€_-;_-@_-"/>
    <numFmt numFmtId="167" formatCode="_-* #,##0.0000\ _€_-;\-* #,##0.0000\ _€_-;_-* &quot;-&quot;??\ _€_-;_-@_-"/>
    <numFmt numFmtId="168" formatCode="0.0%"/>
    <numFmt numFmtId="169" formatCode="_-* #,##0.00000\ _€_-;\-* #,##0.00000\ _€_-;_-* &quot;-&quot;??\ _€_-;_-@_-"/>
    <numFmt numFmtId="170" formatCode="_-* #,##0.000000\ _€_-;\-* #,##0.000000\ _€_-;_-* &quot;-&quot;??\ _€_-;_-@_-"/>
    <numFmt numFmtId="171" formatCode="_-* #,##0.000\ _€_-;\-* #,##0.000\ _€_-;_-* &quot;-&quot;???\ _€_-;_-@_-"/>
    <numFmt numFmtId="172" formatCode="_-* #,##0.0\ _€_-;\-* #,##0.0\ _€_-;_-* &quot;-&quot;??\ _€_-;_-@_-"/>
    <numFmt numFmtId="173" formatCode="_-* #,##0.0\ _€_-;\-* #,##0.0\ _€_-;_-* &quot;-&quot;?\ _€_-;_-@_-"/>
    <numFmt numFmtId="174" formatCode="_-* #,##0.0000\ _€_-;\-* #,##0.0000\ _€_-;_-* &quot;-&quot;?\ _€_-;_-@_-"/>
    <numFmt numFmtId="175" formatCode="0.000"/>
    <numFmt numFmtId="176" formatCode="0.0000"/>
    <numFmt numFmtId="177" formatCode="#,##0.00_ ;\-#,##0.00\ "/>
  </numFmts>
  <fonts count="4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vertAlign val="subscript"/>
      <sz val="10"/>
      <name val="Calibri"/>
      <family val="2"/>
    </font>
    <font>
      <vertAlign val="superscript"/>
      <sz val="10"/>
      <name val="Calibri"/>
      <family val="2"/>
    </font>
    <font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57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20"/>
      <name val="Calibri"/>
      <family val="2"/>
      <scheme val="minor"/>
    </font>
    <font>
      <sz val="10"/>
      <color indexed="63"/>
      <name val="Calibri"/>
      <family val="2"/>
      <scheme val="minor"/>
    </font>
    <font>
      <sz val="10"/>
      <color indexed="52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indexed="14"/>
      <name val="Calibri"/>
      <family val="2"/>
      <scheme val="minor"/>
    </font>
    <font>
      <sz val="10"/>
      <color indexed="14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indexed="61"/>
      <name val="Calibri"/>
      <family val="2"/>
      <scheme val="minor"/>
    </font>
    <font>
      <b/>
      <sz val="24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indexed="50"/>
      <name val="Calibri"/>
      <family val="2"/>
      <scheme val="minor"/>
    </font>
    <font>
      <b/>
      <vertAlign val="subscript"/>
      <sz val="10"/>
      <name val="Calibri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0"/>
      <color indexed="60"/>
      <name val="Calibri"/>
      <family val="2"/>
    </font>
    <font>
      <i/>
      <sz val="10"/>
      <color rgb="FF000000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indexed="12"/>
      <name val="Calibri"/>
      <family val="2"/>
    </font>
    <font>
      <vertAlign val="subscript"/>
      <sz val="10"/>
      <color theme="1"/>
      <name val="Calibri"/>
      <family val="2"/>
      <scheme val="minor"/>
    </font>
    <font>
      <u/>
      <sz val="1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3">
    <xf numFmtId="0" fontId="0" fillId="0" borderId="0" xfId="0"/>
    <xf numFmtId="2" fontId="10" fillId="0" borderId="0" xfId="0" applyNumberFormat="1" applyFont="1" applyFill="1" applyBorder="1"/>
    <xf numFmtId="0" fontId="10" fillId="0" borderId="0" xfId="0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/>
    <xf numFmtId="2" fontId="10" fillId="0" borderId="0" xfId="0" applyNumberFormat="1" applyFont="1"/>
    <xf numFmtId="10" fontId="10" fillId="0" borderId="0" xfId="2" applyNumberFormat="1" applyFont="1" applyBorder="1" applyAlignment="1">
      <alignment horizontal="center"/>
    </xf>
    <xf numFmtId="10" fontId="11" fillId="0" borderId="0" xfId="2" applyNumberFormat="1" applyFont="1" applyBorder="1" applyAlignment="1">
      <alignment horizontal="center"/>
    </xf>
    <xf numFmtId="0" fontId="12" fillId="0" borderId="0" xfId="0" applyFont="1" applyFill="1" applyBorder="1" applyAlignment="1">
      <alignment vertical="distributed"/>
    </xf>
    <xf numFmtId="0" fontId="10" fillId="0" borderId="0" xfId="0" applyFont="1" applyFill="1" applyAlignment="1">
      <alignment horizontal="center"/>
    </xf>
    <xf numFmtId="10" fontId="10" fillId="0" borderId="0" xfId="0" applyNumberFormat="1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Border="1" applyAlignment="1">
      <alignment horizontal="center"/>
    </xf>
    <xf numFmtId="18" fontId="10" fillId="0" borderId="0" xfId="1" applyNumberFormat="1" applyFont="1" applyBorder="1" applyAlignment="1">
      <alignment horizontal="center"/>
    </xf>
    <xf numFmtId="164" fontId="10" fillId="0" borderId="0" xfId="1" applyFont="1" applyFill="1" applyAlignment="1">
      <alignment horizontal="center"/>
    </xf>
    <xf numFmtId="164" fontId="10" fillId="0" borderId="0" xfId="0" applyNumberFormat="1" applyFont="1"/>
    <xf numFmtId="164" fontId="13" fillId="0" borderId="0" xfId="1" applyFont="1" applyFill="1" applyBorder="1" applyAlignment="1">
      <alignment horizontal="center"/>
    </xf>
    <xf numFmtId="164" fontId="10" fillId="0" borderId="0" xfId="1" applyFont="1" applyFill="1"/>
    <xf numFmtId="0" fontId="14" fillId="0" borderId="0" xfId="0" applyFont="1" applyFill="1"/>
    <xf numFmtId="0" fontId="10" fillId="0" borderId="0" xfId="0" applyFont="1" applyBorder="1"/>
    <xf numFmtId="164" fontId="10" fillId="0" borderId="0" xfId="1" applyFont="1" applyFill="1" applyBorder="1"/>
    <xf numFmtId="0" fontId="10" fillId="0" borderId="0" xfId="0" applyFont="1" applyBorder="1" applyAlignment="1">
      <alignment horizontal="right"/>
    </xf>
    <xf numFmtId="10" fontId="10" fillId="0" borderId="0" xfId="2" applyNumberFormat="1" applyFont="1" applyFill="1"/>
    <xf numFmtId="10" fontId="10" fillId="0" borderId="0" xfId="0" applyNumberFormat="1" applyFont="1" applyFill="1"/>
    <xf numFmtId="0" fontId="17" fillId="0" borderId="0" xfId="0" applyFont="1" applyAlignment="1">
      <alignment horizontal="right"/>
    </xf>
    <xf numFmtId="1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164" fontId="10" fillId="0" borderId="0" xfId="0" applyNumberFormat="1" applyFont="1" applyFill="1" applyBorder="1"/>
    <xf numFmtId="10" fontId="10" fillId="0" borderId="0" xfId="2" applyNumberFormat="1" applyFont="1" applyFill="1" applyBorder="1" applyAlignment="1">
      <alignment horizontal="center"/>
    </xf>
    <xf numFmtId="164" fontId="16" fillId="0" borderId="0" xfId="1" applyFont="1" applyFill="1" applyBorder="1"/>
    <xf numFmtId="0" fontId="15" fillId="0" borderId="0" xfId="0" applyFont="1" applyFill="1" applyAlignment="1">
      <alignment horizontal="center"/>
    </xf>
    <xf numFmtId="164" fontId="16" fillId="0" borderId="0" xfId="1" applyFont="1" applyFill="1" applyAlignment="1">
      <alignment horizontal="right"/>
    </xf>
    <xf numFmtId="0" fontId="16" fillId="0" borderId="0" xfId="0" applyFont="1" applyFill="1" applyBorder="1"/>
    <xf numFmtId="164" fontId="10" fillId="0" borderId="0" xfId="0" applyNumberFormat="1" applyFont="1" applyFill="1"/>
    <xf numFmtId="172" fontId="10" fillId="0" borderId="0" xfId="0" applyNumberFormat="1" applyFont="1" applyFill="1" applyBorder="1"/>
    <xf numFmtId="0" fontId="15" fillId="0" borderId="0" xfId="0" applyFont="1" applyBorder="1"/>
    <xf numFmtId="0" fontId="15" fillId="0" borderId="0" xfId="0" applyFont="1" applyFill="1" applyBorder="1" applyAlignment="1">
      <alignment horizontal="left"/>
    </xf>
    <xf numFmtId="164" fontId="10" fillId="0" borderId="0" xfId="1" applyFont="1" applyFill="1" applyBorder="1" applyAlignment="1">
      <alignment horizontal="center"/>
    </xf>
    <xf numFmtId="170" fontId="10" fillId="0" borderId="0" xfId="1" applyNumberFormat="1" applyFont="1" applyFill="1" applyBorder="1" applyAlignment="1">
      <alignment horizontal="center"/>
    </xf>
    <xf numFmtId="164" fontId="15" fillId="0" borderId="0" xfId="1" applyFont="1" applyFill="1" applyBorder="1" applyAlignment="1"/>
    <xf numFmtId="0" fontId="10" fillId="0" borderId="0" xfId="0" applyFont="1" applyFill="1" applyBorder="1" applyAlignment="1">
      <alignment horizontal="left"/>
    </xf>
    <xf numFmtId="170" fontId="10" fillId="0" borderId="0" xfId="0" applyNumberFormat="1" applyFont="1" applyBorder="1"/>
    <xf numFmtId="0" fontId="21" fillId="0" borderId="0" xfId="0" applyFont="1" applyBorder="1"/>
    <xf numFmtId="49" fontId="22" fillId="0" borderId="0" xfId="0" applyNumberFormat="1" applyFont="1"/>
    <xf numFmtId="10" fontId="10" fillId="0" borderId="0" xfId="0" applyNumberFormat="1" applyFont="1"/>
    <xf numFmtId="10" fontId="10" fillId="0" borderId="0" xfId="0" applyNumberFormat="1" applyFont="1" applyFill="1" applyBorder="1"/>
    <xf numFmtId="10" fontId="18" fillId="0" borderId="0" xfId="2" applyNumberFormat="1" applyFont="1" applyFill="1" applyBorder="1" applyAlignment="1">
      <alignment horizontal="center"/>
    </xf>
    <xf numFmtId="165" fontId="18" fillId="0" borderId="0" xfId="1" applyNumberFormat="1" applyFont="1" applyFill="1" applyBorder="1" applyAlignment="1">
      <alignment horizontal="center"/>
    </xf>
    <xf numFmtId="166" fontId="10" fillId="0" borderId="0" xfId="0" applyNumberFormat="1" applyFont="1" applyFill="1" applyBorder="1"/>
    <xf numFmtId="49" fontId="10" fillId="0" borderId="0" xfId="0" applyNumberFormat="1" applyFont="1" applyFill="1" applyBorder="1"/>
    <xf numFmtId="165" fontId="15" fillId="0" borderId="0" xfId="0" applyNumberFormat="1" applyFont="1" applyFill="1" applyBorder="1"/>
    <xf numFmtId="165" fontId="15" fillId="0" borderId="0" xfId="0" applyNumberFormat="1" applyFont="1" applyFill="1" applyBorder="1" applyAlignment="1">
      <alignment horizontal="center"/>
    </xf>
    <xf numFmtId="165" fontId="23" fillId="0" borderId="0" xfId="0" applyNumberFormat="1" applyFont="1" applyFill="1" applyBorder="1"/>
    <xf numFmtId="49" fontId="11" fillId="0" borderId="0" xfId="0" applyNumberFormat="1" applyFont="1"/>
    <xf numFmtId="0" fontId="24" fillId="0" borderId="0" xfId="0" applyFont="1" applyFill="1" applyBorder="1"/>
    <xf numFmtId="0" fontId="10" fillId="0" borderId="1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165" fontId="11" fillId="0" borderId="4" xfId="1" applyNumberFormat="1" applyFont="1" applyFill="1" applyBorder="1"/>
    <xf numFmtId="165" fontId="12" fillId="0" borderId="4" xfId="1" applyNumberFormat="1" applyFont="1" applyFill="1" applyBorder="1"/>
    <xf numFmtId="165" fontId="11" fillId="0" borderId="0" xfId="1" applyNumberFormat="1" applyFont="1" applyFill="1" applyBorder="1"/>
    <xf numFmtId="165" fontId="12" fillId="0" borderId="0" xfId="1" applyNumberFormat="1" applyFont="1" applyFill="1" applyBorder="1"/>
    <xf numFmtId="164" fontId="25" fillId="0" borderId="4" xfId="1" applyFont="1" applyBorder="1"/>
    <xf numFmtId="0" fontId="12" fillId="0" borderId="0" xfId="0" applyFont="1" applyBorder="1" applyAlignment="1">
      <alignment horizontal="right"/>
    </xf>
    <xf numFmtId="164" fontId="10" fillId="0" borderId="0" xfId="1" applyFont="1" applyBorder="1"/>
    <xf numFmtId="0" fontId="15" fillId="0" borderId="0" xfId="0" applyFont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26" fillId="0" borderId="0" xfId="0" applyFont="1"/>
    <xf numFmtId="9" fontId="10" fillId="0" borderId="0" xfId="0" applyNumberFormat="1" applyFont="1" applyBorder="1"/>
    <xf numFmtId="0" fontId="10" fillId="0" borderId="27" xfId="0" applyFont="1" applyBorder="1"/>
    <xf numFmtId="0" fontId="10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2" fontId="10" fillId="0" borderId="4" xfId="1" applyNumberFormat="1" applyFont="1" applyBorder="1" applyAlignment="1">
      <alignment horizontal="center" vertical="center" wrapText="1"/>
    </xf>
    <xf numFmtId="2" fontId="10" fillId="0" borderId="4" xfId="1" applyNumberFormat="1" applyFont="1" applyFill="1" applyBorder="1" applyAlignment="1">
      <alignment horizontal="center" vertical="center" wrapText="1"/>
    </xf>
    <xf numFmtId="2" fontId="10" fillId="0" borderId="6" xfId="1" applyNumberFormat="1" applyFont="1" applyFill="1" applyBorder="1" applyAlignment="1">
      <alignment horizontal="center" vertical="center" wrapText="1"/>
    </xf>
    <xf numFmtId="0" fontId="10" fillId="0" borderId="14" xfId="0" applyFont="1" applyBorder="1"/>
    <xf numFmtId="0" fontId="10" fillId="0" borderId="14" xfId="0" applyFont="1" applyFill="1" applyBorder="1"/>
    <xf numFmtId="0" fontId="10" fillId="0" borderId="28" xfId="0" applyFont="1" applyFill="1" applyBorder="1"/>
    <xf numFmtId="0" fontId="15" fillId="0" borderId="0" xfId="0" applyFont="1" applyBorder="1" applyAlignment="1">
      <alignment horizontal="left" vertical="center"/>
    </xf>
    <xf numFmtId="165" fontId="15" fillId="0" borderId="0" xfId="1" applyNumberFormat="1" applyFont="1" applyFill="1" applyBorder="1" applyAlignment="1"/>
    <xf numFmtId="165" fontId="29" fillId="0" borderId="0" xfId="1" applyNumberFormat="1" applyFont="1" applyFill="1" applyBorder="1" applyAlignment="1"/>
    <xf numFmtId="165" fontId="28" fillId="0" borderId="0" xfId="0" applyNumberFormat="1" applyFont="1" applyFill="1" applyBorder="1" applyAlignment="1">
      <alignment horizontal="left"/>
    </xf>
    <xf numFmtId="2" fontId="10" fillId="0" borderId="0" xfId="0" applyNumberFormat="1" applyFont="1" applyBorder="1"/>
    <xf numFmtId="0" fontId="18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vertical="distributed"/>
    </xf>
    <xf numFmtId="0" fontId="10" fillId="0" borderId="4" xfId="0" applyFont="1" applyBorder="1" applyAlignment="1">
      <alignment horizontal="center" vertical="center"/>
    </xf>
    <xf numFmtId="9" fontId="10" fillId="10" borderId="4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166" fontId="10" fillId="0" borderId="0" xfId="0" applyNumberFormat="1" applyFont="1" applyBorder="1" applyAlignment="1">
      <alignment horizontal="left" vertical="center"/>
    </xf>
    <xf numFmtId="172" fontId="15" fillId="0" borderId="16" xfId="1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5" fillId="0" borderId="11" xfId="0" applyFont="1" applyBorder="1"/>
    <xf numFmtId="164" fontId="10" fillId="0" borderId="0" xfId="1" applyFont="1" applyFill="1" applyBorder="1" applyAlignment="1">
      <alignment horizontal="center" vertical="center" wrapText="1"/>
    </xf>
    <xf numFmtId="165" fontId="15" fillId="0" borderId="11" xfId="0" applyNumberFormat="1" applyFont="1" applyBorder="1" applyAlignment="1">
      <alignment horizontal="right"/>
    </xf>
    <xf numFmtId="165" fontId="15" fillId="0" borderId="17" xfId="0" applyNumberFormat="1" applyFont="1" applyBorder="1" applyAlignment="1">
      <alignment horizontal="right"/>
    </xf>
    <xf numFmtId="165" fontId="15" fillId="0" borderId="31" xfId="0" applyNumberFormat="1" applyFont="1" applyBorder="1" applyAlignment="1">
      <alignment horizontal="right"/>
    </xf>
    <xf numFmtId="0" fontId="15" fillId="0" borderId="0" xfId="0" applyFont="1" applyAlignment="1">
      <alignment horizontal="left" vertical="center"/>
    </xf>
    <xf numFmtId="164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0" fontId="10" fillId="0" borderId="0" xfId="2" applyNumberFormat="1" applyFont="1" applyFill="1" applyBorder="1" applyAlignment="1">
      <alignment horizontal="center" vertical="center" wrapText="1"/>
    </xf>
    <xf numFmtId="164" fontId="15" fillId="0" borderId="5" xfId="1" applyFont="1" applyFill="1" applyBorder="1" applyAlignment="1">
      <alignment horizontal="center" vertical="center" wrapText="1"/>
    </xf>
    <xf numFmtId="164" fontId="15" fillId="0" borderId="5" xfId="1" applyFont="1" applyBorder="1" applyAlignment="1">
      <alignment horizontal="center" vertical="center" wrapText="1"/>
    </xf>
    <xf numFmtId="177" fontId="10" fillId="0" borderId="4" xfId="1" applyNumberFormat="1" applyFont="1" applyFill="1" applyBorder="1" applyAlignment="1">
      <alignment horizontal="center" vertical="center"/>
    </xf>
    <xf numFmtId="2" fontId="15" fillId="0" borderId="4" xfId="0" applyNumberFormat="1" applyFont="1" applyFill="1" applyBorder="1" applyAlignment="1">
      <alignment horizontal="center" vertical="center" wrapText="1"/>
    </xf>
    <xf numFmtId="168" fontId="15" fillId="0" borderId="4" xfId="2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166" fontId="10" fillId="0" borderId="0" xfId="0" applyNumberFormat="1" applyFont="1" applyFill="1" applyBorder="1" applyAlignment="1">
      <alignment horizontal="center" vertical="center" wrapText="1"/>
    </xf>
    <xf numFmtId="167" fontId="10" fillId="0" borderId="0" xfId="0" applyNumberFormat="1" applyFont="1" applyFill="1" applyBorder="1" applyAlignment="1">
      <alignment horizontal="center" vertical="center" wrapText="1"/>
    </xf>
    <xf numFmtId="169" fontId="10" fillId="0" borderId="0" xfId="1" applyNumberFormat="1" applyFont="1" applyFill="1" applyBorder="1" applyAlignment="1">
      <alignment horizontal="center" vertical="center" wrapText="1"/>
    </xf>
    <xf numFmtId="172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73" fontId="10" fillId="0" borderId="0" xfId="0" applyNumberFormat="1" applyFont="1" applyFill="1" applyAlignment="1">
      <alignment horizontal="center" vertical="center" wrapText="1"/>
    </xf>
    <xf numFmtId="164" fontId="10" fillId="0" borderId="0" xfId="1" applyFont="1" applyBorder="1" applyAlignment="1">
      <alignment horizontal="center"/>
    </xf>
    <xf numFmtId="170" fontId="10" fillId="0" borderId="0" xfId="1" applyNumberFormat="1" applyFont="1" applyBorder="1" applyAlignment="1">
      <alignment horizontal="center"/>
    </xf>
    <xf numFmtId="10" fontId="15" fillId="0" borderId="0" xfId="2" applyNumberFormat="1" applyFont="1" applyFill="1" applyBorder="1" applyAlignment="1"/>
    <xf numFmtId="0" fontId="23" fillId="0" borderId="0" xfId="0" applyFont="1"/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wrapText="1"/>
    </xf>
    <xf numFmtId="164" fontId="19" fillId="0" borderId="14" xfId="1" applyFont="1" applyFill="1" applyBorder="1" applyAlignment="1">
      <alignment horizontal="right"/>
    </xf>
    <xf numFmtId="0" fontId="10" fillId="0" borderId="14" xfId="0" applyFont="1" applyFill="1" applyBorder="1" applyAlignment="1">
      <alignment horizontal="left"/>
    </xf>
    <xf numFmtId="170" fontId="10" fillId="0" borderId="14" xfId="1" applyNumberFormat="1" applyFont="1" applyFill="1" applyBorder="1" applyAlignment="1">
      <alignment horizontal="center"/>
    </xf>
    <xf numFmtId="164" fontId="10" fillId="0" borderId="14" xfId="1" applyFont="1" applyFill="1" applyBorder="1" applyAlignment="1">
      <alignment horizontal="center"/>
    </xf>
    <xf numFmtId="164" fontId="15" fillId="0" borderId="14" xfId="1" applyFont="1" applyFill="1" applyBorder="1" applyAlignment="1"/>
    <xf numFmtId="164" fontId="15" fillId="0" borderId="27" xfId="1" applyFont="1" applyFill="1" applyBorder="1" applyAlignment="1"/>
    <xf numFmtId="0" fontId="10" fillId="0" borderId="16" xfId="0" applyFont="1" applyFill="1" applyBorder="1"/>
    <xf numFmtId="165" fontId="15" fillId="0" borderId="4" xfId="0" applyNumberFormat="1" applyFont="1" applyFill="1" applyBorder="1" applyAlignment="1">
      <alignment horizontal="center"/>
    </xf>
    <xf numFmtId="1" fontId="15" fillId="0" borderId="4" xfId="0" applyNumberFormat="1" applyFont="1" applyFill="1" applyBorder="1" applyAlignment="1">
      <alignment horizontal="center"/>
    </xf>
    <xf numFmtId="10" fontId="15" fillId="0" borderId="4" xfId="2" applyNumberFormat="1" applyFont="1" applyBorder="1" applyAlignment="1">
      <alignment horizontal="center"/>
    </xf>
    <xf numFmtId="164" fontId="15" fillId="0" borderId="4" xfId="1" applyFont="1" applyBorder="1" applyAlignment="1">
      <alignment horizontal="center"/>
    </xf>
    <xf numFmtId="164" fontId="15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10" fontId="15" fillId="13" borderId="4" xfId="2" applyNumberFormat="1" applyFont="1" applyFill="1" applyBorder="1" applyAlignment="1"/>
    <xf numFmtId="1" fontId="10" fillId="0" borderId="13" xfId="0" applyNumberFormat="1" applyFont="1" applyFill="1" applyBorder="1" applyAlignment="1">
      <alignment horizontal="center" vertical="center" wrapText="1"/>
    </xf>
    <xf numFmtId="164" fontId="15" fillId="0" borderId="28" xfId="1" applyFont="1" applyFill="1" applyBorder="1" applyAlignment="1"/>
    <xf numFmtId="10" fontId="10" fillId="0" borderId="13" xfId="2" applyNumberFormat="1" applyFont="1" applyFill="1" applyBorder="1"/>
    <xf numFmtId="0" fontId="10" fillId="0" borderId="28" xfId="0" applyFont="1" applyBorder="1"/>
    <xf numFmtId="2" fontId="10" fillId="0" borderId="13" xfId="1" applyNumberFormat="1" applyFont="1" applyFill="1" applyBorder="1" applyAlignment="1">
      <alignment horizontal="center" vertical="center" wrapText="1"/>
    </xf>
    <xf numFmtId="174" fontId="10" fillId="0" borderId="13" xfId="0" applyNumberFormat="1" applyFont="1" applyBorder="1"/>
    <xf numFmtId="168" fontId="10" fillId="0" borderId="13" xfId="2" applyNumberFormat="1" applyFont="1" applyFill="1" applyBorder="1" applyAlignment="1">
      <alignment horizontal="center" vertical="center" wrapText="1"/>
    </xf>
    <xf numFmtId="166" fontId="15" fillId="0" borderId="13" xfId="1" applyNumberFormat="1" applyFont="1" applyFill="1" applyBorder="1"/>
    <xf numFmtId="0" fontId="15" fillId="0" borderId="0" xfId="0" applyFont="1" applyAlignment="1">
      <alignment horizontal="left"/>
    </xf>
    <xf numFmtId="175" fontId="10" fillId="0" borderId="13" xfId="0" applyNumberFormat="1" applyFont="1" applyFill="1" applyBorder="1" applyAlignment="1">
      <alignment horizontal="center" vertical="center" wrapText="1"/>
    </xf>
    <xf numFmtId="167" fontId="10" fillId="2" borderId="13" xfId="1" applyNumberFormat="1" applyFont="1" applyFill="1" applyBorder="1"/>
    <xf numFmtId="168" fontId="10" fillId="0" borderId="0" xfId="2" applyNumberFormat="1" applyFont="1" applyAlignment="1">
      <alignment horizontal="center" vertical="center" wrapText="1"/>
    </xf>
    <xf numFmtId="10" fontId="10" fillId="11" borderId="13" xfId="2" applyNumberFormat="1" applyFont="1" applyFill="1" applyBorder="1" applyAlignment="1">
      <alignment horizontal="center" vertical="center" wrapText="1"/>
    </xf>
    <xf numFmtId="10" fontId="20" fillId="0" borderId="13" xfId="0" applyNumberFormat="1" applyFont="1" applyBorder="1"/>
    <xf numFmtId="10" fontId="10" fillId="2" borderId="4" xfId="2" applyNumberFormat="1" applyFont="1" applyFill="1" applyBorder="1" applyAlignment="1">
      <alignment horizontal="center"/>
    </xf>
    <xf numFmtId="10" fontId="10" fillId="4" borderId="4" xfId="2" applyNumberFormat="1" applyFont="1" applyFill="1" applyBorder="1" applyAlignment="1">
      <alignment horizontal="center"/>
    </xf>
    <xf numFmtId="10" fontId="10" fillId="3" borderId="4" xfId="2" applyNumberFormat="1" applyFont="1" applyFill="1" applyBorder="1" applyAlignment="1">
      <alignment horizontal="center"/>
    </xf>
    <xf numFmtId="10" fontId="10" fillId="0" borderId="11" xfId="2" applyNumberFormat="1" applyFont="1" applyBorder="1" applyAlignment="1">
      <alignment horizontal="center" vertical="center" wrapText="1"/>
    </xf>
    <xf numFmtId="0" fontId="21" fillId="0" borderId="12" xfId="0" applyFont="1" applyBorder="1"/>
    <xf numFmtId="0" fontId="10" fillId="0" borderId="12" xfId="0" applyFont="1" applyBorder="1"/>
    <xf numFmtId="171" fontId="10" fillId="0" borderId="12" xfId="0" applyNumberFormat="1" applyFont="1" applyBorder="1"/>
    <xf numFmtId="0" fontId="10" fillId="0" borderId="31" xfId="0" applyFont="1" applyBorder="1"/>
    <xf numFmtId="0" fontId="10" fillId="0" borderId="11" xfId="0" applyFont="1" applyFill="1" applyBorder="1"/>
    <xf numFmtId="0" fontId="10" fillId="0" borderId="12" xfId="0" applyFont="1" applyFill="1" applyBorder="1"/>
    <xf numFmtId="0" fontId="10" fillId="0" borderId="31" xfId="0" applyFont="1" applyFill="1" applyBorder="1"/>
    <xf numFmtId="1" fontId="10" fillId="2" borderId="4" xfId="0" applyNumberFormat="1" applyFont="1" applyFill="1" applyBorder="1" applyAlignment="1">
      <alignment horizontal="center"/>
    </xf>
    <xf numFmtId="1" fontId="10" fillId="4" borderId="4" xfId="0" applyNumberFormat="1" applyFont="1" applyFill="1" applyBorder="1" applyAlignment="1">
      <alignment horizontal="center"/>
    </xf>
    <xf numFmtId="1" fontId="10" fillId="3" borderId="4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0" fontId="10" fillId="0" borderId="14" xfId="0" applyFont="1" applyFill="1" applyBorder="1" applyAlignment="1">
      <alignment horizontal="right"/>
    </xf>
    <xf numFmtId="176" fontId="10" fillId="0" borderId="14" xfId="1" applyNumberFormat="1" applyFont="1" applyBorder="1" applyAlignment="1">
      <alignment horizontal="center" vertical="center"/>
    </xf>
    <xf numFmtId="2" fontId="10" fillId="0" borderId="14" xfId="0" applyNumberFormat="1" applyFont="1" applyBorder="1"/>
    <xf numFmtId="10" fontId="18" fillId="0" borderId="0" xfId="2" applyNumberFormat="1" applyFont="1" applyFill="1" applyBorder="1" applyAlignment="1">
      <alignment horizontal="right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right"/>
    </xf>
    <xf numFmtId="49" fontId="32" fillId="0" borderId="0" xfId="1" applyNumberFormat="1" applyFont="1" applyBorder="1" applyAlignment="1">
      <alignment horizontal="right"/>
    </xf>
    <xf numFmtId="1" fontId="32" fillId="0" borderId="0" xfId="0" applyNumberFormat="1" applyFont="1" applyFill="1" applyBorder="1" applyAlignment="1">
      <alignment horizontal="center"/>
    </xf>
    <xf numFmtId="164" fontId="15" fillId="0" borderId="13" xfId="1" applyFont="1" applyFill="1" applyBorder="1" applyAlignment="1">
      <alignment horizontal="center" vertical="center" wrapText="1"/>
    </xf>
    <xf numFmtId="0" fontId="13" fillId="0" borderId="0" xfId="0" applyFont="1" applyFill="1" applyBorder="1"/>
    <xf numFmtId="164" fontId="10" fillId="0" borderId="0" xfId="1" applyFont="1" applyFill="1" applyBorder="1" applyAlignment="1"/>
    <xf numFmtId="0" fontId="31" fillId="5" borderId="0" xfId="0" applyFont="1" applyFill="1" applyBorder="1" applyAlignment="1">
      <alignment horizontal="center" vertical="center" wrapText="1"/>
    </xf>
    <xf numFmtId="0" fontId="31" fillId="5" borderId="0" xfId="0" applyFont="1" applyFill="1" applyBorder="1"/>
    <xf numFmtId="0" fontId="31" fillId="5" borderId="0" xfId="0" applyFont="1" applyFill="1" applyBorder="1" applyAlignment="1">
      <alignment horizontal="right"/>
    </xf>
    <xf numFmtId="1" fontId="31" fillId="5" borderId="0" xfId="0" applyNumberFormat="1" applyFont="1" applyFill="1" applyBorder="1" applyAlignment="1">
      <alignment horizontal="center" vertical="distributed"/>
    </xf>
    <xf numFmtId="0" fontId="10" fillId="0" borderId="13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0" fontId="31" fillId="6" borderId="0" xfId="0" applyFont="1" applyFill="1" applyBorder="1" applyAlignment="1">
      <alignment horizontal="center" vertical="center" wrapText="1"/>
    </xf>
    <xf numFmtId="0" fontId="31" fillId="6" borderId="0" xfId="0" applyFont="1" applyFill="1" applyBorder="1"/>
    <xf numFmtId="0" fontId="31" fillId="6" borderId="0" xfId="0" applyFont="1" applyFill="1" applyBorder="1" applyAlignment="1">
      <alignment horizontal="right"/>
    </xf>
    <xf numFmtId="1" fontId="31" fillId="6" borderId="0" xfId="0" applyNumberFormat="1" applyFont="1" applyFill="1" applyBorder="1" applyAlignment="1">
      <alignment horizontal="center" vertical="distributed"/>
    </xf>
    <xf numFmtId="164" fontId="10" fillId="0" borderId="0" xfId="0" applyNumberFormat="1" applyFont="1" applyFill="1" applyBorder="1" applyAlignment="1">
      <alignment horizontal="left" vertical="center"/>
    </xf>
    <xf numFmtId="165" fontId="31" fillId="7" borderId="0" xfId="0" applyNumberFormat="1" applyFont="1" applyFill="1" applyBorder="1" applyAlignment="1">
      <alignment horizontal="center" vertical="center" wrapText="1"/>
    </xf>
    <xf numFmtId="164" fontId="33" fillId="7" borderId="0" xfId="1" applyFont="1" applyFill="1" applyBorder="1"/>
    <xf numFmtId="164" fontId="31" fillId="7" borderId="0" xfId="1" applyFont="1" applyFill="1" applyBorder="1" applyAlignment="1">
      <alignment horizontal="right"/>
    </xf>
    <xf numFmtId="1" fontId="31" fillId="7" borderId="0" xfId="0" applyNumberFormat="1" applyFont="1" applyFill="1" applyBorder="1" applyAlignment="1">
      <alignment horizontal="center" vertical="distributed"/>
    </xf>
    <xf numFmtId="49" fontId="31" fillId="0" borderId="0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Border="1"/>
    <xf numFmtId="1" fontId="31" fillId="0" borderId="0" xfId="0" applyNumberFormat="1" applyFont="1" applyBorder="1" applyAlignment="1">
      <alignment horizontal="center"/>
    </xf>
    <xf numFmtId="164" fontId="10" fillId="0" borderId="12" xfId="1" applyFont="1" applyFill="1" applyBorder="1" applyAlignment="1">
      <alignment horizontal="center"/>
    </xf>
    <xf numFmtId="164" fontId="15" fillId="0" borderId="12" xfId="1" applyFont="1" applyFill="1" applyBorder="1" applyAlignment="1"/>
    <xf numFmtId="0" fontId="31" fillId="0" borderId="0" xfId="0" applyFont="1" applyFill="1" applyBorder="1" applyAlignment="1">
      <alignment horizontal="right" vertical="center"/>
    </xf>
    <xf numFmtId="49" fontId="31" fillId="0" borderId="0" xfId="1" applyNumberFormat="1" applyFont="1" applyBorder="1" applyAlignment="1">
      <alignment horizontal="right"/>
    </xf>
    <xf numFmtId="1" fontId="31" fillId="0" borderId="0" xfId="0" applyNumberFormat="1" applyFont="1" applyFill="1" applyBorder="1" applyAlignment="1">
      <alignment horizontal="center"/>
    </xf>
    <xf numFmtId="0" fontId="31" fillId="3" borderId="0" xfId="0" applyFont="1" applyFill="1" applyBorder="1" applyAlignment="1">
      <alignment horizontal="center" vertical="center" wrapText="1"/>
    </xf>
    <xf numFmtId="0" fontId="31" fillId="3" borderId="0" xfId="0" applyFont="1" applyFill="1" applyBorder="1"/>
    <xf numFmtId="0" fontId="31" fillId="3" borderId="0" xfId="0" applyFont="1" applyFill="1" applyBorder="1" applyAlignment="1">
      <alignment horizontal="right"/>
    </xf>
    <xf numFmtId="1" fontId="31" fillId="3" borderId="0" xfId="0" applyNumberFormat="1" applyFont="1" applyFill="1" applyBorder="1" applyAlignment="1">
      <alignment horizontal="center" vertical="distributed"/>
    </xf>
    <xf numFmtId="0" fontId="27" fillId="0" borderId="0" xfId="0" applyFont="1" applyFill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164" fontId="13" fillId="0" borderId="0" xfId="1" applyFont="1" applyFill="1" applyBorder="1" applyAlignment="1">
      <alignment horizontal="center" vertical="center" wrapText="1"/>
    </xf>
    <xf numFmtId="164" fontId="15" fillId="0" borderId="0" xfId="1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right" vertical="center"/>
    </xf>
    <xf numFmtId="164" fontId="10" fillId="0" borderId="4" xfId="1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right" vertical="center"/>
    </xf>
    <xf numFmtId="165" fontId="15" fillId="0" borderId="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0" fontId="25" fillId="0" borderId="1" xfId="0" applyFont="1" applyBorder="1" applyAlignment="1">
      <alignment horizontal="left" vertical="center"/>
    </xf>
    <xf numFmtId="165" fontId="10" fillId="0" borderId="0" xfId="1" applyNumberFormat="1" applyFont="1" applyAlignment="1">
      <alignment horizontal="center" vertical="center" wrapText="1"/>
    </xf>
    <xf numFmtId="164" fontId="15" fillId="0" borderId="0" xfId="1" applyFont="1" applyAlignment="1">
      <alignment horizontal="center" vertical="center" wrapText="1"/>
    </xf>
    <xf numFmtId="165" fontId="10" fillId="0" borderId="0" xfId="0" applyNumberFormat="1" applyFont="1" applyAlignment="1">
      <alignment horizontal="center" vertical="center" wrapText="1"/>
    </xf>
    <xf numFmtId="164" fontId="10" fillId="11" borderId="0" xfId="0" applyNumberFormat="1" applyFont="1" applyFill="1" applyAlignment="1">
      <alignment horizontal="center" vertical="center" wrapText="1"/>
    </xf>
    <xf numFmtId="164" fontId="15" fillId="0" borderId="4" xfId="0" applyNumberFormat="1" applyFont="1" applyBorder="1"/>
    <xf numFmtId="164" fontId="10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/>
    </xf>
    <xf numFmtId="166" fontId="15" fillId="11" borderId="4" xfId="1" applyNumberFormat="1" applyFont="1" applyFill="1" applyBorder="1"/>
    <xf numFmtId="170" fontId="10" fillId="0" borderId="0" xfId="0" applyNumberFormat="1" applyFont="1" applyFill="1" applyBorder="1" applyAlignment="1">
      <alignment horizontal="center" vertical="center" wrapText="1"/>
    </xf>
    <xf numFmtId="9" fontId="10" fillId="0" borderId="0" xfId="2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left" vertical="center"/>
    </xf>
    <xf numFmtId="165" fontId="10" fillId="0" borderId="0" xfId="0" applyNumberFormat="1" applyFont="1" applyFill="1" applyBorder="1"/>
    <xf numFmtId="1" fontId="10" fillId="0" borderId="0" xfId="0" applyNumberFormat="1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49" fontId="10" fillId="0" borderId="13" xfId="0" applyNumberFormat="1" applyFont="1" applyFill="1" applyBorder="1"/>
    <xf numFmtId="166" fontId="10" fillId="0" borderId="0" xfId="0" applyNumberFormat="1" applyFont="1" applyFill="1" applyBorder="1" applyAlignment="1">
      <alignment horizontal="center" vertical="center"/>
    </xf>
    <xf numFmtId="10" fontId="10" fillId="0" borderId="28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/>
    </xf>
    <xf numFmtId="0" fontId="10" fillId="0" borderId="13" xfId="0" applyFont="1" applyFill="1" applyBorder="1"/>
    <xf numFmtId="49" fontId="10" fillId="0" borderId="11" xfId="0" applyNumberFormat="1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/>
    <xf numFmtId="0" fontId="10" fillId="0" borderId="12" xfId="0" applyFont="1" applyBorder="1" applyAlignment="1">
      <alignment horizontal="center" vertical="center" wrapText="1"/>
    </xf>
    <xf numFmtId="49" fontId="15" fillId="8" borderId="4" xfId="0" applyNumberFormat="1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166" fontId="10" fillId="0" borderId="0" xfId="0" applyNumberFormat="1" applyFont="1" applyAlignment="1">
      <alignment vertical="center"/>
    </xf>
    <xf numFmtId="175" fontId="10" fillId="0" borderId="4" xfId="0" applyNumberFormat="1" applyFont="1" applyBorder="1" applyAlignment="1">
      <alignment horizontal="center" vertical="center"/>
    </xf>
    <xf numFmtId="10" fontId="10" fillId="0" borderId="4" xfId="2" applyNumberFormat="1" applyFont="1" applyBorder="1" applyAlignment="1">
      <alignment horizontal="center" vertical="center" wrapText="1"/>
    </xf>
    <xf numFmtId="10" fontId="10" fillId="0" borderId="0" xfId="0" applyNumberFormat="1" applyFont="1" applyBorder="1" applyAlignment="1">
      <alignment horizontal="center" vertical="center" wrapText="1"/>
    </xf>
    <xf numFmtId="164" fontId="10" fillId="0" borderId="0" xfId="1" applyFont="1" applyBorder="1" applyAlignment="1">
      <alignment horizontal="center" vertical="center" wrapText="1"/>
    </xf>
    <xf numFmtId="0" fontId="10" fillId="12" borderId="9" xfId="0" applyFont="1" applyFill="1" applyBorder="1" applyAlignment="1">
      <alignment horizontal="left" vertical="center" wrapText="1"/>
    </xf>
    <xf numFmtId="0" fontId="15" fillId="12" borderId="9" xfId="0" applyFont="1" applyFill="1" applyBorder="1" applyAlignment="1">
      <alignment horizontal="center" vertical="center" wrapText="1"/>
    </xf>
    <xf numFmtId="0" fontId="15" fillId="12" borderId="3" xfId="0" applyFont="1" applyFill="1" applyBorder="1" applyAlignment="1">
      <alignment horizontal="center" vertical="center" wrapText="1"/>
    </xf>
    <xf numFmtId="0" fontId="28" fillId="12" borderId="2" xfId="0" applyFont="1" applyFill="1" applyBorder="1" applyAlignment="1">
      <alignment horizontal="center" vertical="center" wrapText="1"/>
    </xf>
    <xf numFmtId="0" fontId="31" fillId="12" borderId="22" xfId="0" applyFont="1" applyFill="1" applyBorder="1" applyAlignment="1">
      <alignment horizontal="left" vertical="center"/>
    </xf>
    <xf numFmtId="0" fontId="10" fillId="12" borderId="21" xfId="0" applyFont="1" applyFill="1" applyBorder="1" applyAlignment="1">
      <alignment horizontal="center" vertical="center"/>
    </xf>
    <xf numFmtId="0" fontId="31" fillId="12" borderId="29" xfId="0" applyFont="1" applyFill="1" applyBorder="1" applyAlignment="1">
      <alignment horizontal="left" vertical="center"/>
    </xf>
    <xf numFmtId="0" fontId="10" fillId="12" borderId="19" xfId="0" applyFont="1" applyFill="1" applyBorder="1" applyAlignment="1">
      <alignment horizontal="center" vertical="center"/>
    </xf>
    <xf numFmtId="0" fontId="31" fillId="12" borderId="23" xfId="0" applyFont="1" applyFill="1" applyBorder="1" applyAlignment="1">
      <alignment horizontal="left" vertical="center"/>
    </xf>
    <xf numFmtId="0" fontId="10" fillId="12" borderId="4" xfId="0" applyFont="1" applyFill="1" applyBorder="1" applyAlignment="1">
      <alignment horizontal="center" vertical="center"/>
    </xf>
    <xf numFmtId="0" fontId="10" fillId="12" borderId="22" xfId="0" applyFont="1" applyFill="1" applyBorder="1" applyAlignment="1">
      <alignment vertical="center"/>
    </xf>
    <xf numFmtId="0" fontId="36" fillId="0" borderId="0" xfId="0" applyFont="1"/>
    <xf numFmtId="175" fontId="23" fillId="12" borderId="24" xfId="0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right"/>
    </xf>
    <xf numFmtId="0" fontId="17" fillId="0" borderId="4" xfId="0" applyFont="1" applyBorder="1" applyAlignment="1">
      <alignment horizontal="right"/>
    </xf>
    <xf numFmtId="0" fontId="10" fillId="0" borderId="26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31" fillId="12" borderId="21" xfId="0" applyFont="1" applyFill="1" applyBorder="1" applyAlignment="1">
      <alignment horizontal="center" vertical="center"/>
    </xf>
    <xf numFmtId="175" fontId="35" fillId="12" borderId="24" xfId="0" applyNumberFormat="1" applyFont="1" applyFill="1" applyBorder="1" applyAlignment="1">
      <alignment horizontal="center" vertical="center"/>
    </xf>
    <xf numFmtId="0" fontId="15" fillId="12" borderId="0" xfId="0" applyFont="1" applyFill="1" applyAlignment="1">
      <alignment vertical="center" wrapText="1"/>
    </xf>
    <xf numFmtId="0" fontId="15" fillId="12" borderId="7" xfId="0" applyFont="1" applyFill="1" applyBorder="1" applyAlignment="1">
      <alignment vertical="center" wrapText="1"/>
    </xf>
    <xf numFmtId="0" fontId="31" fillId="12" borderId="19" xfId="0" applyFont="1" applyFill="1" applyBorder="1" applyAlignment="1">
      <alignment horizontal="center" vertical="center"/>
    </xf>
    <xf numFmtId="175" fontId="35" fillId="12" borderId="30" xfId="0" applyNumberFormat="1" applyFont="1" applyFill="1" applyBorder="1" applyAlignment="1">
      <alignment horizontal="center" vertical="center"/>
    </xf>
    <xf numFmtId="0" fontId="31" fillId="12" borderId="4" xfId="0" applyFont="1" applyFill="1" applyBorder="1" applyAlignment="1">
      <alignment horizontal="center" vertical="center"/>
    </xf>
    <xf numFmtId="175" fontId="35" fillId="12" borderId="20" xfId="0" applyNumberFormat="1" applyFont="1" applyFill="1" applyBorder="1" applyAlignment="1">
      <alignment horizontal="center" vertical="center"/>
    </xf>
    <xf numFmtId="0" fontId="41" fillId="12" borderId="21" xfId="0" applyFont="1" applyFill="1" applyBorder="1" applyAlignment="1">
      <alignment horizontal="center" vertical="center"/>
    </xf>
    <xf numFmtId="175" fontId="40" fillId="12" borderId="24" xfId="0" applyNumberFormat="1" applyFont="1" applyFill="1" applyBorder="1" applyAlignment="1">
      <alignment horizontal="center" vertical="center"/>
    </xf>
    <xf numFmtId="0" fontId="31" fillId="12" borderId="22" xfId="0" applyFont="1" applyFill="1" applyBorder="1" applyAlignment="1">
      <alignment horizontal="left" vertical="center" wrapText="1"/>
    </xf>
    <xf numFmtId="0" fontId="42" fillId="12" borderId="7" xfId="0" applyFont="1" applyFill="1" applyBorder="1" applyAlignment="1">
      <alignment vertical="center" wrapText="1"/>
    </xf>
    <xf numFmtId="0" fontId="35" fillId="12" borderId="23" xfId="0" applyFont="1" applyFill="1" applyBorder="1" applyAlignment="1">
      <alignment horizontal="right" vertical="center" wrapText="1"/>
    </xf>
    <xf numFmtId="0" fontId="35" fillId="12" borderId="4" xfId="0" applyFont="1" applyFill="1" applyBorder="1" applyAlignment="1">
      <alignment horizontal="right" vertical="center"/>
    </xf>
    <xf numFmtId="0" fontId="42" fillId="12" borderId="18" xfId="0" applyFont="1" applyFill="1" applyBorder="1" applyAlignment="1">
      <alignment vertical="center"/>
    </xf>
    <xf numFmtId="0" fontId="31" fillId="12" borderId="32" xfId="0" applyFont="1" applyFill="1" applyBorder="1" applyAlignment="1">
      <alignment horizontal="left" vertical="center"/>
    </xf>
    <xf numFmtId="0" fontId="31" fillId="12" borderId="26" xfId="0" applyFont="1" applyFill="1" applyBorder="1" applyAlignment="1">
      <alignment horizontal="center" vertical="center"/>
    </xf>
    <xf numFmtId="175" fontId="35" fillId="12" borderId="33" xfId="0" applyNumberFormat="1" applyFont="1" applyFill="1" applyBorder="1" applyAlignment="1">
      <alignment horizontal="center" vertical="center"/>
    </xf>
    <xf numFmtId="0" fontId="38" fillId="12" borderId="21" xfId="0" applyFont="1" applyFill="1" applyBorder="1" applyAlignment="1">
      <alignment horizontal="center" vertical="center"/>
    </xf>
    <xf numFmtId="175" fontId="39" fillId="12" borderId="24" xfId="0" applyNumberFormat="1" applyFont="1" applyFill="1" applyBorder="1" applyAlignment="1">
      <alignment horizontal="center" vertical="center"/>
    </xf>
    <xf numFmtId="0" fontId="10" fillId="12" borderId="19" xfId="0" applyFont="1" applyFill="1" applyBorder="1" applyAlignment="1">
      <alignment horizontal="center" vertical="distributed"/>
    </xf>
    <xf numFmtId="0" fontId="10" fillId="12" borderId="4" xfId="0" applyFont="1" applyFill="1" applyBorder="1" applyAlignment="1">
      <alignment horizontal="center" vertical="distributed"/>
    </xf>
    <xf numFmtId="0" fontId="38" fillId="12" borderId="29" xfId="0" applyFont="1" applyFill="1" applyBorder="1" applyAlignment="1">
      <alignment vertical="center" wrapText="1"/>
    </xf>
    <xf numFmtId="0" fontId="41" fillId="12" borderId="19" xfId="0" applyFont="1" applyFill="1" applyBorder="1" applyAlignment="1">
      <alignment horizontal="center" vertical="center"/>
    </xf>
    <xf numFmtId="175" fontId="40" fillId="12" borderId="30" xfId="0" applyNumberFormat="1" applyFont="1" applyFill="1" applyBorder="1" applyAlignment="1">
      <alignment horizontal="center" vertical="center"/>
    </xf>
    <xf numFmtId="0" fontId="38" fillId="12" borderId="23" xfId="0" applyFont="1" applyFill="1" applyBorder="1" applyAlignment="1">
      <alignment vertical="center"/>
    </xf>
    <xf numFmtId="0" fontId="38" fillId="12" borderId="22" xfId="0" applyFont="1" applyFill="1" applyBorder="1" applyAlignment="1">
      <alignment vertical="center"/>
    </xf>
    <xf numFmtId="0" fontId="10" fillId="12" borderId="24" xfId="0" applyFont="1" applyFill="1" applyBorder="1" applyAlignment="1">
      <alignment horizontal="center"/>
    </xf>
    <xf numFmtId="0" fontId="1" fillId="12" borderId="0" xfId="0" applyFont="1" applyFill="1"/>
    <xf numFmtId="165" fontId="10" fillId="9" borderId="4" xfId="0" applyNumberFormat="1" applyFont="1" applyFill="1" applyBorder="1" applyAlignment="1"/>
    <xf numFmtId="165" fontId="10" fillId="0" borderId="4" xfId="0" applyNumberFormat="1" applyFont="1" applyBorder="1" applyAlignment="1"/>
    <xf numFmtId="165" fontId="10" fillId="9" borderId="4" xfId="1" applyNumberFormat="1" applyFont="1" applyFill="1" applyBorder="1" applyAlignment="1"/>
    <xf numFmtId="0" fontId="37" fillId="0" borderId="0" xfId="0" applyFont="1" applyAlignment="1">
      <alignment vertical="center"/>
    </xf>
    <xf numFmtId="0" fontId="22" fillId="0" borderId="8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2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distributed"/>
    </xf>
    <xf numFmtId="0" fontId="10" fillId="0" borderId="15" xfId="0" applyFont="1" applyBorder="1" applyAlignment="1">
      <alignment horizontal="center" vertical="distributed"/>
    </xf>
    <xf numFmtId="0" fontId="3" fillId="12" borderId="6" xfId="0" applyFont="1" applyFill="1" applyBorder="1" applyAlignment="1">
      <alignment horizontal="left" vertical="center" wrapText="1"/>
    </xf>
    <xf numFmtId="0" fontId="3" fillId="12" borderId="10" xfId="0" applyFont="1" applyFill="1" applyBorder="1" applyAlignment="1">
      <alignment horizontal="left" vertical="center" wrapText="1"/>
    </xf>
    <xf numFmtId="0" fontId="3" fillId="12" borderId="15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4" fillId="12" borderId="8" xfId="0" applyFont="1" applyFill="1" applyBorder="1" applyAlignment="1">
      <alignment horizontal="left" vertical="distributed"/>
    </xf>
    <xf numFmtId="0" fontId="4" fillId="12" borderId="18" xfId="0" applyFont="1" applyFill="1" applyBorder="1" applyAlignment="1">
      <alignment horizontal="left" vertical="distributed"/>
    </xf>
    <xf numFmtId="0" fontId="4" fillId="12" borderId="25" xfId="0" applyFont="1" applyFill="1" applyBorder="1" applyAlignment="1">
      <alignment horizontal="left" vertical="distributed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00FF"/>
      <color rgb="FF008000"/>
      <color rgb="FF009900"/>
      <color rgb="FF0070C0"/>
      <color rgb="FFFFFF99"/>
      <color rgb="FF9933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06-4F5B-AF9C-CF233A2A2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65552"/>
        <c:axId val="1"/>
      </c:lineChart>
      <c:catAx>
        <c:axId val="210136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655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02-4E39-B32D-34499DA47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66800"/>
        <c:axId val="1"/>
      </c:lineChart>
      <c:catAx>
        <c:axId val="210136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66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15-40ED-B162-756C1D16C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59728"/>
        <c:axId val="1"/>
      </c:lineChart>
      <c:catAx>
        <c:axId val="210135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597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51-4EE2-B66A-7D6ADB957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60144"/>
        <c:axId val="1"/>
      </c:lineChart>
      <c:catAx>
        <c:axId val="210136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601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r>
              <a:rPr lang="es-ES"/>
              <a:t>El NND (IC95%) es el Nº de pacientes que hay que tratar con el Mto de Intervención para perjudicar a "1" más que si se trata con Placebo. En el resto de pacientes el Mto de Intervención y el Placebo tienen un comportamiento similar.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Permanecerán sanos sin tomar el Mto de Intervención</c:v>
          </c:tx>
          <c:spPr>
            <a:solidFill>
              <a:srgbClr val="00FF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58-4BDB-ACC8-93C6DB3FD1EC}"/>
                </c:ext>
              </c:extLst>
            </c:dLbl>
            <c:dLbl>
              <c:idx val="1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58-4BDB-ACC8-93C6DB3FD1EC}"/>
                </c:ext>
              </c:extLst>
            </c:dLbl>
            <c:dLbl>
              <c:idx val="2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58-4BDB-ACC8-93C6DB3FD1EC}"/>
                </c:ext>
              </c:extLst>
            </c:dLbl>
            <c:spPr>
              <a:solidFill>
                <a:srgbClr val="00FF00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'Inc Acumul'!$K$35:$M$35</c:f>
            </c:numRef>
          </c:val>
          <c:extLst>
            <c:ext xmlns:c16="http://schemas.microsoft.com/office/drawing/2014/chart" uri="{C3380CC4-5D6E-409C-BE32-E72D297353CC}">
              <c16:uniqueId val="{00000003-3C58-4BDB-ACC8-93C6DB3FD1EC}"/>
            </c:ext>
          </c:extLst>
        </c:ser>
        <c:ser>
          <c:idx val="1"/>
          <c:order val="1"/>
          <c:tx>
            <c:v>Enfermarán por tomar el Mto de Intervención</c:v>
          </c:tx>
          <c:spPr>
            <a:solidFill>
              <a:srgbClr val="FF99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C58-4BDB-ACC8-93C6DB3FD1EC}"/>
                </c:ext>
              </c:extLst>
            </c:dLbl>
            <c:dLbl>
              <c:idx val="1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58-4BDB-ACC8-93C6DB3FD1EC}"/>
                </c:ext>
              </c:extLst>
            </c:dLbl>
            <c:dLbl>
              <c:idx val="2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C58-4BDB-ACC8-93C6DB3FD1EC}"/>
                </c:ext>
              </c:extLst>
            </c:dLbl>
            <c:spPr>
              <a:solidFill>
                <a:srgbClr val="FF99CC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'Inc Acumul'!$K$36:$M$36</c:f>
            </c:numRef>
          </c:val>
          <c:extLst>
            <c:ext xmlns:c16="http://schemas.microsoft.com/office/drawing/2014/chart" uri="{C3380CC4-5D6E-409C-BE32-E72D297353CC}">
              <c16:uniqueId val="{00000007-3C58-4BDB-ACC8-93C6DB3FD1EC}"/>
            </c:ext>
          </c:extLst>
        </c:ser>
        <c:ser>
          <c:idx val="2"/>
          <c:order val="2"/>
          <c:tx>
            <c:v>Enfermarán incluso sin tomar el Mto de Intervención</c:v>
          </c:tx>
          <c:spPr>
            <a:solidFill>
              <a:srgbClr val="FF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C58-4BDB-ACC8-93C6DB3FD1EC}"/>
                </c:ext>
              </c:extLst>
            </c:dLbl>
            <c:dLbl>
              <c:idx val="1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C58-4BDB-ACC8-93C6DB3FD1EC}"/>
                </c:ext>
              </c:extLst>
            </c:dLbl>
            <c:dLbl>
              <c:idx val="2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C58-4BDB-ACC8-93C6DB3FD1EC}"/>
                </c:ext>
              </c:extLst>
            </c:dLbl>
            <c:spPr>
              <a:solidFill>
                <a:srgbClr val="FF0000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'Inc Acumul'!$K$37:$M$37</c:f>
            </c:numRef>
          </c:val>
          <c:extLst>
            <c:ext xmlns:c16="http://schemas.microsoft.com/office/drawing/2014/chart" uri="{C3380CC4-5D6E-409C-BE32-E72D297353CC}">
              <c16:uniqueId val="{0000000B-3C58-4BDB-ACC8-93C6DB3FD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01360976"/>
        <c:axId val="1"/>
      </c:barChart>
      <c:catAx>
        <c:axId val="2101360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r>
                  <a:rPr lang="es-ES"/>
                  <a:t>NND: el 1 es la estimación puntual, el 2 y el 3 son los extremos del IC 95%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pacientes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s-ES"/>
          </a:p>
        </c:txPr>
        <c:crossAx val="2101360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36</xdr:row>
      <xdr:rowOff>0</xdr:rowOff>
    </xdr:from>
    <xdr:to>
      <xdr:col>2</xdr:col>
      <xdr:colOff>0</xdr:colOff>
      <xdr:row>43</xdr:row>
      <xdr:rowOff>38100</xdr:rowOff>
    </xdr:to>
    <xdr:graphicFrame macro="">
      <xdr:nvGraphicFramePr>
        <xdr:cNvPr id="1590" name="Gráfico 10">
          <a:extLst>
            <a:ext uri="{FF2B5EF4-FFF2-40B4-BE49-F238E27FC236}">
              <a16:creationId xmlns:a16="http://schemas.microsoft.com/office/drawing/2014/main" id="{A65AC891-D1C9-43FB-9808-A52C8E566F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50</xdr:row>
      <xdr:rowOff>0</xdr:rowOff>
    </xdr:from>
    <xdr:to>
      <xdr:col>2</xdr:col>
      <xdr:colOff>0</xdr:colOff>
      <xdr:row>50</xdr:row>
      <xdr:rowOff>0</xdr:rowOff>
    </xdr:to>
    <xdr:graphicFrame macro="">
      <xdr:nvGraphicFramePr>
        <xdr:cNvPr id="1591" name="Gráfico 11">
          <a:extLst>
            <a:ext uri="{FF2B5EF4-FFF2-40B4-BE49-F238E27FC236}">
              <a16:creationId xmlns:a16="http://schemas.microsoft.com/office/drawing/2014/main" id="{AA57A113-58A5-4E94-BDE8-AEAF8A4C8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50</xdr:row>
      <xdr:rowOff>0</xdr:rowOff>
    </xdr:from>
    <xdr:to>
      <xdr:col>2</xdr:col>
      <xdr:colOff>0</xdr:colOff>
      <xdr:row>50</xdr:row>
      <xdr:rowOff>0</xdr:rowOff>
    </xdr:to>
    <xdr:graphicFrame macro="">
      <xdr:nvGraphicFramePr>
        <xdr:cNvPr id="1592" name="Gráfico 12">
          <a:extLst>
            <a:ext uri="{FF2B5EF4-FFF2-40B4-BE49-F238E27FC236}">
              <a16:creationId xmlns:a16="http://schemas.microsoft.com/office/drawing/2014/main" id="{1FE8F15B-BF78-4A40-AA0A-D79F66512D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43</xdr:row>
      <xdr:rowOff>28575</xdr:rowOff>
    </xdr:to>
    <xdr:graphicFrame macro="">
      <xdr:nvGraphicFramePr>
        <xdr:cNvPr id="1593" name="Gráfico 13">
          <a:extLst>
            <a:ext uri="{FF2B5EF4-FFF2-40B4-BE49-F238E27FC236}">
              <a16:creationId xmlns:a16="http://schemas.microsoft.com/office/drawing/2014/main" id="{C29DCF90-53A0-4DFA-9B4C-C76C012EA6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257175</xdr:colOff>
      <xdr:row>27</xdr:row>
      <xdr:rowOff>76200</xdr:rowOff>
    </xdr:from>
    <xdr:to>
      <xdr:col>31</xdr:col>
      <xdr:colOff>695325</xdr:colOff>
      <xdr:row>52</xdr:row>
      <xdr:rowOff>0</xdr:rowOff>
    </xdr:to>
    <xdr:graphicFrame macro="">
      <xdr:nvGraphicFramePr>
        <xdr:cNvPr id="1594" name="Gráfico 88">
          <a:extLst>
            <a:ext uri="{FF2B5EF4-FFF2-40B4-BE49-F238E27FC236}">
              <a16:creationId xmlns:a16="http://schemas.microsoft.com/office/drawing/2014/main" id="{F3BAF80F-DC88-43D5-876D-001F15DF3C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AE107"/>
  <sheetViews>
    <sheetView tabSelected="1" topLeftCell="A63" zoomScale="85" zoomScaleNormal="85" workbookViewId="0">
      <selection activeCell="H74" sqref="H74"/>
    </sheetView>
  </sheetViews>
  <sheetFormatPr baseColWidth="10" defaultColWidth="11.453125" defaultRowHeight="13" x14ac:dyDescent="0.3"/>
  <cols>
    <col min="1" max="1" width="1" style="5" customWidth="1"/>
    <col min="2" max="2" width="0.6328125" style="5" customWidth="1"/>
    <col min="3" max="3" width="44.81640625" style="5" customWidth="1"/>
    <col min="4" max="4" width="20.26953125" style="5" customWidth="1"/>
    <col min="5" max="5" width="18.36328125" style="5" customWidth="1"/>
    <col min="6" max="6" width="15.54296875" style="5" customWidth="1"/>
    <col min="7" max="7" width="20.1796875" style="5" customWidth="1"/>
    <col min="8" max="8" width="16.54296875" style="5" customWidth="1"/>
    <col min="9" max="9" width="8.7265625" style="5" customWidth="1"/>
    <col min="10" max="10" width="4.54296875" style="5" customWidth="1"/>
    <col min="11" max="11" width="13.81640625" style="5" customWidth="1"/>
    <col min="12" max="12" width="2.453125" style="5" customWidth="1"/>
    <col min="13" max="14" width="14.26953125" style="5" customWidth="1"/>
    <col min="15" max="15" width="14.7265625" style="5" bestFit="1" customWidth="1"/>
    <col min="16" max="16" width="14.26953125" style="12" bestFit="1" customWidth="1"/>
    <col min="17" max="17" width="14.26953125" style="12" customWidth="1"/>
    <col min="18" max="18" width="14" style="5" bestFit="1" customWidth="1"/>
    <col min="19" max="19" width="11.54296875" style="5" bestFit="1" customWidth="1"/>
    <col min="20" max="20" width="13.81640625" style="5" bestFit="1" customWidth="1"/>
    <col min="21" max="21" width="11.453125" style="5"/>
    <col min="22" max="23" width="11.453125" style="12"/>
    <col min="24" max="16384" width="11.453125" style="5"/>
  </cols>
  <sheetData>
    <row r="1" spans="3:31" s="4" customFormat="1" ht="8.25" customHeight="1" thickBot="1" x14ac:dyDescent="0.35">
      <c r="C1" s="90"/>
      <c r="D1" s="91"/>
      <c r="E1" s="90"/>
      <c r="F1" s="92"/>
      <c r="G1" s="5"/>
      <c r="H1" s="5"/>
      <c r="I1" s="93"/>
      <c r="J1" s="93"/>
      <c r="K1" s="93"/>
      <c r="L1" s="93"/>
      <c r="M1" s="8"/>
      <c r="N1" s="13"/>
      <c r="O1" s="13"/>
      <c r="P1" s="2"/>
      <c r="Q1" s="2"/>
      <c r="R1" s="3"/>
      <c r="S1" s="2"/>
      <c r="T1" s="2"/>
      <c r="U1" s="2"/>
      <c r="V1" s="94"/>
      <c r="W1" s="94"/>
      <c r="X1" s="94"/>
      <c r="Y1" s="94"/>
      <c r="Z1" s="94"/>
      <c r="AA1" s="94"/>
      <c r="AB1" s="94"/>
      <c r="AC1" s="94"/>
      <c r="AD1" s="94"/>
    </row>
    <row r="2" spans="3:31" ht="24.75" customHeight="1" thickBot="1" x14ac:dyDescent="0.35">
      <c r="C2" s="326" t="s">
        <v>67</v>
      </c>
      <c r="D2" s="327"/>
      <c r="E2" s="327"/>
      <c r="F2" s="327"/>
      <c r="G2" s="328"/>
      <c r="H2" s="95"/>
      <c r="I2" s="96" t="s">
        <v>72</v>
      </c>
      <c r="J2" s="97">
        <v>0.95</v>
      </c>
      <c r="K2" s="95"/>
      <c r="L2" s="7"/>
      <c r="M2" s="8"/>
      <c r="N2" s="9"/>
      <c r="O2" s="9"/>
      <c r="P2" s="10"/>
      <c r="Q2" s="10"/>
      <c r="R2" s="11"/>
      <c r="S2" s="10"/>
      <c r="T2" s="10"/>
      <c r="U2" s="10"/>
      <c r="V2" s="10"/>
      <c r="W2" s="10"/>
      <c r="X2" s="10"/>
      <c r="Y2" s="12"/>
      <c r="Z2" s="12"/>
      <c r="AA2" s="12"/>
      <c r="AB2" s="12"/>
      <c r="AC2" s="12"/>
      <c r="AD2" s="12"/>
      <c r="AE2" s="12"/>
    </row>
    <row r="3" spans="3:31" ht="28.5" customHeight="1" x14ac:dyDescent="0.3">
      <c r="C3" s="329" t="s">
        <v>110</v>
      </c>
      <c r="D3" s="330"/>
      <c r="E3" s="330"/>
      <c r="F3" s="330"/>
      <c r="G3" s="331"/>
      <c r="H3" s="98"/>
      <c r="I3" s="98"/>
      <c r="J3" s="98"/>
      <c r="K3" s="98"/>
      <c r="L3" s="7"/>
      <c r="M3" s="8"/>
      <c r="N3" s="9"/>
      <c r="O3" s="9"/>
      <c r="P3" s="10"/>
      <c r="Q3" s="10"/>
      <c r="R3" s="11"/>
      <c r="S3" s="10"/>
      <c r="T3" s="10"/>
      <c r="U3" s="10"/>
      <c r="V3" s="10"/>
      <c r="W3" s="10"/>
      <c r="X3" s="10"/>
      <c r="Y3" s="12"/>
      <c r="Z3" s="12"/>
      <c r="AA3" s="12"/>
      <c r="AB3" s="12"/>
      <c r="AC3" s="12"/>
      <c r="AD3" s="12"/>
      <c r="AE3" s="12"/>
    </row>
    <row r="4" spans="3:31" ht="12.75" customHeight="1" x14ac:dyDescent="0.7">
      <c r="C4" s="75"/>
      <c r="D4" s="14"/>
      <c r="E4" s="13"/>
      <c r="F4" s="13"/>
      <c r="G4" s="6"/>
      <c r="H4" s="15"/>
      <c r="K4" s="98"/>
      <c r="L4" s="76"/>
      <c r="M4" s="16"/>
      <c r="P4" s="10"/>
      <c r="Q4" s="10"/>
      <c r="R4" s="17"/>
      <c r="S4" s="10"/>
      <c r="T4" s="10"/>
      <c r="U4" s="15"/>
      <c r="W4" s="18"/>
      <c r="X4" s="18"/>
      <c r="Y4" s="12"/>
      <c r="Z4" s="18"/>
      <c r="AA4" s="19"/>
      <c r="AB4" s="12"/>
      <c r="AC4" s="12"/>
      <c r="AD4" s="12"/>
      <c r="AE4" s="12"/>
    </row>
    <row r="5" spans="3:31" x14ac:dyDescent="0.3">
      <c r="C5" s="99" t="s">
        <v>60</v>
      </c>
      <c r="D5" s="100"/>
      <c r="E5" s="59" t="s">
        <v>20</v>
      </c>
      <c r="F5" s="59" t="s">
        <v>21</v>
      </c>
      <c r="G5" s="77"/>
      <c r="J5" s="101"/>
      <c r="K5" s="98"/>
      <c r="L5" s="101"/>
      <c r="M5" s="102"/>
      <c r="N5" s="102"/>
      <c r="O5" s="102"/>
      <c r="P5" s="10"/>
      <c r="Q5" s="10"/>
      <c r="R5" s="10"/>
      <c r="S5" s="10"/>
      <c r="T5" s="10"/>
      <c r="U5" s="15"/>
      <c r="W5" s="18"/>
      <c r="X5" s="18"/>
      <c r="Y5" s="12"/>
      <c r="Z5" s="18"/>
      <c r="AA5" s="19"/>
      <c r="AB5" s="12"/>
      <c r="AC5" s="12"/>
      <c r="AD5" s="12"/>
      <c r="AE5" s="12"/>
    </row>
    <row r="6" spans="3:31" x14ac:dyDescent="0.3">
      <c r="C6" s="79"/>
      <c r="D6" s="103"/>
      <c r="E6" s="291" t="s">
        <v>3</v>
      </c>
      <c r="F6" s="291" t="s">
        <v>2</v>
      </c>
      <c r="G6" s="292" t="s">
        <v>22</v>
      </c>
      <c r="J6" s="101"/>
      <c r="K6" s="98"/>
      <c r="L6" s="101"/>
      <c r="M6" s="102"/>
      <c r="N6" s="102"/>
      <c r="O6" s="102"/>
      <c r="P6" s="10"/>
      <c r="Q6" s="10"/>
      <c r="R6" s="10"/>
      <c r="S6" s="10"/>
      <c r="T6" s="10"/>
      <c r="U6" s="15"/>
      <c r="W6" s="18"/>
      <c r="X6" s="18"/>
      <c r="Y6" s="12"/>
      <c r="Z6" s="18"/>
      <c r="AA6" s="12"/>
      <c r="AB6" s="12"/>
      <c r="AC6" s="12"/>
      <c r="AD6" s="12"/>
      <c r="AE6" s="12"/>
    </row>
    <row r="7" spans="3:31" ht="12.75" customHeight="1" x14ac:dyDescent="0.3">
      <c r="C7" s="79"/>
      <c r="D7" s="289" t="s">
        <v>202</v>
      </c>
      <c r="E7" s="322">
        <v>2301</v>
      </c>
      <c r="F7" s="323">
        <f>G7-E7</f>
        <v>11483</v>
      </c>
      <c r="G7" s="324">
        <v>13784</v>
      </c>
      <c r="I7" s="274"/>
      <c r="K7" s="275"/>
      <c r="L7" s="101"/>
      <c r="M7" s="102"/>
      <c r="N7" s="102"/>
      <c r="O7" s="102"/>
      <c r="P7" s="10"/>
      <c r="Q7" s="10"/>
      <c r="R7" s="10"/>
      <c r="S7" s="10"/>
      <c r="T7" s="10"/>
      <c r="U7" s="15"/>
      <c r="W7" s="18"/>
      <c r="X7" s="18"/>
      <c r="Y7" s="12"/>
      <c r="Z7" s="18"/>
      <c r="AA7" s="12"/>
      <c r="AB7" s="12"/>
      <c r="AC7" s="12"/>
      <c r="AD7" s="12"/>
      <c r="AE7" s="12"/>
    </row>
    <row r="8" spans="3:31" ht="12.75" customHeight="1" x14ac:dyDescent="0.3">
      <c r="C8" s="79"/>
      <c r="D8" s="289" t="s">
        <v>203</v>
      </c>
      <c r="E8" s="322">
        <v>1184</v>
      </c>
      <c r="F8" s="323">
        <f>G8-E8</f>
        <v>12596</v>
      </c>
      <c r="G8" s="324">
        <v>13780</v>
      </c>
      <c r="I8" s="274"/>
      <c r="J8" s="101"/>
      <c r="K8" s="275"/>
      <c r="L8" s="101"/>
      <c r="M8" s="102"/>
      <c r="N8" s="104"/>
      <c r="O8" s="102"/>
      <c r="P8" s="10"/>
      <c r="Q8" s="10"/>
      <c r="R8" s="10"/>
      <c r="S8" s="10"/>
      <c r="T8" s="10"/>
      <c r="U8" s="15"/>
      <c r="W8" s="18"/>
      <c r="X8" s="18"/>
      <c r="Y8" s="12"/>
      <c r="Z8" s="18"/>
      <c r="AA8" s="12"/>
      <c r="AB8" s="12"/>
      <c r="AC8" s="12"/>
      <c r="AD8" s="12"/>
      <c r="AE8" s="12"/>
    </row>
    <row r="9" spans="3:31" x14ac:dyDescent="0.3">
      <c r="C9" s="79"/>
      <c r="D9" s="290" t="s">
        <v>22</v>
      </c>
      <c r="E9" s="105">
        <f>SUM(E7:E8)</f>
        <v>3485</v>
      </c>
      <c r="F9" s="106">
        <f>SUM(F7:F8)</f>
        <v>24079</v>
      </c>
      <c r="G9" s="107">
        <f>SUM(G7:G8)</f>
        <v>27564</v>
      </c>
      <c r="H9" s="101"/>
      <c r="I9" s="101"/>
      <c r="J9" s="101"/>
      <c r="K9" s="98"/>
      <c r="L9" s="101"/>
      <c r="M9" s="102"/>
      <c r="N9" s="104"/>
      <c r="O9" s="102"/>
      <c r="Q9" s="23"/>
      <c r="R9" s="24"/>
      <c r="S9" s="24"/>
      <c r="T9" s="24"/>
      <c r="U9" s="18"/>
      <c r="W9" s="18"/>
      <c r="X9" s="18"/>
      <c r="Y9" s="12"/>
      <c r="Z9" s="18"/>
      <c r="AA9" s="12"/>
      <c r="AB9" s="12"/>
      <c r="AC9" s="12"/>
      <c r="AD9" s="12"/>
      <c r="AE9" s="12"/>
    </row>
    <row r="10" spans="3:31" ht="12.75" hidden="1" customHeight="1" x14ac:dyDescent="0.3">
      <c r="C10" s="79"/>
      <c r="D10" s="25"/>
      <c r="E10" s="26"/>
      <c r="F10" s="22"/>
      <c r="G10" s="22"/>
      <c r="H10" s="102"/>
      <c r="I10" s="102"/>
      <c r="J10" s="101"/>
      <c r="K10" s="101"/>
      <c r="L10" s="101"/>
      <c r="M10" s="102"/>
      <c r="N10" s="104"/>
      <c r="O10" s="102"/>
      <c r="Q10" s="23"/>
      <c r="R10" s="24"/>
      <c r="S10" s="24"/>
      <c r="T10" s="24"/>
      <c r="U10" s="18"/>
      <c r="W10" s="18"/>
      <c r="X10" s="18"/>
      <c r="Y10" s="12"/>
      <c r="Z10" s="18"/>
      <c r="AA10" s="12"/>
      <c r="AB10" s="12"/>
      <c r="AC10" s="12"/>
      <c r="AD10" s="12"/>
      <c r="AE10" s="12"/>
    </row>
    <row r="11" spans="3:31" s="4" customFormat="1" ht="14.25" hidden="1" customHeight="1" x14ac:dyDescent="0.3">
      <c r="C11" s="108" t="s">
        <v>73</v>
      </c>
      <c r="D11" s="28"/>
      <c r="E11" s="29"/>
      <c r="F11" s="2"/>
      <c r="G11" s="21"/>
      <c r="H11" s="109"/>
      <c r="I11" s="104"/>
      <c r="J11" s="109"/>
      <c r="K11" s="104"/>
      <c r="L11" s="110"/>
      <c r="M11" s="110"/>
      <c r="N11" s="109"/>
      <c r="O11" s="110"/>
      <c r="Q11" s="2"/>
      <c r="R11" s="31"/>
      <c r="S11" s="31"/>
      <c r="T11" s="31"/>
      <c r="U11" s="2"/>
      <c r="V11" s="2"/>
      <c r="W11" s="2"/>
      <c r="X11" s="2"/>
    </row>
    <row r="12" spans="3:31" s="4" customFormat="1" ht="12.75" hidden="1" customHeight="1" x14ac:dyDescent="0.3">
      <c r="C12" s="79" t="s">
        <v>68</v>
      </c>
      <c r="D12" s="28"/>
      <c r="E12" s="29"/>
      <c r="F12" s="2"/>
      <c r="G12" s="21"/>
      <c r="H12" s="109"/>
      <c r="I12" s="104"/>
      <c r="J12" s="109"/>
      <c r="K12" s="104"/>
      <c r="L12" s="111"/>
      <c r="M12" s="110"/>
      <c r="N12" s="110"/>
      <c r="O12" s="110"/>
      <c r="Q12" s="2"/>
      <c r="R12" s="3"/>
      <c r="S12" s="3"/>
      <c r="T12" s="3"/>
      <c r="U12" s="2"/>
      <c r="V12" s="2"/>
      <c r="W12" s="2"/>
      <c r="X12" s="2"/>
    </row>
    <row r="13" spans="3:31" s="4" customFormat="1" ht="45" hidden="1" customHeight="1" x14ac:dyDescent="0.3">
      <c r="C13" s="82" t="s">
        <v>25</v>
      </c>
      <c r="D13" s="82" t="s">
        <v>69</v>
      </c>
      <c r="E13" s="82" t="s">
        <v>74</v>
      </c>
      <c r="F13" s="82" t="s">
        <v>70</v>
      </c>
      <c r="G13" s="82" t="s">
        <v>71</v>
      </c>
      <c r="H13" s="82" t="s">
        <v>4</v>
      </c>
      <c r="I13" s="82" t="s">
        <v>75</v>
      </c>
      <c r="J13" s="82" t="s">
        <v>76</v>
      </c>
      <c r="K13" s="104"/>
      <c r="L13" s="112" t="s">
        <v>43</v>
      </c>
      <c r="M13" s="113" t="s">
        <v>0</v>
      </c>
      <c r="N13" s="113" t="s">
        <v>1</v>
      </c>
      <c r="O13" s="110"/>
      <c r="Q13" s="2"/>
      <c r="R13" s="2"/>
      <c r="S13" s="2"/>
      <c r="T13" s="2"/>
      <c r="U13" s="2"/>
      <c r="V13" s="2"/>
      <c r="W13" s="2"/>
      <c r="X13" s="2"/>
    </row>
    <row r="14" spans="3:31" s="4" customFormat="1" ht="12.75" hidden="1" customHeight="1" x14ac:dyDescent="0.3">
      <c r="C14" s="83">
        <f>LN((E7/G7)/(E8/G8))</f>
        <v>0.66415504095129896</v>
      </c>
      <c r="D14" s="83">
        <f>SQRT((F7/(E7*G7)+(F8/(E8*G8))))</f>
        <v>3.3675977007830177E-2</v>
      </c>
      <c r="E14" s="114">
        <f>-NORMSINV((1-J2)/2)</f>
        <v>1.9599639845400536</v>
      </c>
      <c r="F14" s="84">
        <f>C14-(E14*D14)</f>
        <v>0.59815133887175287</v>
      </c>
      <c r="G14" s="85">
        <f>C14+(E14*D14)</f>
        <v>0.73015874303084505</v>
      </c>
      <c r="H14" s="115">
        <f>(E7/G7)/(E8/G8)</f>
        <v>1.9428482004203858</v>
      </c>
      <c r="I14" s="115">
        <f>EXP(F14)</f>
        <v>1.818753431864609</v>
      </c>
      <c r="J14" s="115">
        <f>EXP(G14)</f>
        <v>2.0754100384057574</v>
      </c>
      <c r="K14" s="104"/>
      <c r="L14" s="116">
        <f>1-H14</f>
        <v>-0.94284820042038575</v>
      </c>
      <c r="M14" s="115">
        <f>1-I14</f>
        <v>-0.81875343186460903</v>
      </c>
      <c r="N14" s="115">
        <f>1-J14</f>
        <v>-1.0754100384057574</v>
      </c>
      <c r="O14" s="117"/>
      <c r="Q14" s="2"/>
      <c r="R14" s="2"/>
      <c r="S14" s="2"/>
      <c r="T14" s="2"/>
      <c r="U14" s="2"/>
      <c r="V14" s="2"/>
      <c r="W14" s="2"/>
      <c r="X14" s="2"/>
    </row>
    <row r="15" spans="3:31" s="4" customFormat="1" ht="12.75" hidden="1" customHeight="1" x14ac:dyDescent="0.3">
      <c r="C15" s="118"/>
      <c r="D15" s="28"/>
      <c r="E15" s="28"/>
      <c r="F15" s="28"/>
      <c r="G15" s="32"/>
      <c r="H15" s="119"/>
      <c r="I15" s="104"/>
      <c r="J15" s="109"/>
      <c r="K15" s="104"/>
      <c r="L15" s="109"/>
      <c r="M15" s="109"/>
      <c r="N15" s="109"/>
      <c r="O15" s="110"/>
      <c r="Q15" s="2"/>
      <c r="R15" s="2"/>
      <c r="S15" s="2"/>
      <c r="T15" s="2"/>
      <c r="U15" s="2"/>
      <c r="V15" s="2"/>
      <c r="W15" s="2"/>
      <c r="X15" s="2"/>
    </row>
    <row r="16" spans="3:31" s="12" customFormat="1" ht="12.75" hidden="1" customHeight="1" x14ac:dyDescent="0.3">
      <c r="C16" s="78"/>
      <c r="D16" s="33"/>
      <c r="E16" s="34"/>
      <c r="F16" s="35"/>
      <c r="G16" s="36"/>
      <c r="H16" s="120"/>
      <c r="I16" s="121"/>
      <c r="J16" s="122"/>
      <c r="K16" s="122"/>
      <c r="L16" s="123"/>
      <c r="M16" s="123"/>
      <c r="N16" s="124"/>
      <c r="O16" s="124"/>
    </row>
    <row r="17" spans="3:31" ht="15.75" hidden="1" customHeight="1" x14ac:dyDescent="0.3">
      <c r="C17" s="39" t="s">
        <v>77</v>
      </c>
      <c r="D17" s="2"/>
      <c r="E17" s="125"/>
      <c r="F17" s="125"/>
      <c r="G17" s="13"/>
      <c r="H17" s="13"/>
      <c r="I17" s="126"/>
      <c r="J17" s="40"/>
      <c r="K17" s="127"/>
      <c r="L17" s="127"/>
      <c r="M17" s="4"/>
      <c r="N17" s="110"/>
      <c r="O17" s="104"/>
      <c r="P17" s="40"/>
      <c r="Q17" s="2"/>
      <c r="R17" s="2"/>
      <c r="S17" s="41"/>
      <c r="T17" s="40"/>
      <c r="U17" s="42"/>
      <c r="V17" s="42"/>
      <c r="W17" s="42"/>
      <c r="X17" s="12"/>
      <c r="Y17" s="12"/>
      <c r="Z17" s="12"/>
      <c r="AA17" s="12"/>
      <c r="AB17" s="12"/>
      <c r="AC17" s="12"/>
      <c r="AD17" s="12"/>
    </row>
    <row r="18" spans="3:31" ht="12.75" hidden="1" customHeight="1" x14ac:dyDescent="0.3">
      <c r="C18" s="43" t="s">
        <v>78</v>
      </c>
      <c r="D18" s="2"/>
      <c r="E18" s="40"/>
      <c r="F18" s="40"/>
      <c r="G18" s="2"/>
      <c r="H18" s="2"/>
      <c r="I18" s="41"/>
      <c r="J18" s="40"/>
      <c r="K18" s="42"/>
      <c r="L18" s="42"/>
      <c r="M18" s="42"/>
      <c r="N18" s="110"/>
      <c r="O18" s="104"/>
      <c r="P18" s="2"/>
      <c r="Q18" s="2"/>
      <c r="R18" s="41"/>
      <c r="S18" s="40"/>
      <c r="T18" s="42"/>
      <c r="U18" s="42"/>
      <c r="V18" s="42"/>
      <c r="X18" s="12" t="s">
        <v>27</v>
      </c>
      <c r="Y18" s="12"/>
      <c r="Z18" s="12"/>
      <c r="AA18" s="12"/>
      <c r="AB18" s="12"/>
      <c r="AC18" s="12"/>
    </row>
    <row r="19" spans="3:31" ht="25.5" hidden="1" customHeight="1" thickBot="1" x14ac:dyDescent="0.35">
      <c r="C19" s="128" t="s">
        <v>79</v>
      </c>
      <c r="D19" s="5" t="s">
        <v>9</v>
      </c>
      <c r="E19" s="4"/>
      <c r="F19" s="5" t="s">
        <v>80</v>
      </c>
      <c r="H19" s="5" t="s">
        <v>7</v>
      </c>
      <c r="J19" s="5" t="s">
        <v>8</v>
      </c>
      <c r="K19" s="42"/>
      <c r="L19" s="42"/>
      <c r="M19" s="42"/>
      <c r="N19" s="110"/>
      <c r="O19" s="123"/>
      <c r="Q19" s="5"/>
      <c r="U19" s="12"/>
      <c r="W19" s="5"/>
      <c r="X19" s="5" t="s">
        <v>28</v>
      </c>
      <c r="Z19" s="12"/>
      <c r="AA19" s="12"/>
      <c r="AB19" s="12"/>
      <c r="AC19" s="12"/>
      <c r="AD19" s="12"/>
      <c r="AE19" s="12"/>
    </row>
    <row r="20" spans="3:31" ht="38.25" hidden="1" customHeight="1" x14ac:dyDescent="0.4">
      <c r="C20" s="82" t="s">
        <v>81</v>
      </c>
      <c r="D20" s="82" t="s">
        <v>26</v>
      </c>
      <c r="E20" s="129" t="s">
        <v>10</v>
      </c>
      <c r="F20" s="129" t="s">
        <v>9</v>
      </c>
      <c r="G20" s="129" t="s">
        <v>82</v>
      </c>
      <c r="H20" s="129" t="s">
        <v>7</v>
      </c>
      <c r="I20" s="129" t="s">
        <v>8</v>
      </c>
      <c r="J20" s="130" t="s">
        <v>5</v>
      </c>
      <c r="K20" s="129" t="s">
        <v>83</v>
      </c>
      <c r="L20" s="129" t="s">
        <v>0</v>
      </c>
      <c r="M20" s="129" t="s">
        <v>1</v>
      </c>
      <c r="N20" s="131"/>
      <c r="O20" s="132"/>
      <c r="P20" s="133" t="s">
        <v>13</v>
      </c>
      <c r="Q20" s="134" t="s">
        <v>63</v>
      </c>
      <c r="R20" s="135"/>
      <c r="S20" s="136"/>
      <c r="T20" s="137"/>
      <c r="U20" s="137"/>
      <c r="V20" s="138"/>
      <c r="X20" s="139"/>
      <c r="Y20" s="133" t="s">
        <v>64</v>
      </c>
      <c r="Z20" s="134" t="s">
        <v>84</v>
      </c>
      <c r="AA20" s="86"/>
      <c r="AB20" s="86"/>
      <c r="AC20" s="86" t="s">
        <v>85</v>
      </c>
      <c r="AD20" s="86"/>
      <c r="AE20" s="77"/>
    </row>
    <row r="21" spans="3:31" ht="12.75" hidden="1" customHeight="1" x14ac:dyDescent="0.3">
      <c r="C21" s="140">
        <f>E7</f>
        <v>2301</v>
      </c>
      <c r="D21" s="141">
        <f>G7</f>
        <v>13784</v>
      </c>
      <c r="E21" s="142">
        <f>C21/D21</f>
        <v>0.16693267556587349</v>
      </c>
      <c r="F21" s="143">
        <f>2*C21+J21^2</f>
        <v>4605.8414588206942</v>
      </c>
      <c r="G21" s="143">
        <f>J21*SQRT((J21^2)+(4*C21*(1-E21)))</f>
        <v>171.66636461639615</v>
      </c>
      <c r="H21" s="144">
        <f>2*(D21+J21^2)</f>
        <v>27575.682917641388</v>
      </c>
      <c r="I21" s="145" t="s">
        <v>11</v>
      </c>
      <c r="J21" s="114">
        <f>-NORMSINV((1-J2)/2)</f>
        <v>1.9599639845400536</v>
      </c>
      <c r="K21" s="146">
        <f>E21</f>
        <v>0.16693267556587349</v>
      </c>
      <c r="L21" s="146">
        <f>(F21-G21)/H21</f>
        <v>0.1608001915110345</v>
      </c>
      <c r="M21" s="146">
        <f>(F21+G21)/H21</f>
        <v>0.17325075276306962</v>
      </c>
      <c r="N21" s="131"/>
      <c r="O21" s="147">
        <f>G9/2</f>
        <v>13782</v>
      </c>
      <c r="P21" s="20" t="s">
        <v>14</v>
      </c>
      <c r="Q21" s="2"/>
      <c r="R21" s="41"/>
      <c r="S21" s="40"/>
      <c r="T21" s="42"/>
      <c r="U21" s="42"/>
      <c r="V21" s="148"/>
      <c r="X21" s="149">
        <f>ABS(E21-E22)</f>
        <v>8.101105002160644E-2</v>
      </c>
      <c r="Y21" s="20" t="s">
        <v>86</v>
      </c>
      <c r="Z21" s="2"/>
      <c r="AA21" s="20"/>
      <c r="AB21" s="20"/>
      <c r="AC21" s="20" t="s">
        <v>87</v>
      </c>
      <c r="AD21" s="20"/>
      <c r="AE21" s="150"/>
    </row>
    <row r="22" spans="3:31" ht="14.25" hidden="1" customHeight="1" x14ac:dyDescent="0.4">
      <c r="C22" s="140">
        <f>E8</f>
        <v>1184</v>
      </c>
      <c r="D22" s="141">
        <f>G8</f>
        <v>13780</v>
      </c>
      <c r="E22" s="142">
        <f>C22/D22</f>
        <v>8.592162554426705E-2</v>
      </c>
      <c r="F22" s="143">
        <f>2*C22+J22^2</f>
        <v>2371.8414588206942</v>
      </c>
      <c r="G22" s="143">
        <f>J22*SQRT((J22^2)+(4*C22*(1-E22)))</f>
        <v>129.01442108149769</v>
      </c>
      <c r="H22" s="144">
        <f>2*(D22+J22^2)</f>
        <v>27567.682917641388</v>
      </c>
      <c r="I22" s="145" t="s">
        <v>11</v>
      </c>
      <c r="J22" s="114">
        <f>-NORMSINV((1-J2)/2)</f>
        <v>1.9599639845400536</v>
      </c>
      <c r="K22" s="146">
        <f>E22</f>
        <v>8.592162554426705E-2</v>
      </c>
      <c r="L22" s="146">
        <f>(F22-G22)/H22</f>
        <v>8.1357110949065073E-2</v>
      </c>
      <c r="M22" s="146">
        <f>(F22+G22)/H22</f>
        <v>9.0716941549767297E-2</v>
      </c>
      <c r="N22" s="131"/>
      <c r="O22" s="151">
        <f>K26</f>
        <v>-8.101105002160644E-2</v>
      </c>
      <c r="P22" s="20" t="s">
        <v>15</v>
      </c>
      <c r="Q22" s="20"/>
      <c r="R22" s="20"/>
      <c r="S22" s="20"/>
      <c r="T22" s="20"/>
      <c r="U22" s="20"/>
      <c r="V22" s="88"/>
      <c r="X22" s="152">
        <f>SQRT((E23*(1-E23)/D21)+(E23*(1-E23)/D22))</f>
        <v>4.003476217612211E-3</v>
      </c>
      <c r="Y22" s="43" t="s">
        <v>88</v>
      </c>
      <c r="Z22" s="20"/>
      <c r="AA22" s="20"/>
      <c r="AB22" s="20"/>
      <c r="AC22" s="20"/>
      <c r="AD22" s="20"/>
      <c r="AE22" s="150"/>
    </row>
    <row r="23" spans="3:31" ht="12.75" hidden="1" customHeight="1" x14ac:dyDescent="0.3">
      <c r="C23" s="140">
        <f>E9</f>
        <v>3485</v>
      </c>
      <c r="D23" s="141">
        <f>G9</f>
        <v>27564</v>
      </c>
      <c r="E23" s="142">
        <f>C23/D23</f>
        <v>0.12643302858801336</v>
      </c>
      <c r="F23" s="143">
        <f>2*C23+J23^2</f>
        <v>6973.8414588206942</v>
      </c>
      <c r="G23" s="143">
        <f>J23*SQRT((J23^2)+(4*C23*(1-E23)))</f>
        <v>216.3196990155312</v>
      </c>
      <c r="H23" s="144">
        <f>2*(D23+J23^2)</f>
        <v>55135.682917641388</v>
      </c>
      <c r="I23" s="145" t="s">
        <v>11</v>
      </c>
      <c r="J23" s="114">
        <f>-NORMSINV((1-J2)/2)</f>
        <v>1.9599639845400536</v>
      </c>
      <c r="K23" s="146">
        <f>E23</f>
        <v>0.12643302858801336</v>
      </c>
      <c r="L23" s="146">
        <f>(F23-G23)/H23</f>
        <v>0.12256167697966439</v>
      </c>
      <c r="M23" s="146">
        <f>(F23+G23)/H23</f>
        <v>0.13040849006217059</v>
      </c>
      <c r="N23" s="131"/>
      <c r="O23" s="153">
        <f>(C21+C22)/(D21+D22)</f>
        <v>0.12643302858801336</v>
      </c>
      <c r="P23" s="20" t="s">
        <v>6</v>
      </c>
      <c r="Q23" s="2"/>
      <c r="R23" s="41"/>
      <c r="S23" s="40"/>
      <c r="T23" s="42"/>
      <c r="U23" s="42"/>
      <c r="V23" s="150"/>
      <c r="X23" s="154">
        <f>X21/X22</f>
        <v>20.235177035702183</v>
      </c>
      <c r="Y23" s="20" t="s">
        <v>42</v>
      </c>
      <c r="Z23" s="2"/>
      <c r="AA23" s="20"/>
      <c r="AB23" s="20"/>
      <c r="AC23" s="20"/>
      <c r="AD23" s="20"/>
      <c r="AE23" s="150"/>
    </row>
    <row r="24" spans="3:31" ht="15" hidden="1" customHeight="1" x14ac:dyDescent="0.3">
      <c r="C24" s="79"/>
      <c r="D24" s="155" t="s">
        <v>12</v>
      </c>
      <c r="G24" s="37"/>
      <c r="H24" s="122"/>
      <c r="I24" s="122"/>
      <c r="J24" s="122"/>
      <c r="K24" s="122"/>
      <c r="L24" s="123"/>
      <c r="M24" s="102"/>
      <c r="N24" s="131"/>
      <c r="O24" s="156">
        <f>SQRT(O21*O22^2/(2*O23*(1-O23)))-J21</f>
        <v>18.275213264227325</v>
      </c>
      <c r="P24" s="20" t="s">
        <v>89</v>
      </c>
      <c r="Q24" s="20"/>
      <c r="R24" s="20"/>
      <c r="S24" s="20"/>
      <c r="T24" s="20"/>
      <c r="U24" s="4"/>
      <c r="V24" s="148"/>
      <c r="X24" s="157">
        <f>NORMSDIST(-X23)</f>
        <v>2.399499266727571E-91</v>
      </c>
      <c r="Y24" s="39" t="s">
        <v>90</v>
      </c>
      <c r="Z24" s="20"/>
      <c r="AA24" s="4"/>
      <c r="AB24" s="4"/>
      <c r="AC24" s="4"/>
      <c r="AD24" s="4"/>
      <c r="AE24" s="88"/>
    </row>
    <row r="25" spans="3:31" ht="13.5" hidden="1" customHeight="1" thickBot="1" x14ac:dyDescent="0.35">
      <c r="C25" s="79"/>
      <c r="D25" s="155" t="s">
        <v>91</v>
      </c>
      <c r="E25" s="27"/>
      <c r="F25" s="38"/>
      <c r="G25" s="37"/>
      <c r="H25" s="122"/>
      <c r="I25" s="102"/>
      <c r="J25" s="102"/>
      <c r="K25" s="158"/>
      <c r="L25" s="158"/>
      <c r="M25" s="158"/>
      <c r="N25" s="131"/>
      <c r="O25" s="159">
        <f>NORMSDIST(O24)</f>
        <v>1</v>
      </c>
      <c r="P25" s="39" t="s">
        <v>16</v>
      </c>
      <c r="Q25" s="44"/>
      <c r="R25" s="20"/>
      <c r="S25" s="20"/>
      <c r="T25" s="20"/>
      <c r="U25" s="20"/>
      <c r="V25" s="150"/>
      <c r="X25" s="160">
        <f>1-X24</f>
        <v>1</v>
      </c>
      <c r="Y25" s="45" t="s">
        <v>92</v>
      </c>
      <c r="Z25" s="44"/>
      <c r="AA25" s="4"/>
      <c r="AB25" s="4"/>
      <c r="AC25" s="4"/>
      <c r="AD25" s="4"/>
      <c r="AE25" s="88"/>
    </row>
    <row r="26" spans="3:31" ht="15" hidden="1" customHeight="1" thickBot="1" x14ac:dyDescent="0.4">
      <c r="G26" s="46"/>
      <c r="H26" s="102"/>
      <c r="I26" s="102"/>
      <c r="J26" s="96" t="s">
        <v>23</v>
      </c>
      <c r="K26" s="161">
        <f>E22-E21</f>
        <v>-8.101105002160644E-2</v>
      </c>
      <c r="L26" s="162">
        <f>K26+SQRT((E22-L22)^2+(M21-E21)^2)</f>
        <v>-7.3216635806314725E-2</v>
      </c>
      <c r="M26" s="163">
        <f>K26-SQRT((E21-L21)^2+(M22-E22)^2)</f>
        <v>-8.8795805398332248E-2</v>
      </c>
      <c r="N26" s="101"/>
      <c r="O26" s="164">
        <f>1-O25</f>
        <v>0</v>
      </c>
      <c r="P26" s="165" t="s">
        <v>93</v>
      </c>
      <c r="Q26" s="166"/>
      <c r="R26" s="167"/>
      <c r="S26" s="166"/>
      <c r="T26" s="166"/>
      <c r="U26" s="166"/>
      <c r="V26" s="168"/>
      <c r="X26" s="169"/>
      <c r="Y26" s="170"/>
      <c r="Z26" s="166"/>
      <c r="AA26" s="170"/>
      <c r="AB26" s="170"/>
      <c r="AC26" s="170"/>
      <c r="AD26" s="170"/>
      <c r="AE26" s="171"/>
    </row>
    <row r="27" spans="3:31" ht="13.5" hidden="1" customHeight="1" thickBot="1" x14ac:dyDescent="0.35">
      <c r="G27" s="47"/>
      <c r="H27" s="102"/>
      <c r="I27" s="102"/>
      <c r="J27" s="96" t="s">
        <v>24</v>
      </c>
      <c r="K27" s="172">
        <f>1/K26</f>
        <v>-12.343995044296923</v>
      </c>
      <c r="L27" s="173">
        <f>1/L26</f>
        <v>-13.658098176558843</v>
      </c>
      <c r="M27" s="174">
        <f>1/M26</f>
        <v>-11.261793229016446</v>
      </c>
      <c r="N27" s="101"/>
      <c r="O27" s="102"/>
      <c r="P27" s="5"/>
      <c r="Q27" s="5"/>
      <c r="V27" s="5"/>
      <c r="W27" s="5"/>
      <c r="X27" s="12"/>
      <c r="Y27" s="12"/>
      <c r="Z27" s="12"/>
      <c r="AA27" s="12"/>
      <c r="AB27" s="12"/>
      <c r="AC27" s="12"/>
      <c r="AD27" s="12"/>
    </row>
    <row r="28" spans="3:31" ht="14.25" hidden="1" customHeight="1" x14ac:dyDescent="0.4">
      <c r="H28" s="102"/>
      <c r="I28" s="102"/>
      <c r="L28" s="175"/>
      <c r="M28" s="175"/>
      <c r="N28" s="176"/>
      <c r="O28" s="132"/>
      <c r="P28" s="177"/>
      <c r="Q28" s="177" t="s">
        <v>88</v>
      </c>
      <c r="R28" s="178">
        <f>SQRT((E23*(1-E23)/D21)+(E23*(1-E23)/D22))</f>
        <v>4.003476217612211E-3</v>
      </c>
      <c r="S28" s="179"/>
      <c r="T28" s="179"/>
      <c r="U28" s="179"/>
      <c r="V28" s="77"/>
      <c r="W28" s="5"/>
    </row>
    <row r="29" spans="3:31" ht="31.5" hidden="1" customHeight="1" x14ac:dyDescent="0.35">
      <c r="G29" s="180"/>
      <c r="H29" s="181"/>
      <c r="I29" s="182" t="s">
        <v>53</v>
      </c>
      <c r="J29" s="183" t="s">
        <v>48</v>
      </c>
      <c r="K29" s="184">
        <f>K27</f>
        <v>-12.343995044296923</v>
      </c>
      <c r="L29" s="184">
        <f>L27</f>
        <v>-13.658098176558843</v>
      </c>
      <c r="M29" s="184">
        <f>M27</f>
        <v>-11.261793229016446</v>
      </c>
      <c r="N29" s="102"/>
      <c r="O29" s="185" t="s">
        <v>94</v>
      </c>
      <c r="P29" s="186"/>
      <c r="Q29" s="20" t="s">
        <v>95</v>
      </c>
      <c r="R29" s="20"/>
      <c r="S29" s="41"/>
      <c r="T29" s="187" t="s">
        <v>96</v>
      </c>
      <c r="U29" s="20"/>
      <c r="V29" s="150"/>
      <c r="W29" s="5"/>
    </row>
    <row r="30" spans="3:31" s="4" customFormat="1" ht="14.25" hidden="1" customHeight="1" x14ac:dyDescent="0.4">
      <c r="G30" s="49"/>
      <c r="H30" s="188"/>
      <c r="I30" s="189"/>
      <c r="J30" s="190" t="s">
        <v>55</v>
      </c>
      <c r="K30" s="191">
        <f>(1-E22)*K27</f>
        <v>-11.283378924380555</v>
      </c>
      <c r="L30" s="191">
        <f>(1-E22)*L27</f>
        <v>-12.484572179385717</v>
      </c>
      <c r="M30" s="191">
        <f>(1-E22)*M27</f>
        <v>-10.294161648235931</v>
      </c>
      <c r="N30" s="102"/>
      <c r="O30" s="192"/>
      <c r="P30" s="73" t="s">
        <v>97</v>
      </c>
      <c r="R30" s="193" t="s">
        <v>98</v>
      </c>
      <c r="S30" s="73" t="s">
        <v>99</v>
      </c>
      <c r="T30" s="20"/>
      <c r="U30" s="20"/>
      <c r="V30" s="88"/>
    </row>
    <row r="31" spans="3:31" s="4" customFormat="1" ht="14.25" hidden="1" customHeight="1" x14ac:dyDescent="0.4">
      <c r="G31" s="50"/>
      <c r="H31" s="194"/>
      <c r="I31" s="195"/>
      <c r="J31" s="196" t="s">
        <v>58</v>
      </c>
      <c r="K31" s="197">
        <f>K27*K26</f>
        <v>1</v>
      </c>
      <c r="L31" s="197">
        <f>L27*L26</f>
        <v>1</v>
      </c>
      <c r="M31" s="197">
        <f>M27*M26</f>
        <v>1</v>
      </c>
      <c r="N31" s="110"/>
      <c r="O31" s="156">
        <f>ABS((K26/R28))-J21</f>
        <v>18.27521305116213</v>
      </c>
      <c r="P31" s="73" t="s">
        <v>100</v>
      </c>
      <c r="Q31" s="20"/>
      <c r="R31" s="20"/>
      <c r="S31" s="40"/>
      <c r="T31" s="42"/>
      <c r="U31" s="42"/>
      <c r="V31" s="148"/>
    </row>
    <row r="32" spans="3:31" s="4" customFormat="1" ht="12.75" hidden="1" customHeight="1" x14ac:dyDescent="0.3">
      <c r="C32" s="198"/>
      <c r="D32" s="51"/>
      <c r="F32" s="30"/>
      <c r="H32" s="199"/>
      <c r="I32" s="200"/>
      <c r="J32" s="201" t="s">
        <v>59</v>
      </c>
      <c r="K32" s="202">
        <f>(E22-K26)*K27</f>
        <v>-2.0606161199163684</v>
      </c>
      <c r="L32" s="202">
        <f>(E22-L26)*L27</f>
        <v>-2.1735259971731256</v>
      </c>
      <c r="M32" s="202">
        <f>(E22-M26)*M27</f>
        <v>-1.9676315807805131</v>
      </c>
      <c r="N32" s="110"/>
      <c r="O32" s="159">
        <f>NORMSDIST(O31)</f>
        <v>1</v>
      </c>
      <c r="P32" s="43" t="s">
        <v>101</v>
      </c>
      <c r="Q32" s="44"/>
      <c r="R32" s="20"/>
      <c r="S32" s="20"/>
      <c r="T32" s="20"/>
      <c r="U32" s="20"/>
      <c r="V32" s="88"/>
    </row>
    <row r="33" spans="3:23" s="4" customFormat="1" ht="12.75" hidden="1" customHeight="1" x14ac:dyDescent="0.3">
      <c r="C33" s="198"/>
      <c r="H33" s="203"/>
      <c r="I33" s="204"/>
      <c r="J33" s="204"/>
      <c r="K33" s="205"/>
      <c r="L33" s="205"/>
      <c r="M33" s="205"/>
      <c r="N33" s="110"/>
      <c r="O33" s="164">
        <f>1-O32</f>
        <v>0</v>
      </c>
      <c r="P33" s="166" t="s">
        <v>102</v>
      </c>
      <c r="Q33" s="166"/>
      <c r="R33" s="167"/>
      <c r="S33" s="206"/>
      <c r="T33" s="207"/>
      <c r="U33" s="207"/>
      <c r="V33" s="168"/>
    </row>
    <row r="34" spans="3:23" s="4" customFormat="1" ht="31.5" hidden="1" customHeight="1" x14ac:dyDescent="0.3">
      <c r="C34" s="118"/>
      <c r="G34" s="29"/>
      <c r="H34" s="208"/>
      <c r="I34" s="182" t="s">
        <v>54</v>
      </c>
      <c r="J34" s="209" t="s">
        <v>103</v>
      </c>
      <c r="K34" s="210">
        <f>ABS(K27)</f>
        <v>12.343995044296923</v>
      </c>
      <c r="L34" s="210">
        <f>ABS(M27)</f>
        <v>11.261793229016446</v>
      </c>
      <c r="M34" s="210">
        <f>ABS(L27)</f>
        <v>13.658098176558843</v>
      </c>
      <c r="N34" s="110"/>
      <c r="O34" s="101"/>
      <c r="P34" s="20"/>
      <c r="Q34" s="20"/>
      <c r="R34" s="20"/>
      <c r="S34" s="20"/>
      <c r="T34" s="20"/>
      <c r="U34" s="20"/>
      <c r="V34" s="20"/>
      <c r="W34" s="20"/>
    </row>
    <row r="35" spans="3:23" s="4" customFormat="1" ht="13.5" hidden="1" customHeight="1" x14ac:dyDescent="0.3">
      <c r="C35" s="118"/>
      <c r="H35" s="188"/>
      <c r="I35" s="189"/>
      <c r="J35" s="190" t="s">
        <v>55</v>
      </c>
      <c r="K35" s="191">
        <f>ABS((1-(E22-K26))*K27)</f>
        <v>10.283378924380553</v>
      </c>
      <c r="L35" s="191">
        <f>ABS((1-(E22-M26))*M27)</f>
        <v>9.2941616482359333</v>
      </c>
      <c r="M35" s="191">
        <f>ABS((1-(E22-L26))*L27)</f>
        <v>11.484572179385717</v>
      </c>
      <c r="N35" s="110"/>
      <c r="O35" s="101"/>
      <c r="P35" s="20"/>
      <c r="Q35" s="20"/>
      <c r="R35" s="20"/>
      <c r="S35" s="20"/>
      <c r="T35" s="20"/>
      <c r="U35" s="20"/>
      <c r="V35" s="20"/>
      <c r="W35" s="20"/>
    </row>
    <row r="36" spans="3:23" s="4" customFormat="1" ht="12.75" hidden="1" customHeight="1" x14ac:dyDescent="0.3">
      <c r="C36" s="118"/>
      <c r="G36" s="56"/>
      <c r="H36" s="211"/>
      <c r="I36" s="212"/>
      <c r="J36" s="213" t="s">
        <v>56</v>
      </c>
      <c r="K36" s="214">
        <f>K27*K26</f>
        <v>1</v>
      </c>
      <c r="L36" s="214">
        <f>M27*M26</f>
        <v>1</v>
      </c>
      <c r="M36" s="214">
        <f>L27*L26</f>
        <v>1</v>
      </c>
      <c r="N36" s="110"/>
      <c r="O36" s="101"/>
      <c r="P36" s="20"/>
      <c r="Q36" s="20"/>
      <c r="R36" s="20"/>
      <c r="S36" s="20"/>
      <c r="T36" s="20"/>
      <c r="U36" s="20"/>
      <c r="V36" s="20"/>
      <c r="W36" s="20"/>
    </row>
    <row r="37" spans="3:23" ht="15.75" hidden="1" customHeight="1" x14ac:dyDescent="0.35">
      <c r="C37" s="215" t="s">
        <v>104</v>
      </c>
      <c r="D37" s="57"/>
      <c r="E37" s="57"/>
      <c r="F37" s="57"/>
      <c r="G37" s="52"/>
      <c r="H37" s="199"/>
      <c r="I37" s="200"/>
      <c r="J37" s="201" t="s">
        <v>57</v>
      </c>
      <c r="K37" s="202">
        <f>ABS(E22*K27)</f>
        <v>1.0606161199163684</v>
      </c>
      <c r="L37" s="202">
        <f>ABS(E22*M27)</f>
        <v>0.96763158078051315</v>
      </c>
      <c r="M37" s="202">
        <f>ABS(E22*L27)</f>
        <v>1.1735259971731256</v>
      </c>
      <c r="N37" s="102"/>
      <c r="O37" s="101"/>
      <c r="P37" s="20"/>
      <c r="Q37" s="20"/>
      <c r="R37" s="20"/>
      <c r="S37" s="20"/>
      <c r="T37" s="20"/>
      <c r="U37" s="20"/>
      <c r="V37" s="20"/>
      <c r="W37" s="20"/>
    </row>
    <row r="38" spans="3:23" s="12" customFormat="1" ht="12.75" hidden="1" customHeight="1" x14ac:dyDescent="0.3">
      <c r="C38" s="79"/>
      <c r="D38" s="58" t="s">
        <v>20</v>
      </c>
      <c r="E38" s="59" t="s">
        <v>21</v>
      </c>
      <c r="F38" s="20"/>
      <c r="G38" s="52"/>
      <c r="H38" s="216"/>
      <c r="I38" s="217"/>
      <c r="J38" s="218"/>
      <c r="K38" s="219"/>
      <c r="L38" s="219"/>
      <c r="M38" s="219"/>
      <c r="N38" s="123"/>
      <c r="O38" s="110"/>
      <c r="P38" s="4"/>
      <c r="Q38" s="4"/>
      <c r="R38" s="4"/>
      <c r="S38" s="4"/>
    </row>
    <row r="39" spans="3:23" ht="12.75" hidden="1" customHeight="1" x14ac:dyDescent="0.3">
      <c r="C39" s="220" t="s">
        <v>32</v>
      </c>
      <c r="D39" s="61" t="s">
        <v>3</v>
      </c>
      <c r="E39" s="62" t="s">
        <v>2</v>
      </c>
      <c r="F39" s="63" t="s">
        <v>22</v>
      </c>
      <c r="H39" s="102"/>
      <c r="I39" s="102"/>
      <c r="J39" s="102"/>
      <c r="K39" s="102"/>
      <c r="L39" s="102"/>
      <c r="M39" s="102"/>
      <c r="N39" s="102"/>
      <c r="O39" s="110"/>
      <c r="P39" s="4"/>
      <c r="Q39" s="4"/>
      <c r="R39" s="4"/>
      <c r="S39" s="4"/>
      <c r="V39" s="5"/>
      <c r="W39" s="5"/>
    </row>
    <row r="40" spans="3:23" ht="12.75" hidden="1" customHeight="1" x14ac:dyDescent="0.3">
      <c r="C40" s="221" t="s">
        <v>17</v>
      </c>
      <c r="D40" s="64">
        <f>G7*E9/G9</f>
        <v>1742.7528660571761</v>
      </c>
      <c r="E40" s="64">
        <f>G7*F9/G9</f>
        <v>12041.247133942825</v>
      </c>
      <c r="F40" s="64">
        <f>G7</f>
        <v>13784</v>
      </c>
      <c r="H40" s="222"/>
      <c r="I40" s="223" t="s">
        <v>30</v>
      </c>
      <c r="J40" s="224">
        <f>CHIINV(0.05,L41)</f>
        <v>3.8414588206941236</v>
      </c>
      <c r="K40" s="102"/>
      <c r="L40" s="102"/>
      <c r="M40" s="102"/>
      <c r="N40" s="102"/>
      <c r="O40" s="110"/>
      <c r="P40" s="53"/>
      <c r="Q40" s="53"/>
      <c r="R40" s="53"/>
      <c r="S40" s="4"/>
      <c r="V40" s="5"/>
      <c r="W40" s="5"/>
    </row>
    <row r="41" spans="3:23" ht="12.75" hidden="1" customHeight="1" x14ac:dyDescent="0.3">
      <c r="C41" s="225" t="s">
        <v>18</v>
      </c>
      <c r="D41" s="64">
        <f>G8*E9/G9</f>
        <v>1742.2471339428239</v>
      </c>
      <c r="E41" s="64">
        <f>G8*F9/G9</f>
        <v>12037.752866057175</v>
      </c>
      <c r="F41" s="64">
        <f>G8</f>
        <v>13780</v>
      </c>
      <c r="G41" s="12"/>
      <c r="H41" s="226"/>
      <c r="I41" s="226"/>
      <c r="J41" s="227"/>
      <c r="K41" s="228" t="s">
        <v>31</v>
      </c>
      <c r="L41" s="229">
        <f>(COUNT(D40:E40)-1)*(COUNT(D40:D41)-1)</f>
        <v>1</v>
      </c>
      <c r="M41" s="102"/>
      <c r="N41" s="102"/>
      <c r="O41" s="102"/>
      <c r="P41" s="53"/>
      <c r="Q41" s="53"/>
      <c r="R41" s="53"/>
      <c r="S41" s="4"/>
      <c r="V41" s="5"/>
      <c r="W41" s="5"/>
    </row>
    <row r="42" spans="3:23" ht="12.75" hidden="1" customHeight="1" x14ac:dyDescent="0.3">
      <c r="C42" s="230" t="s">
        <v>29</v>
      </c>
      <c r="D42" s="64">
        <f>SUM(D40:D41)</f>
        <v>3485</v>
      </c>
      <c r="E42" s="64">
        <f>SUM(E40:E41)</f>
        <v>24079</v>
      </c>
      <c r="F42" s="65">
        <f>SUM(F40:F41)</f>
        <v>27564</v>
      </c>
      <c r="G42" s="12"/>
      <c r="H42" s="123"/>
      <c r="I42" s="231" t="s">
        <v>33</v>
      </c>
      <c r="J42" s="74" t="s">
        <v>34</v>
      </c>
      <c r="K42" s="102"/>
      <c r="L42" s="102"/>
      <c r="M42" s="102"/>
      <c r="N42" s="102"/>
      <c r="O42" s="102"/>
      <c r="P42" s="53"/>
      <c r="Q42" s="54"/>
      <c r="R42" s="53"/>
      <c r="S42" s="4"/>
      <c r="V42" s="5"/>
      <c r="W42" s="5"/>
    </row>
    <row r="43" spans="3:23" ht="12.75" hidden="1" customHeight="1" x14ac:dyDescent="0.3">
      <c r="C43" s="230"/>
      <c r="D43" s="66"/>
      <c r="E43" s="66"/>
      <c r="F43" s="67"/>
      <c r="G43" s="12"/>
      <c r="H43" s="123"/>
      <c r="I43" s="231" t="s">
        <v>35</v>
      </c>
      <c r="J43" s="74" t="s">
        <v>36</v>
      </c>
      <c r="K43" s="102"/>
      <c r="L43" s="102"/>
      <c r="M43" s="102"/>
      <c r="N43" s="102"/>
      <c r="O43" s="102"/>
      <c r="P43" s="55"/>
      <c r="Q43" s="55"/>
      <c r="R43" s="55"/>
      <c r="S43" s="4"/>
      <c r="V43" s="5"/>
      <c r="W43" s="5"/>
    </row>
    <row r="44" spans="3:23" ht="26.25" hidden="1" customHeight="1" x14ac:dyDescent="0.3">
      <c r="C44" s="232"/>
      <c r="D44" s="332" t="s">
        <v>105</v>
      </c>
      <c r="E44" s="333"/>
      <c r="H44" s="102"/>
      <c r="I44" s="233"/>
      <c r="J44" s="102"/>
      <c r="K44" s="102"/>
      <c r="L44" s="102"/>
      <c r="M44" s="102"/>
      <c r="N44" s="102"/>
      <c r="O44" s="102"/>
      <c r="P44" s="5"/>
      <c r="Q44" s="5"/>
      <c r="V44" s="5"/>
      <c r="W44" s="5"/>
    </row>
    <row r="45" spans="3:23" ht="12.75" hidden="1" customHeight="1" x14ac:dyDescent="0.3">
      <c r="C45" s="232"/>
      <c r="D45" s="68">
        <f>(E7-D40)^2/D40</f>
        <v>178.82045620182208</v>
      </c>
      <c r="E45" s="68">
        <f>(F7-E40)^2/E40</f>
        <v>25.881028691530044</v>
      </c>
      <c r="G45" s="60"/>
      <c r="H45" s="234"/>
      <c r="I45" s="102"/>
      <c r="J45" s="102"/>
      <c r="K45" s="110"/>
      <c r="L45" s="110"/>
      <c r="M45" s="235"/>
      <c r="N45" s="102"/>
      <c r="O45" s="102"/>
      <c r="P45" s="5"/>
      <c r="Q45" s="5"/>
      <c r="V45" s="5"/>
      <c r="W45" s="5"/>
    </row>
    <row r="46" spans="3:23" ht="12.75" hidden="1" customHeight="1" x14ac:dyDescent="0.3">
      <c r="C46" s="232"/>
      <c r="D46" s="68">
        <f>(E8-D41)^2/D41</f>
        <v>178.87236344600262</v>
      </c>
      <c r="E46" s="68">
        <f>(F8-E41)^2/E41</f>
        <v>25.888541326854149</v>
      </c>
      <c r="F46" s="16"/>
      <c r="G46" s="69" t="s">
        <v>37</v>
      </c>
      <c r="H46" s="236">
        <f>D48-J40</f>
        <v>405.62093084551475</v>
      </c>
      <c r="I46" s="102"/>
      <c r="J46" s="102"/>
      <c r="K46" s="110"/>
      <c r="L46" s="110"/>
      <c r="M46" s="102"/>
      <c r="N46" s="102"/>
      <c r="O46" s="102"/>
      <c r="P46" s="5"/>
      <c r="Q46" s="5"/>
      <c r="V46" s="5"/>
      <c r="W46" s="5"/>
    </row>
    <row r="47" spans="3:23" ht="12.75" hidden="1" customHeight="1" thickBot="1" x14ac:dyDescent="0.35">
      <c r="C47" s="74" t="s">
        <v>39</v>
      </c>
      <c r="E47" s="70"/>
      <c r="H47" s="81" t="s">
        <v>40</v>
      </c>
      <c r="I47" s="102"/>
      <c r="J47" s="102"/>
      <c r="K47" s="110"/>
      <c r="L47" s="110"/>
      <c r="M47" s="102"/>
      <c r="N47" s="102"/>
      <c r="O47" s="102"/>
      <c r="P47" s="5"/>
      <c r="Q47" s="5"/>
      <c r="V47" s="5"/>
      <c r="W47" s="5"/>
    </row>
    <row r="48" spans="3:23" ht="13.5" hidden="1" customHeight="1" thickBot="1" x14ac:dyDescent="0.35">
      <c r="C48" s="89" t="s">
        <v>38</v>
      </c>
      <c r="D48" s="237">
        <f>SUM(D45:E46)</f>
        <v>409.46238966620888</v>
      </c>
      <c r="E48" s="20"/>
      <c r="H48" s="81" t="s">
        <v>41</v>
      </c>
      <c r="I48" s="102"/>
      <c r="J48" s="238"/>
      <c r="K48" s="110"/>
      <c r="L48" s="110"/>
      <c r="M48" s="239"/>
      <c r="N48" s="102"/>
      <c r="O48" s="102"/>
      <c r="P48" s="5"/>
      <c r="Q48" s="5"/>
      <c r="V48" s="5"/>
      <c r="W48" s="5"/>
    </row>
    <row r="49" spans="3:23" ht="12.75" hidden="1" customHeight="1" thickBot="1" x14ac:dyDescent="0.35">
      <c r="C49" s="240" t="s">
        <v>65</v>
      </c>
      <c r="D49" s="241">
        <f>CHIDIST(D48,1)</f>
        <v>4.7989985334554173E-91</v>
      </c>
      <c r="F49" s="20"/>
      <c r="G49" s="20"/>
      <c r="H49" s="101"/>
      <c r="I49" s="242"/>
      <c r="J49" s="101"/>
      <c r="K49" s="110"/>
      <c r="L49" s="110"/>
      <c r="M49" s="101"/>
      <c r="N49" s="102"/>
      <c r="O49" s="102"/>
      <c r="P49" s="5"/>
      <c r="Q49" s="5"/>
      <c r="V49" s="5"/>
      <c r="W49" s="5"/>
    </row>
    <row r="50" spans="3:23" s="4" customFormat="1" ht="12.75" hidden="1" customHeight="1" x14ac:dyDescent="0.3">
      <c r="C50" s="118"/>
      <c r="F50" s="71"/>
      <c r="G50" s="71"/>
      <c r="H50" s="110"/>
      <c r="I50" s="110"/>
      <c r="J50" s="243"/>
      <c r="K50" s="110"/>
      <c r="L50" s="110"/>
      <c r="M50" s="110"/>
      <c r="N50" s="110"/>
      <c r="O50" s="110"/>
    </row>
    <row r="51" spans="3:23" ht="13.5" hidden="1" customHeight="1" x14ac:dyDescent="0.3">
      <c r="C51" s="79"/>
      <c r="H51" s="102"/>
      <c r="I51" s="102"/>
      <c r="J51" s="102"/>
      <c r="K51" s="110"/>
      <c r="L51" s="110"/>
      <c r="M51" s="102"/>
      <c r="N51" s="102"/>
      <c r="O51" s="102"/>
      <c r="P51" s="5"/>
      <c r="Q51" s="5"/>
      <c r="V51" s="5"/>
      <c r="W51" s="5"/>
    </row>
    <row r="52" spans="3:23" ht="12.75" hidden="1" customHeight="1" thickBot="1" x14ac:dyDescent="0.35">
      <c r="C52" s="244" t="s">
        <v>106</v>
      </c>
      <c r="D52" s="87"/>
      <c r="E52" s="87"/>
      <c r="F52" s="87"/>
      <c r="G52" s="87"/>
      <c r="H52" s="87"/>
      <c r="I52" s="245"/>
      <c r="J52" s="102"/>
      <c r="K52" s="246" t="s">
        <v>107</v>
      </c>
      <c r="L52" s="247"/>
      <c r="M52" s="248"/>
      <c r="N52" s="248"/>
      <c r="O52" s="248"/>
      <c r="P52" s="77"/>
      <c r="Q52" s="5"/>
      <c r="V52" s="5"/>
      <c r="W52" s="5"/>
    </row>
    <row r="53" spans="3:23" ht="12.75" hidden="1" customHeight="1" thickBot="1" x14ac:dyDescent="0.35">
      <c r="C53" s="249">
        <f>J2*100</f>
        <v>95</v>
      </c>
      <c r="D53" s="52"/>
      <c r="E53" s="52"/>
      <c r="F53" s="4"/>
      <c r="G53" s="4"/>
      <c r="H53" s="4"/>
      <c r="I53" s="88"/>
      <c r="J53" s="102"/>
      <c r="K53" s="250"/>
      <c r="L53" s="110"/>
      <c r="M53" s="101"/>
      <c r="N53" s="101"/>
      <c r="O53" s="101"/>
      <c r="P53" s="150"/>
      <c r="Q53" s="5"/>
      <c r="V53" s="5"/>
      <c r="W53" s="5"/>
    </row>
    <row r="54" spans="3:23" ht="12.75" hidden="1" customHeight="1" x14ac:dyDescent="0.3">
      <c r="C54" s="251" t="s">
        <v>44</v>
      </c>
      <c r="D54" s="252"/>
      <c r="E54" s="252"/>
      <c r="F54" s="1">
        <f>ROUND(H14,2)</f>
        <v>1.94</v>
      </c>
      <c r="G54" s="48">
        <f>ROUND(K26,4)</f>
        <v>-8.1000000000000003E-2</v>
      </c>
      <c r="H54" s="253">
        <f>ROUND(K27,0)</f>
        <v>-12</v>
      </c>
      <c r="I54" s="254"/>
      <c r="J54" s="102"/>
      <c r="K54" s="255" t="s">
        <v>44</v>
      </c>
      <c r="L54" s="4"/>
      <c r="M54" s="4"/>
      <c r="N54" s="4"/>
      <c r="O54" s="101"/>
      <c r="P54" s="150"/>
      <c r="Q54" s="5"/>
      <c r="V54" s="5"/>
      <c r="W54" s="5"/>
    </row>
    <row r="55" spans="3:23" ht="12.75" hidden="1" customHeight="1" x14ac:dyDescent="0.3">
      <c r="C55" s="251" t="s">
        <v>46</v>
      </c>
      <c r="D55" s="20"/>
      <c r="E55" s="20"/>
      <c r="F55" s="1">
        <f>ROUND(I14,2)</f>
        <v>1.82</v>
      </c>
      <c r="G55" s="48">
        <f>ROUND(M26,4)</f>
        <v>-8.8800000000000004E-2</v>
      </c>
      <c r="H55" s="253">
        <f>ROUND(M27,0)</f>
        <v>-11</v>
      </c>
      <c r="I55" s="254"/>
      <c r="J55" s="102"/>
      <c r="K55" s="255" t="s">
        <v>46</v>
      </c>
      <c r="L55" s="256" t="str">
        <f>ROUND(K21,4)*100&amp;K57</f>
        <v>16,69%</v>
      </c>
      <c r="M55" s="256" t="str">
        <f>ROUND(L21,4)*100&amp;K57</f>
        <v>16,08%</v>
      </c>
      <c r="N55" s="256" t="str">
        <f>ROUND(M21,4)*100&amp;K57</f>
        <v>17,33%</v>
      </c>
      <c r="O55" s="80" t="str">
        <f>CONCATENATE(L55," ",K54,M55," ",K58," ",N55,K56)</f>
        <v>16,69% (16,08% a 17,33%)</v>
      </c>
      <c r="P55" s="150"/>
      <c r="Q55" s="5"/>
      <c r="V55" s="5"/>
      <c r="W55" s="5"/>
    </row>
    <row r="56" spans="3:23" s="12" customFormat="1" ht="12.75" hidden="1" customHeight="1" x14ac:dyDescent="0.3">
      <c r="C56" s="251" t="s">
        <v>45</v>
      </c>
      <c r="D56" s="252">
        <f>ROUND(E7,0)</f>
        <v>2301</v>
      </c>
      <c r="E56" s="252">
        <f>ROUND(E8,0)</f>
        <v>1184</v>
      </c>
      <c r="F56" s="1">
        <f>ROUND(J14,2)</f>
        <v>2.08</v>
      </c>
      <c r="G56" s="48">
        <f>ROUND(L26,4)</f>
        <v>-7.3200000000000001E-2</v>
      </c>
      <c r="H56" s="253">
        <f>ROUND(L27,0)</f>
        <v>-14</v>
      </c>
      <c r="I56" s="257">
        <f>ROUND(O32,4)</f>
        <v>1</v>
      </c>
      <c r="J56" s="123"/>
      <c r="K56" s="255" t="s">
        <v>45</v>
      </c>
      <c r="L56" s="72" t="str">
        <f>ROUND(K22,4)*100&amp;K57</f>
        <v>8,59%</v>
      </c>
      <c r="M56" s="72" t="str">
        <f>ROUND(L22,4)*100&amp;K57</f>
        <v>8,14%</v>
      </c>
      <c r="N56" s="72" t="str">
        <f>ROUND(M22,4)*100&amp;K57</f>
        <v>9,07%</v>
      </c>
      <c r="O56" s="80" t="str">
        <f>CONCATENATE(L56," ",K54,M56," ",K58," ",N56,K56)</f>
        <v>8,59% (8,14% a 9,07%)</v>
      </c>
      <c r="P56" s="88"/>
    </row>
    <row r="57" spans="3:23" ht="12.75" hidden="1" customHeight="1" x14ac:dyDescent="0.3">
      <c r="C57" s="251" t="s">
        <v>47</v>
      </c>
      <c r="D57" s="258" t="s">
        <v>61</v>
      </c>
      <c r="E57" s="258" t="s">
        <v>62</v>
      </c>
      <c r="F57" s="258" t="s">
        <v>4</v>
      </c>
      <c r="G57" s="258" t="s">
        <v>50</v>
      </c>
      <c r="H57" s="259" t="s">
        <v>48</v>
      </c>
      <c r="I57" s="222" t="s">
        <v>51</v>
      </c>
      <c r="J57" s="102"/>
      <c r="K57" s="255" t="s">
        <v>47</v>
      </c>
      <c r="L57" s="72" t="str">
        <f>ROUND(K23,4)*100&amp;K57</f>
        <v>12,64%</v>
      </c>
      <c r="M57" s="72" t="str">
        <f>ROUND(L23,4)*100&amp;K57</f>
        <v>12,26%</v>
      </c>
      <c r="N57" s="72" t="str">
        <f>ROUND(M23,4)*100&amp;K57</f>
        <v>13,04%</v>
      </c>
      <c r="O57" s="80" t="str">
        <f>CONCATENATE(L57," ",K54,M57," ",K58," ",N57,K56)</f>
        <v>12,64% (12,26% a 13,04%)</v>
      </c>
      <c r="P57" s="88"/>
    </row>
    <row r="58" spans="3:23" ht="12.75" hidden="1" customHeight="1" x14ac:dyDescent="0.3">
      <c r="C58" s="260" t="s">
        <v>19</v>
      </c>
      <c r="D58" s="261" t="str">
        <f>CONCATENATE(D56,C59,D21," ",C54,L55,C56)</f>
        <v>2301/13784 (16,69%)</v>
      </c>
      <c r="E58" s="96" t="str">
        <f>CONCATENATE(E56,C59,D22," ",C54,L56,C56)</f>
        <v>1184/13780 (8,59%)</v>
      </c>
      <c r="F58" s="261" t="str">
        <f>CONCATENATE(F54," ",C54,F55,C55,F56,C56)</f>
        <v>1,94 (1,82-2,08)</v>
      </c>
      <c r="G58" s="261" t="str">
        <f>CONCATENATE(G54*100,C57," ",C54,G55*100,C57," ",C58," ",G56*100,C57,C56)</f>
        <v>-8,1% (-8,88% a -7,32%)</v>
      </c>
      <c r="H58" s="222" t="str">
        <f>CONCATENATE(H54," ",C54,H56," ",C58," ",H55,C56)</f>
        <v>-12 (-14 a -11)</v>
      </c>
      <c r="I58" s="222" t="str">
        <f>CONCATENATE(I56*100,C57)</f>
        <v>100%</v>
      </c>
      <c r="J58" s="102"/>
      <c r="K58" s="262" t="s">
        <v>19</v>
      </c>
      <c r="L58" s="20"/>
      <c r="M58" s="20"/>
      <c r="N58" s="20"/>
      <c r="O58" s="101"/>
      <c r="P58" s="150"/>
      <c r="Q58" s="5"/>
      <c r="V58" s="5"/>
      <c r="W58" s="5"/>
    </row>
    <row r="59" spans="3:23" ht="13.5" hidden="1" customHeight="1" thickBot="1" x14ac:dyDescent="0.35">
      <c r="C59" s="263" t="s">
        <v>49</v>
      </c>
      <c r="D59" s="170"/>
      <c r="E59" s="170"/>
      <c r="F59" s="170"/>
      <c r="G59" s="170"/>
      <c r="H59" s="264"/>
      <c r="I59" s="265"/>
      <c r="J59" s="102"/>
      <c r="K59" s="266" t="s">
        <v>49</v>
      </c>
      <c r="L59" s="170"/>
      <c r="M59" s="170"/>
      <c r="N59" s="170"/>
      <c r="O59" s="267"/>
      <c r="P59" s="168"/>
      <c r="Q59" s="5"/>
      <c r="V59" s="5"/>
      <c r="W59" s="5"/>
    </row>
    <row r="60" spans="3:23" x14ac:dyDescent="0.3">
      <c r="C60" s="79"/>
      <c r="H60" s="102"/>
      <c r="I60" s="102"/>
      <c r="J60" s="102"/>
      <c r="K60" s="102"/>
      <c r="L60" s="102"/>
      <c r="M60" s="110"/>
      <c r="N60" s="102"/>
      <c r="O60" s="102"/>
      <c r="P60" s="5"/>
      <c r="Q60" s="5"/>
      <c r="V60" s="5"/>
      <c r="W60" s="5"/>
    </row>
    <row r="61" spans="3:23" ht="27" customHeight="1" x14ac:dyDescent="0.3">
      <c r="C61" s="79"/>
      <c r="D61" s="268" t="s">
        <v>61</v>
      </c>
      <c r="E61" s="268" t="s">
        <v>62</v>
      </c>
      <c r="F61" s="269" t="str">
        <f>CONCATENATE(F57," ",C54,I2," ",C53,C57,C56)</f>
        <v>RR (IC 95%)</v>
      </c>
      <c r="G61" s="269" t="str">
        <f>CONCATENATE(G57," ",C54,I2," ",C53,C57,C56)</f>
        <v>RAR (IC 95%)</v>
      </c>
      <c r="H61" s="269" t="str">
        <f>CONCATENATE(H57," ",C54,I2," ",C53,C57,C56)</f>
        <v>NNT (IC 95%)</v>
      </c>
      <c r="I61" s="269" t="s">
        <v>52</v>
      </c>
      <c r="J61" s="270"/>
      <c r="K61" s="269" t="s">
        <v>66</v>
      </c>
      <c r="M61" s="269" t="s">
        <v>108</v>
      </c>
      <c r="N61" s="269" t="s">
        <v>109</v>
      </c>
      <c r="P61" s="5"/>
      <c r="Q61" s="5"/>
      <c r="V61" s="5"/>
      <c r="W61" s="5"/>
    </row>
    <row r="62" spans="3:23" ht="21" customHeight="1" x14ac:dyDescent="0.3">
      <c r="C62" s="79"/>
      <c r="D62" s="96" t="str">
        <f t="shared" ref="D62:I62" si="0">D58</f>
        <v>2301/13784 (16,69%)</v>
      </c>
      <c r="E62" s="96" t="str">
        <f t="shared" si="0"/>
        <v>1184/13780 (8,59%)</v>
      </c>
      <c r="F62" s="96" t="str">
        <f t="shared" si="0"/>
        <v>1,94 (1,82-2,08)</v>
      </c>
      <c r="G62" s="96" t="str">
        <f t="shared" si="0"/>
        <v>-8,1% (-8,88% a -7,32%)</v>
      </c>
      <c r="H62" s="96" t="str">
        <f t="shared" si="0"/>
        <v>-12 (-14 a -11)</v>
      </c>
      <c r="I62" s="96" t="str">
        <f t="shared" si="0"/>
        <v>100%</v>
      </c>
      <c r="J62" s="271"/>
      <c r="K62" s="272">
        <f>D49</f>
        <v>4.7989985334554173E-91</v>
      </c>
      <c r="M62" s="273">
        <f>IF((L26*M26&lt;0),K23,K21)</f>
        <v>0.16693267556587349</v>
      </c>
      <c r="N62" s="273">
        <f>IF((L26*M26&lt;0),K23,K22)</f>
        <v>8.592162554426705E-2</v>
      </c>
      <c r="P62" s="5"/>
      <c r="Q62" s="5"/>
      <c r="V62" s="5"/>
      <c r="W62" s="5"/>
    </row>
    <row r="63" spans="3:23" x14ac:dyDescent="0.3">
      <c r="M63" s="4"/>
    </row>
    <row r="64" spans="3:23" x14ac:dyDescent="0.3">
      <c r="M64" s="4"/>
    </row>
    <row r="65" spans="3:6" x14ac:dyDescent="0.3">
      <c r="C65" s="325" t="s">
        <v>204</v>
      </c>
    </row>
    <row r="66" spans="3:6" x14ac:dyDescent="0.3">
      <c r="C66" s="287" t="s">
        <v>119</v>
      </c>
    </row>
    <row r="67" spans="3:6" ht="13.5" thickBot="1" x14ac:dyDescent="0.35"/>
    <row r="68" spans="3:6" ht="26.5" customHeight="1" thickBot="1" x14ac:dyDescent="0.35">
      <c r="C68" s="340" t="s">
        <v>207</v>
      </c>
      <c r="D68" s="341"/>
      <c r="E68" s="341"/>
      <c r="F68" s="342"/>
    </row>
    <row r="69" spans="3:6" ht="39.5" thickBot="1" x14ac:dyDescent="0.35">
      <c r="C69" s="276" t="s">
        <v>120</v>
      </c>
      <c r="D69" s="277" t="s">
        <v>200</v>
      </c>
      <c r="E69" s="278" t="s">
        <v>201</v>
      </c>
      <c r="F69" s="279" t="s">
        <v>111</v>
      </c>
    </row>
    <row r="70" spans="3:6" ht="13.5" thickBot="1" x14ac:dyDescent="0.35">
      <c r="C70" s="295"/>
      <c r="D70" s="296"/>
      <c r="E70" s="296"/>
      <c r="F70" s="296"/>
    </row>
    <row r="71" spans="3:6" ht="16" customHeight="1" x14ac:dyDescent="0.3">
      <c r="C71" s="282" t="s">
        <v>112</v>
      </c>
      <c r="D71" s="297" t="s">
        <v>121</v>
      </c>
      <c r="E71" s="297" t="s">
        <v>122</v>
      </c>
      <c r="F71" s="298">
        <v>1</v>
      </c>
    </row>
    <row r="72" spans="3:6" ht="16" customHeight="1" x14ac:dyDescent="0.3">
      <c r="C72" s="284" t="s">
        <v>115</v>
      </c>
      <c r="D72" s="299" t="s">
        <v>123</v>
      </c>
      <c r="E72" s="299" t="s">
        <v>124</v>
      </c>
      <c r="F72" s="300">
        <v>0.95516484407461022</v>
      </c>
    </row>
    <row r="73" spans="3:6" ht="16" customHeight="1" x14ac:dyDescent="0.3">
      <c r="C73" s="284" t="s">
        <v>125</v>
      </c>
      <c r="D73" s="299" t="s">
        <v>123</v>
      </c>
      <c r="E73" s="299" t="s">
        <v>124</v>
      </c>
      <c r="F73" s="300">
        <v>0.95516484407461022</v>
      </c>
    </row>
    <row r="74" spans="3:6" ht="16" customHeight="1" thickBot="1" x14ac:dyDescent="0.35">
      <c r="C74" s="286" t="s">
        <v>126</v>
      </c>
      <c r="D74" s="281" t="s">
        <v>127</v>
      </c>
      <c r="E74" s="301" t="s">
        <v>128</v>
      </c>
      <c r="F74" s="302">
        <v>1.6751309394299353E-2</v>
      </c>
    </row>
    <row r="75" spans="3:6" ht="16" customHeight="1" thickBot="1" x14ac:dyDescent="0.35">
      <c r="C75" s="295" t="s">
        <v>113</v>
      </c>
      <c r="D75" s="295"/>
      <c r="E75" s="295"/>
      <c r="F75" s="295"/>
    </row>
    <row r="76" spans="3:6" ht="16" customHeight="1" x14ac:dyDescent="0.3">
      <c r="C76" s="282" t="s">
        <v>118</v>
      </c>
      <c r="D76" s="297" t="s">
        <v>129</v>
      </c>
      <c r="E76" s="297" t="s">
        <v>130</v>
      </c>
      <c r="F76" s="298">
        <v>0.96981426952054639</v>
      </c>
    </row>
    <row r="77" spans="3:6" ht="16" customHeight="1" x14ac:dyDescent="0.3">
      <c r="C77" s="284" t="s">
        <v>114</v>
      </c>
      <c r="D77" s="299" t="s">
        <v>131</v>
      </c>
      <c r="E77" s="299" t="s">
        <v>132</v>
      </c>
      <c r="F77" s="300">
        <v>0.94517441780049638</v>
      </c>
    </row>
    <row r="78" spans="3:6" ht="16" customHeight="1" x14ac:dyDescent="0.3">
      <c r="C78" s="284" t="s">
        <v>133</v>
      </c>
      <c r="D78" s="299" t="s">
        <v>134</v>
      </c>
      <c r="E78" s="299" t="s">
        <v>135</v>
      </c>
      <c r="F78" s="300">
        <v>0.94714133375933696</v>
      </c>
    </row>
    <row r="79" spans="3:6" ht="16" customHeight="1" thickBot="1" x14ac:dyDescent="0.35">
      <c r="C79" s="303" t="s">
        <v>136</v>
      </c>
      <c r="D79" s="281" t="s">
        <v>137</v>
      </c>
      <c r="E79" s="281" t="s">
        <v>138</v>
      </c>
      <c r="F79" s="288">
        <v>0.99384177471673518</v>
      </c>
    </row>
    <row r="80" spans="3:6" ht="16" customHeight="1" thickBot="1" x14ac:dyDescent="0.35">
      <c r="C80" s="304" t="s">
        <v>205</v>
      </c>
      <c r="D80" s="304"/>
      <c r="E80" s="304"/>
      <c r="F80" s="304"/>
    </row>
    <row r="81" spans="3:6" ht="16" customHeight="1" x14ac:dyDescent="0.3">
      <c r="C81" s="282" t="s">
        <v>116</v>
      </c>
      <c r="D81" s="297" t="s">
        <v>139</v>
      </c>
      <c r="E81" s="297" t="s">
        <v>140</v>
      </c>
      <c r="F81" s="298">
        <v>0.32309574491925702</v>
      </c>
    </row>
    <row r="82" spans="3:6" ht="16" customHeight="1" x14ac:dyDescent="0.3">
      <c r="C82" s="305" t="s">
        <v>141</v>
      </c>
      <c r="D82" s="306" t="s">
        <v>142</v>
      </c>
      <c r="E82" s="306" t="s">
        <v>143</v>
      </c>
      <c r="F82" s="300"/>
    </row>
    <row r="83" spans="3:6" ht="16" customHeight="1" x14ac:dyDescent="0.3">
      <c r="C83" s="284" t="s">
        <v>144</v>
      </c>
      <c r="D83" s="299" t="s">
        <v>145</v>
      </c>
      <c r="E83" s="299" t="s">
        <v>146</v>
      </c>
      <c r="F83" s="300">
        <v>0.6018698470828</v>
      </c>
    </row>
    <row r="84" spans="3:6" ht="16" customHeight="1" x14ac:dyDescent="0.3">
      <c r="C84" s="305" t="s">
        <v>147</v>
      </c>
      <c r="D84" s="306" t="s">
        <v>148</v>
      </c>
      <c r="E84" s="306" t="s">
        <v>149</v>
      </c>
      <c r="F84" s="300"/>
    </row>
    <row r="85" spans="3:6" ht="16" customHeight="1" thickBot="1" x14ac:dyDescent="0.35">
      <c r="C85" s="303" t="s">
        <v>117</v>
      </c>
      <c r="D85" s="293" t="s">
        <v>150</v>
      </c>
      <c r="E85" s="293" t="s">
        <v>151</v>
      </c>
      <c r="F85" s="294">
        <v>0.19126827583092715</v>
      </c>
    </row>
    <row r="86" spans="3:6" ht="16" customHeight="1" thickBot="1" x14ac:dyDescent="0.35">
      <c r="C86" s="307" t="s">
        <v>152</v>
      </c>
      <c r="D86" s="307"/>
      <c r="E86" s="307"/>
      <c r="F86" s="307"/>
    </row>
    <row r="87" spans="3:6" ht="16" customHeight="1" x14ac:dyDescent="0.3">
      <c r="C87" s="282" t="s">
        <v>153</v>
      </c>
      <c r="D87" s="297" t="s">
        <v>154</v>
      </c>
      <c r="E87" s="297" t="s">
        <v>155</v>
      </c>
      <c r="F87" s="298">
        <v>0.97599218267943111</v>
      </c>
    </row>
    <row r="88" spans="3:6" ht="16" customHeight="1" x14ac:dyDescent="0.3">
      <c r="C88" s="308" t="s">
        <v>156</v>
      </c>
      <c r="D88" s="309" t="s">
        <v>157</v>
      </c>
      <c r="E88" s="309" t="s">
        <v>158</v>
      </c>
      <c r="F88" s="310">
        <v>0.74945241785100325</v>
      </c>
    </row>
    <row r="89" spans="3:6" ht="16" customHeight="1" thickBot="1" x14ac:dyDescent="0.35">
      <c r="C89" s="280" t="s">
        <v>159</v>
      </c>
      <c r="D89" s="281" t="s">
        <v>160</v>
      </c>
      <c r="E89" s="311" t="s">
        <v>161</v>
      </c>
      <c r="F89" s="312">
        <v>0.34794031077425264</v>
      </c>
    </row>
    <row r="90" spans="3:6" ht="16" customHeight="1" thickBot="1" x14ac:dyDescent="0.35">
      <c r="C90" s="295" t="s">
        <v>162</v>
      </c>
      <c r="D90" s="295"/>
      <c r="E90" s="295"/>
      <c r="F90" s="295"/>
    </row>
    <row r="91" spans="3:6" ht="16" customHeight="1" x14ac:dyDescent="0.3">
      <c r="C91" s="282" t="s">
        <v>163</v>
      </c>
      <c r="D91" s="313" t="s">
        <v>164</v>
      </c>
      <c r="E91" s="313" t="s">
        <v>165</v>
      </c>
      <c r="F91" s="298">
        <v>0.40160936584387696</v>
      </c>
    </row>
    <row r="92" spans="3:6" ht="16" customHeight="1" x14ac:dyDescent="0.3">
      <c r="C92" s="284" t="s">
        <v>166</v>
      </c>
      <c r="D92" s="314" t="s">
        <v>167</v>
      </c>
      <c r="E92" s="314" t="s">
        <v>168</v>
      </c>
      <c r="F92" s="300">
        <v>0.35125063619692359</v>
      </c>
    </row>
    <row r="93" spans="3:6" ht="16" customHeight="1" x14ac:dyDescent="0.3">
      <c r="C93" s="284" t="s">
        <v>169</v>
      </c>
      <c r="D93" s="314" t="s">
        <v>170</v>
      </c>
      <c r="E93" s="314" t="s">
        <v>171</v>
      </c>
      <c r="F93" s="300">
        <v>0.39947973153667155</v>
      </c>
    </row>
    <row r="94" spans="3:6" ht="16" customHeight="1" thickBot="1" x14ac:dyDescent="0.35">
      <c r="C94" s="280" t="s">
        <v>172</v>
      </c>
      <c r="D94" s="293" t="s">
        <v>173</v>
      </c>
      <c r="E94" s="293" t="s">
        <v>174</v>
      </c>
      <c r="F94" s="294">
        <v>0.74959772290042714</v>
      </c>
    </row>
    <row r="95" spans="3:6" ht="16" customHeight="1" thickBot="1" x14ac:dyDescent="0.35">
      <c r="C95" s="296" t="s">
        <v>175</v>
      </c>
      <c r="D95" s="296"/>
      <c r="E95" s="296"/>
      <c r="F95" s="296"/>
    </row>
    <row r="96" spans="3:6" ht="16" customHeight="1" x14ac:dyDescent="0.3">
      <c r="C96" s="315" t="s">
        <v>176</v>
      </c>
      <c r="D96" s="316" t="s">
        <v>177</v>
      </c>
      <c r="E96" s="283" t="s">
        <v>178</v>
      </c>
      <c r="F96" s="317">
        <v>1.1677015678508221E-3</v>
      </c>
    </row>
    <row r="97" spans="3:6" ht="16" customHeight="1" x14ac:dyDescent="0.3">
      <c r="C97" s="318" t="s">
        <v>179</v>
      </c>
      <c r="D97" s="299" t="s">
        <v>180</v>
      </c>
      <c r="E97" s="299" t="s">
        <v>181</v>
      </c>
      <c r="F97" s="300">
        <v>0.37517951768792329</v>
      </c>
    </row>
    <row r="98" spans="3:6" ht="16" customHeight="1" thickBot="1" x14ac:dyDescent="0.35">
      <c r="C98" s="319" t="s">
        <v>182</v>
      </c>
      <c r="D98" s="293" t="s">
        <v>183</v>
      </c>
      <c r="E98" s="293" t="s">
        <v>184</v>
      </c>
      <c r="F98" s="294">
        <v>0.3133578935115171</v>
      </c>
    </row>
    <row r="99" spans="3:6" ht="16" customHeight="1" thickBot="1" x14ac:dyDescent="0.35">
      <c r="C99" s="295" t="s">
        <v>185</v>
      </c>
      <c r="D99" s="295"/>
      <c r="E99" s="295"/>
      <c r="F99" s="295"/>
    </row>
    <row r="100" spans="3:6" ht="16" customHeight="1" x14ac:dyDescent="0.3">
      <c r="C100" s="282" t="s">
        <v>186</v>
      </c>
      <c r="D100" s="297" t="s">
        <v>187</v>
      </c>
      <c r="E100" s="297" t="s">
        <v>187</v>
      </c>
      <c r="F100" s="298"/>
    </row>
    <row r="101" spans="3:6" ht="16" customHeight="1" x14ac:dyDescent="0.3">
      <c r="C101" s="284" t="s">
        <v>188</v>
      </c>
      <c r="D101" s="299" t="s">
        <v>189</v>
      </c>
      <c r="E101" s="299" t="s">
        <v>190</v>
      </c>
      <c r="F101" s="300"/>
    </row>
    <row r="102" spans="3:6" ht="16" customHeight="1" x14ac:dyDescent="0.3">
      <c r="C102" s="284" t="s">
        <v>191</v>
      </c>
      <c r="D102" s="285" t="s">
        <v>192</v>
      </c>
      <c r="E102" s="285" t="s">
        <v>192</v>
      </c>
      <c r="F102" s="300"/>
    </row>
    <row r="103" spans="3:6" ht="16" customHeight="1" x14ac:dyDescent="0.3">
      <c r="C103" s="284" t="s">
        <v>193</v>
      </c>
      <c r="D103" s="299" t="s">
        <v>194</v>
      </c>
      <c r="E103" s="299" t="s">
        <v>195</v>
      </c>
      <c r="F103" s="300"/>
    </row>
    <row r="104" spans="3:6" ht="16" customHeight="1" thickBot="1" x14ac:dyDescent="0.35">
      <c r="C104" s="286" t="s">
        <v>196</v>
      </c>
      <c r="D104" s="281" t="s">
        <v>197</v>
      </c>
      <c r="E104" s="281" t="s">
        <v>198</v>
      </c>
      <c r="F104" s="320"/>
    </row>
    <row r="105" spans="3:6" ht="5.5" customHeight="1" x14ac:dyDescent="0.3">
      <c r="C105" s="321"/>
      <c r="D105" s="321"/>
      <c r="E105" s="321"/>
      <c r="F105" s="321"/>
    </row>
    <row r="106" spans="3:6" ht="56.5" customHeight="1" x14ac:dyDescent="0.3">
      <c r="C106" s="334" t="s">
        <v>206</v>
      </c>
      <c r="D106" s="335"/>
      <c r="E106" s="335"/>
      <c r="F106" s="336"/>
    </row>
    <row r="107" spans="3:6" ht="24" customHeight="1" x14ac:dyDescent="0.3">
      <c r="C107" s="337" t="s">
        <v>199</v>
      </c>
      <c r="D107" s="338"/>
      <c r="E107" s="338"/>
      <c r="F107" s="339"/>
    </row>
  </sheetData>
  <mergeCells count="6">
    <mergeCell ref="C2:G2"/>
    <mergeCell ref="C3:G3"/>
    <mergeCell ref="D44:E44"/>
    <mergeCell ref="C106:F106"/>
    <mergeCell ref="C107:F107"/>
    <mergeCell ref="C68:F68"/>
  </mergeCells>
  <phoneticPr fontId="2" type="noConversion"/>
  <pageMargins left="0.17" right="0.17" top="0.21" bottom="0.7" header="0" footer="0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Inc Acumul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gasanchez</dc:creator>
  <cp:lastModifiedBy>Galo Agustín Sánchez Robles</cp:lastModifiedBy>
  <cp:lastPrinted>2012-06-13T14:26:24Z</cp:lastPrinted>
  <dcterms:created xsi:type="dcterms:W3CDTF">2009-05-28T14:19:22Z</dcterms:created>
  <dcterms:modified xsi:type="dcterms:W3CDTF">2022-04-16T14:41:10Z</dcterms:modified>
</cp:coreProperties>
</file>