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oa\Desktop\20220518-EMpower Lung1\"/>
    </mc:Choice>
  </mc:AlternateContent>
  <xr:revisionPtr revIDLastSave="0" documentId="13_ncr:1_{5CC1866F-987F-4CC1-9505-B4394FDEB251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Baseline Prodige23" sheetId="1" r:id="rId1"/>
  </sheets>
  <definedNames>
    <definedName name="ArticleComments" localSheetId="0">'Baseline Prodige23'!#REF!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9" i="1"/>
  <c r="D9" i="1"/>
  <c r="E8" i="1"/>
  <c r="AC5" i="1" l="1"/>
  <c r="AD5" i="1" s="1"/>
  <c r="AE3" i="1"/>
  <c r="AD3" i="1" l="1"/>
  <c r="G14" i="1" l="1"/>
  <c r="B23" i="1" l="1"/>
  <c r="D54" i="1"/>
  <c r="B51" i="1"/>
  <c r="E39" i="1"/>
  <c r="E38" i="1"/>
  <c r="I23" i="1"/>
  <c r="I22" i="1"/>
  <c r="C22" i="1"/>
  <c r="B22" i="1"/>
  <c r="I21" i="1"/>
  <c r="C21" i="1"/>
  <c r="D14" i="1"/>
  <c r="C23" i="1"/>
  <c r="B14" i="1"/>
  <c r="E52" i="1"/>
  <c r="E9" i="1"/>
  <c r="B21" i="1"/>
  <c r="C54" i="1"/>
  <c r="G59" i="1" l="1"/>
  <c r="E59" i="1"/>
  <c r="F59" i="1"/>
  <c r="G21" i="1"/>
  <c r="E21" i="1"/>
  <c r="G23" i="1"/>
  <c r="E22" i="1"/>
  <c r="E23" i="1"/>
  <c r="G22" i="1"/>
  <c r="D21" i="1"/>
  <c r="J21" i="1" s="1"/>
  <c r="D38" i="1"/>
  <c r="C14" i="1"/>
  <c r="E14" i="1" s="1"/>
  <c r="H14" i="1" s="1"/>
  <c r="L14" i="1" s="1"/>
  <c r="K14" i="1"/>
  <c r="N21" i="1"/>
  <c r="E40" i="1"/>
  <c r="D22" i="1"/>
  <c r="F22" i="1" s="1"/>
  <c r="N23" i="1"/>
  <c r="D23" i="1"/>
  <c r="C39" i="1"/>
  <c r="C44" i="1" s="1"/>
  <c r="C38" i="1"/>
  <c r="K53" i="1" l="1"/>
  <c r="C56" i="1" s="1"/>
  <c r="C60" i="1" s="1"/>
  <c r="F21" i="1"/>
  <c r="L21" i="1" s="1"/>
  <c r="M53" i="1" s="1"/>
  <c r="D39" i="1"/>
  <c r="D44" i="1" s="1"/>
  <c r="F14" i="1"/>
  <c r="I14" i="1" s="1"/>
  <c r="E54" i="1" s="1"/>
  <c r="E53" i="1"/>
  <c r="W21" i="1"/>
  <c r="J26" i="1"/>
  <c r="N22" i="1" s="1"/>
  <c r="N24" i="1" s="1"/>
  <c r="N25" i="1" s="1"/>
  <c r="N26" i="1" s="1"/>
  <c r="J22" i="1"/>
  <c r="K54" i="1" s="1"/>
  <c r="K22" i="1"/>
  <c r="L54" i="1" s="1"/>
  <c r="L22" i="1"/>
  <c r="Q28" i="1"/>
  <c r="F23" i="1"/>
  <c r="W22" i="1"/>
  <c r="J23" i="1"/>
  <c r="K55" i="1" s="1"/>
  <c r="D43" i="1"/>
  <c r="C40" i="1"/>
  <c r="C43" i="1"/>
  <c r="K39" i="1"/>
  <c r="I38" i="1" s="1"/>
  <c r="D56" i="1" l="1"/>
  <c r="D60" i="1" s="1"/>
  <c r="E56" i="1"/>
  <c r="E60" i="1" s="1"/>
  <c r="K21" i="1"/>
  <c r="D40" i="1"/>
  <c r="W23" i="1"/>
  <c r="W24" i="1" s="1"/>
  <c r="W25" i="1" s="1"/>
  <c r="M14" i="1"/>
  <c r="N31" i="1"/>
  <c r="N32" i="1" s="1"/>
  <c r="H54" i="1" s="1"/>
  <c r="H56" i="1" s="1"/>
  <c r="H60" i="1" s="1"/>
  <c r="F52" i="1"/>
  <c r="J27" i="1"/>
  <c r="G52" i="1" s="1"/>
  <c r="K26" i="1"/>
  <c r="M54" i="1"/>
  <c r="C46" i="1"/>
  <c r="G44" i="1" s="1"/>
  <c r="K23" i="1"/>
  <c r="L55" i="1" s="1"/>
  <c r="L23" i="1"/>
  <c r="M55" i="1" s="1"/>
  <c r="L53" i="1" l="1"/>
  <c r="N53" i="1" s="1"/>
  <c r="N55" i="1"/>
  <c r="N54" i="1"/>
  <c r="L26" i="1"/>
  <c r="F53" i="1" s="1"/>
  <c r="N33" i="1"/>
  <c r="K27" i="1"/>
  <c r="G54" i="1" s="1"/>
  <c r="F54" i="1"/>
  <c r="C47" i="1"/>
  <c r="J60" i="1" s="1"/>
  <c r="F56" i="1" l="1"/>
  <c r="F60" i="1" s="1"/>
  <c r="L60" i="1"/>
  <c r="M60" i="1"/>
  <c r="L27" i="1"/>
  <c r="G53" i="1" s="1"/>
  <c r="G56" i="1" s="1"/>
  <c r="G60" i="1" l="1"/>
</calcChain>
</file>

<file path=xl/sharedStrings.xml><?xml version="1.0" encoding="utf-8"?>
<sst xmlns="http://schemas.openxmlformats.org/spreadsheetml/2006/main" count="194" uniqueCount="171">
  <si>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</si>
  <si>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</si>
  <si>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</si>
  <si>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</si>
  <si>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</si>
  <si>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</si>
  <si>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</si>
  <si>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</si>
  <si>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</si>
  <si>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</si>
  <si>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</si>
  <si>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</si>
  <si>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</si>
  <si>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</si>
  <si>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</si>
  <si>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</si>
  <si>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</si>
  <si>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</si>
  <si>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</si>
  <si>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</si>
  <si>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</si>
  <si>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</si>
  <si>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</si>
  <si>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</si>
  <si>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</si>
  <si>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</si>
  <si>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</si>
  <si>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</si>
  <si>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</si>
  <si>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</si>
  <si>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</si>
  <si>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</si>
  <si>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</si>
  <si>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</si>
  <si>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</si>
  <si>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</si>
  <si>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</si>
  <si>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</si>
  <si>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</si>
  <si>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</si>
  <si>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</si>
  <si>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</si>
  <si>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</si>
  <si>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</si>
  <si>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</si>
  <si>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</si>
  <si>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</si>
  <si>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</si>
  <si>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</si>
  <si>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</si>
  <si>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</si>
  <si>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</si>
  <si>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</si>
  <si>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</si>
  <si>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</si>
  <si>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</si>
  <si>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</si>
  <si>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</si>
  <si>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</si>
  <si>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</si>
  <si>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</si>
  <si>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</si>
  <si>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</si>
  <si>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</si>
  <si>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</si>
  <si>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</si>
  <si>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</si>
  <si>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</si>
  <si>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</si>
  <si>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</si>
  <si>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</si>
  <si>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</si>
  <si>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</si>
  <si>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</si>
  <si>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</si>
  <si>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</si>
  <si>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</si>
  <si>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</si>
  <si>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</si>
  <si>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</si>
  <si>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</si>
  <si>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</si>
  <si>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</si>
  <si>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</si>
  <si>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</si>
  <si>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</si>
  <si>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</si>
  <si>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</si>
  <si>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</si>
  <si>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</si>
  <si>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</si>
  <si>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</si>
  <si>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</si>
  <si>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</si>
  <si>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</si>
  <si>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</si>
  <si>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</si>
  <si>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</si>
  <si>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</si>
  <si>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</si>
  <si>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r>
      <t>Cálculo por incidencias acumuladas de RR, RAR, NNT con sus IC 95%, potencia estadística y valor de</t>
    </r>
    <r>
      <rPr>
        <b/>
        <i/>
        <sz val="12"/>
        <rFont val="Calibri"/>
        <family val="2"/>
        <scheme val="minor"/>
      </rPr>
      <t xml:space="preserve"> p</t>
    </r>
  </si>
  <si>
    <t>Muertos COVI Extª</t>
  </si>
  <si>
    <r>
      <t xml:space="preserve">Método de Katz: 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</si>
  <si>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9"/>
        <rFont val="Calibri"/>
        <family val="2"/>
      </rPr>
      <t>α/2</t>
    </r>
  </si>
  <si>
    <r>
      <t>Valor de</t>
    </r>
    <r>
      <rPr>
        <i/>
        <sz val="10"/>
        <color indexed="8"/>
        <rFont val="Calibri"/>
        <family val="2"/>
      </rPr>
      <t xml:space="preserve"> p</t>
    </r>
    <r>
      <rPr>
        <sz val="10"/>
        <color indexed="8"/>
        <rFont val="Calibri"/>
        <family val="2"/>
      </rPr>
      <t xml:space="preserve"> para la diferencia</t>
    </r>
  </si>
  <si>
    <t>Mujer</t>
  </si>
  <si>
    <t>Varón</t>
  </si>
  <si>
    <t>Años de edad; mediana [IQR]</t>
  </si>
  <si>
    <t>Sexo; nº (%)</t>
  </si>
  <si>
    <t>0</t>
  </si>
  <si>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 xml:space="preserve"> 65 años; nº (%)</t>
    </r>
  </si>
  <si>
    <t>Sezer A, Kilickap S, Gümüş M, on behalf of the EMPOWER-Lung 1 investigators. Cemiplimab monotherapy for first-line treatment of advanced non-small-cell lung cancer with PD-L1 of at least 50%: a multicentre, open-label, global, phase 3, randomised, controlled trial. Lancet. 2021 Feb 13;397(10274):592-604.</t>
  </si>
  <si>
    <r>
      <rPr>
        <b/>
        <sz val="12"/>
        <color indexed="60"/>
        <rFont val="Calibri"/>
        <family val="2"/>
      </rPr>
      <t>Suplemento 1:</t>
    </r>
    <r>
      <rPr>
        <b/>
        <sz val="12"/>
        <color indexed="8"/>
        <rFont val="Calibri"/>
        <family val="2"/>
      </rPr>
      <t xml:space="preserve"> Características sociodemográficas y clínicas en el inicio de pacientes con Cáncer de pulmón no microcítico y expresión PD-L1 &gt; 50% (ECA Empower Lung-1)</t>
    </r>
    <r>
      <rPr>
        <b/>
        <sz val="12"/>
        <color theme="1"/>
        <rFont val="Calibri"/>
        <family val="2"/>
      </rPr>
      <t>.</t>
    </r>
  </si>
  <si>
    <t>Las variables dicotómicas se informan en Número y Porcentaje; nº (%). Las variables continuas en Media y Desviación Estándar, media (DE), salvo que se informen en Mediana y Rango; mediana [rango], o Mediana y Rango Intercuatílico; mediana [IQR].</t>
  </si>
  <si>
    <t>Cemiplimab; n= 283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</si>
  <si>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estatus ECOG:</t>
    </r>
    <r>
      <rPr>
        <sz val="10"/>
        <rFont val="Calibri"/>
        <family val="2"/>
      </rPr>
      <t xml:space="preserve"> puntuación de mejor (0) a peor (5) la escala funcional del Eastern Cooperative Oncology Group (Grupo de Oncología Cooperativo del Este, de EE.UU);  </t>
    </r>
    <r>
      <rPr>
        <b/>
        <sz val="10"/>
        <rFont val="Calibri"/>
        <family val="2"/>
      </rPr>
      <t xml:space="preserve">IQR: </t>
    </r>
    <r>
      <rPr>
        <sz val="10"/>
        <rFont val="Calibri"/>
        <family val="2"/>
      </rPr>
      <t xml:space="preserve">rango intercuartílico, valor de la variable que tiene el participante situado en el percentil 25 y el situado en el percentil 75; </t>
    </r>
    <r>
      <rPr>
        <b/>
        <sz val="10"/>
        <rFont val="Calibri"/>
        <family val="2"/>
      </rPr>
      <t>QMTpt:</t>
    </r>
    <r>
      <rPr>
        <sz val="10"/>
        <rFont val="Calibri"/>
        <family val="2"/>
      </rPr>
      <t xml:space="preserve"> quimioterapia más cis o carboplatino.</t>
    </r>
  </si>
  <si>
    <t>QMTpt; n= 280</t>
  </si>
  <si>
    <t>Cemiplimab</t>
  </si>
  <si>
    <t>QMTpt</t>
  </si>
  <si>
    <t>63 [IQR, 58 a 68]</t>
  </si>
  <si>
    <t>64 [IQR, 58 a 70]</t>
  </si>
  <si>
    <t>5/126 (4%)</t>
  </si>
  <si>
    <t>5/133 (3,8%)</t>
  </si>
  <si>
    <t>248/283 (87,6%)</t>
  </si>
  <si>
    <t>231/280 (82,5%)</t>
  </si>
  <si>
    <t>Región</t>
  </si>
  <si>
    <t>Asia</t>
  </si>
  <si>
    <t>Resto del mundo</t>
  </si>
  <si>
    <t>Europa</t>
  </si>
  <si>
    <t>215/283 (76%)</t>
  </si>
  <si>
    <t>216/280 (77,1%)</t>
  </si>
  <si>
    <t>31/283 (11%)</t>
  </si>
  <si>
    <t>29/280 (10,4%)</t>
  </si>
  <si>
    <t>37/283 (13,1%)</t>
  </si>
  <si>
    <t>35/280 (12,5%)</t>
  </si>
  <si>
    <t>Estatus de rendimiento funcional en la escala ECOG; nº (%)</t>
  </si>
  <si>
    <t>77/283 (27,2%)</t>
  </si>
  <si>
    <t>75/280 (26,8%)</t>
  </si>
  <si>
    <t>206/283 (72,8%)</t>
  </si>
  <si>
    <t>205/280 (73,2%)</t>
  </si>
  <si>
    <t>Estatus de fumador</t>
  </si>
  <si>
    <t>Nunca</t>
  </si>
  <si>
    <t>Actualmente</t>
  </si>
  <si>
    <t>Previamente</t>
  </si>
  <si>
    <t>105/283 (37,1%)</t>
  </si>
  <si>
    <t>92/280 (32,9%)</t>
  </si>
  <si>
    <t>178/283 (62,9%)</t>
  </si>
  <si>
    <t>188/280 (67,1%)</t>
  </si>
  <si>
    <t>Tipo histológico en el diagnóstico</t>
  </si>
  <si>
    <t>No escamoso</t>
  </si>
  <si>
    <t>Escamoso</t>
  </si>
  <si>
    <t>122/283 (43,1%)</t>
  </si>
  <si>
    <t>121/280 (43,2%)</t>
  </si>
  <si>
    <t>161/283 (56,9%)</t>
  </si>
  <si>
    <t>159/280 (56,8%)</t>
  </si>
  <si>
    <t>Metástasis en cerebro; nº (%)</t>
  </si>
  <si>
    <t>34/283 (12%)</t>
  </si>
  <si>
    <t>34/280 (12,1%)</t>
  </si>
  <si>
    <t>Estadio del cáncer en el screening RMN; nº (%)</t>
  </si>
  <si>
    <t>Localmente avanzado</t>
  </si>
  <si>
    <t>Metastásico</t>
  </si>
  <si>
    <t>45/283 (15,9%)</t>
  </si>
  <si>
    <t>42/280 (15%)</t>
  </si>
  <si>
    <t>238/283 (84,1%)</t>
  </si>
  <si>
    <t>238/280 (85%)</t>
  </si>
  <si>
    <t>Terapia adyuvante sistémica previa; nº (%)</t>
  </si>
  <si>
    <t>5/283 (1,8%)</t>
  </si>
  <si>
    <t>12/280 (4,3%)</t>
  </si>
  <si>
    <t>20210213-ECA EMp-L1 m30, CPNMav PDL1 +50 1L[Cemi vs QMTpt],+OS PFS. Sezer</t>
  </si>
  <si>
    <t>35/283 (12,4%)</t>
  </si>
  <si>
    <t>49/280 (17,5%)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</si>
</sst>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  <numFmt numFmtId="178" formatCode="0.000%"/>
    <numFmt numFmtId="179" formatCode="0.0000%"/>
    <numFmt numFmtId="180" formatCode="0.00000%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Calibri"/>
      <family val="2"/>
    </font>
    <font>
      <sz val="9"/>
      <color theme="1"/>
      <name val="Calibri"/>
      <family val="2"/>
      <scheme val="minor"/>
    </font>
    <font>
      <b/>
      <vertAlign val="subscript"/>
      <sz val="9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0">
    <xf numFmtId="0" fontId="0" fillId="0" borderId="0" xfId="0"/>
    <xf numFmtId="2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/>
    <xf numFmtId="10" fontId="11" fillId="0" borderId="0" xfId="2" applyNumberFormat="1" applyFont="1" applyBorder="1" applyAlignment="1">
      <alignment horizontal="center"/>
    </xf>
    <xf numFmtId="10" fontId="12" fillId="0" borderId="0" xfId="2" applyNumberFormat="1" applyFont="1" applyBorder="1" applyAlignment="1">
      <alignment horizontal="center"/>
    </xf>
    <xf numFmtId="0" fontId="13" fillId="0" borderId="0" xfId="0" applyFont="1" applyFill="1" applyBorder="1" applyAlignment="1">
      <alignment vertical="distributed"/>
    </xf>
    <xf numFmtId="0" fontId="11" fillId="0" borderId="0" xfId="0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Border="1" applyAlignment="1">
      <alignment horizontal="center"/>
    </xf>
    <xf numFmtId="164" fontId="11" fillId="0" borderId="0" xfId="1" applyFont="1" applyFill="1" applyAlignment="1">
      <alignment horizontal="center"/>
    </xf>
    <xf numFmtId="164" fontId="14" fillId="0" borderId="0" xfId="1" applyFont="1" applyFill="1" applyBorder="1" applyAlignment="1">
      <alignment horizontal="center"/>
    </xf>
    <xf numFmtId="164" fontId="11" fillId="0" borderId="0" xfId="1" applyFont="1" applyFill="1"/>
    <xf numFmtId="0" fontId="15" fillId="0" borderId="0" xfId="0" applyFont="1" applyFill="1"/>
    <xf numFmtId="0" fontId="11" fillId="0" borderId="0" xfId="0" applyFont="1" applyBorder="1"/>
    <xf numFmtId="164" fontId="11" fillId="0" borderId="0" xfId="1" applyFont="1" applyFill="1" applyBorder="1"/>
    <xf numFmtId="0" fontId="11" fillId="0" borderId="0" xfId="0" applyFont="1" applyBorder="1" applyAlignment="1">
      <alignment horizontal="right"/>
    </xf>
    <xf numFmtId="10" fontId="11" fillId="0" borderId="0" xfId="2" applyNumberFormat="1" applyFont="1" applyFill="1"/>
    <xf numFmtId="10" fontId="11" fillId="0" borderId="0" xfId="0" applyNumberFormat="1" applyFont="1" applyFill="1"/>
    <xf numFmtId="0" fontId="18" fillId="0" borderId="0" xfId="0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11" fillId="0" borderId="0" xfId="0" applyNumberFormat="1" applyFont="1" applyFill="1" applyBorder="1"/>
    <xf numFmtId="10" fontId="11" fillId="0" borderId="0" xfId="2" applyNumberFormat="1" applyFont="1" applyFill="1" applyBorder="1" applyAlignment="1">
      <alignment horizontal="center"/>
    </xf>
    <xf numFmtId="164" fontId="17" fillId="0" borderId="0" xfId="1" applyFont="1" applyFill="1" applyBorder="1"/>
    <xf numFmtId="0" fontId="16" fillId="0" borderId="0" xfId="0" applyFont="1" applyFill="1" applyAlignment="1">
      <alignment horizontal="center"/>
    </xf>
    <xf numFmtId="164" fontId="17" fillId="0" borderId="0" xfId="1" applyFont="1" applyFill="1" applyAlignment="1">
      <alignment horizontal="right"/>
    </xf>
    <xf numFmtId="0" fontId="17" fillId="0" borderId="0" xfId="0" applyFont="1" applyFill="1" applyBorder="1"/>
    <xf numFmtId="164" fontId="11" fillId="0" borderId="0" xfId="0" applyNumberFormat="1" applyFont="1" applyFill="1"/>
    <xf numFmtId="172" fontId="11" fillId="0" borderId="0" xfId="0" applyNumberFormat="1" applyFont="1" applyFill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left"/>
    </xf>
    <xf numFmtId="164" fontId="11" fillId="0" borderId="0" xfId="1" applyFont="1" applyFill="1" applyBorder="1" applyAlignment="1">
      <alignment horizontal="center"/>
    </xf>
    <xf numFmtId="170" fontId="11" fillId="0" borderId="0" xfId="1" applyNumberFormat="1" applyFont="1" applyFill="1" applyBorder="1" applyAlignment="1">
      <alignment horizontal="center"/>
    </xf>
    <xf numFmtId="164" fontId="16" fillId="0" borderId="0" xfId="1" applyFont="1" applyFill="1" applyBorder="1" applyAlignment="1"/>
    <xf numFmtId="0" fontId="11" fillId="0" borderId="0" xfId="0" applyFont="1" applyFill="1" applyBorder="1" applyAlignment="1">
      <alignment horizontal="left"/>
    </xf>
    <xf numFmtId="170" fontId="11" fillId="0" borderId="0" xfId="0" applyNumberFormat="1" applyFont="1" applyBorder="1"/>
    <xf numFmtId="0" fontId="22" fillId="0" borderId="0" xfId="0" applyFont="1" applyBorder="1"/>
    <xf numFmtId="49" fontId="23" fillId="0" borderId="0" xfId="0" applyNumberFormat="1" applyFont="1"/>
    <xf numFmtId="10" fontId="11" fillId="0" borderId="0" xfId="0" applyNumberFormat="1" applyFont="1"/>
    <xf numFmtId="10" fontId="11" fillId="0" borderId="0" xfId="0" applyNumberFormat="1" applyFont="1" applyFill="1" applyBorder="1"/>
    <xf numFmtId="166" fontId="11" fillId="0" borderId="0" xfId="0" applyNumberFormat="1" applyFont="1" applyFill="1" applyBorder="1"/>
    <xf numFmtId="49" fontId="11" fillId="0" borderId="0" xfId="0" applyNumberFormat="1" applyFont="1" applyFill="1" applyBorder="1"/>
    <xf numFmtId="165" fontId="16" fillId="0" borderId="0" xfId="0" applyNumberFormat="1" applyFont="1" applyFill="1" applyBorder="1"/>
    <xf numFmtId="165" fontId="16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/>
    <xf numFmtId="0" fontId="25" fillId="0" borderId="0" xfId="0" applyFont="1" applyFill="1" applyBorder="1"/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0" xfId="0" applyFont="1" applyAlignment="1">
      <alignment horizontal="right"/>
    </xf>
    <xf numFmtId="165" fontId="12" fillId="0" borderId="0" xfId="1" applyNumberFormat="1" applyFont="1" applyFill="1" applyBorder="1"/>
    <xf numFmtId="165" fontId="13" fillId="0" borderId="0" xfId="1" applyNumberFormat="1" applyFont="1" applyFill="1" applyBorder="1"/>
    <xf numFmtId="164" fontId="26" fillId="0" borderId="2" xfId="1" applyFont="1" applyBorder="1"/>
    <xf numFmtId="164" fontId="11" fillId="0" borderId="0" xfId="1" applyFont="1" applyBorder="1"/>
    <xf numFmtId="0" fontId="16" fillId="0" borderId="0" xfId="0" applyFont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/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/>
    <xf numFmtId="0" fontId="11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0" fontId="11" fillId="0" borderId="10" xfId="0" applyFont="1" applyBorder="1"/>
    <xf numFmtId="0" fontId="11" fillId="0" borderId="10" xfId="0" applyFont="1" applyFill="1" applyBorder="1"/>
    <xf numFmtId="0" fontId="11" fillId="0" borderId="18" xfId="0" applyFont="1" applyFill="1" applyBorder="1"/>
    <xf numFmtId="0" fontId="16" fillId="0" borderId="0" xfId="0" applyFont="1" applyBorder="1" applyAlignment="1">
      <alignment horizontal="left" vertical="center"/>
    </xf>
    <xf numFmtId="165" fontId="16" fillId="0" borderId="0" xfId="1" applyNumberFormat="1" applyFont="1" applyFill="1" applyBorder="1" applyAlignment="1"/>
    <xf numFmtId="165" fontId="29" fillId="0" borderId="0" xfId="1" applyNumberFormat="1" applyFont="1" applyFill="1" applyBorder="1" applyAlignment="1"/>
    <xf numFmtId="165" fontId="28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/>
    <xf numFmtId="0" fontId="19" fillId="0" borderId="0" xfId="0" applyFont="1" applyFill="1" applyBorder="1" applyAlignment="1">
      <alignment horizontal="right"/>
    </xf>
    <xf numFmtId="0" fontId="23" fillId="0" borderId="0" xfId="0" applyFont="1" applyBorder="1" applyAlignment="1">
      <alignment vertical="distributed"/>
    </xf>
    <xf numFmtId="0" fontId="11" fillId="0" borderId="2" xfId="0" applyFont="1" applyBorder="1" applyAlignment="1">
      <alignment horizontal="center" vertical="center"/>
    </xf>
    <xf numFmtId="9" fontId="11" fillId="7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166" fontId="11" fillId="0" borderId="0" xfId="0" applyNumberFormat="1" applyFont="1" applyBorder="1" applyAlignment="1">
      <alignment horizontal="left" vertical="center"/>
    </xf>
    <xf numFmtId="172" fontId="16" fillId="0" borderId="12" xfId="1" applyNumberFormat="1" applyFont="1" applyBorder="1" applyAlignment="1">
      <alignment horizontal="center"/>
    </xf>
    <xf numFmtId="0" fontId="16" fillId="0" borderId="17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1" fillId="6" borderId="2" xfId="0" applyNumberFormat="1" applyFont="1" applyFill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1" fillId="6" borderId="2" xfId="1" applyNumberFormat="1" applyFont="1" applyFill="1" applyBorder="1" applyAlignment="1">
      <alignment vertical="center"/>
    </xf>
    <xf numFmtId="164" fontId="11" fillId="0" borderId="0" xfId="1" applyFont="1" applyFill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2" applyNumberFormat="1" applyFont="1" applyFill="1" applyBorder="1" applyAlignment="1">
      <alignment horizontal="center" vertical="center" wrapText="1"/>
    </xf>
    <xf numFmtId="177" fontId="11" fillId="0" borderId="2" xfId="1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 wrapText="1"/>
    </xf>
    <xf numFmtId="168" fontId="16" fillId="0" borderId="2" xfId="2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169" fontId="11" fillId="0" borderId="0" xfId="1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73" fontId="11" fillId="0" borderId="0" xfId="0" applyNumberFormat="1" applyFont="1" applyFill="1" applyAlignment="1">
      <alignment horizontal="center" vertical="center" wrapText="1"/>
    </xf>
    <xf numFmtId="164" fontId="11" fillId="0" borderId="0" xfId="1" applyFont="1" applyBorder="1" applyAlignment="1">
      <alignment horizontal="center"/>
    </xf>
    <xf numFmtId="170" fontId="11" fillId="0" borderId="0" xfId="1" applyNumberFormat="1" applyFont="1" applyBorder="1" applyAlignment="1">
      <alignment horizontal="center"/>
    </xf>
    <xf numFmtId="10" fontId="16" fillId="0" borderId="0" xfId="2" applyNumberFormat="1" applyFont="1" applyFill="1" applyBorder="1" applyAlignment="1"/>
    <xf numFmtId="0" fontId="24" fillId="0" borderId="0" xfId="0" applyFont="1"/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wrapText="1"/>
    </xf>
    <xf numFmtId="164" fontId="20" fillId="0" borderId="10" xfId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170" fontId="11" fillId="0" borderId="10" xfId="1" applyNumberFormat="1" applyFont="1" applyFill="1" applyBorder="1" applyAlignment="1">
      <alignment horizontal="center"/>
    </xf>
    <xf numFmtId="164" fontId="11" fillId="0" borderId="10" xfId="1" applyFont="1" applyFill="1" applyBorder="1" applyAlignment="1">
      <alignment horizontal="center"/>
    </xf>
    <xf numFmtId="164" fontId="16" fillId="0" borderId="10" xfId="1" applyFont="1" applyFill="1" applyBorder="1" applyAlignment="1"/>
    <xf numFmtId="164" fontId="16" fillId="0" borderId="17" xfId="1" applyFont="1" applyFill="1" applyBorder="1" applyAlignment="1"/>
    <xf numFmtId="0" fontId="11" fillId="0" borderId="12" xfId="0" applyFont="1" applyFill="1" applyBorder="1"/>
    <xf numFmtId="165" fontId="16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10" fontId="16" fillId="0" borderId="2" xfId="2" applyNumberFormat="1" applyFont="1" applyBorder="1" applyAlignment="1">
      <alignment horizontal="center"/>
    </xf>
    <xf numFmtId="164" fontId="16" fillId="0" borderId="2" xfId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10" borderId="2" xfId="2" applyNumberFormat="1" applyFont="1" applyFill="1" applyBorder="1" applyAlignment="1"/>
    <xf numFmtId="1" fontId="11" fillId="0" borderId="9" xfId="0" applyNumberFormat="1" applyFont="1" applyFill="1" applyBorder="1" applyAlignment="1">
      <alignment horizontal="center" vertical="center" wrapText="1"/>
    </xf>
    <xf numFmtId="164" fontId="16" fillId="0" borderId="18" xfId="1" applyFont="1" applyFill="1" applyBorder="1" applyAlignment="1"/>
    <xf numFmtId="10" fontId="11" fillId="0" borderId="9" xfId="2" applyNumberFormat="1" applyFont="1" applyFill="1" applyBorder="1"/>
    <xf numFmtId="0" fontId="11" fillId="0" borderId="18" xfId="0" applyFont="1" applyBorder="1"/>
    <xf numFmtId="2" fontId="11" fillId="0" borderId="9" xfId="1" applyNumberFormat="1" applyFont="1" applyFill="1" applyBorder="1" applyAlignment="1">
      <alignment horizontal="center" vertical="center" wrapText="1"/>
    </xf>
    <xf numFmtId="174" fontId="11" fillId="0" borderId="9" xfId="0" applyNumberFormat="1" applyFont="1" applyBorder="1"/>
    <xf numFmtId="168" fontId="11" fillId="0" borderId="9" xfId="2" applyNumberFormat="1" applyFont="1" applyFill="1" applyBorder="1" applyAlignment="1">
      <alignment horizontal="center" vertical="center" wrapText="1"/>
    </xf>
    <xf numFmtId="166" fontId="16" fillId="0" borderId="9" xfId="1" applyNumberFormat="1" applyFont="1" applyFill="1" applyBorder="1"/>
    <xf numFmtId="0" fontId="16" fillId="0" borderId="0" xfId="0" applyFont="1" applyAlignment="1">
      <alignment horizontal="left"/>
    </xf>
    <xf numFmtId="175" fontId="11" fillId="0" borderId="9" xfId="0" applyNumberFormat="1" applyFont="1" applyFill="1" applyBorder="1" applyAlignment="1">
      <alignment horizontal="center" vertical="center" wrapText="1"/>
    </xf>
    <xf numFmtId="167" fontId="11" fillId="2" borderId="9" xfId="1" applyNumberFormat="1" applyFont="1" applyFill="1" applyBorder="1"/>
    <xf numFmtId="168" fontId="11" fillId="0" borderId="0" xfId="2" applyNumberFormat="1" applyFont="1" applyAlignment="1">
      <alignment horizontal="center" vertical="center" wrapText="1"/>
    </xf>
    <xf numFmtId="10" fontId="11" fillId="8" borderId="9" xfId="2" applyNumberFormat="1" applyFont="1" applyFill="1" applyBorder="1" applyAlignment="1">
      <alignment horizontal="center" vertical="center" wrapText="1"/>
    </xf>
    <xf numFmtId="10" fontId="21" fillId="0" borderId="9" xfId="0" applyNumberFormat="1" applyFont="1" applyBorder="1"/>
    <xf numFmtId="10" fontId="11" fillId="2" borderId="2" xfId="2" applyNumberFormat="1" applyFont="1" applyFill="1" applyBorder="1" applyAlignment="1">
      <alignment horizontal="center"/>
    </xf>
    <xf numFmtId="10" fontId="11" fillId="4" borderId="2" xfId="2" applyNumberFormat="1" applyFont="1" applyFill="1" applyBorder="1" applyAlignment="1">
      <alignment horizontal="center"/>
    </xf>
    <xf numFmtId="10" fontId="11" fillId="3" borderId="2" xfId="2" applyNumberFormat="1" applyFont="1" applyFill="1" applyBorder="1" applyAlignment="1">
      <alignment horizontal="center"/>
    </xf>
    <xf numFmtId="10" fontId="11" fillId="0" borderId="7" xfId="2" applyNumberFormat="1" applyFont="1" applyBorder="1" applyAlignment="1">
      <alignment horizontal="center" vertical="center" wrapText="1"/>
    </xf>
    <xf numFmtId="0" fontId="22" fillId="0" borderId="8" xfId="0" applyFont="1" applyBorder="1"/>
    <xf numFmtId="0" fontId="11" fillId="0" borderId="8" xfId="0" applyFont="1" applyBorder="1"/>
    <xf numFmtId="171" fontId="11" fillId="0" borderId="8" xfId="0" applyNumberFormat="1" applyFont="1" applyBorder="1"/>
    <xf numFmtId="0" fontId="11" fillId="0" borderId="19" xfId="0" applyFont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19" xfId="0" applyFont="1" applyFill="1" applyBorder="1"/>
    <xf numFmtId="1" fontId="11" fillId="2" borderId="2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 vertical="center" wrapText="1"/>
    </xf>
    <xf numFmtId="0" fontId="11" fillId="0" borderId="10" xfId="0" applyFont="1" applyFill="1" applyBorder="1" applyAlignment="1">
      <alignment horizontal="right"/>
    </xf>
    <xf numFmtId="176" fontId="11" fillId="0" borderId="10" xfId="1" applyNumberFormat="1" applyFont="1" applyBorder="1" applyAlignment="1">
      <alignment horizontal="center" vertical="center"/>
    </xf>
    <xf numFmtId="2" fontId="11" fillId="0" borderId="10" xfId="0" applyNumberFormat="1" applyFont="1" applyBorder="1"/>
    <xf numFmtId="164" fontId="16" fillId="0" borderId="9" xfId="1" applyFont="1" applyFill="1" applyBorder="1" applyAlignment="1">
      <alignment horizontal="center" vertical="center" wrapText="1"/>
    </xf>
    <xf numFmtId="0" fontId="14" fillId="0" borderId="0" xfId="0" applyFont="1" applyFill="1" applyBorder="1"/>
    <xf numFmtId="164" fontId="11" fillId="0" borderId="0" xfId="1" applyFont="1" applyFill="1" applyBorder="1" applyAlignment="1"/>
    <xf numFmtId="0" fontId="11" fillId="0" borderId="9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8" xfId="1" applyFont="1" applyFill="1" applyBorder="1" applyAlignment="1">
      <alignment horizontal="center"/>
    </xf>
    <xf numFmtId="164" fontId="16" fillId="0" borderId="8" xfId="1" applyFont="1" applyFill="1" applyBorder="1" applyAlignment="1"/>
    <xf numFmtId="0" fontId="27" fillId="0" borderId="0" xfId="0" applyFont="1" applyFill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center" vertical="center" wrapText="1"/>
    </xf>
    <xf numFmtId="164" fontId="16" fillId="0" borderId="0" xfId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right" vertical="center"/>
    </xf>
    <xf numFmtId="164" fontId="11" fillId="0" borderId="2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165" fontId="16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165" fontId="11" fillId="0" borderId="0" xfId="1" applyNumberFormat="1" applyFont="1" applyAlignment="1">
      <alignment horizontal="center" vertical="center" wrapText="1"/>
    </xf>
    <xf numFmtId="164" fontId="16" fillId="0" borderId="0" xfId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72" fontId="11" fillId="0" borderId="0" xfId="0" applyNumberFormat="1" applyFont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center" vertical="center" wrapText="1"/>
    </xf>
    <xf numFmtId="9" fontId="11" fillId="0" borderId="0" xfId="2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/>
    <xf numFmtId="166" fontId="11" fillId="0" borderId="0" xfId="0" applyNumberFormat="1" applyFont="1" applyFill="1" applyBorder="1" applyAlignment="1">
      <alignment horizontal="center" vertical="center"/>
    </xf>
    <xf numFmtId="10" fontId="11" fillId="0" borderId="18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/>
    <xf numFmtId="49" fontId="11" fillId="0" borderId="7" xfId="0" applyNumberFormat="1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/>
    <xf numFmtId="0" fontId="11" fillId="0" borderId="8" xfId="0" applyFont="1" applyBorder="1" applyAlignment="1">
      <alignment horizontal="center" vertical="center" wrapText="1"/>
    </xf>
    <xf numFmtId="49" fontId="16" fillId="5" borderId="2" xfId="0" applyNumberFormat="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center"/>
    </xf>
    <xf numFmtId="175" fontId="11" fillId="0" borderId="2" xfId="0" applyNumberFormat="1" applyFont="1" applyBorder="1" applyAlignment="1">
      <alignment horizontal="center" vertical="center"/>
    </xf>
    <xf numFmtId="10" fontId="11" fillId="0" borderId="2" xfId="2" applyNumberFormat="1" applyFont="1" applyBorder="1" applyAlignment="1">
      <alignment horizontal="center" vertical="center" wrapText="1"/>
    </xf>
    <xf numFmtId="164" fontId="11" fillId="0" borderId="0" xfId="1" applyFont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0" fontId="11" fillId="0" borderId="0" xfId="2" applyNumberFormat="1" applyFont="1" applyFill="1" applyAlignment="1">
      <alignment horizontal="center"/>
    </xf>
    <xf numFmtId="178" fontId="11" fillId="0" borderId="0" xfId="0" applyNumberFormat="1" applyFont="1" applyFill="1"/>
    <xf numFmtId="164" fontId="11" fillId="0" borderId="0" xfId="1" applyFont="1"/>
    <xf numFmtId="180" fontId="11" fillId="0" borderId="0" xfId="2" applyNumberFormat="1" applyFont="1" applyFill="1" applyAlignment="1">
      <alignment horizontal="center"/>
    </xf>
    <xf numFmtId="178" fontId="11" fillId="0" borderId="0" xfId="2" applyNumberFormat="1" applyFont="1" applyFill="1"/>
    <xf numFmtId="179" fontId="11" fillId="0" borderId="0" xfId="2" applyNumberFormat="1" applyFont="1" applyFill="1"/>
    <xf numFmtId="11" fontId="11" fillId="0" borderId="0" xfId="2" applyNumberFormat="1" applyFont="1" applyFill="1"/>
    <xf numFmtId="178" fontId="0" fillId="0" borderId="0" xfId="2" applyNumberFormat="1" applyFont="1"/>
    <xf numFmtId="165" fontId="11" fillId="0" borderId="0" xfId="0" applyNumberFormat="1" applyFont="1" applyAlignment="1">
      <alignment horizontal="left" vertical="center"/>
    </xf>
    <xf numFmtId="10" fontId="11" fillId="0" borderId="0" xfId="2" applyNumberFormat="1" applyFont="1" applyBorder="1" applyAlignment="1">
      <alignment horizontal="center" vertical="center" wrapText="1"/>
    </xf>
    <xf numFmtId="0" fontId="31" fillId="0" borderId="0" xfId="0" applyFont="1"/>
    <xf numFmtId="0" fontId="33" fillId="0" borderId="0" xfId="0" applyFont="1"/>
    <xf numFmtId="0" fontId="11" fillId="9" borderId="0" xfId="0" applyFont="1" applyFill="1"/>
    <xf numFmtId="0" fontId="20" fillId="0" borderId="2" xfId="0" applyFont="1" applyFill="1" applyBorder="1" applyAlignment="1">
      <alignment horizontal="center" vertical="center" wrapText="1"/>
    </xf>
    <xf numFmtId="164" fontId="20" fillId="0" borderId="3" xfId="1" applyFont="1" applyFill="1" applyBorder="1" applyAlignment="1">
      <alignment horizontal="center" vertical="center" wrapText="1"/>
    </xf>
    <xf numFmtId="164" fontId="20" fillId="0" borderId="3" xfId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/>
    </xf>
    <xf numFmtId="0" fontId="16" fillId="8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vertical="center"/>
    </xf>
    <xf numFmtId="0" fontId="11" fillId="0" borderId="7" xfId="0" applyFont="1" applyBorder="1"/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38" fillId="0" borderId="0" xfId="0" applyFont="1" applyAlignment="1">
      <alignment horizontal="left" vertical="center"/>
    </xf>
    <xf numFmtId="0" fontId="37" fillId="0" borderId="7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2" xfId="0" applyFont="1" applyBorder="1" applyAlignment="1">
      <alignment horizontal="left" vertical="center"/>
    </xf>
    <xf numFmtId="165" fontId="37" fillId="0" borderId="2" xfId="1" applyNumberFormat="1" applyFont="1" applyFill="1" applyBorder="1"/>
    <xf numFmtId="0" fontId="37" fillId="0" borderId="0" xfId="0" applyFont="1" applyAlignment="1">
      <alignment horizontal="left" vertical="center"/>
    </xf>
    <xf numFmtId="165" fontId="38" fillId="0" borderId="2" xfId="1" applyNumberFormat="1" applyFont="1" applyFill="1" applyBorder="1"/>
    <xf numFmtId="164" fontId="37" fillId="0" borderId="0" xfId="0" applyNumberFormat="1" applyFont="1"/>
    <xf numFmtId="0" fontId="37" fillId="0" borderId="0" xfId="0" applyFont="1" applyBorder="1" applyAlignment="1">
      <alignment horizontal="right"/>
    </xf>
    <xf numFmtId="164" fontId="11" fillId="0" borderId="2" xfId="0" applyNumberFormat="1" applyFont="1" applyBorder="1"/>
    <xf numFmtId="166" fontId="11" fillId="8" borderId="2" xfId="1" applyNumberFormat="1" applyFont="1" applyFill="1" applyBorder="1"/>
    <xf numFmtId="2" fontId="11" fillId="8" borderId="0" xfId="0" applyNumberFormat="1" applyFont="1" applyFill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/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5" fontId="24" fillId="0" borderId="0" xfId="0" applyNumberFormat="1" applyFont="1" applyFill="1" applyAlignment="1">
      <alignment horizontal="center" vertical="center"/>
    </xf>
    <xf numFmtId="49" fontId="37" fillId="0" borderId="2" xfId="0" applyNumberFormat="1" applyFont="1" applyFill="1" applyBorder="1" applyAlignment="1">
      <alignment vertic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vertical="center"/>
    </xf>
    <xf numFmtId="0" fontId="37" fillId="0" borderId="2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/>
    </xf>
    <xf numFmtId="175" fontId="24" fillId="0" borderId="2" xfId="0" applyNumberFormat="1" applyFont="1" applyFill="1" applyBorder="1" applyAlignment="1">
      <alignment horizontal="center" vertical="center"/>
    </xf>
    <xf numFmtId="0" fontId="38" fillId="0" borderId="0" xfId="0" applyFont="1" applyFill="1" applyAlignment="1"/>
    <xf numFmtId="0" fontId="11" fillId="9" borderId="23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vertical="center" wrapText="1"/>
    </xf>
    <xf numFmtId="0" fontId="43" fillId="9" borderId="0" xfId="0" applyFont="1" applyFill="1" applyAlignment="1">
      <alignment vertical="center"/>
    </xf>
    <xf numFmtId="0" fontId="1" fillId="9" borderId="2" xfId="0" applyFont="1" applyFill="1" applyBorder="1" applyAlignment="1">
      <alignment horizontal="left" vertical="center"/>
    </xf>
    <xf numFmtId="165" fontId="16" fillId="0" borderId="13" xfId="0" applyNumberFormat="1" applyFont="1" applyBorder="1" applyAlignment="1">
      <alignment horizontal="right"/>
    </xf>
    <xf numFmtId="0" fontId="43" fillId="9" borderId="0" xfId="0" applyFont="1" applyFill="1" applyAlignment="1">
      <alignment horizontal="left" vertical="center"/>
    </xf>
    <xf numFmtId="0" fontId="1" fillId="9" borderId="2" xfId="0" applyFont="1" applyFill="1" applyBorder="1" applyAlignment="1">
      <alignment vertical="center"/>
    </xf>
    <xf numFmtId="0" fontId="46" fillId="9" borderId="0" xfId="0" applyFont="1" applyFill="1" applyAlignment="1">
      <alignment horizontal="left" vertical="center"/>
    </xf>
    <xf numFmtId="49" fontId="1" fillId="9" borderId="2" xfId="0" applyNumberFormat="1" applyFont="1" applyFill="1" applyBorder="1" applyAlignment="1">
      <alignment horizontal="left" vertical="center"/>
    </xf>
    <xf numFmtId="49" fontId="1" fillId="9" borderId="2" xfId="0" applyNumberFormat="1" applyFont="1" applyFill="1" applyBorder="1" applyAlignment="1">
      <alignment vertical="center"/>
    </xf>
    <xf numFmtId="49" fontId="1" fillId="9" borderId="0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5" fontId="24" fillId="0" borderId="11" xfId="0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distributed"/>
    </xf>
    <xf numFmtId="0" fontId="11" fillId="0" borderId="11" xfId="0" applyFont="1" applyBorder="1" applyAlignment="1">
      <alignment horizontal="center" vertical="distributed"/>
    </xf>
    <xf numFmtId="0" fontId="34" fillId="0" borderId="5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175" fontId="24" fillId="9" borderId="0" xfId="0" applyNumberFormat="1" applyFont="1" applyFill="1" applyAlignment="1">
      <alignment horizontal="center" vertical="center"/>
    </xf>
    <xf numFmtId="175" fontId="24" fillId="9" borderId="2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FF"/>
      <color rgb="FF0000FF"/>
      <color rgb="FF008000"/>
      <color rgb="FF009900"/>
      <color rgb="FF0070C0"/>
      <color rgb="FFFFFF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1</xdr:col>
      <xdr:colOff>0</xdr:colOff>
      <xdr:row>41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41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4"/>
  <sheetViews>
    <sheetView tabSelected="1" topLeftCell="A63" zoomScale="85" zoomScaleNormal="85" workbookViewId="0">
      <selection activeCell="A63" sqref="A63"/>
    </sheetView>
  </sheetViews>
  <sheetFormatPr baseColWidth="10" defaultColWidth="11.453125" defaultRowHeight="13" x14ac:dyDescent="0.3"/>
  <cols>
    <col min="1" max="1" width="1.08984375" style="5" customWidth="1"/>
    <col min="2" max="2" width="53.90625" style="5" customWidth="1"/>
    <col min="3" max="4" width="20.6328125" style="5" customWidth="1"/>
    <col min="5" max="5" width="17.90625" style="5" customWidth="1"/>
    <col min="6" max="6" width="19.26953125" style="5" customWidth="1"/>
    <col min="7" max="7" width="14.36328125" style="5" customWidth="1"/>
    <col min="8" max="8" width="11.453125" style="5" customWidth="1"/>
    <col min="9" max="9" width="5.6328125" style="5" customWidth="1"/>
    <col min="10" max="10" width="14.1796875" style="5" customWidth="1"/>
    <col min="11" max="11" width="6.6328125" style="5" customWidth="1"/>
    <col min="12" max="13" width="12.6328125" style="5" customWidth="1"/>
    <col min="14" max="14" width="14.7265625" style="5" bestFit="1" customWidth="1"/>
    <col min="15" max="15" width="14.26953125" style="11" bestFit="1" customWidth="1"/>
    <col min="16" max="16" width="14.26953125" style="11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7265625" style="5" bestFit="1" customWidth="1"/>
    <col min="21" max="22" width="11.453125" style="11"/>
    <col min="23" max="24" width="11.7265625" style="5" bestFit="1" customWidth="1"/>
    <col min="25" max="25" width="12.453125" style="5" bestFit="1" customWidth="1"/>
    <col min="26" max="16384" width="11.453125" style="5"/>
  </cols>
  <sheetData>
    <row r="1" spans="2:31" s="4" customFormat="1" ht="8.25" customHeight="1" thickBot="1" x14ac:dyDescent="0.35">
      <c r="B1" s="76"/>
      <c r="C1" s="77"/>
      <c r="D1" s="76"/>
      <c r="E1" s="78"/>
      <c r="F1" s="5"/>
      <c r="G1" s="5"/>
      <c r="H1" s="79"/>
      <c r="I1" s="79"/>
      <c r="J1" s="79"/>
      <c r="K1" s="79"/>
      <c r="L1" s="7"/>
      <c r="M1" s="12"/>
      <c r="N1" s="12"/>
      <c r="O1" s="2"/>
      <c r="P1" s="2"/>
      <c r="Q1" s="3"/>
      <c r="R1" s="2"/>
      <c r="S1" s="2"/>
      <c r="T1" s="2"/>
      <c r="U1" s="80"/>
      <c r="V1" s="80"/>
      <c r="W1" s="80"/>
      <c r="X1" s="80"/>
      <c r="Y1" s="80"/>
      <c r="Z1" s="80"/>
      <c r="AA1" s="80"/>
      <c r="AB1" s="80"/>
      <c r="AC1" s="80"/>
    </row>
    <row r="2" spans="2:31" ht="24.75" customHeight="1" thickBot="1" x14ac:dyDescent="0.35">
      <c r="B2" s="295" t="s">
        <v>100</v>
      </c>
      <c r="C2" s="296"/>
      <c r="D2" s="296"/>
      <c r="E2" s="296"/>
      <c r="F2" s="297"/>
      <c r="G2" s="81"/>
      <c r="H2" s="82" t="s">
        <v>64</v>
      </c>
      <c r="I2" s="83">
        <v>0.95</v>
      </c>
      <c r="J2" s="81"/>
      <c r="K2" s="6"/>
      <c r="L2" s="7"/>
      <c r="M2" s="8"/>
      <c r="N2" s="8"/>
      <c r="O2" s="9"/>
      <c r="P2" s="9"/>
      <c r="Q2" s="10"/>
      <c r="R2" s="9"/>
      <c r="S2" s="9"/>
      <c r="T2" s="9"/>
      <c r="U2" s="9"/>
      <c r="V2" s="9"/>
      <c r="W2" s="9"/>
      <c r="X2" s="11"/>
      <c r="Y2" s="11"/>
      <c r="Z2" s="11"/>
      <c r="AA2" s="11"/>
      <c r="AB2" s="11"/>
      <c r="AC2" s="11" t="s">
        <v>101</v>
      </c>
      <c r="AD2" s="11"/>
      <c r="AE2" s="233">
        <v>8.229784350621135E-3</v>
      </c>
    </row>
    <row r="3" spans="2:31" ht="28.5" customHeight="1" x14ac:dyDescent="0.3">
      <c r="B3" s="298" t="s">
        <v>99</v>
      </c>
      <c r="C3" s="299"/>
      <c r="D3" s="299"/>
      <c r="E3" s="299"/>
      <c r="F3" s="300"/>
      <c r="G3" s="84"/>
      <c r="H3" s="84"/>
      <c r="I3" s="84"/>
      <c r="J3" s="84"/>
      <c r="K3" s="6"/>
      <c r="L3" s="7"/>
      <c r="M3" s="8"/>
      <c r="N3" s="8"/>
      <c r="O3" s="9"/>
      <c r="P3" s="9"/>
      <c r="Q3" s="10"/>
      <c r="R3" s="9"/>
      <c r="S3" s="9"/>
      <c r="T3" s="9"/>
      <c r="U3" s="9"/>
      <c r="W3" s="229"/>
      <c r="X3" s="230"/>
      <c r="Y3" s="11"/>
      <c r="Z3" s="11"/>
      <c r="AA3" s="11"/>
      <c r="AB3" s="11"/>
      <c r="AC3" s="11">
        <v>1777</v>
      </c>
      <c r="AD3" s="11" t="e">
        <f>AC3/V3</f>
        <v>#DIV/0!</v>
      </c>
      <c r="AE3" s="5">
        <f>AE2*V3</f>
        <v>0</v>
      </c>
    </row>
    <row r="4" spans="2:31" ht="10.5" customHeight="1" x14ac:dyDescent="0.3"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8"/>
      <c r="N4" s="224"/>
      <c r="O4" s="9"/>
      <c r="P4" s="9"/>
      <c r="Q4" s="14"/>
      <c r="R4" s="9"/>
      <c r="S4" s="9"/>
      <c r="T4" s="13"/>
      <c r="V4" s="15"/>
      <c r="W4" s="15"/>
      <c r="X4" s="230"/>
      <c r="Y4" s="15"/>
      <c r="Z4" s="16"/>
      <c r="AA4" s="11"/>
      <c r="AB4" s="11"/>
      <c r="AC4" s="11"/>
      <c r="AD4" s="11"/>
    </row>
    <row r="5" spans="2:31" x14ac:dyDescent="0.3">
      <c r="B5" s="85" t="s">
        <v>53</v>
      </c>
      <c r="C5" s="86"/>
      <c r="D5" s="53" t="s">
        <v>20</v>
      </c>
      <c r="E5" s="53" t="s">
        <v>21</v>
      </c>
      <c r="F5" s="87"/>
      <c r="I5" s="88"/>
      <c r="J5" s="224"/>
      <c r="K5" s="88"/>
      <c r="L5" s="89"/>
      <c r="M5" s="8"/>
      <c r="N5" s="89"/>
      <c r="O5" s="9"/>
      <c r="P5" s="9"/>
      <c r="Q5" s="9"/>
      <c r="R5" s="9"/>
      <c r="S5" s="9"/>
      <c r="T5" s="13"/>
      <c r="V5" s="15"/>
      <c r="W5" s="15"/>
      <c r="X5" s="232"/>
      <c r="Y5" s="15"/>
      <c r="Z5" s="16"/>
      <c r="AA5" s="11">
        <v>8</v>
      </c>
      <c r="AB5" s="11">
        <v>1000000</v>
      </c>
      <c r="AC5" s="231">
        <f>AA5/AB5</f>
        <v>7.9999999999999996E-6</v>
      </c>
      <c r="AD5" s="11">
        <f>1/AC5</f>
        <v>125000</v>
      </c>
    </row>
    <row r="6" spans="2:31" x14ac:dyDescent="0.3">
      <c r="B6" s="65"/>
      <c r="C6" s="245"/>
      <c r="D6" s="246" t="s">
        <v>3</v>
      </c>
      <c r="E6" s="246" t="s">
        <v>2</v>
      </c>
      <c r="F6" s="247" t="s">
        <v>22</v>
      </c>
      <c r="I6" s="67"/>
      <c r="J6" s="224"/>
      <c r="K6" s="88"/>
      <c r="L6" s="89"/>
      <c r="M6" s="8"/>
      <c r="N6" s="89"/>
      <c r="O6" s="9"/>
      <c r="P6" s="9"/>
      <c r="Q6" s="9"/>
      <c r="R6" s="9"/>
      <c r="S6" s="9"/>
      <c r="T6" s="13"/>
      <c r="V6" s="15"/>
      <c r="W6" s="15"/>
      <c r="X6" s="11"/>
      <c r="Y6" s="15"/>
      <c r="Z6" s="11"/>
      <c r="AA6" s="11"/>
      <c r="AB6" s="11"/>
      <c r="AC6" s="11"/>
      <c r="AD6" s="11"/>
    </row>
    <row r="7" spans="2:31" ht="12.75" customHeight="1" x14ac:dyDescent="0.3">
      <c r="B7" s="234"/>
      <c r="C7" s="248" t="s">
        <v>117</v>
      </c>
      <c r="D7" s="90">
        <v>35</v>
      </c>
      <c r="E7" s="91">
        <f>F7-D7</f>
        <v>248</v>
      </c>
      <c r="F7" s="92">
        <v>283</v>
      </c>
      <c r="H7" s="235"/>
      <c r="I7" s="67"/>
      <c r="J7" s="235"/>
      <c r="K7" s="88"/>
      <c r="L7" s="235"/>
      <c r="M7" s="8"/>
      <c r="N7" s="89"/>
      <c r="O7" s="9"/>
      <c r="P7" s="9"/>
      <c r="Q7" s="226"/>
      <c r="R7" s="9"/>
      <c r="S7" s="9"/>
      <c r="T7" s="13"/>
      <c r="V7" s="15"/>
      <c r="W7" s="15"/>
      <c r="X7" s="11"/>
      <c r="Y7" s="15"/>
      <c r="Z7" s="11"/>
      <c r="AA7" s="11"/>
      <c r="AB7" s="11"/>
      <c r="AC7" s="11"/>
      <c r="AD7" s="11"/>
    </row>
    <row r="8" spans="2:31" ht="12.75" customHeight="1" x14ac:dyDescent="0.3">
      <c r="B8" s="234"/>
      <c r="C8" s="248" t="s">
        <v>118</v>
      </c>
      <c r="D8" s="90">
        <v>49</v>
      </c>
      <c r="E8" s="91">
        <f>F8-D8</f>
        <v>231</v>
      </c>
      <c r="F8" s="92">
        <v>280</v>
      </c>
      <c r="H8" s="235"/>
      <c r="I8" s="67"/>
      <c r="J8" s="235"/>
      <c r="K8" s="88"/>
      <c r="L8" s="235"/>
      <c r="M8" s="93"/>
      <c r="N8" s="89"/>
      <c r="O8" s="9"/>
      <c r="P8" s="9"/>
      <c r="Q8" s="9"/>
      <c r="R8" s="10"/>
      <c r="S8" s="9"/>
      <c r="T8" s="13"/>
      <c r="V8" s="15"/>
      <c r="W8" s="15"/>
      <c r="X8" s="11"/>
      <c r="Y8" s="15"/>
      <c r="Z8" s="11"/>
      <c r="AA8" s="11"/>
      <c r="AB8" s="11"/>
      <c r="AC8" s="11"/>
      <c r="AD8" s="11"/>
    </row>
    <row r="9" spans="2:31" x14ac:dyDescent="0.3">
      <c r="B9" s="65"/>
      <c r="C9" s="249" t="s">
        <v>22</v>
      </c>
      <c r="D9" s="94">
        <f>D7+D8</f>
        <v>84</v>
      </c>
      <c r="E9" s="94">
        <f t="shared" ref="E9:F9" si="0">E7+E8</f>
        <v>479</v>
      </c>
      <c r="F9" s="283">
        <f t="shared" si="0"/>
        <v>563</v>
      </c>
      <c r="G9" s="225"/>
      <c r="H9" s="88"/>
      <c r="I9" s="88"/>
      <c r="J9" s="84"/>
      <c r="K9" s="88"/>
      <c r="L9" s="89"/>
      <c r="M9" s="93"/>
      <c r="N9" s="89"/>
      <c r="P9" s="20"/>
      <c r="Q9" s="21"/>
      <c r="R9" s="21"/>
      <c r="S9" s="227"/>
      <c r="T9" s="15"/>
      <c r="V9" s="15"/>
      <c r="W9" s="15"/>
      <c r="X9" s="11"/>
      <c r="Y9" s="15"/>
      <c r="Z9" s="11"/>
      <c r="AA9" s="11"/>
      <c r="AB9" s="11"/>
      <c r="AC9" s="11"/>
      <c r="AD9" s="11"/>
    </row>
    <row r="10" spans="2:31" ht="12.75" customHeight="1" x14ac:dyDescent="0.3">
      <c r="B10" s="65"/>
      <c r="C10" s="22"/>
      <c r="D10" s="23"/>
      <c r="E10" s="19"/>
      <c r="F10" s="19"/>
      <c r="G10" s="89"/>
      <c r="H10" s="89"/>
      <c r="I10" s="88"/>
      <c r="J10" s="88"/>
      <c r="K10" s="88"/>
      <c r="L10" s="89"/>
      <c r="M10" s="93"/>
      <c r="N10" s="89"/>
      <c r="P10" s="20"/>
      <c r="Q10" s="21"/>
      <c r="R10" s="21"/>
      <c r="S10" s="21"/>
      <c r="T10" s="15"/>
      <c r="V10" s="15"/>
      <c r="W10" s="15"/>
      <c r="X10" s="11"/>
      <c r="Y10" s="15"/>
      <c r="Z10" s="11"/>
      <c r="AA10" s="11"/>
      <c r="AB10" s="11"/>
      <c r="AC10" s="11"/>
      <c r="AD10" s="11"/>
    </row>
    <row r="11" spans="2:31" s="4" customFormat="1" ht="14.25" hidden="1" customHeight="1" x14ac:dyDescent="0.3">
      <c r="B11" s="95" t="s">
        <v>102</v>
      </c>
      <c r="C11" s="25"/>
      <c r="D11" s="26"/>
      <c r="E11" s="2"/>
      <c r="F11" s="18"/>
      <c r="G11" s="96"/>
      <c r="H11" s="93"/>
      <c r="I11" s="96"/>
      <c r="J11" s="93"/>
      <c r="K11" s="97"/>
      <c r="L11" s="97"/>
      <c r="M11" s="96"/>
      <c r="N11" s="97"/>
      <c r="P11" s="2"/>
      <c r="Q11" s="28"/>
      <c r="R11" s="28"/>
      <c r="S11" s="28"/>
      <c r="T11" s="2"/>
      <c r="U11" s="2"/>
      <c r="V11" s="2"/>
      <c r="W11" s="2"/>
    </row>
    <row r="12" spans="2:31" s="4" customFormat="1" ht="12.75" hidden="1" customHeight="1" x14ac:dyDescent="0.3">
      <c r="B12" s="65" t="s">
        <v>60</v>
      </c>
      <c r="C12" s="25"/>
      <c r="D12" s="26"/>
      <c r="E12" s="2"/>
      <c r="F12" s="18"/>
      <c r="G12" s="96"/>
      <c r="H12" s="93"/>
      <c r="I12" s="96"/>
      <c r="J12" s="93"/>
      <c r="K12" s="98"/>
      <c r="L12" s="97"/>
      <c r="M12" s="97"/>
      <c r="N12" s="97"/>
      <c r="P12" s="2"/>
      <c r="Q12" s="3"/>
      <c r="R12" s="3"/>
      <c r="S12" s="3"/>
      <c r="T12" s="2"/>
      <c r="U12" s="2"/>
      <c r="V12" s="2"/>
      <c r="W12" s="2"/>
    </row>
    <row r="13" spans="2:31" s="4" customFormat="1" ht="54.75" hidden="1" customHeight="1" x14ac:dyDescent="0.3">
      <c r="B13" s="239" t="s">
        <v>25</v>
      </c>
      <c r="C13" s="239" t="s">
        <v>61</v>
      </c>
      <c r="D13" s="239" t="s">
        <v>103</v>
      </c>
      <c r="E13" s="239" t="s">
        <v>62</v>
      </c>
      <c r="F13" s="239" t="s">
        <v>63</v>
      </c>
      <c r="G13" s="239" t="s">
        <v>4</v>
      </c>
      <c r="H13" s="239" t="s">
        <v>65</v>
      </c>
      <c r="I13" s="239" t="s">
        <v>66</v>
      </c>
      <c r="J13" s="93"/>
      <c r="K13" s="240" t="s">
        <v>43</v>
      </c>
      <c r="L13" s="241" t="s">
        <v>0</v>
      </c>
      <c r="M13" s="241" t="s">
        <v>1</v>
      </c>
      <c r="N13" s="97"/>
      <c r="P13" s="2"/>
      <c r="Q13" s="2"/>
      <c r="R13" s="2"/>
      <c r="S13" s="2"/>
      <c r="T13" s="2"/>
      <c r="U13" s="2"/>
      <c r="V13" s="2"/>
      <c r="W13" s="2"/>
    </row>
    <row r="14" spans="2:31" s="4" customFormat="1" ht="12.75" hidden="1" customHeight="1" x14ac:dyDescent="0.3">
      <c r="B14" s="69">
        <f>LN((D7/F7)/(D8/F8))</f>
        <v>-0.34712953109520089</v>
      </c>
      <c r="C14" s="69">
        <f>SQRT((E7/(D7*F7)+(E8/(D8*F8))))</f>
        <v>0.20463282815988368</v>
      </c>
      <c r="D14" s="99">
        <f>-NORMSINV((1-I2)/2)</f>
        <v>1.9599639845400536</v>
      </c>
      <c r="E14" s="70">
        <f>B14-(D14*C14)</f>
        <v>-0.74820250434314661</v>
      </c>
      <c r="F14" s="71">
        <f>B14+(D14*C14)</f>
        <v>5.3943442152744825E-2</v>
      </c>
      <c r="G14" s="100">
        <f>(D7/F7)/(D8/F8)</f>
        <v>0.70671378091872794</v>
      </c>
      <c r="H14" s="100">
        <f>EXP(E14)</f>
        <v>0.47321639313139602</v>
      </c>
      <c r="I14" s="100">
        <f>EXP(F14)</f>
        <v>1.0554249079062761</v>
      </c>
      <c r="J14" s="93"/>
      <c r="K14" s="101">
        <f>1-G14</f>
        <v>0.29328621908127206</v>
      </c>
      <c r="L14" s="100">
        <f>1-H14</f>
        <v>0.52678360686860404</v>
      </c>
      <c r="M14" s="100">
        <f>1-I14</f>
        <v>-5.5424907906276077E-2</v>
      </c>
      <c r="N14" s="102"/>
      <c r="P14" s="2"/>
      <c r="Q14" s="2"/>
      <c r="R14" s="2"/>
      <c r="S14" s="2"/>
      <c r="T14" s="2"/>
      <c r="U14" s="2"/>
      <c r="V14" s="2"/>
      <c r="W14" s="2"/>
    </row>
    <row r="15" spans="2:31" s="4" customFormat="1" ht="12.75" hidden="1" customHeight="1" x14ac:dyDescent="0.3">
      <c r="B15" s="103"/>
      <c r="C15" s="25"/>
      <c r="D15" s="25"/>
      <c r="E15" s="25"/>
      <c r="F15" s="29"/>
      <c r="G15" s="104"/>
      <c r="H15" s="93"/>
      <c r="I15" s="96"/>
      <c r="J15" s="93"/>
      <c r="K15" s="96"/>
      <c r="L15" s="96"/>
      <c r="M15" s="96"/>
      <c r="N15" s="97"/>
      <c r="P15" s="2"/>
      <c r="Q15" s="2"/>
      <c r="R15" s="2"/>
      <c r="S15" s="2"/>
      <c r="T15" s="2"/>
      <c r="U15" s="2"/>
      <c r="V15" s="2"/>
      <c r="W15" s="2"/>
    </row>
    <row r="16" spans="2:31" s="11" customFormat="1" ht="12.75" hidden="1" customHeight="1" x14ac:dyDescent="0.3">
      <c r="B16" s="64"/>
      <c r="C16" s="30"/>
      <c r="D16" s="31"/>
      <c r="E16" s="32"/>
      <c r="F16" s="33"/>
      <c r="G16" s="105"/>
      <c r="H16" s="106"/>
      <c r="I16" s="107"/>
      <c r="J16" s="107"/>
      <c r="K16" s="108"/>
      <c r="L16" s="108"/>
      <c r="M16" s="109"/>
      <c r="N16" s="109"/>
    </row>
    <row r="17" spans="2:30" ht="15.75" hidden="1" customHeight="1" x14ac:dyDescent="0.3">
      <c r="B17" s="36" t="s">
        <v>67</v>
      </c>
      <c r="C17" s="2"/>
      <c r="D17" s="110"/>
      <c r="E17" s="110"/>
      <c r="F17" s="12"/>
      <c r="G17" s="12"/>
      <c r="H17" s="111"/>
      <c r="I17" s="37"/>
      <c r="J17" s="112"/>
      <c r="K17" s="112"/>
      <c r="L17" s="4"/>
      <c r="M17" s="97"/>
      <c r="N17" s="93"/>
      <c r="O17" s="37"/>
      <c r="P17" s="2"/>
      <c r="Q17" s="2"/>
      <c r="R17" s="38"/>
      <c r="S17" s="37"/>
      <c r="T17" s="39"/>
      <c r="U17" s="39"/>
      <c r="V17" s="39"/>
      <c r="W17" s="11"/>
      <c r="X17" s="11"/>
      <c r="Y17" s="11"/>
      <c r="Z17" s="11"/>
      <c r="AA17" s="11"/>
      <c r="AB17" s="11"/>
      <c r="AC17" s="11"/>
    </row>
    <row r="18" spans="2:30" ht="12.75" hidden="1" customHeight="1" x14ac:dyDescent="0.3">
      <c r="B18" s="40" t="s">
        <v>68</v>
      </c>
      <c r="C18" s="2"/>
      <c r="D18" s="37"/>
      <c r="E18" s="37"/>
      <c r="F18" s="2"/>
      <c r="G18" s="2"/>
      <c r="H18" s="38"/>
      <c r="I18" s="37"/>
      <c r="J18" s="39"/>
      <c r="K18" s="39"/>
      <c r="L18" s="39"/>
      <c r="M18" s="97"/>
      <c r="N18" s="93"/>
      <c r="O18" s="2"/>
      <c r="P18" s="2"/>
      <c r="Q18" s="38"/>
      <c r="R18" s="37"/>
      <c r="S18" s="39"/>
      <c r="T18" s="39"/>
      <c r="U18" s="39"/>
      <c r="W18" s="11" t="s">
        <v>27</v>
      </c>
      <c r="X18" s="11"/>
      <c r="Y18" s="11"/>
      <c r="Z18" s="11"/>
      <c r="AA18" s="11"/>
      <c r="AB18" s="11"/>
    </row>
    <row r="19" spans="2:30" ht="25.5" hidden="1" customHeight="1" x14ac:dyDescent="0.3">
      <c r="B19" s="113" t="s">
        <v>69</v>
      </c>
      <c r="C19" s="5" t="s">
        <v>9</v>
      </c>
      <c r="D19" s="4"/>
      <c r="E19" s="5" t="s">
        <v>70</v>
      </c>
      <c r="G19" s="5" t="s">
        <v>7</v>
      </c>
      <c r="I19" s="5" t="s">
        <v>8</v>
      </c>
      <c r="J19" s="39"/>
      <c r="K19" s="39"/>
      <c r="L19" s="39"/>
      <c r="M19" s="97"/>
      <c r="N19" s="108"/>
      <c r="P19" s="5"/>
      <c r="T19" s="11"/>
      <c r="V19" s="5"/>
      <c r="W19" s="5" t="s">
        <v>28</v>
      </c>
      <c r="Y19" s="11"/>
      <c r="Z19" s="11"/>
      <c r="AA19" s="11"/>
      <c r="AB19" s="11"/>
      <c r="AC19" s="11"/>
      <c r="AD19" s="11"/>
    </row>
    <row r="20" spans="2:30" ht="38.25" hidden="1" customHeight="1" x14ac:dyDescent="0.4">
      <c r="B20" s="68" t="s">
        <v>71</v>
      </c>
      <c r="C20" s="68" t="s">
        <v>26</v>
      </c>
      <c r="D20" s="114" t="s">
        <v>10</v>
      </c>
      <c r="E20" s="114" t="s">
        <v>9</v>
      </c>
      <c r="F20" s="114" t="s">
        <v>72</v>
      </c>
      <c r="G20" s="114" t="s">
        <v>7</v>
      </c>
      <c r="H20" s="114" t="s">
        <v>8</v>
      </c>
      <c r="I20" s="115" t="s">
        <v>5</v>
      </c>
      <c r="J20" s="114" t="s">
        <v>73</v>
      </c>
      <c r="K20" s="114" t="s">
        <v>0</v>
      </c>
      <c r="L20" s="114" t="s">
        <v>1</v>
      </c>
      <c r="M20" s="116"/>
      <c r="N20" s="117"/>
      <c r="O20" s="118" t="s">
        <v>13</v>
      </c>
      <c r="P20" s="119" t="s">
        <v>56</v>
      </c>
      <c r="Q20" s="120"/>
      <c r="R20" s="121"/>
      <c r="S20" s="122"/>
      <c r="T20" s="122"/>
      <c r="U20" s="123"/>
      <c r="W20" s="124"/>
      <c r="X20" s="118" t="s">
        <v>57</v>
      </c>
      <c r="Y20" s="119" t="s">
        <v>74</v>
      </c>
      <c r="Z20" s="72"/>
      <c r="AA20" s="72"/>
      <c r="AB20" s="72" t="s">
        <v>75</v>
      </c>
      <c r="AC20" s="72"/>
      <c r="AD20" s="63"/>
    </row>
    <row r="21" spans="2:30" ht="12.75" hidden="1" customHeight="1" x14ac:dyDescent="0.3">
      <c r="B21" s="125">
        <f>D7</f>
        <v>35</v>
      </c>
      <c r="C21" s="126">
        <f>F7</f>
        <v>283</v>
      </c>
      <c r="D21" s="127">
        <f>B21/C21</f>
        <v>0.12367491166077739</v>
      </c>
      <c r="E21" s="128">
        <f>2*B21+I21^2</f>
        <v>73.841458820694129</v>
      </c>
      <c r="F21" s="128">
        <f>I21*SQRT((I21^2)+(4*B21*(1-D21)))</f>
        <v>22.046499711440944</v>
      </c>
      <c r="G21" s="242">
        <f>2*(C21+I21^2)</f>
        <v>573.68291764138826</v>
      </c>
      <c r="H21" s="129" t="s">
        <v>11</v>
      </c>
      <c r="I21" s="99">
        <f>-NORMSINV((1-I2)/2)</f>
        <v>1.9599639845400536</v>
      </c>
      <c r="J21" s="130">
        <f>D21</f>
        <v>0.12367491166077739</v>
      </c>
      <c r="K21" s="130">
        <f>(E21-F21)/G21</f>
        <v>9.028499457888764E-2</v>
      </c>
      <c r="L21" s="130">
        <f>(E21+F21)/G21</f>
        <v>0.16714452458574872</v>
      </c>
      <c r="M21" s="116"/>
      <c r="N21" s="131">
        <f>F9/2</f>
        <v>281.5</v>
      </c>
      <c r="O21" s="17" t="s">
        <v>14</v>
      </c>
      <c r="P21" s="2"/>
      <c r="Q21" s="38"/>
      <c r="R21" s="37"/>
      <c r="S21" s="39"/>
      <c r="T21" s="39"/>
      <c r="U21" s="132"/>
      <c r="W21" s="133">
        <f>ABS(D21-D22)</f>
        <v>5.1325088339222599E-2</v>
      </c>
      <c r="X21" s="17" t="s">
        <v>76</v>
      </c>
      <c r="Y21" s="2"/>
      <c r="Z21" s="17"/>
      <c r="AA21" s="17"/>
      <c r="AB21" s="17" t="s">
        <v>77</v>
      </c>
      <c r="AC21" s="17"/>
      <c r="AD21" s="134"/>
    </row>
    <row r="22" spans="2:30" ht="14.25" hidden="1" customHeight="1" x14ac:dyDescent="0.4">
      <c r="B22" s="125">
        <f>D8</f>
        <v>49</v>
      </c>
      <c r="C22" s="126">
        <f>F8</f>
        <v>280</v>
      </c>
      <c r="D22" s="127">
        <f>B22/C22</f>
        <v>0.17499999999999999</v>
      </c>
      <c r="E22" s="128">
        <f>2*B22+I22^2</f>
        <v>101.84145882069413</v>
      </c>
      <c r="F22" s="128">
        <f>I22*SQRT((I22^2)+(4*B22*(1-D22)))</f>
        <v>25.217468096090226</v>
      </c>
      <c r="G22" s="242">
        <f>2*(C22+I22^2)</f>
        <v>567.68291764138826</v>
      </c>
      <c r="H22" s="129" t="s">
        <v>11</v>
      </c>
      <c r="I22" s="99">
        <f>-NORMSINV((1-I2)/2)</f>
        <v>1.9599639845400536</v>
      </c>
      <c r="J22" s="130">
        <f>D22</f>
        <v>0.17499999999999999</v>
      </c>
      <c r="K22" s="130">
        <f>(E22-F22)/G22</f>
        <v>0.13497674202169344</v>
      </c>
      <c r="L22" s="130">
        <f>(E22+F22)/G22</f>
        <v>0.22382024008171569</v>
      </c>
      <c r="M22" s="116"/>
      <c r="N22" s="135">
        <f>J26</f>
        <v>5.1325088339222599E-2</v>
      </c>
      <c r="O22" s="17" t="s">
        <v>15</v>
      </c>
      <c r="P22" s="17"/>
      <c r="Q22" s="17"/>
      <c r="R22" s="17"/>
      <c r="S22" s="17"/>
      <c r="T22" s="17"/>
      <c r="U22" s="74"/>
      <c r="W22" s="136">
        <f>SQRT((D23*(1-D23)/C21)+(D23*(1-D23)/C22))</f>
        <v>3.0031772742379392E-2</v>
      </c>
      <c r="X22" s="40" t="s">
        <v>78</v>
      </c>
      <c r="Y22" s="17"/>
      <c r="Z22" s="17"/>
      <c r="AA22" s="17"/>
      <c r="AB22" s="17"/>
      <c r="AC22" s="17"/>
      <c r="AD22" s="134"/>
    </row>
    <row r="23" spans="2:30" ht="12.75" hidden="1" customHeight="1" x14ac:dyDescent="0.3">
      <c r="B23" s="125">
        <f>D9</f>
        <v>84</v>
      </c>
      <c r="C23" s="126">
        <f>F9</f>
        <v>563</v>
      </c>
      <c r="D23" s="127">
        <f>B23/C23</f>
        <v>0.1492007104795737</v>
      </c>
      <c r="E23" s="128">
        <f>2*B23+I23^2</f>
        <v>171.84145882069413</v>
      </c>
      <c r="F23" s="128">
        <f>I23*SQRT((I23^2)+(4*B23*(1-D23)))</f>
        <v>33.360292447083204</v>
      </c>
      <c r="G23" s="242">
        <f>2*(C23+I23^2)</f>
        <v>1133.6829176413883</v>
      </c>
      <c r="H23" s="129" t="s">
        <v>11</v>
      </c>
      <c r="I23" s="99">
        <f>-NORMSINV((1-I2)/2)</f>
        <v>1.9599639845400536</v>
      </c>
      <c r="J23" s="130">
        <f>D23</f>
        <v>0.1492007104795737</v>
      </c>
      <c r="K23" s="130">
        <f>(E23-F23)/G23</f>
        <v>0.12215158596701721</v>
      </c>
      <c r="L23" s="130">
        <f>(E23+F23)/G23</f>
        <v>0.18100453669593677</v>
      </c>
      <c r="M23" s="116"/>
      <c r="N23" s="137">
        <f>(B21+B22)/(C21+C22)</f>
        <v>0.1492007104795737</v>
      </c>
      <c r="O23" s="17" t="s">
        <v>6</v>
      </c>
      <c r="P23" s="2"/>
      <c r="Q23" s="38"/>
      <c r="R23" s="37"/>
      <c r="S23" s="39"/>
      <c r="T23" s="39"/>
      <c r="U23" s="134"/>
      <c r="W23" s="138">
        <f>W21/W22</f>
        <v>1.709026262935025</v>
      </c>
      <c r="X23" s="17" t="s">
        <v>42</v>
      </c>
      <c r="Y23" s="2"/>
      <c r="Z23" s="17"/>
      <c r="AA23" s="17"/>
      <c r="AB23" s="17"/>
      <c r="AC23" s="17"/>
      <c r="AD23" s="134"/>
    </row>
    <row r="24" spans="2:30" ht="15" hidden="1" customHeight="1" x14ac:dyDescent="0.3">
      <c r="B24" s="65"/>
      <c r="C24" s="139" t="s">
        <v>12</v>
      </c>
      <c r="F24" s="34"/>
      <c r="G24" s="107"/>
      <c r="H24" s="107"/>
      <c r="I24" s="107"/>
      <c r="J24" s="107"/>
      <c r="K24" s="108"/>
      <c r="L24" s="89"/>
      <c r="M24" s="116"/>
      <c r="N24" s="140">
        <f>SQRT(N21*N22^2/(2*N23*(1-N23)))-I21</f>
        <v>-0.25091345809041887</v>
      </c>
      <c r="O24" s="17" t="s">
        <v>79</v>
      </c>
      <c r="P24" s="17"/>
      <c r="Q24" s="17"/>
      <c r="R24" s="17"/>
      <c r="S24" s="17"/>
      <c r="T24" s="4"/>
      <c r="U24" s="132"/>
      <c r="W24" s="141">
        <f>NORMSDIST(-W23)</f>
        <v>4.3723042391370461E-2</v>
      </c>
      <c r="X24" s="36" t="s">
        <v>80</v>
      </c>
      <c r="Y24" s="17"/>
      <c r="Z24" s="4"/>
      <c r="AA24" s="4"/>
      <c r="AB24" s="4"/>
      <c r="AC24" s="4"/>
      <c r="AD24" s="74"/>
    </row>
    <row r="25" spans="2:30" ht="13.5" hidden="1" customHeight="1" x14ac:dyDescent="0.3">
      <c r="B25" s="65"/>
      <c r="C25" s="139" t="s">
        <v>81</v>
      </c>
      <c r="D25" s="24"/>
      <c r="E25" s="35"/>
      <c r="F25" s="34"/>
      <c r="G25" s="107"/>
      <c r="H25" s="89"/>
      <c r="I25" s="89"/>
      <c r="J25" s="142"/>
      <c r="K25" s="142"/>
      <c r="L25" s="142"/>
      <c r="M25" s="116"/>
      <c r="N25" s="143">
        <f>NORMSDIST(N24)</f>
        <v>0.40094050957327609</v>
      </c>
      <c r="O25" s="36" t="s">
        <v>16</v>
      </c>
      <c r="P25" s="41"/>
      <c r="Q25" s="17"/>
      <c r="R25" s="17"/>
      <c r="S25" s="17"/>
      <c r="T25" s="17"/>
      <c r="U25" s="134"/>
      <c r="W25" s="144">
        <f>1-W24</f>
        <v>0.95627695760862952</v>
      </c>
      <c r="X25" s="42" t="s">
        <v>82</v>
      </c>
      <c r="Y25" s="41"/>
      <c r="Z25" s="4"/>
      <c r="AA25" s="4"/>
      <c r="AB25" s="4"/>
      <c r="AC25" s="4"/>
      <c r="AD25" s="74"/>
    </row>
    <row r="26" spans="2:30" ht="15" hidden="1" customHeight="1" x14ac:dyDescent="0.35">
      <c r="F26" s="43"/>
      <c r="G26" s="89"/>
      <c r="H26" s="89"/>
      <c r="I26" s="82" t="s">
        <v>23</v>
      </c>
      <c r="J26" s="145">
        <f>D22-D21</f>
        <v>5.1325088339222599E-2</v>
      </c>
      <c r="K26" s="146">
        <f>J26+SQRT((D22-K22)^2+(L21-D21)^2)</f>
        <v>0.11041373722413884</v>
      </c>
      <c r="L26" s="147">
        <f>J26-SQRT((D21-K21)^2+(L22-D22)^2)</f>
        <v>-7.8213604499636699E-3</v>
      </c>
      <c r="M26" s="88"/>
      <c r="N26" s="148">
        <f>1-N25</f>
        <v>0.59905949042672391</v>
      </c>
      <c r="O26" s="149" t="s">
        <v>83</v>
      </c>
      <c r="P26" s="150"/>
      <c r="Q26" s="151"/>
      <c r="R26" s="150"/>
      <c r="S26" s="150"/>
      <c r="T26" s="150"/>
      <c r="U26" s="152"/>
      <c r="W26" s="153"/>
      <c r="X26" s="154"/>
      <c r="Y26" s="150"/>
      <c r="Z26" s="154"/>
      <c r="AA26" s="154"/>
      <c r="AB26" s="154"/>
      <c r="AC26" s="154"/>
      <c r="AD26" s="155"/>
    </row>
    <row r="27" spans="2:30" ht="13.5" hidden="1" customHeight="1" x14ac:dyDescent="0.3">
      <c r="F27" s="44"/>
      <c r="G27" s="89"/>
      <c r="H27" s="89"/>
      <c r="I27" s="82" t="s">
        <v>24</v>
      </c>
      <c r="J27" s="156">
        <f>1/J26</f>
        <v>19.483648881239247</v>
      </c>
      <c r="K27" s="157">
        <f>1/K26</f>
        <v>9.0568440589055452</v>
      </c>
      <c r="L27" s="158">
        <f>1/L26</f>
        <v>-127.85499484359462</v>
      </c>
      <c r="M27" s="88"/>
      <c r="N27" s="89"/>
      <c r="O27" s="5"/>
      <c r="P27" s="5"/>
      <c r="U27" s="5"/>
      <c r="V27" s="5"/>
      <c r="W27" s="11"/>
      <c r="X27" s="11"/>
      <c r="Y27" s="11"/>
      <c r="Z27" s="11"/>
      <c r="AA27" s="11"/>
      <c r="AB27" s="11"/>
      <c r="AC27" s="11"/>
    </row>
    <row r="28" spans="2:30" ht="14.25" hidden="1" customHeight="1" x14ac:dyDescent="0.4">
      <c r="M28" s="159"/>
      <c r="N28" s="117"/>
      <c r="O28" s="160"/>
      <c r="P28" s="160" t="s">
        <v>78</v>
      </c>
      <c r="Q28" s="161">
        <f>SQRT((D23*(1-D23)/C21)+(D23*(1-D23)/C22))</f>
        <v>3.0031772742379392E-2</v>
      </c>
      <c r="R28" s="162"/>
      <c r="S28" s="162"/>
      <c r="T28" s="162"/>
      <c r="U28" s="63"/>
      <c r="V28" s="5"/>
    </row>
    <row r="29" spans="2:30" ht="31.5" hidden="1" customHeight="1" x14ac:dyDescent="0.3">
      <c r="M29" s="89"/>
      <c r="N29" s="163" t="s">
        <v>84</v>
      </c>
      <c r="O29" s="164"/>
      <c r="P29" s="17" t="s">
        <v>85</v>
      </c>
      <c r="Q29" s="17"/>
      <c r="R29" s="38"/>
      <c r="S29" s="165" t="s">
        <v>86</v>
      </c>
      <c r="T29" s="17"/>
      <c r="U29" s="134"/>
      <c r="V29" s="5"/>
    </row>
    <row r="30" spans="2:30" s="4" customFormat="1" ht="14.25" hidden="1" customHeight="1" x14ac:dyDescent="0.4">
      <c r="F30" s="5"/>
      <c r="G30" s="5"/>
      <c r="H30" s="5"/>
      <c r="I30" s="5"/>
      <c r="J30" s="5"/>
      <c r="K30" s="5"/>
      <c r="L30" s="5"/>
      <c r="M30" s="89"/>
      <c r="N30" s="166"/>
      <c r="O30" s="61" t="s">
        <v>87</v>
      </c>
      <c r="Q30" s="167" t="s">
        <v>88</v>
      </c>
      <c r="R30" s="61" t="s">
        <v>89</v>
      </c>
      <c r="S30" s="17"/>
      <c r="T30" s="17"/>
      <c r="U30" s="74"/>
    </row>
    <row r="31" spans="2:30" s="4" customFormat="1" ht="14.25" hidden="1" customHeight="1" x14ac:dyDescent="0.4">
      <c r="F31" s="5"/>
      <c r="G31" s="5"/>
      <c r="H31" s="5"/>
      <c r="I31" s="5"/>
      <c r="J31" s="5"/>
      <c r="K31" s="5"/>
      <c r="L31" s="5"/>
      <c r="M31" s="97"/>
      <c r="N31" s="140">
        <f>ABS((J26/Q28))-I21</f>
        <v>-0.25093772160502859</v>
      </c>
      <c r="O31" s="61" t="s">
        <v>90</v>
      </c>
      <c r="P31" s="17"/>
      <c r="Q31" s="17"/>
      <c r="R31" s="37"/>
      <c r="S31" s="39"/>
      <c r="T31" s="39"/>
      <c r="U31" s="132"/>
    </row>
    <row r="32" spans="2:30" s="4" customFormat="1" ht="12.75" hidden="1" customHeight="1" x14ac:dyDescent="0.3">
      <c r="B32" s="168"/>
      <c r="C32" s="46"/>
      <c r="E32" s="27"/>
      <c r="F32" s="5"/>
      <c r="G32" s="5"/>
      <c r="H32" s="5"/>
      <c r="I32" s="5"/>
      <c r="J32" s="5"/>
      <c r="K32" s="5"/>
      <c r="L32" s="5"/>
      <c r="M32" s="97"/>
      <c r="N32" s="143">
        <f>NORMSDIST(N31)</f>
        <v>0.40093112982049611</v>
      </c>
      <c r="O32" s="40" t="s">
        <v>91</v>
      </c>
      <c r="P32" s="41"/>
      <c r="Q32" s="17"/>
      <c r="R32" s="17"/>
      <c r="S32" s="17"/>
      <c r="T32" s="17"/>
      <c r="U32" s="74"/>
    </row>
    <row r="33" spans="2:22" s="4" customFormat="1" ht="12.75" hidden="1" customHeight="1" x14ac:dyDescent="0.3">
      <c r="B33" s="168"/>
      <c r="F33" s="5"/>
      <c r="G33" s="5"/>
      <c r="H33" s="5"/>
      <c r="I33" s="5"/>
      <c r="J33" s="5"/>
      <c r="K33" s="5"/>
      <c r="L33" s="5"/>
      <c r="M33" s="97"/>
      <c r="N33" s="148">
        <f>1-N32</f>
        <v>0.59906887017950394</v>
      </c>
      <c r="O33" s="150" t="s">
        <v>92</v>
      </c>
      <c r="P33" s="150"/>
      <c r="Q33" s="151"/>
      <c r="R33" s="169"/>
      <c r="S33" s="170"/>
      <c r="T33" s="170"/>
      <c r="U33" s="152"/>
    </row>
    <row r="34" spans="2:22" s="4" customFormat="1" ht="12.75" hidden="1" customHeight="1" x14ac:dyDescent="0.3">
      <c r="B34" s="103"/>
      <c r="F34" s="5"/>
      <c r="G34" s="5"/>
      <c r="H34" s="5"/>
      <c r="I34" s="5"/>
      <c r="J34" s="5"/>
      <c r="K34" s="5"/>
      <c r="L34" s="5"/>
      <c r="M34" s="97"/>
      <c r="N34" s="88"/>
      <c r="O34" s="17"/>
      <c r="P34" s="17"/>
      <c r="Q34" s="17"/>
      <c r="R34" s="17"/>
      <c r="S34" s="17"/>
      <c r="T34" s="17"/>
      <c r="U34" s="17"/>
      <c r="V34" s="17"/>
    </row>
    <row r="35" spans="2:22" ht="15.75" hidden="1" customHeight="1" x14ac:dyDescent="0.35">
      <c r="B35" s="171" t="s">
        <v>93</v>
      </c>
      <c r="C35" s="51"/>
      <c r="D35" s="51"/>
      <c r="E35" s="51"/>
      <c r="M35" s="89"/>
      <c r="N35" s="88"/>
      <c r="O35" s="17"/>
      <c r="P35" s="17"/>
      <c r="Q35" s="17"/>
      <c r="R35" s="17"/>
      <c r="S35" s="17"/>
      <c r="T35" s="17"/>
      <c r="U35" s="17"/>
      <c r="V35" s="17"/>
    </row>
    <row r="36" spans="2:22" s="11" customFormat="1" ht="12.75" hidden="1" customHeight="1" x14ac:dyDescent="0.3">
      <c r="B36" s="65"/>
      <c r="C36" s="52" t="s">
        <v>20</v>
      </c>
      <c r="D36" s="53" t="s">
        <v>21</v>
      </c>
      <c r="E36" s="17"/>
      <c r="F36" s="47"/>
      <c r="G36" s="172"/>
      <c r="H36" s="173"/>
      <c r="I36" s="174"/>
      <c r="J36" s="175"/>
      <c r="K36" s="175"/>
      <c r="L36" s="175"/>
      <c r="M36" s="108"/>
      <c r="N36" s="97"/>
      <c r="O36" s="4"/>
      <c r="P36" s="4"/>
      <c r="Q36" s="4"/>
      <c r="R36" s="4"/>
    </row>
    <row r="37" spans="2:22" ht="12.75" hidden="1" customHeight="1" x14ac:dyDescent="0.3">
      <c r="B37" s="250" t="s">
        <v>32</v>
      </c>
      <c r="C37" s="251" t="s">
        <v>3</v>
      </c>
      <c r="D37" s="252" t="s">
        <v>2</v>
      </c>
      <c r="E37" s="253" t="s">
        <v>22</v>
      </c>
      <c r="G37" s="89"/>
      <c r="H37" s="89"/>
      <c r="I37" s="89"/>
      <c r="J37" s="89"/>
      <c r="K37" s="89"/>
      <c r="L37" s="89"/>
      <c r="M37" s="89"/>
      <c r="N37" s="97"/>
      <c r="O37" s="4"/>
      <c r="P37" s="4"/>
      <c r="Q37" s="4"/>
      <c r="R37" s="4"/>
      <c r="U37" s="5"/>
      <c r="V37" s="5"/>
    </row>
    <row r="38" spans="2:22" ht="12.75" hidden="1" customHeight="1" x14ac:dyDescent="0.3">
      <c r="B38" s="254" t="s">
        <v>17</v>
      </c>
      <c r="C38" s="255">
        <f>F7*D9/F9</f>
        <v>42.223801065719364</v>
      </c>
      <c r="D38" s="255">
        <f>F7*E9/F9</f>
        <v>240.77619893428064</v>
      </c>
      <c r="E38" s="255">
        <f>F7</f>
        <v>283</v>
      </c>
      <c r="G38" s="176"/>
      <c r="H38" s="177" t="s">
        <v>30</v>
      </c>
      <c r="I38" s="178">
        <f>CHIINV(0.05,K39)</f>
        <v>3.8414588206941236</v>
      </c>
      <c r="J38" s="89"/>
      <c r="K38" s="89"/>
      <c r="L38" s="89"/>
      <c r="M38" s="89"/>
      <c r="N38" s="97"/>
      <c r="O38" s="48"/>
      <c r="P38" s="48"/>
      <c r="Q38" s="48"/>
      <c r="R38" s="4"/>
      <c r="U38" s="5"/>
      <c r="V38" s="5"/>
    </row>
    <row r="39" spans="2:22" ht="12.75" hidden="1" customHeight="1" x14ac:dyDescent="0.3">
      <c r="B39" s="254" t="s">
        <v>18</v>
      </c>
      <c r="C39" s="255">
        <f>F8*D9/F9</f>
        <v>41.776198934280636</v>
      </c>
      <c r="D39" s="255">
        <f>F8*E9/F9</f>
        <v>238.22380106571936</v>
      </c>
      <c r="E39" s="255">
        <f>F8</f>
        <v>280</v>
      </c>
      <c r="F39" s="11"/>
      <c r="G39" s="179"/>
      <c r="H39" s="179"/>
      <c r="I39" s="180"/>
      <c r="J39" s="181" t="s">
        <v>31</v>
      </c>
      <c r="K39" s="182">
        <f>(COUNT(C38:D38)-1)*(COUNT(C38:C39)-1)</f>
        <v>1</v>
      </c>
      <c r="L39" s="89"/>
      <c r="M39" s="89"/>
      <c r="N39" s="89"/>
      <c r="O39" s="48"/>
      <c r="P39" s="48"/>
      <c r="Q39" s="48"/>
      <c r="R39" s="4"/>
      <c r="U39" s="5"/>
      <c r="V39" s="5"/>
    </row>
    <row r="40" spans="2:22" ht="12.75" hidden="1" customHeight="1" x14ac:dyDescent="0.3">
      <c r="B40" s="256" t="s">
        <v>29</v>
      </c>
      <c r="C40" s="255">
        <f>SUM(C38:C39)</f>
        <v>84</v>
      </c>
      <c r="D40" s="255">
        <f>SUM(D38:D39)</f>
        <v>479</v>
      </c>
      <c r="E40" s="257">
        <f>SUM(E38:E39)</f>
        <v>563</v>
      </c>
      <c r="F40" s="11"/>
      <c r="G40" s="108"/>
      <c r="H40" s="184" t="s">
        <v>33</v>
      </c>
      <c r="I40" s="62" t="s">
        <v>34</v>
      </c>
      <c r="J40" s="89"/>
      <c r="K40" s="89"/>
      <c r="L40" s="89"/>
      <c r="M40" s="89"/>
      <c r="N40" s="89"/>
      <c r="O40" s="48"/>
      <c r="P40" s="49"/>
      <c r="Q40" s="48"/>
      <c r="R40" s="4"/>
      <c r="U40" s="5"/>
      <c r="V40" s="5"/>
    </row>
    <row r="41" spans="2:22" ht="12.75" hidden="1" customHeight="1" x14ac:dyDescent="0.3">
      <c r="B41" s="183"/>
      <c r="C41" s="55"/>
      <c r="D41" s="55"/>
      <c r="E41" s="56"/>
      <c r="F41" s="11"/>
      <c r="G41" s="108"/>
      <c r="H41" s="184" t="s">
        <v>35</v>
      </c>
      <c r="I41" s="62" t="s">
        <v>36</v>
      </c>
      <c r="J41" s="89"/>
      <c r="K41" s="89"/>
      <c r="L41" s="89"/>
      <c r="M41" s="89"/>
      <c r="N41" s="89"/>
      <c r="O41" s="50"/>
      <c r="P41" s="50"/>
      <c r="Q41" s="50"/>
      <c r="R41" s="4"/>
      <c r="U41" s="5"/>
      <c r="V41" s="5"/>
    </row>
    <row r="42" spans="2:22" ht="26.25" hidden="1" customHeight="1" x14ac:dyDescent="0.3">
      <c r="B42" s="185"/>
      <c r="C42" s="301" t="s">
        <v>94</v>
      </c>
      <c r="D42" s="302"/>
      <c r="G42" s="89"/>
      <c r="H42" s="186"/>
      <c r="I42" s="89"/>
      <c r="J42" s="89"/>
      <c r="K42" s="89"/>
      <c r="L42" s="89"/>
      <c r="M42" s="89"/>
      <c r="N42" s="89"/>
      <c r="O42" s="5"/>
      <c r="P42" s="5"/>
      <c r="U42" s="5"/>
      <c r="V42" s="5"/>
    </row>
    <row r="43" spans="2:22" ht="12.75" hidden="1" customHeight="1" x14ac:dyDescent="0.3">
      <c r="B43" s="185"/>
      <c r="C43" s="57">
        <f>(D7-C38)^2/C38</f>
        <v>1.2358740928100567</v>
      </c>
      <c r="D43" s="57">
        <f>(E7-D38)^2/D38</f>
        <v>0.21672948600426839</v>
      </c>
      <c r="F43" s="54"/>
      <c r="G43" s="187"/>
      <c r="H43" s="89"/>
      <c r="I43" s="89"/>
      <c r="J43" s="97"/>
      <c r="K43" s="97"/>
      <c r="L43" s="188"/>
      <c r="M43" s="89"/>
      <c r="N43" s="89"/>
      <c r="O43" s="5"/>
      <c r="P43" s="5"/>
      <c r="U43" s="5"/>
      <c r="V43" s="5"/>
    </row>
    <row r="44" spans="2:22" ht="12.75" hidden="1" customHeight="1" x14ac:dyDescent="0.3">
      <c r="B44" s="185"/>
      <c r="C44" s="57">
        <f>(D8-C39)^2/C39</f>
        <v>1.2491156009473074</v>
      </c>
      <c r="D44" s="57">
        <f>(E8-D39)^2/D39</f>
        <v>0.21905158764002841</v>
      </c>
      <c r="E44" s="258"/>
      <c r="F44" s="259" t="s">
        <v>37</v>
      </c>
      <c r="G44" s="262">
        <f>C46-I38</f>
        <v>-0.92068805329246262</v>
      </c>
      <c r="H44" s="89"/>
      <c r="I44" s="89"/>
      <c r="J44" s="97"/>
      <c r="K44" s="97"/>
      <c r="L44" s="89"/>
      <c r="M44" s="89"/>
      <c r="N44" s="89"/>
      <c r="O44" s="5"/>
      <c r="P44" s="5"/>
      <c r="U44" s="5"/>
      <c r="V44" s="5"/>
    </row>
    <row r="45" spans="2:22" ht="12.75" hidden="1" customHeight="1" x14ac:dyDescent="0.3">
      <c r="B45" s="62" t="s">
        <v>39</v>
      </c>
      <c r="D45" s="58"/>
      <c r="G45" s="67" t="s">
        <v>40</v>
      </c>
      <c r="H45" s="89"/>
      <c r="I45" s="89"/>
      <c r="J45" s="97"/>
      <c r="K45" s="97"/>
      <c r="L45" s="89"/>
      <c r="M45" s="89"/>
      <c r="N45" s="89"/>
      <c r="O45" s="5"/>
      <c r="P45" s="5"/>
      <c r="U45" s="5"/>
      <c r="V45" s="5"/>
    </row>
    <row r="46" spans="2:22" ht="13.5" hidden="1" customHeight="1" x14ac:dyDescent="0.3">
      <c r="B46" s="75" t="s">
        <v>38</v>
      </c>
      <c r="C46" s="260">
        <f>SUM(C43:D44)</f>
        <v>2.920770767401661</v>
      </c>
      <c r="D46" s="17"/>
      <c r="G46" s="67" t="s">
        <v>41</v>
      </c>
      <c r="H46" s="89"/>
      <c r="I46" s="189"/>
      <c r="J46" s="97"/>
      <c r="K46" s="97"/>
      <c r="L46" s="190"/>
      <c r="M46" s="89"/>
      <c r="N46" s="89"/>
      <c r="O46" s="5"/>
      <c r="P46" s="5"/>
      <c r="U46" s="5"/>
      <c r="V46" s="5"/>
    </row>
    <row r="47" spans="2:22" ht="12.75" hidden="1" customHeight="1" x14ac:dyDescent="0.3">
      <c r="B47" s="191" t="s">
        <v>58</v>
      </c>
      <c r="C47" s="261">
        <f>CHIDIST(C46,1)</f>
        <v>8.7446084782740727E-2</v>
      </c>
      <c r="E47" s="17"/>
      <c r="F47" s="17"/>
      <c r="G47" s="88"/>
      <c r="H47" s="192"/>
      <c r="I47" s="88"/>
      <c r="J47" s="97"/>
      <c r="K47" s="97"/>
      <c r="L47" s="88"/>
      <c r="M47" s="89"/>
      <c r="N47" s="89"/>
      <c r="O47" s="5"/>
      <c r="P47" s="5"/>
      <c r="U47" s="5"/>
      <c r="V47" s="5"/>
    </row>
    <row r="48" spans="2:22" s="4" customFormat="1" ht="12.75" hidden="1" customHeight="1" x14ac:dyDescent="0.3">
      <c r="B48" s="103"/>
      <c r="E48" s="59"/>
      <c r="F48" s="59"/>
      <c r="G48" s="97"/>
      <c r="H48" s="97"/>
      <c r="I48" s="193"/>
      <c r="J48" s="97"/>
      <c r="K48" s="97"/>
      <c r="L48" s="97"/>
      <c r="M48" s="97"/>
      <c r="N48" s="97"/>
    </row>
    <row r="49" spans="2:22" ht="13.5" hidden="1" customHeight="1" x14ac:dyDescent="0.3">
      <c r="B49" s="65"/>
      <c r="G49" s="89"/>
      <c r="H49" s="89"/>
      <c r="I49" s="89"/>
      <c r="J49" s="97"/>
      <c r="K49" s="97"/>
      <c r="L49" s="89"/>
      <c r="M49" s="89"/>
      <c r="N49" s="89"/>
      <c r="O49" s="5"/>
      <c r="P49" s="5"/>
      <c r="U49" s="5"/>
      <c r="V49" s="5"/>
    </row>
    <row r="50" spans="2:22" ht="12.75" hidden="1" customHeight="1" x14ac:dyDescent="0.3">
      <c r="B50" s="194" t="s">
        <v>95</v>
      </c>
      <c r="C50" s="73"/>
      <c r="D50" s="73"/>
      <c r="E50" s="73"/>
      <c r="F50" s="73"/>
      <c r="G50" s="73"/>
      <c r="H50" s="195"/>
      <c r="I50" s="89"/>
      <c r="J50" s="196" t="s">
        <v>96</v>
      </c>
      <c r="K50" s="197"/>
      <c r="L50" s="198"/>
      <c r="M50" s="198"/>
      <c r="N50" s="198"/>
      <c r="O50" s="63"/>
      <c r="P50" s="5"/>
      <c r="U50" s="5"/>
      <c r="V50" s="5"/>
    </row>
    <row r="51" spans="2:22" ht="12.75" hidden="1" customHeight="1" x14ac:dyDescent="0.3">
      <c r="B51" s="199">
        <f>I2*100</f>
        <v>95</v>
      </c>
      <c r="C51" s="47"/>
      <c r="D51" s="47"/>
      <c r="E51" s="4"/>
      <c r="F51" s="4"/>
      <c r="G51" s="4"/>
      <c r="H51" s="74"/>
      <c r="I51" s="89"/>
      <c r="J51" s="200"/>
      <c r="K51" s="97"/>
      <c r="L51" s="88"/>
      <c r="M51" s="88"/>
      <c r="N51" s="88"/>
      <c r="O51" s="134"/>
      <c r="P51" s="5"/>
      <c r="U51" s="5"/>
      <c r="V51" s="5"/>
    </row>
    <row r="52" spans="2:22" ht="12.75" hidden="1" customHeight="1" x14ac:dyDescent="0.3">
      <c r="B52" s="201" t="s">
        <v>44</v>
      </c>
      <c r="C52" s="202"/>
      <c r="D52" s="202"/>
      <c r="E52" s="1">
        <f>ROUND(G14,2)</f>
        <v>0.71</v>
      </c>
      <c r="F52" s="45">
        <f>ROUND(J26,4)</f>
        <v>5.1299999999999998E-2</v>
      </c>
      <c r="G52" s="203">
        <f>ROUND(J27,0)</f>
        <v>19</v>
      </c>
      <c r="H52" s="204"/>
      <c r="I52" s="89"/>
      <c r="J52" s="205" t="s">
        <v>44</v>
      </c>
      <c r="K52" s="4"/>
      <c r="L52" s="4"/>
      <c r="M52" s="4"/>
      <c r="N52" s="88"/>
      <c r="O52" s="134"/>
      <c r="P52" s="5"/>
      <c r="U52" s="5"/>
      <c r="V52" s="5"/>
    </row>
    <row r="53" spans="2:22" ht="12.75" hidden="1" customHeight="1" x14ac:dyDescent="0.3">
      <c r="B53" s="201" t="s">
        <v>46</v>
      </c>
      <c r="C53" s="17"/>
      <c r="D53" s="17"/>
      <c r="E53" s="1">
        <f>ROUND(H14,2)</f>
        <v>0.47</v>
      </c>
      <c r="F53" s="45">
        <f>ROUND(L26,4)</f>
        <v>-7.7999999999999996E-3</v>
      </c>
      <c r="G53" s="203">
        <f>ROUND(L27,0)</f>
        <v>-128</v>
      </c>
      <c r="H53" s="204"/>
      <c r="I53" s="89"/>
      <c r="J53" s="205" t="s">
        <v>46</v>
      </c>
      <c r="K53" s="206" t="str">
        <f>ROUND(J21,3)*100&amp;J55</f>
        <v>12,4%</v>
      </c>
      <c r="L53" s="206" t="str">
        <f>ROUND(K21,3)*100&amp;J55</f>
        <v>9%</v>
      </c>
      <c r="M53" s="206" t="str">
        <f>ROUND(L21,4)*100&amp;J55</f>
        <v>16,71%</v>
      </c>
      <c r="N53" s="66" t="str">
        <f>CONCATENATE(K53," ",J52,L53," ",J56," ",M53,J54)</f>
        <v>12,4% (9% a 16,71%)</v>
      </c>
      <c r="O53" s="134"/>
      <c r="P53" s="5"/>
      <c r="U53" s="5"/>
      <c r="V53" s="5"/>
    </row>
    <row r="54" spans="2:22" s="11" customFormat="1" ht="12.75" hidden="1" customHeight="1" x14ac:dyDescent="0.3">
      <c r="B54" s="201" t="s">
        <v>45</v>
      </c>
      <c r="C54" s="202">
        <f>ROUND(D7,0)</f>
        <v>35</v>
      </c>
      <c r="D54" s="202">
        <f>ROUND(D8,0)</f>
        <v>49</v>
      </c>
      <c r="E54" s="1">
        <f>ROUND(I14,2)</f>
        <v>1.06</v>
      </c>
      <c r="F54" s="45">
        <f>ROUND(K26,4)</f>
        <v>0.1104</v>
      </c>
      <c r="G54" s="203">
        <f>ROUND(K27,0)</f>
        <v>9</v>
      </c>
      <c r="H54" s="207">
        <f>ROUND(N32,4)</f>
        <v>0.40089999999999998</v>
      </c>
      <c r="I54" s="108"/>
      <c r="J54" s="205" t="s">
        <v>45</v>
      </c>
      <c r="K54" s="60" t="str">
        <f>ROUND(J22,3)*100&amp;J55</f>
        <v>17,5%</v>
      </c>
      <c r="L54" s="60" t="str">
        <f>ROUND(K22,3)*100&amp;J55</f>
        <v>13,5%</v>
      </c>
      <c r="M54" s="60" t="str">
        <f>ROUND(L22,4)*100&amp;J55</f>
        <v>22,38%</v>
      </c>
      <c r="N54" s="66" t="str">
        <f>CONCATENATE(K54," ",J52,L54," ",J56," ",M54,J54)</f>
        <v>17,5% (13,5% a 22,38%)</v>
      </c>
      <c r="O54" s="74"/>
    </row>
    <row r="55" spans="2:22" ht="12.75" hidden="1" customHeight="1" x14ac:dyDescent="0.3">
      <c r="B55" s="201" t="s">
        <v>47</v>
      </c>
      <c r="C55" s="208" t="s">
        <v>54</v>
      </c>
      <c r="D55" s="208" t="s">
        <v>55</v>
      </c>
      <c r="E55" s="208" t="s">
        <v>4</v>
      </c>
      <c r="F55" s="208" t="s">
        <v>50</v>
      </c>
      <c r="G55" s="209" t="s">
        <v>48</v>
      </c>
      <c r="H55" s="176" t="s">
        <v>51</v>
      </c>
      <c r="I55" s="89"/>
      <c r="J55" s="205" t="s">
        <v>47</v>
      </c>
      <c r="K55" s="60" t="str">
        <f>ROUND(J23,3)*100&amp;J55</f>
        <v>14,9%</v>
      </c>
      <c r="L55" s="60" t="str">
        <f>ROUND(K23,3)*100&amp;J55</f>
        <v>12,2%</v>
      </c>
      <c r="M55" s="60" t="str">
        <f>ROUND(L23,4)*100&amp;J55</f>
        <v>18,1%</v>
      </c>
      <c r="N55" s="66" t="str">
        <f>CONCATENATE(K55," ",J52,L55," ",J56," ",M55,J54)</f>
        <v>14,9% (12,2% a 18,1%)</v>
      </c>
      <c r="O55" s="74"/>
    </row>
    <row r="56" spans="2:22" ht="12.75" hidden="1" customHeight="1" x14ac:dyDescent="0.3">
      <c r="B56" s="210" t="s">
        <v>19</v>
      </c>
      <c r="C56" s="211" t="str">
        <f>CONCATENATE(C54,B57,C21," ",B52,K53,B54)</f>
        <v>35/283 (12,4%)</v>
      </c>
      <c r="D56" s="82" t="str">
        <f>CONCATENATE(D54,B57,C22," ",B52,K54,B54)</f>
        <v>49/280 (17,5%)</v>
      </c>
      <c r="E56" s="211" t="str">
        <f>CONCATENATE(E52," ",B52,E53,B53,E54,B54)</f>
        <v>0,71 (0,47-1,06)</v>
      </c>
      <c r="F56" s="211" t="str">
        <f>CONCATENATE(F52*100,B55," ",B52,F53*100,B55," ",B56," ",F54*100,B55,B54)</f>
        <v>5,13% (-0,78% a 11,04%)</v>
      </c>
      <c r="G56" s="176" t="str">
        <f>CONCATENATE(G52," ",B52,G54," ",B56," ",G53,B54)</f>
        <v>19 (9 a -128)</v>
      </c>
      <c r="H56" s="176" t="str">
        <f>CONCATENATE(H54*100,B55)</f>
        <v>40,09%</v>
      </c>
      <c r="I56" s="89"/>
      <c r="J56" s="212" t="s">
        <v>19</v>
      </c>
      <c r="K56" s="17"/>
      <c r="L56" s="17"/>
      <c r="M56" s="17"/>
      <c r="N56" s="88"/>
      <c r="O56" s="134"/>
      <c r="P56" s="5"/>
      <c r="U56" s="5"/>
      <c r="V56" s="5"/>
    </row>
    <row r="57" spans="2:22" ht="13.5" hidden="1" customHeight="1" x14ac:dyDescent="0.3">
      <c r="B57" s="213" t="s">
        <v>49</v>
      </c>
      <c r="C57" s="154"/>
      <c r="D57" s="154"/>
      <c r="E57" s="154"/>
      <c r="F57" s="154"/>
      <c r="G57" s="214"/>
      <c r="H57" s="215"/>
      <c r="I57" s="89"/>
      <c r="J57" s="216" t="s">
        <v>49</v>
      </c>
      <c r="K57" s="154"/>
      <c r="L57" s="154"/>
      <c r="M57" s="154"/>
      <c r="N57" s="217"/>
      <c r="O57" s="152"/>
      <c r="P57" s="5"/>
      <c r="U57" s="5"/>
      <c r="V57" s="5"/>
    </row>
    <row r="58" spans="2:22" hidden="1" x14ac:dyDescent="0.3">
      <c r="B58" s="65"/>
      <c r="G58" s="89"/>
      <c r="H58" s="89"/>
      <c r="I58" s="89"/>
      <c r="J58" s="89"/>
      <c r="K58" s="89"/>
      <c r="L58" s="97"/>
      <c r="M58" s="89"/>
      <c r="N58" s="89"/>
      <c r="O58" s="5"/>
      <c r="P58" s="5"/>
      <c r="T58" s="228"/>
      <c r="U58" s="5"/>
      <c r="V58" s="5"/>
    </row>
    <row r="59" spans="2:22" ht="27" customHeight="1" x14ac:dyDescent="0.3">
      <c r="B59" s="65"/>
      <c r="C59" s="218" t="s">
        <v>54</v>
      </c>
      <c r="D59" s="218" t="s">
        <v>55</v>
      </c>
      <c r="E59" s="219" t="str">
        <f>CONCATENATE(E55," ",B52,H2," ",B51,B55,B54)</f>
        <v>RR (IC 95%)</v>
      </c>
      <c r="F59" s="219" t="str">
        <f>CONCATENATE(F55," ",B52,H2," ",B51,B55,B54)</f>
        <v>RAR (IC 95%)</v>
      </c>
      <c r="G59" s="219" t="str">
        <f>CONCATENATE(G55," ",B52,H2," ",B51,B55,B54)</f>
        <v>NNT (IC 95%)</v>
      </c>
      <c r="H59" s="219" t="s">
        <v>52</v>
      </c>
      <c r="I59" s="220"/>
      <c r="J59" s="219" t="s">
        <v>59</v>
      </c>
      <c r="L59" s="243" t="s">
        <v>97</v>
      </c>
      <c r="M59" s="243" t="s">
        <v>98</v>
      </c>
      <c r="O59" s="5"/>
      <c r="P59" s="5"/>
      <c r="U59" s="5"/>
      <c r="V59" s="5"/>
    </row>
    <row r="60" spans="2:22" ht="21" customHeight="1" x14ac:dyDescent="0.3">
      <c r="B60" s="65"/>
      <c r="C60" s="82" t="str">
        <f t="shared" ref="C60:H60" si="1">C56</f>
        <v>35/283 (12,4%)</v>
      </c>
      <c r="D60" s="82" t="str">
        <f t="shared" si="1"/>
        <v>49/280 (17,5%)</v>
      </c>
      <c r="E60" s="82" t="str">
        <f t="shared" si="1"/>
        <v>0,71 (0,47-1,06)</v>
      </c>
      <c r="F60" s="82" t="str">
        <f t="shared" si="1"/>
        <v>5,13% (-0,78% a 11,04%)</v>
      </c>
      <c r="G60" s="82" t="str">
        <f t="shared" si="1"/>
        <v>19 (9 a -128)</v>
      </c>
      <c r="H60" s="82" t="str">
        <f t="shared" si="1"/>
        <v>40,09%</v>
      </c>
      <c r="I60" s="221"/>
      <c r="J60" s="222">
        <f>C47</f>
        <v>8.7446084782740727E-2</v>
      </c>
      <c r="L60" s="223">
        <f>IF((K26*L26&lt;0),J23,J21)</f>
        <v>0.1492007104795737</v>
      </c>
      <c r="M60" s="223">
        <f>IF((K26*L26&lt;0),J23,J22)</f>
        <v>0.1492007104795737</v>
      </c>
      <c r="O60" s="5"/>
      <c r="P60" s="5"/>
      <c r="U60" s="5"/>
      <c r="V60" s="5"/>
    </row>
    <row r="61" spans="2:22" x14ac:dyDescent="0.3">
      <c r="L61" s="4"/>
    </row>
    <row r="62" spans="2:22" x14ac:dyDescent="0.3">
      <c r="L62" s="4"/>
    </row>
    <row r="64" spans="2:22" x14ac:dyDescent="0.3">
      <c r="B64" s="236" t="s">
        <v>168</v>
      </c>
    </row>
    <row r="65" spans="1:14" ht="13.5" thickBot="1" x14ac:dyDescent="0.35">
      <c r="B65" s="237" t="s">
        <v>111</v>
      </c>
    </row>
    <row r="66" spans="1:14" ht="37" customHeight="1" thickBot="1" x14ac:dyDescent="0.35">
      <c r="A66" s="11"/>
      <c r="B66" s="303" t="s">
        <v>112</v>
      </c>
      <c r="C66" s="304"/>
      <c r="D66" s="304"/>
      <c r="E66" s="305"/>
      <c r="F66" s="263"/>
      <c r="G66" s="263"/>
      <c r="H66" s="263"/>
      <c r="I66" s="263"/>
      <c r="J66" s="263"/>
      <c r="K66" s="11"/>
      <c r="L66" s="11"/>
      <c r="M66" s="11"/>
      <c r="N66" s="11"/>
    </row>
    <row r="67" spans="1:14" ht="7" customHeight="1" thickBot="1" x14ac:dyDescent="0.35">
      <c r="A67" s="11"/>
      <c r="B67" s="11"/>
      <c r="C67" s="11"/>
      <c r="D67" s="11"/>
      <c r="E67" s="11"/>
      <c r="F67" s="11"/>
      <c r="G67" s="4"/>
      <c r="H67" s="4"/>
      <c r="I67" s="4"/>
      <c r="J67" s="4"/>
      <c r="K67" s="11"/>
      <c r="L67" s="11"/>
      <c r="M67" s="11"/>
      <c r="N67" s="11"/>
    </row>
    <row r="68" spans="1:14" ht="59" customHeight="1" thickBot="1" x14ac:dyDescent="0.35">
      <c r="A68" s="11"/>
      <c r="B68" s="279" t="s">
        <v>113</v>
      </c>
      <c r="C68" s="272" t="s">
        <v>114</v>
      </c>
      <c r="D68" s="273" t="s">
        <v>116</v>
      </c>
      <c r="E68" s="275" t="s">
        <v>104</v>
      </c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5" customHeight="1" x14ac:dyDescent="0.3">
      <c r="A69" s="11"/>
      <c r="B69" s="265"/>
      <c r="C69" s="265"/>
      <c r="D69" s="265"/>
      <c r="E69" s="265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6.5" customHeight="1" x14ac:dyDescent="0.3">
      <c r="A70" s="11"/>
      <c r="B70" s="244" t="s">
        <v>107</v>
      </c>
      <c r="C70" s="266" t="s">
        <v>119</v>
      </c>
      <c r="D70" s="266" t="s">
        <v>120</v>
      </c>
      <c r="E70" s="276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6.5" customHeight="1" x14ac:dyDescent="0.3">
      <c r="A71" s="11"/>
      <c r="B71" s="244" t="s">
        <v>110</v>
      </c>
      <c r="C71" s="266" t="s">
        <v>121</v>
      </c>
      <c r="D71" s="266" t="s">
        <v>122</v>
      </c>
      <c r="E71" s="277">
        <v>0.93051402759277113</v>
      </c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6.5" customHeight="1" x14ac:dyDescent="0.3">
      <c r="A72" s="11"/>
      <c r="B72" s="278" t="s">
        <v>108</v>
      </c>
      <c r="C72" s="269"/>
      <c r="D72" s="269"/>
      <c r="E72" s="270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6.5" customHeight="1" x14ac:dyDescent="0.3">
      <c r="A73" s="11"/>
      <c r="B73" s="244" t="s">
        <v>105</v>
      </c>
      <c r="C73" s="266" t="s">
        <v>169</v>
      </c>
      <c r="D73" s="266" t="s">
        <v>170</v>
      </c>
      <c r="E73" s="277">
        <v>8.7446084782740727E-2</v>
      </c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6.5" customHeight="1" x14ac:dyDescent="0.3">
      <c r="A74" s="11"/>
      <c r="B74" s="244" t="s">
        <v>106</v>
      </c>
      <c r="C74" s="266" t="s">
        <v>123</v>
      </c>
      <c r="D74" s="266" t="s">
        <v>124</v>
      </c>
      <c r="E74" s="277">
        <v>8.7446084782740727E-2</v>
      </c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6.5" customHeight="1" x14ac:dyDescent="0.3">
      <c r="A75" s="11"/>
      <c r="B75" s="281" t="s">
        <v>125</v>
      </c>
      <c r="C75" s="306"/>
      <c r="D75" s="306"/>
      <c r="E75" s="308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6.5" customHeight="1" x14ac:dyDescent="0.3">
      <c r="A76" s="11"/>
      <c r="B76" s="282" t="s">
        <v>128</v>
      </c>
      <c r="C76" s="307" t="s">
        <v>129</v>
      </c>
      <c r="D76" s="307" t="s">
        <v>130</v>
      </c>
      <c r="E76" s="309">
        <v>0.74295134959492759</v>
      </c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6.5" customHeight="1" x14ac:dyDescent="0.3">
      <c r="A77" s="11"/>
      <c r="B77" s="282" t="s">
        <v>126</v>
      </c>
      <c r="C77" s="307" t="s">
        <v>131</v>
      </c>
      <c r="D77" s="307" t="s">
        <v>132</v>
      </c>
      <c r="E77" s="309">
        <v>0.81847999325953236</v>
      </c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6.5" customHeight="1" x14ac:dyDescent="0.3">
      <c r="A78" s="11"/>
      <c r="B78" s="282" t="s">
        <v>127</v>
      </c>
      <c r="C78" s="307" t="s">
        <v>133</v>
      </c>
      <c r="D78" s="307" t="s">
        <v>134</v>
      </c>
      <c r="E78" s="309">
        <v>0.83836957619426877</v>
      </c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6.5" customHeight="1" x14ac:dyDescent="0.3">
      <c r="A79" s="11"/>
      <c r="B79" s="278" t="s">
        <v>135</v>
      </c>
      <c r="C79" s="269"/>
      <c r="D79" s="269"/>
      <c r="E79" s="270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6.5" customHeight="1" x14ac:dyDescent="0.3">
      <c r="A80" s="11"/>
      <c r="B80" s="271" t="s">
        <v>109</v>
      </c>
      <c r="C80" s="266" t="s">
        <v>136</v>
      </c>
      <c r="D80" s="266" t="s">
        <v>137</v>
      </c>
      <c r="E80" s="277">
        <v>0.9100500214825803</v>
      </c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6.5" customHeight="1" x14ac:dyDescent="0.3">
      <c r="A81" s="11"/>
      <c r="B81" s="271">
        <v>1</v>
      </c>
      <c r="C81" s="266" t="s">
        <v>138</v>
      </c>
      <c r="D81" s="266" t="s">
        <v>139</v>
      </c>
      <c r="E81" s="277">
        <v>0.9100500214825803</v>
      </c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6.5" customHeight="1" x14ac:dyDescent="0.3">
      <c r="A82" s="11"/>
      <c r="B82" s="284" t="s">
        <v>140</v>
      </c>
      <c r="C82" s="267"/>
      <c r="D82" s="267"/>
      <c r="E82" s="268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6.5" customHeight="1" x14ac:dyDescent="0.3">
      <c r="A83" s="11"/>
      <c r="B83" s="285" t="s">
        <v>141</v>
      </c>
      <c r="C83" s="293">
        <v>0</v>
      </c>
      <c r="D83" s="293">
        <v>0</v>
      </c>
      <c r="E83" s="277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6.5" customHeight="1" x14ac:dyDescent="0.3">
      <c r="A84" s="11"/>
      <c r="B84" s="285" t="s">
        <v>142</v>
      </c>
      <c r="C84" s="266" t="s">
        <v>144</v>
      </c>
      <c r="D84" s="266" t="s">
        <v>145</v>
      </c>
      <c r="E84" s="277">
        <v>0.29096779589885752</v>
      </c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6.5" customHeight="1" x14ac:dyDescent="0.3">
      <c r="A85" s="11"/>
      <c r="B85" s="285" t="s">
        <v>143</v>
      </c>
      <c r="C85" s="266" t="s">
        <v>146</v>
      </c>
      <c r="D85" s="266" t="s">
        <v>147</v>
      </c>
      <c r="E85" s="277">
        <v>0.29096779589885752</v>
      </c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6.5" customHeight="1" x14ac:dyDescent="0.3">
      <c r="A86" s="11"/>
      <c r="B86" s="286" t="s">
        <v>148</v>
      </c>
      <c r="C86" s="267"/>
      <c r="D86" s="267"/>
      <c r="E86" s="268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6.5" customHeight="1" x14ac:dyDescent="0.3">
      <c r="A87" s="11"/>
      <c r="B87" s="287" t="s">
        <v>149</v>
      </c>
      <c r="C87" s="266" t="s">
        <v>151</v>
      </c>
      <c r="D87" s="266" t="s">
        <v>152</v>
      </c>
      <c r="E87" s="277">
        <v>0.97998403963281677</v>
      </c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6.5" customHeight="1" x14ac:dyDescent="0.3">
      <c r="A88" s="11"/>
      <c r="B88" s="288" t="s">
        <v>150</v>
      </c>
      <c r="C88" s="266" t="s">
        <v>153</v>
      </c>
      <c r="D88" s="266" t="s">
        <v>154</v>
      </c>
      <c r="E88" s="277">
        <v>0.97998403963281677</v>
      </c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5" customHeight="1" x14ac:dyDescent="0.3">
      <c r="A89" s="11"/>
      <c r="B89" s="289"/>
      <c r="C89" s="267"/>
      <c r="D89" s="267"/>
      <c r="E89" s="268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6.5" customHeight="1" x14ac:dyDescent="0.3">
      <c r="A90" s="11"/>
      <c r="B90" s="288" t="s">
        <v>155</v>
      </c>
      <c r="C90" s="290" t="s">
        <v>156</v>
      </c>
      <c r="D90" s="291" t="s">
        <v>157</v>
      </c>
      <c r="E90" s="292">
        <v>0.96262284802519671</v>
      </c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6.5" customHeight="1" x14ac:dyDescent="0.3">
      <c r="A91" s="11"/>
      <c r="B91" s="286" t="s">
        <v>158</v>
      </c>
      <c r="C91" s="267"/>
      <c r="D91" s="267"/>
      <c r="E91" s="268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6.5" customHeight="1" x14ac:dyDescent="0.3">
      <c r="A92" s="11"/>
      <c r="B92" s="274" t="s">
        <v>159</v>
      </c>
      <c r="C92" s="266" t="s">
        <v>161</v>
      </c>
      <c r="D92" s="266" t="s">
        <v>162</v>
      </c>
      <c r="E92" s="277">
        <v>0.76742500425099536</v>
      </c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6.5" customHeight="1" x14ac:dyDescent="0.3">
      <c r="A93" s="11"/>
      <c r="B93" s="271" t="s">
        <v>160</v>
      </c>
      <c r="C93" s="266" t="s">
        <v>163</v>
      </c>
      <c r="D93" s="266" t="s">
        <v>164</v>
      </c>
      <c r="E93" s="277">
        <v>0.76742500425099536</v>
      </c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5" customHeight="1" x14ac:dyDescent="0.3">
      <c r="A94" s="11"/>
      <c r="B94" s="289"/>
      <c r="C94" s="267"/>
      <c r="D94" s="267"/>
      <c r="E94" s="268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6.5" customHeight="1" x14ac:dyDescent="0.3">
      <c r="A95" s="11"/>
      <c r="B95" s="271" t="s">
        <v>165</v>
      </c>
      <c r="C95" s="266" t="s">
        <v>166</v>
      </c>
      <c r="D95" s="266" t="s">
        <v>167</v>
      </c>
      <c r="E95" s="277">
        <v>8.0756835205917227E-2</v>
      </c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7.5" customHeight="1" x14ac:dyDescent="0.3">
      <c r="B96" s="238"/>
      <c r="F96" s="11"/>
      <c r="G96" s="11"/>
      <c r="H96" s="11"/>
      <c r="I96" s="11"/>
      <c r="J96" s="264"/>
      <c r="K96" s="11"/>
      <c r="L96" s="11"/>
      <c r="M96" s="11"/>
      <c r="N96" s="11"/>
    </row>
    <row r="97" spans="2:22" s="17" customFormat="1" ht="48.5" customHeight="1" x14ac:dyDescent="0.3">
      <c r="B97" s="294" t="s">
        <v>115</v>
      </c>
      <c r="C97" s="294"/>
      <c r="D97" s="294"/>
      <c r="E97" s="294"/>
      <c r="F97" s="280"/>
      <c r="G97" s="280"/>
      <c r="H97" s="280"/>
      <c r="I97" s="280"/>
      <c r="J97" s="280"/>
      <c r="K97" s="280"/>
      <c r="L97" s="280"/>
      <c r="M97" s="280"/>
      <c r="N97" s="280"/>
      <c r="O97" s="4"/>
      <c r="P97" s="4"/>
      <c r="U97" s="4"/>
      <c r="V97" s="4"/>
    </row>
    <row r="98" spans="2:22" x14ac:dyDescent="0.3">
      <c r="B98" s="238"/>
      <c r="F98" s="11"/>
      <c r="G98" s="11"/>
      <c r="H98" s="11"/>
      <c r="I98" s="11"/>
      <c r="J98" s="264"/>
      <c r="K98" s="11"/>
      <c r="L98" s="11"/>
      <c r="M98" s="11"/>
      <c r="N98" s="11"/>
    </row>
    <row r="99" spans="2:22" x14ac:dyDescent="0.3">
      <c r="B99" s="238"/>
      <c r="F99" s="11"/>
      <c r="G99" s="11"/>
      <c r="H99" s="11"/>
      <c r="I99" s="11"/>
      <c r="J99" s="264"/>
      <c r="K99" s="11"/>
      <c r="L99" s="11"/>
      <c r="M99" s="11"/>
      <c r="N99" s="11"/>
    </row>
    <row r="100" spans="2:22" x14ac:dyDescent="0.3">
      <c r="B100" s="238"/>
      <c r="F100" s="11"/>
      <c r="G100" s="11"/>
      <c r="H100" s="11"/>
      <c r="I100" s="11"/>
      <c r="J100" s="264"/>
      <c r="K100" s="11"/>
      <c r="L100" s="11"/>
      <c r="M100" s="11"/>
      <c r="N100" s="11"/>
    </row>
    <row r="101" spans="2:22" x14ac:dyDescent="0.3">
      <c r="B101" s="238"/>
      <c r="F101" s="11"/>
      <c r="G101" s="11"/>
      <c r="H101" s="11"/>
      <c r="I101" s="11"/>
      <c r="J101" s="264"/>
      <c r="K101" s="11"/>
      <c r="L101" s="11"/>
      <c r="M101" s="11"/>
      <c r="N101" s="11"/>
    </row>
    <row r="102" spans="2:22" x14ac:dyDescent="0.3">
      <c r="B102" s="238"/>
      <c r="F102" s="11"/>
      <c r="G102" s="11"/>
      <c r="H102" s="11"/>
      <c r="I102" s="11"/>
      <c r="J102" s="264"/>
      <c r="K102" s="11"/>
      <c r="L102" s="11"/>
      <c r="M102" s="11"/>
      <c r="N102" s="11"/>
    </row>
    <row r="103" spans="2:22" x14ac:dyDescent="0.3">
      <c r="B103" s="238"/>
      <c r="F103" s="11"/>
      <c r="G103" s="11"/>
      <c r="H103" s="11"/>
      <c r="I103" s="11"/>
      <c r="J103" s="264"/>
      <c r="K103" s="11"/>
      <c r="L103" s="11"/>
      <c r="M103" s="11"/>
      <c r="N103" s="11"/>
    </row>
    <row r="104" spans="2:22" x14ac:dyDescent="0.3">
      <c r="F104" s="11"/>
      <c r="G104" s="11"/>
      <c r="H104" s="11"/>
      <c r="I104" s="11"/>
      <c r="J104" s="264"/>
      <c r="K104" s="11"/>
      <c r="L104" s="11"/>
      <c r="M104" s="11"/>
      <c r="N104" s="11"/>
    </row>
    <row r="105" spans="2:22" x14ac:dyDescent="0.3">
      <c r="F105" s="11"/>
      <c r="G105" s="11"/>
      <c r="H105" s="11"/>
      <c r="I105" s="11"/>
      <c r="J105" s="264"/>
      <c r="K105" s="11"/>
      <c r="L105" s="11"/>
      <c r="M105" s="11"/>
      <c r="N105" s="11"/>
    </row>
    <row r="106" spans="2:22" x14ac:dyDescent="0.3">
      <c r="F106" s="11"/>
      <c r="G106" s="11"/>
      <c r="H106" s="11"/>
      <c r="I106" s="11"/>
      <c r="J106" s="264"/>
      <c r="K106" s="11"/>
      <c r="L106" s="11"/>
      <c r="M106" s="11"/>
      <c r="N106" s="11"/>
    </row>
    <row r="107" spans="2:22" x14ac:dyDescent="0.3">
      <c r="F107" s="11"/>
      <c r="G107" s="11"/>
      <c r="H107" s="11"/>
      <c r="I107" s="11"/>
      <c r="J107" s="264"/>
      <c r="K107" s="11"/>
      <c r="L107" s="11"/>
      <c r="M107" s="11"/>
      <c r="N107" s="11"/>
    </row>
    <row r="108" spans="2:22" x14ac:dyDescent="0.3">
      <c r="F108" s="11"/>
      <c r="G108" s="11"/>
      <c r="H108" s="11"/>
      <c r="I108" s="11"/>
      <c r="J108" s="264"/>
      <c r="K108" s="11"/>
      <c r="L108" s="11"/>
      <c r="M108" s="11"/>
      <c r="N108" s="11"/>
    </row>
    <row r="109" spans="2:22" x14ac:dyDescent="0.3">
      <c r="F109" s="11"/>
      <c r="G109" s="11"/>
      <c r="H109" s="11"/>
      <c r="I109" s="11"/>
      <c r="J109" s="264"/>
      <c r="K109" s="11"/>
      <c r="L109" s="11"/>
      <c r="M109" s="11"/>
      <c r="N109" s="11"/>
    </row>
    <row r="110" spans="2:22" x14ac:dyDescent="0.3">
      <c r="F110" s="11"/>
      <c r="G110" s="11"/>
      <c r="H110" s="11"/>
      <c r="I110" s="11"/>
      <c r="J110" s="264"/>
      <c r="K110" s="11"/>
      <c r="L110" s="11"/>
      <c r="M110" s="11"/>
      <c r="N110" s="11"/>
    </row>
    <row r="111" spans="2:22" x14ac:dyDescent="0.3">
      <c r="F111" s="11"/>
      <c r="G111" s="11"/>
      <c r="H111" s="11"/>
      <c r="I111" s="11"/>
      <c r="J111" s="264"/>
      <c r="K111" s="11"/>
      <c r="L111" s="11"/>
      <c r="M111" s="11"/>
      <c r="N111" s="11"/>
    </row>
    <row r="112" spans="2:22" x14ac:dyDescent="0.3">
      <c r="F112" s="11"/>
      <c r="G112" s="11"/>
      <c r="H112" s="11"/>
      <c r="I112" s="11"/>
      <c r="J112" s="264"/>
      <c r="K112" s="11"/>
      <c r="L112" s="11"/>
      <c r="M112" s="11"/>
      <c r="N112" s="11"/>
    </row>
    <row r="113" spans="6:14" x14ac:dyDescent="0.3">
      <c r="F113" s="11"/>
      <c r="G113" s="11"/>
      <c r="H113" s="11"/>
      <c r="I113" s="11"/>
      <c r="J113" s="264"/>
      <c r="K113" s="11"/>
      <c r="L113" s="11"/>
      <c r="M113" s="11"/>
      <c r="N113" s="11"/>
    </row>
    <row r="114" spans="6:14" x14ac:dyDescent="0.3">
      <c r="F114" s="11"/>
      <c r="G114" s="11"/>
      <c r="H114" s="11"/>
      <c r="I114" s="11"/>
      <c r="J114" s="264"/>
      <c r="K114" s="11"/>
      <c r="L114" s="11"/>
      <c r="M114" s="11"/>
      <c r="N114" s="11"/>
    </row>
    <row r="115" spans="6:14" x14ac:dyDescent="0.3">
      <c r="F115" s="11"/>
      <c r="G115" s="11"/>
      <c r="H115" s="11"/>
      <c r="I115" s="11"/>
      <c r="J115" s="264"/>
      <c r="K115" s="11"/>
      <c r="L115" s="11"/>
      <c r="M115" s="11"/>
      <c r="N115" s="11"/>
    </row>
    <row r="116" spans="6:14" x14ac:dyDescent="0.3">
      <c r="F116" s="11"/>
      <c r="G116" s="11"/>
      <c r="H116" s="11"/>
      <c r="I116" s="11"/>
      <c r="J116" s="264"/>
      <c r="K116" s="11"/>
      <c r="L116" s="11"/>
      <c r="M116" s="11"/>
      <c r="N116" s="11"/>
    </row>
    <row r="117" spans="6:14" x14ac:dyDescent="0.3">
      <c r="F117" s="11"/>
      <c r="G117" s="11"/>
      <c r="H117" s="11"/>
      <c r="I117" s="11"/>
      <c r="J117" s="264"/>
      <c r="K117" s="11"/>
      <c r="L117" s="11"/>
      <c r="M117" s="11"/>
      <c r="N117" s="11"/>
    </row>
    <row r="118" spans="6:14" x14ac:dyDescent="0.3">
      <c r="F118" s="11"/>
      <c r="G118" s="11"/>
      <c r="H118" s="11"/>
      <c r="I118" s="11"/>
      <c r="J118" s="264"/>
      <c r="K118" s="11"/>
      <c r="L118" s="11"/>
      <c r="M118" s="11"/>
      <c r="N118" s="11"/>
    </row>
    <row r="119" spans="6:14" x14ac:dyDescent="0.3">
      <c r="F119" s="11"/>
      <c r="G119" s="11"/>
      <c r="H119" s="11"/>
      <c r="I119" s="11"/>
      <c r="J119" s="264"/>
      <c r="K119" s="11"/>
      <c r="L119" s="11"/>
      <c r="M119" s="11"/>
      <c r="N119" s="11"/>
    </row>
    <row r="120" spans="6:14" x14ac:dyDescent="0.3"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6:14" x14ac:dyDescent="0.3"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6:14" x14ac:dyDescent="0.3"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6:14" x14ac:dyDescent="0.3"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6:14" x14ac:dyDescent="0.3"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6:14" x14ac:dyDescent="0.3"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6:14" x14ac:dyDescent="0.3"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6:14" x14ac:dyDescent="0.3"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6:14" x14ac:dyDescent="0.3"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6:14" x14ac:dyDescent="0.3"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6:14" x14ac:dyDescent="0.3"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6:14" x14ac:dyDescent="0.3"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6:14" x14ac:dyDescent="0.3"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6:14" x14ac:dyDescent="0.3"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6:14" x14ac:dyDescent="0.3"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6:14" x14ac:dyDescent="0.3"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6:14" x14ac:dyDescent="0.3"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6:14" x14ac:dyDescent="0.3"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6:14" x14ac:dyDescent="0.3"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6:14" x14ac:dyDescent="0.3"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6:14" x14ac:dyDescent="0.3"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6:14" x14ac:dyDescent="0.3"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6:14" x14ac:dyDescent="0.3"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6:14" x14ac:dyDescent="0.3"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6:14" x14ac:dyDescent="0.3">
      <c r="F144" s="11"/>
      <c r="G144" s="11"/>
      <c r="H144" s="11"/>
      <c r="I144" s="11"/>
      <c r="J144" s="11"/>
      <c r="K144" s="11"/>
      <c r="L144" s="11"/>
      <c r="M144" s="11"/>
      <c r="N144" s="11"/>
    </row>
  </sheetData>
  <mergeCells count="5">
    <mergeCell ref="B97:E97"/>
    <mergeCell ref="B2:F2"/>
    <mergeCell ref="B3:F3"/>
    <mergeCell ref="C42:D42"/>
    <mergeCell ref="B66:E66"/>
  </mergeCells>
  <phoneticPr fontId="3" type="noConversion"/>
  <pageMargins left="0.17" right="0.17" top="0.21" bottom="0.7" header="0" footer="0"/>
  <pageSetup paperSize="9" scale="85" orientation="landscape" r:id="rId1"/>
  <headerFooter alignWithMargins="0"/>
  <ignoredErrors>
    <ignoredError sqref="B8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 Prodige23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2022-05-27T08:16:08Z</dcterms:modified>
</cp:coreProperties>
</file>