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0804-Galo\0-Datos\10-Temas publc\20220518-VÑ EMpower Lung1\"/>
    </mc:Choice>
  </mc:AlternateContent>
  <xr:revisionPtr revIDLastSave="0" documentId="13_ncr:1_{2D06D12F-B2A5-4D85-9B16-A199FF0458C0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NNT desde HR" sheetId="10" r:id="rId1"/>
    <sheet name="EA por Inc Acumul" sheetId="1" r:id="rId2"/>
    <sheet name="Respuestas por Inc Acumul" sheetId="11" r:id="rId3"/>
  </sheets>
  <definedNames>
    <definedName name="ArticleComments" localSheetId="1">'EA por 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P74" i="1"/>
  <c r="P73" i="11"/>
  <c r="O73" i="11"/>
  <c r="P71" i="11"/>
  <c r="O71" i="11"/>
  <c r="F9" i="11"/>
  <c r="D9" i="11"/>
  <c r="E8" i="11"/>
  <c r="E7" i="11"/>
  <c r="E9" i="11" s="1"/>
  <c r="P73" i="1"/>
  <c r="O73" i="1"/>
  <c r="P72" i="1"/>
  <c r="O72" i="1"/>
  <c r="P71" i="1"/>
  <c r="O71" i="1"/>
  <c r="E8" i="1"/>
  <c r="E7" i="1"/>
  <c r="F50" i="10"/>
  <c r="G50" i="10" s="1"/>
  <c r="F49" i="10"/>
  <c r="G49" i="10" s="1"/>
  <c r="F48" i="10"/>
  <c r="G48" i="10" s="1"/>
  <c r="F47" i="10"/>
  <c r="G47" i="10" s="1"/>
  <c r="F45" i="10"/>
  <c r="G45" i="10" s="1"/>
  <c r="F44" i="10"/>
  <c r="G44" i="10" s="1"/>
  <c r="F43" i="10"/>
  <c r="G43" i="10" s="1"/>
  <c r="F42" i="10"/>
  <c r="G42" i="10" s="1"/>
  <c r="D56" i="11" l="1"/>
  <c r="C56" i="11"/>
  <c r="B53" i="11"/>
  <c r="G61" i="11" s="1"/>
  <c r="E41" i="11"/>
  <c r="E40" i="11"/>
  <c r="I23" i="11"/>
  <c r="I22" i="11"/>
  <c r="C22" i="11"/>
  <c r="B22" i="11"/>
  <c r="I21" i="11"/>
  <c r="C21" i="11"/>
  <c r="B21" i="11"/>
  <c r="G14" i="11"/>
  <c r="E54" i="11" s="1"/>
  <c r="D14" i="11"/>
  <c r="B14" i="11"/>
  <c r="N21" i="11"/>
  <c r="G22" i="11" l="1"/>
  <c r="C14" i="11"/>
  <c r="F14" i="11" s="1"/>
  <c r="I14" i="11" s="1"/>
  <c r="E56" i="11" s="1"/>
  <c r="C41" i="11"/>
  <c r="C46" i="11" s="1"/>
  <c r="E21" i="11"/>
  <c r="E22" i="11"/>
  <c r="E42" i="11"/>
  <c r="G21" i="11"/>
  <c r="B23" i="11"/>
  <c r="C23" i="11"/>
  <c r="G23" i="11" s="1"/>
  <c r="D21" i="11"/>
  <c r="F21" i="11" s="1"/>
  <c r="E61" i="11"/>
  <c r="C40" i="11"/>
  <c r="K14" i="11"/>
  <c r="F61" i="11"/>
  <c r="N23" i="11"/>
  <c r="D22" i="11"/>
  <c r="E14" i="11" l="1"/>
  <c r="H14" i="11" s="1"/>
  <c r="L14" i="11" s="1"/>
  <c r="L21" i="11"/>
  <c r="M55" i="11" s="1"/>
  <c r="M14" i="11"/>
  <c r="K21" i="11"/>
  <c r="L55" i="11" s="1"/>
  <c r="D41" i="11"/>
  <c r="D46" i="11" s="1"/>
  <c r="D40" i="11"/>
  <c r="K41" i="11" s="1"/>
  <c r="I40" i="11" s="1"/>
  <c r="J22" i="11"/>
  <c r="K56" i="11" s="1"/>
  <c r="J26" i="11"/>
  <c r="F22" i="11"/>
  <c r="C45" i="11"/>
  <c r="C42" i="11"/>
  <c r="W21" i="11"/>
  <c r="J21" i="11"/>
  <c r="K55" i="11" s="1"/>
  <c r="E23" i="11"/>
  <c r="D23" i="11"/>
  <c r="F23" i="11" s="1"/>
  <c r="E55" i="11" l="1"/>
  <c r="E58" i="11" s="1"/>
  <c r="E62" i="11" s="1"/>
  <c r="Q28" i="11"/>
  <c r="N31" i="11" s="1"/>
  <c r="N32" i="11" s="1"/>
  <c r="J23" i="11"/>
  <c r="K57" i="11" s="1"/>
  <c r="W22" i="11"/>
  <c r="W23" i="11" s="1"/>
  <c r="W24" i="11" s="1"/>
  <c r="W25" i="11" s="1"/>
  <c r="K23" i="11"/>
  <c r="L57" i="11" s="1"/>
  <c r="L23" i="11"/>
  <c r="M57" i="11" s="1"/>
  <c r="D58" i="11"/>
  <c r="D62" i="11" s="1"/>
  <c r="L22" i="11"/>
  <c r="M56" i="11" s="1"/>
  <c r="K22" i="11"/>
  <c r="L56" i="11" s="1"/>
  <c r="F54" i="11"/>
  <c r="J27" i="11"/>
  <c r="J32" i="11" s="1"/>
  <c r="N22" i="11"/>
  <c r="N24" i="11" s="1"/>
  <c r="N25" i="11" s="1"/>
  <c r="N26" i="11" s="1"/>
  <c r="N55" i="11"/>
  <c r="C58" i="11"/>
  <c r="C62" i="11" s="1"/>
  <c r="D42" i="11"/>
  <c r="D45" i="11"/>
  <c r="C48" i="11" s="1"/>
  <c r="L26" i="11" l="1"/>
  <c r="F55" i="11" s="1"/>
  <c r="N56" i="11"/>
  <c r="G46" i="11"/>
  <c r="C49" i="11"/>
  <c r="J62" i="11" s="1"/>
  <c r="K26" i="11"/>
  <c r="J34" i="11"/>
  <c r="G54" i="11"/>
  <c r="J31" i="11"/>
  <c r="J36" i="11"/>
  <c r="J29" i="11"/>
  <c r="J30" i="11"/>
  <c r="J37" i="11"/>
  <c r="J35" i="11"/>
  <c r="N33" i="11"/>
  <c r="H56" i="11"/>
  <c r="H58" i="11" s="1"/>
  <c r="H62" i="11" s="1"/>
  <c r="N57" i="11"/>
  <c r="L27" i="11" l="1"/>
  <c r="L32" i="11" s="1"/>
  <c r="K27" i="11"/>
  <c r="K32" i="11" s="1"/>
  <c r="F56" i="11"/>
  <c r="F58" i="11" s="1"/>
  <c r="F62" i="11" s="1"/>
  <c r="M62" i="11"/>
  <c r="L62" i="11"/>
  <c r="F5" i="10"/>
  <c r="L35" i="11" l="1"/>
  <c r="K35" i="11"/>
  <c r="K36" i="11"/>
  <c r="K37" i="11"/>
  <c r="L30" i="11"/>
  <c r="G55" i="11"/>
  <c r="K34" i="11"/>
  <c r="L29" i="11"/>
  <c r="L31" i="11"/>
  <c r="G56" i="11"/>
  <c r="K29" i="11"/>
  <c r="L36" i="11"/>
  <c r="K31" i="11"/>
  <c r="L34" i="11"/>
  <c r="K30" i="11"/>
  <c r="L37" i="11"/>
  <c r="D9" i="1"/>
  <c r="B23" i="1" s="1"/>
  <c r="E28" i="10"/>
  <c r="E27" i="10"/>
  <c r="E26" i="10"/>
  <c r="D26" i="10"/>
  <c r="D30" i="10" s="1"/>
  <c r="D34" i="10" s="1"/>
  <c r="D10" i="10"/>
  <c r="D11" i="10" s="1"/>
  <c r="C26" i="10" s="1"/>
  <c r="D56" i="1"/>
  <c r="B53" i="1"/>
  <c r="G61" i="1" s="1"/>
  <c r="E41" i="1"/>
  <c r="E40" i="1"/>
  <c r="I23" i="1"/>
  <c r="I22" i="1"/>
  <c r="C22" i="1"/>
  <c r="B22" i="1"/>
  <c r="I21" i="1"/>
  <c r="C21" i="1"/>
  <c r="D14" i="1"/>
  <c r="F9" i="1"/>
  <c r="C23" i="1" s="1"/>
  <c r="B14" i="1"/>
  <c r="F10" i="10"/>
  <c r="F13" i="10" s="1"/>
  <c r="E10" i="10"/>
  <c r="G13" i="10" s="1"/>
  <c r="G14" i="1"/>
  <c r="E54" i="1" s="1"/>
  <c r="B21" i="1"/>
  <c r="C56" i="1"/>
  <c r="G58" i="11" l="1"/>
  <c r="G62" i="11" s="1"/>
  <c r="F61" i="1"/>
  <c r="G23" i="1"/>
  <c r="E61" i="1"/>
  <c r="G22" i="1"/>
  <c r="E30" i="10"/>
  <c r="E34" i="10" s="1"/>
  <c r="E23" i="1"/>
  <c r="E11" i="10"/>
  <c r="C27" i="10" s="1"/>
  <c r="F11" i="10"/>
  <c r="C28" i="10" s="1"/>
  <c r="N23" i="1"/>
  <c r="E22" i="1"/>
  <c r="E42" i="1"/>
  <c r="E13" i="10"/>
  <c r="G14" i="10"/>
  <c r="F27" i="10"/>
  <c r="F14" i="10"/>
  <c r="F22" i="10" s="1"/>
  <c r="F28" i="10"/>
  <c r="N21" i="1"/>
  <c r="C40" i="1"/>
  <c r="E9" i="1"/>
  <c r="D41" i="1" s="1"/>
  <c r="D46" i="1" s="1"/>
  <c r="C41" i="1"/>
  <c r="C46" i="1" s="1"/>
  <c r="D23" i="1"/>
  <c r="Q28" i="1" s="1"/>
  <c r="E21" i="1"/>
  <c r="C14" i="1"/>
  <c r="E14" i="1" s="1"/>
  <c r="H14" i="1" s="1"/>
  <c r="K14" i="1"/>
  <c r="D22" i="1"/>
  <c r="G21" i="1"/>
  <c r="D21" i="1"/>
  <c r="F21" i="1" s="1"/>
  <c r="F23" i="1" l="1"/>
  <c r="K23" i="1" s="1"/>
  <c r="L57" i="1" s="1"/>
  <c r="C30" i="10"/>
  <c r="C34" i="10" s="1"/>
  <c r="F19" i="10"/>
  <c r="F26" i="10"/>
  <c r="F30" i="10" s="1"/>
  <c r="F34" i="10" s="1"/>
  <c r="E14" i="10"/>
  <c r="E19" i="10" s="1"/>
  <c r="K34" i="10"/>
  <c r="L34" i="10"/>
  <c r="G28" i="10"/>
  <c r="G24" i="10"/>
  <c r="G23" i="10"/>
  <c r="G21" i="10"/>
  <c r="G18" i="10"/>
  <c r="G16" i="10"/>
  <c r="G17" i="10"/>
  <c r="G19" i="10"/>
  <c r="F17" i="10"/>
  <c r="F21" i="10"/>
  <c r="G27" i="10"/>
  <c r="F23" i="10"/>
  <c r="F16" i="10"/>
  <c r="F24" i="10"/>
  <c r="F18" i="10"/>
  <c r="G22" i="10"/>
  <c r="C45" i="1"/>
  <c r="C42" i="1"/>
  <c r="D40" i="1"/>
  <c r="K41" i="1" s="1"/>
  <c r="I40" i="1" s="1"/>
  <c r="W22" i="1"/>
  <c r="J23" i="1"/>
  <c r="K57" i="1" s="1"/>
  <c r="E55" i="1"/>
  <c r="L14" i="1"/>
  <c r="J22" i="1"/>
  <c r="K56" i="1" s="1"/>
  <c r="J26" i="1"/>
  <c r="F22" i="1"/>
  <c r="F14" i="1"/>
  <c r="I14" i="1" s="1"/>
  <c r="W21" i="1"/>
  <c r="J21" i="1"/>
  <c r="K55" i="1" s="1"/>
  <c r="L21" i="1"/>
  <c r="M55" i="1" s="1"/>
  <c r="K21" i="1"/>
  <c r="L55" i="1" s="1"/>
  <c r="L23" i="1" l="1"/>
  <c r="M57" i="1" s="1"/>
  <c r="N57" i="1" s="1"/>
  <c r="D42" i="1"/>
  <c r="D45" i="1"/>
  <c r="C48" i="1" s="1"/>
  <c r="G46" i="1" s="1"/>
  <c r="W23" i="1"/>
  <c r="W24" i="1" s="1"/>
  <c r="W25" i="1" s="1"/>
  <c r="E22" i="10"/>
  <c r="E17" i="10"/>
  <c r="E24" i="10"/>
  <c r="G26" i="10"/>
  <c r="G30" i="10" s="1"/>
  <c r="G34" i="10" s="1"/>
  <c r="E18" i="10"/>
  <c r="E21" i="10"/>
  <c r="E23" i="10"/>
  <c r="E16" i="10"/>
  <c r="D58" i="1"/>
  <c r="D62" i="1" s="1"/>
  <c r="N31" i="1"/>
  <c r="N32" i="1" s="1"/>
  <c r="N22" i="1"/>
  <c r="N24" i="1" s="1"/>
  <c r="N25" i="1" s="1"/>
  <c r="N26" i="1" s="1"/>
  <c r="J27" i="1"/>
  <c r="F54" i="1"/>
  <c r="N55" i="1"/>
  <c r="C58" i="1"/>
  <c r="C62" i="1" s="1"/>
  <c r="E56" i="1"/>
  <c r="E58" i="1" s="1"/>
  <c r="E62" i="1" s="1"/>
  <c r="M14" i="1"/>
  <c r="K22" i="1"/>
  <c r="L56" i="1" s="1"/>
  <c r="L22" i="1"/>
  <c r="M56" i="1" s="1"/>
  <c r="C49" i="1" l="1"/>
  <c r="J62" i="1" s="1"/>
  <c r="N56" i="1"/>
  <c r="H56" i="1"/>
  <c r="H58" i="1" s="1"/>
  <c r="H62" i="1" s="1"/>
  <c r="N33" i="1"/>
  <c r="G54" i="1"/>
  <c r="J29" i="1"/>
  <c r="J36" i="1"/>
  <c r="J31" i="1"/>
  <c r="J34" i="1"/>
  <c r="J37" i="1"/>
  <c r="J30" i="1"/>
  <c r="J35" i="1"/>
  <c r="J32" i="1"/>
  <c r="K26" i="1"/>
  <c r="L26" i="1"/>
  <c r="L27" i="1" l="1"/>
  <c r="K35" i="1" s="1"/>
  <c r="F55" i="1"/>
  <c r="F56" i="1"/>
  <c r="L62" i="1"/>
  <c r="K27" i="1"/>
  <c r="L35" i="1" s="1"/>
  <c r="M62" i="1"/>
  <c r="F58" i="1" l="1"/>
  <c r="F62" i="1" s="1"/>
  <c r="L32" i="1"/>
  <c r="L31" i="1"/>
  <c r="K36" i="1"/>
  <c r="G55" i="1"/>
  <c r="K34" i="1"/>
  <c r="L29" i="1"/>
  <c r="K37" i="1"/>
  <c r="L30" i="1"/>
  <c r="L34" i="1"/>
  <c r="K31" i="1"/>
  <c r="K29" i="1"/>
  <c r="G56" i="1"/>
  <c r="L36" i="1"/>
  <c r="L37" i="1"/>
  <c r="K30" i="1"/>
  <c r="K32" i="1"/>
  <c r="G58" i="1" l="1"/>
  <c r="G62" i="1" s="1"/>
</calcChain>
</file>

<file path=xl/sharedStrings.xml><?xml version="1.0" encoding="utf-8"?>
<sst xmlns="http://schemas.openxmlformats.org/spreadsheetml/2006/main" count="450" uniqueCount="232">
  <si>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</si>
  <si>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</si>
  <si>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</si>
  <si>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</si>
  <si>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</si>
  <si>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</si>
  <si>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</si>
  <si>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</si>
  <si>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</si>
  <si>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</si>
  <si>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</si>
  <si>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</si>
  <si>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</si>
  <si>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</si>
  <si>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</si>
  <si>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</si>
  <si>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</si>
  <si>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</si>
  <si>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</si>
  <si>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</si>
  <si>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</si>
  <si>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</si>
  <si>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</si>
  <si>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</si>
  <si>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</si>
  <si>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</si>
  <si>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</si>
  <si>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</si>
  <si>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</si>
  <si>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</si>
  <si>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</si>
  <si>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</si>
  <si>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</si>
  <si>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</si>
  <si>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</si>
  <si>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</si>
  <si>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</si>
  <si>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</si>
  <si>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</si>
  <si>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</si>
  <si>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</si>
  <si>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</si>
  <si>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</si>
  <si>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</si>
  <si>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</si>
  <si>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</si>
  <si>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</si>
  <si>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</si>
  <si>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</si>
  <si>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</si>
  <si>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</si>
  <si>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</si>
  <si>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</si>
  <si>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</si>
  <si>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</si>
  <si>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</si>
  <si>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</si>
  <si>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</si>
  <si>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</si>
  <si>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</si>
  <si>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</si>
  <si>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</si>
  <si>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</si>
  <si>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</si>
  <si>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</si>
  <si>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</si>
  <si>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</si>
  <si>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</si>
  <si>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</si>
  <si>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</si>
  <si>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</si>
  <si>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</si>
  <si>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</si>
  <si>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</si>
  <si>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</si>
  <si>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</si>
  <si>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</si>
  <si>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</si>
  <si>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</si>
  <si>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</si>
  <si>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</si>
  <si>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</si>
  <si>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</si>
  <si>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</si>
  <si>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</si>
  <si>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</si>
  <si>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</si>
  <si>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</si>
  <si>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</si>
  <si>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</si>
  <si>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</si>
  <si>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</si>
  <si>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</si>
  <si>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</si>
  <si>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</si>
  <si>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</si>
  <si>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</si>
  <si>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</si>
  <si>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</si>
  <si>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</si>
  <si>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</si>
  <si>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</si>
  <si>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</si>
  <si>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</si>
  <si>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</si>
  <si>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</si>
  <si>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</si>
  <si>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</si>
  <si>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</si>
  <si>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</si>
  <si>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</si>
  <si>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</si>
  <si>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</si>
  <si>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</si>
  <si>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</si>
  <si>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</si>
  <si>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</si>
  <si>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</si>
  <si>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</si>
  <si>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</si>
  <si>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</si>
  <si>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</si>
  <si>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</si>
  <si>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</si>
  <si>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</si>
  <si>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</si>
  <si>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</si>
  <si>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</si>
  <si>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</si>
  <si>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</si>
  <si>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</si>
  <si>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</si>
  <si>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</si>
  <si>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</si>
  <si>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</si>
  <si>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</si>
  <si>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 Inf del IC 95%</t>
  </si>
  <si>
    <t>Lím Sup del IC 95%</t>
  </si>
  <si>
    <t>Nº Eventos crudos (%)</t>
  </si>
  <si>
    <t>Hoja información al usuario (FACT BOX)</t>
  </si>
  <si>
    <t>Medidas del efecto obtenidas por incidencias acumuladas.</t>
  </si>
  <si>
    <t>Progresión de enfermedad o muerte</t>
  </si>
  <si>
    <t>Mortalidad global</t>
  </si>
  <si>
    <r>
      <rPr>
        <b/>
        <sz val="10"/>
        <color rgb="FF0000FF"/>
        <rFont val="Calibri"/>
        <family val="2"/>
      </rPr>
      <t xml:space="preserve">(*) </t>
    </r>
    <r>
      <rPr>
        <b/>
        <u/>
        <sz val="10"/>
        <rFont val="Calibri"/>
        <family val="2"/>
      </rPr>
      <t>Grado 1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Leve; asintomáticos o síntomas leves; solamente observaciones clínicas o diagnósticas; intervención no indicada. </t>
    </r>
    <r>
      <rPr>
        <b/>
        <u/>
        <sz val="10"/>
        <rFont val="Calibri"/>
        <family val="2"/>
      </rPr>
      <t>Grado 2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Moderado; intervención mínima, local o no invasiva indicada; limitación apropiada para la edad de las </t>
    </r>
    <r>
      <rPr>
        <sz val="10"/>
        <color rgb="FF000000"/>
        <rFont val="Calibri"/>
        <family val="2"/>
      </rPr>
      <t>actividades de la vida diaria (AVD) instrumentales (</t>
    </r>
    <r>
      <rPr>
        <sz val="10"/>
        <rFont val="Calibri"/>
        <family val="2"/>
      </rPr>
      <t xml:space="preserve">preparar comidas, comprar comestibles o ropa, usar el teléfono, administrar dinero, etc.). </t>
    </r>
    <r>
      <rPr>
        <b/>
        <u/>
        <sz val="10"/>
        <rFont val="Calibri"/>
        <family val="2"/>
      </rPr>
      <t>Grado 3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 xml:space="preserve">Grave o médicamente significativo, pero no inmediatamente amenazante de la vida; hospitalización o prolongación de la hospitalización indicada; limitación o incapacitación para las actividades de la vida diaria (AVD) de autocuidado (bañarse, vestirse y desvestirse, alimentarse, usar el baño, tomar medicamentos y no postrarse en cama. </t>
    </r>
    <r>
      <rPr>
        <b/>
        <u/>
        <sz val="10"/>
        <rFont val="Calibri"/>
        <family val="2"/>
      </rPr>
      <t>Grado 4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Consecuencias amenazantes de la vida; intervención urgente indicada. </t>
    </r>
    <r>
      <rPr>
        <b/>
        <u/>
        <sz val="10"/>
        <rFont val="Calibri"/>
        <family val="2"/>
      </rPr>
      <t>Grado 5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Muerte relacionada con algún efecto adverso.</t>
    </r>
  </si>
  <si>
    <t>Respuesta completa</t>
  </si>
  <si>
    <t>Respuesta parcial</t>
  </si>
  <si>
    <t>Nº de pacientes con evento por cada 100 tratados con:</t>
  </si>
  <si>
    <t>Medidas del efecto obtenidas por incidencias acumuladas</t>
  </si>
  <si>
    <t>Mediana de tiempo que permanecen en respuesta completa o parcial entre los que tuvieron respuesta</t>
  </si>
  <si>
    <t>Respuesta global (completa + parcial)</t>
  </si>
  <si>
    <t>En 18 meses</t>
  </si>
  <si>
    <t>HR (sólo estimación puntual, sin IC)</t>
  </si>
  <si>
    <t>RAR (sólo estimación puntual, sin IC)</t>
  </si>
  <si>
    <t>NNT (sólo estimación puntual, sin IC)</t>
  </si>
  <si>
    <t>A los 18 meses</t>
  </si>
  <si>
    <t>A los 12 meses</t>
  </si>
  <si>
    <t>A los 24 meses</t>
  </si>
  <si>
    <r>
      <rPr>
        <i/>
        <sz val="10"/>
        <color rgb="FF008000"/>
        <rFont val="Calibri"/>
        <family val="2"/>
        <scheme val="minor"/>
      </rPr>
      <t>p &lt; 0,05</t>
    </r>
    <r>
      <rPr>
        <sz val="10"/>
        <color rgb="FF008000"/>
        <rFont val="Calibri"/>
        <family val="2"/>
        <scheme val="minor"/>
      </rPr>
      <t xml:space="preserve"> </t>
    </r>
  </si>
  <si>
    <t>En 12 meses</t>
  </si>
  <si>
    <t>En 24 meses</t>
  </si>
  <si>
    <t>Medidas del efecto, calculadas desde los HR crudos obtenidos mediante la Función de Supervivencia K-M elaborada paso a paso</t>
  </si>
  <si>
    <t>Sezer A, Kilickap S, Gümüş M, on behalf of the EMPOWER-Lung 1 investigators. Cemiplimab monotherapy for first-line treatment of advanced non-small-cell lung cancer with PD-L1 of at least 50%: a multicentre, open-label, global, phase 3, randomised, controlled trial. Lancet. 2021 Feb 13;397(10274):592-604.</t>
  </si>
  <si>
    <r>
      <rPr>
        <b/>
        <sz val="13"/>
        <color indexed="60"/>
        <rFont val="Calibri"/>
        <family val="2"/>
      </rPr>
      <t xml:space="preserve">Tabla nnt-1 (sin IC 95%, y con el % de eventos = 1 - Supervivencia K-M): </t>
    </r>
    <r>
      <rPr>
        <b/>
        <sz val="13"/>
        <rFont val="Calibri"/>
        <family val="2"/>
      </rPr>
      <t>Pacientes de 64 años [IQR, 58 a 70] Cáncer de pulmón no microcítico avanzado o metastático, y expresión PD-L1 &gt; 50% en células tumorales [sin mutaciones EFGR, ALK ni ROS1]</t>
    </r>
  </si>
  <si>
    <t>ECA EMpower Lung-1, en cortes temporales hasta los 12, 18, 24 y 30 meses</t>
  </si>
  <si>
    <t>Cemiplimab; n= 283</t>
  </si>
  <si>
    <t>QMTpt; n= 280</t>
  </si>
  <si>
    <t>% Eventos en la Función de Supervivencia K-M</t>
  </si>
  <si>
    <r>
      <t xml:space="preserve">Valor de </t>
    </r>
    <r>
      <rPr>
        <b/>
        <i/>
        <sz val="10"/>
        <rFont val="Calibri"/>
        <family val="2"/>
        <scheme val="minor"/>
      </rPr>
      <t>p</t>
    </r>
    <r>
      <rPr>
        <b/>
        <sz val="10"/>
        <rFont val="Calibri"/>
        <family val="2"/>
        <scheme val="minor"/>
      </rPr>
      <t xml:space="preserve"> (calculada por log-rank)</t>
    </r>
  </si>
  <si>
    <t>Cemiplimab</t>
  </si>
  <si>
    <t>QMTpt</t>
  </si>
  <si>
    <t>A los 30 meses</t>
  </si>
  <si>
    <t>En 30 meses</t>
  </si>
  <si>
    <r>
      <t xml:space="preserve">A los </t>
    </r>
    <r>
      <rPr>
        <sz val="12"/>
        <color rgb="FF0000FF"/>
        <rFont val="Calibri"/>
        <family val="2"/>
        <scheme val="minor"/>
      </rPr>
      <t>28 meses</t>
    </r>
  </si>
  <si>
    <r>
      <t xml:space="preserve">En </t>
    </r>
    <r>
      <rPr>
        <sz val="10"/>
        <color rgb="FF0000FF"/>
        <rFont val="Calibri"/>
        <family val="2"/>
        <scheme val="minor"/>
      </rPr>
      <t>28 meses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</si>
  <si>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HR:</t>
    </r>
    <r>
      <rPr>
        <sz val="10"/>
        <rFont val="Calibri"/>
        <family val="2"/>
      </rPr>
      <t xml:space="preserve"> hazard ratio;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K-M: </t>
    </r>
    <r>
      <rPr>
        <sz val="10"/>
        <rFont val="Calibri"/>
        <family val="2"/>
      </rPr>
      <t xml:space="preserve">Función de Supervivencia de Kaplan y Meier;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QMTpt: </t>
    </r>
    <r>
      <rPr>
        <sz val="10"/>
        <rFont val="Calibri"/>
        <family val="2"/>
      </rPr>
      <t xml:space="preserve">quimioterapia más platino;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>reducción absoluta del riesgo.</t>
    </r>
  </si>
  <si>
    <t>Cohorte completa: Grupo Cemiplimab</t>
  </si>
  <si>
    <t>Cohorte completa: Grupo QMTpt</t>
  </si>
  <si>
    <r>
      <rPr>
        <b/>
        <sz val="14"/>
        <color indexed="60"/>
        <rFont val="Calibri"/>
        <family val="2"/>
      </rPr>
      <t xml:space="preserve">Tabla nnt-2: </t>
    </r>
    <r>
      <rPr>
        <b/>
        <sz val="14"/>
        <rFont val="Calibri"/>
        <family val="2"/>
      </rPr>
      <t>Efectos adversos (EA) registrados por los investigadores de toda la cohorte (con y sin PD-L1 &gt; 50% en células tumorales)</t>
    </r>
  </si>
  <si>
    <t>ECA EMpower Lung-1</t>
  </si>
  <si>
    <t>Cemiplimab; n= 355</t>
  </si>
  <si>
    <t>QMTpt; n= 342</t>
  </si>
  <si>
    <r>
      <t xml:space="preserve">EA Grados 1 y 2 </t>
    </r>
    <r>
      <rPr>
        <b/>
        <sz val="12"/>
        <color rgb="FF0000FF"/>
        <rFont val="Calibri"/>
        <family val="2"/>
        <scheme val="minor"/>
      </rPr>
      <t>(*)</t>
    </r>
  </si>
  <si>
    <t>154/355 (43,38%)</t>
  </si>
  <si>
    <t>169/342 (49,42%)</t>
  </si>
  <si>
    <t>0,88 (0,75-1,03)</t>
  </si>
  <si>
    <t>6,03% (-1,27% a 13,43%)</t>
  </si>
  <si>
    <t>17 (7 a -79)</t>
  </si>
  <si>
    <r>
      <t xml:space="preserve">EA Grado 3 </t>
    </r>
    <r>
      <rPr>
        <b/>
        <sz val="12"/>
        <color rgb="FF0000FF"/>
        <rFont val="Calibri"/>
        <family val="2"/>
        <scheme val="minor"/>
      </rPr>
      <t>(*)</t>
    </r>
  </si>
  <si>
    <t>36/355 (10,14%)</t>
  </si>
  <si>
    <t>92/342 (26,9%)</t>
  </si>
  <si>
    <t>0,38 (0,26-0,54)</t>
  </si>
  <si>
    <t>16,76% (11,12% a 22,45%)</t>
  </si>
  <si>
    <t>6 (4 a 9)</t>
  </si>
  <si>
    <r>
      <t xml:space="preserve">EA Grado 4 </t>
    </r>
    <r>
      <rPr>
        <b/>
        <sz val="12"/>
        <color rgb="FF0000FF"/>
        <rFont val="Calibri"/>
        <family val="2"/>
        <scheme val="minor"/>
      </rPr>
      <t>(*)</t>
    </r>
  </si>
  <si>
    <t>5/355 (1,41%)</t>
  </si>
  <si>
    <t>35/342 (10,23%)</t>
  </si>
  <si>
    <t>0,14 (0,05-0,35)</t>
  </si>
  <si>
    <t>8,83% (5,07% a 12,16%)</t>
  </si>
  <si>
    <t>11 (8 a 20)</t>
  </si>
  <si>
    <r>
      <t xml:space="preserve">EA Grado 5 </t>
    </r>
    <r>
      <rPr>
        <b/>
        <sz val="12"/>
        <color rgb="FF0000FF"/>
        <rFont val="Calibri"/>
        <family val="2"/>
        <scheme val="minor"/>
      </rPr>
      <t>(*)</t>
    </r>
  </si>
  <si>
    <t>9/355 (2,54%)</t>
  </si>
  <si>
    <t>7/342 (2,05%)</t>
  </si>
  <si>
    <t>1,24 (0,47-3,29)</t>
  </si>
  <si>
    <t>-0,49% (-2,92% a 1,96%)</t>
  </si>
  <si>
    <t>-205 (51 a -34)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</si>
  <si>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EA: </t>
    </r>
    <r>
      <rPr>
        <sz val="10"/>
        <rFont val="Calibri"/>
        <family val="2"/>
      </rPr>
      <t xml:space="preserve">efecto adverso;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>reducción absoluta del riesgo; RR: riesgo relativo (por incidencias acumuladas).</t>
    </r>
  </si>
  <si>
    <r>
      <rPr>
        <b/>
        <sz val="12"/>
        <color indexed="60"/>
        <rFont val="Calibri"/>
        <family val="2"/>
      </rPr>
      <t xml:space="preserve">Tabla nnt-3: </t>
    </r>
    <r>
      <rPr>
        <b/>
        <sz val="12"/>
        <rFont val="Calibri"/>
        <family val="2"/>
      </rPr>
      <t>Pacientes de 64 años [IQR, 58 a 70] Cáncer de pulmón no microcítico avanzado o metastático, y expresión PD-L1 &gt; 50% en células tumorales [sin mutaciones EFGR, ALK ni ROS1]</t>
    </r>
  </si>
  <si>
    <t>111/283 (39,22%)</t>
  </si>
  <si>
    <t>57/280 (20,36%)</t>
  </si>
  <si>
    <t>1,93 (1,47-2,53)</t>
  </si>
  <si>
    <t>-18,87% (-26,37% a -11,65%)</t>
  </si>
  <si>
    <t>-5 (-9 a -4)</t>
  </si>
  <si>
    <t>6/283 (2,12%)</t>
  </si>
  <si>
    <t>3/280 (1,07%)</t>
  </si>
  <si>
    <t>1,98 (0,5-7,83)</t>
  </si>
  <si>
    <t>-1,05% (-3,38% a 1,48%)</t>
  </si>
  <si>
    <t>-95 (68 a -30)</t>
  </si>
  <si>
    <t>105/283 (37,1%)</t>
  </si>
  <si>
    <t>54/280 (19,29%)</t>
  </si>
  <si>
    <t>1,92 (1,45-2,55)</t>
  </si>
  <si>
    <t>-17,82% (-25,21% a -10,69%)</t>
  </si>
  <si>
    <t>-6 (-9 a -4)</t>
  </si>
  <si>
    <t>Tiempo de duración de la respuesta, entre los que tuvieron respuesta</t>
  </si>
  <si>
    <t>16,7 meses entre los 111 con respuesta</t>
  </si>
  <si>
    <t>6 meses entre los 57 con respuesta</t>
  </si>
  <si>
    <t>Tiempo desde el inicio hasta que alcanzaron la respuesta, entre los que tuvieron respuesta</t>
  </si>
  <si>
    <t>Mediana de tiempo hasta alcanzar la respuesta completa o parcial entre los que tuvieron respuesta</t>
  </si>
  <si>
    <t>2,1 meses entre los 111 con respuesta</t>
  </si>
  <si>
    <t>2,1 meses entre los 57 con respuesta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</si>
  <si>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 (por incidencias acumuladas); </t>
    </r>
    <r>
      <rPr>
        <b/>
        <sz val="10"/>
        <rFont val="Calibri"/>
        <family val="2"/>
      </rPr>
      <t xml:space="preserve">QMTpt: </t>
    </r>
    <r>
      <rPr>
        <sz val="10"/>
        <rFont val="Calibri"/>
        <family val="2"/>
      </rPr>
      <t>quimioterapia más platino.</t>
    </r>
  </si>
  <si>
    <t>EA sin determinar si están o no relacionados con los fármacos de estudio</t>
  </si>
  <si>
    <t>20210213-ECA EMp-L1 m30, CPNMav PDL1 +50 1L[Cemi vs QMTpt],+OS PFS. Sezer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</si>
</sst>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0.0000%"/>
    <numFmt numFmtId="175" formatCode="_-* #,##0.0000\ _€_-;\-* #,##0.0000\ _€_-;_-* &quot;-&quot;?\ _€_-;_-@_-"/>
    <numFmt numFmtId="176" formatCode="0.000"/>
    <numFmt numFmtId="177" formatCode="0.0000"/>
    <numFmt numFmtId="178" formatCode="#,##0.00_ ;\-#,##0.00\ "/>
  </numFmts>
  <fonts count="8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name val="Calibri"/>
      <family val="2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</font>
    <font>
      <sz val="13"/>
      <name val="Calibri"/>
      <family val="2"/>
      <scheme val="minor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8"/>
      <name val="Arial"/>
      <family val="2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sz val="13"/>
      <name val="Calibri"/>
      <family val="2"/>
    </font>
    <font>
      <b/>
      <sz val="13"/>
      <color indexed="6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  <scheme val="minor"/>
    </font>
    <font>
      <sz val="14"/>
      <color rgb="FF009900"/>
      <name val="Calibri"/>
      <family val="2"/>
      <scheme val="minor"/>
    </font>
    <font>
      <b/>
      <sz val="18"/>
      <color rgb="FF92D050"/>
      <name val="Calibri"/>
      <family val="2"/>
      <scheme val="minor"/>
    </font>
    <font>
      <b/>
      <sz val="18"/>
      <color rgb="FFFF66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</font>
    <font>
      <b/>
      <sz val="12"/>
      <color rgb="FF0000FF"/>
      <name val="Calibri"/>
      <family val="2"/>
      <scheme val="minor"/>
    </font>
    <font>
      <sz val="13"/>
      <color rgb="FF009900"/>
      <name val="Calibri"/>
      <family val="2"/>
      <scheme val="minor"/>
    </font>
    <font>
      <b/>
      <sz val="13"/>
      <color rgb="FF0099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indexed="60"/>
      <name val="Calibri"/>
      <family val="2"/>
    </font>
    <font>
      <b/>
      <i/>
      <sz val="12"/>
      <color rgb="FF009900"/>
      <name val="Calibri"/>
      <family val="2"/>
      <scheme val="minor"/>
    </font>
    <font>
      <b/>
      <sz val="13"/>
      <color rgb="FFFF66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8" fontId="11" fillId="0" borderId="0" xfId="1" applyNumberFormat="1" applyFont="1" applyBorder="1" applyAlignment="1">
      <alignment horizontal="center"/>
    </xf>
    <xf numFmtId="164" fontId="11" fillId="0" borderId="0" xfId="1" applyFont="1" applyFill="1" applyAlignment="1">
      <alignment horizontal="center"/>
    </xf>
    <xf numFmtId="164" fontId="11" fillId="0" borderId="0" xfId="0" applyNumberFormat="1" applyFont="1"/>
    <xf numFmtId="164" fontId="14" fillId="0" borderId="0" xfId="1" applyFont="1" applyFill="1" applyBorder="1" applyAlignment="1">
      <alignment horizontal="center"/>
    </xf>
    <xf numFmtId="164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164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9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16" fillId="0" borderId="0" xfId="0" applyFont="1" applyFill="1" applyAlignment="1">
      <alignment horizontal="center"/>
    </xf>
    <xf numFmtId="164" fontId="17" fillId="0" borderId="0" xfId="1" applyFont="1" applyFill="1" applyAlignment="1">
      <alignment horizontal="right"/>
    </xf>
    <xf numFmtId="0" fontId="17" fillId="0" borderId="0" xfId="0" applyFont="1" applyFill="1" applyBorder="1"/>
    <xf numFmtId="164" fontId="11" fillId="0" borderId="0" xfId="0" applyNumberFormat="1" applyFont="1" applyFill="1"/>
    <xf numFmtId="172" fontId="11" fillId="0" borderId="0" xfId="0" applyNumberFormat="1" applyFont="1" applyFill="1" applyBorder="1"/>
    <xf numFmtId="173" fontId="11" fillId="0" borderId="0" xfId="0" applyNumberFormat="1" applyFont="1" applyFill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70" fontId="11" fillId="0" borderId="0" xfId="1" applyNumberFormat="1" applyFont="1" applyFill="1" applyBorder="1" applyAlignment="1">
      <alignment horizontal="center"/>
    </xf>
    <xf numFmtId="164" fontId="16" fillId="0" borderId="0" xfId="1" applyFont="1" applyFill="1" applyBorder="1" applyAlignment="1"/>
    <xf numFmtId="0" fontId="12" fillId="0" borderId="0" xfId="0" applyFont="1" applyAlignment="1">
      <alignment horizontal="right"/>
    </xf>
    <xf numFmtId="0" fontId="20" fillId="0" borderId="0" xfId="0" applyFont="1" applyFill="1"/>
    <xf numFmtId="0" fontId="12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left"/>
    </xf>
    <xf numFmtId="170" fontId="11" fillId="0" borderId="0" xfId="0" applyNumberFormat="1" applyFont="1" applyBorder="1"/>
    <xf numFmtId="0" fontId="23" fillId="0" borderId="0" xfId="0" applyFont="1" applyBorder="1"/>
    <xf numFmtId="49" fontId="24" fillId="0" borderId="0" xfId="0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5" fontId="11" fillId="0" borderId="0" xfId="1" applyNumberFormat="1" applyFont="1"/>
    <xf numFmtId="10" fontId="20" fillId="0" borderId="0" xfId="2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/>
    <xf numFmtId="49" fontId="12" fillId="0" borderId="0" xfId="0" applyNumberFormat="1" applyFont="1"/>
    <xf numFmtId="0" fontId="26" fillId="0" borderId="0" xfId="0" applyFont="1" applyFill="1" applyBorder="1"/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6" fillId="0" borderId="0" xfId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4" xfId="1" applyNumberFormat="1" applyFont="1" applyFill="1" applyBorder="1"/>
    <xf numFmtId="165" fontId="13" fillId="0" borderId="4" xfId="1" applyNumberFormat="1" applyFont="1" applyFill="1" applyBorder="1"/>
    <xf numFmtId="165" fontId="12" fillId="0" borderId="0" xfId="1" applyNumberFormat="1" applyFont="1" applyFill="1" applyBorder="1"/>
    <xf numFmtId="165" fontId="13" fillId="0" borderId="0" xfId="1" applyNumberFormat="1" applyFont="1" applyFill="1" applyBorder="1"/>
    <xf numFmtId="164" fontId="27" fillId="0" borderId="4" xfId="1" applyFont="1" applyBorder="1"/>
    <xf numFmtId="0" fontId="13" fillId="0" borderId="0" xfId="0" applyFont="1" applyBorder="1" applyAlignment="1">
      <alignment horizontal="right"/>
    </xf>
    <xf numFmtId="164" fontId="11" fillId="0" borderId="0" xfId="1" applyFont="1" applyBorder="1"/>
    <xf numFmtId="0" fontId="16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distributed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21" fillId="0" borderId="0" xfId="1" applyFont="1" applyFill="1" applyBorder="1" applyAlignment="1">
      <alignment horizontal="right"/>
    </xf>
    <xf numFmtId="167" fontId="11" fillId="0" borderId="0" xfId="1" applyNumberFormat="1" applyFont="1" applyFill="1" applyBorder="1"/>
    <xf numFmtId="175" fontId="11" fillId="0" borderId="0" xfId="0" applyNumberFormat="1" applyFont="1" applyFill="1" applyBorder="1"/>
    <xf numFmtId="166" fontId="16" fillId="0" borderId="0" xfId="1" applyNumberFormat="1" applyFont="1" applyFill="1" applyBorder="1"/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/>
    <xf numFmtId="170" fontId="11" fillId="0" borderId="0" xfId="0" applyNumberFormat="1" applyFont="1" applyFill="1" applyBorder="1"/>
    <xf numFmtId="10" fontId="22" fillId="0" borderId="0" xfId="0" applyNumberFormat="1" applyFont="1" applyFill="1" applyBorder="1"/>
    <xf numFmtId="0" fontId="23" fillId="0" borderId="0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0" fillId="0" borderId="0" xfId="0" applyFont="1"/>
    <xf numFmtId="9" fontId="11" fillId="0" borderId="0" xfId="0" applyNumberFormat="1" applyFont="1" applyBorder="1"/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0" fontId="11" fillId="0" borderId="25" xfId="0" applyFont="1" applyBorder="1"/>
    <xf numFmtId="0" fontId="11" fillId="0" borderId="0" xfId="0" applyFont="1" applyFill="1" applyAlignment="1">
      <alignment horizontal="left" vertical="center"/>
    </xf>
    <xf numFmtId="0" fontId="35" fillId="0" borderId="0" xfId="0" applyFont="1"/>
    <xf numFmtId="0" fontId="16" fillId="0" borderId="7" xfId="0" applyFont="1" applyBorder="1" applyAlignment="1">
      <alignment horizontal="right" vertical="center"/>
    </xf>
    <xf numFmtId="49" fontId="25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0" fontId="11" fillId="0" borderId="23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64" fontId="14" fillId="0" borderId="0" xfId="1" applyFont="1" applyFill="1" applyBorder="1" applyAlignment="1"/>
    <xf numFmtId="10" fontId="11" fillId="0" borderId="0" xfId="0" applyNumberFormat="1" applyFont="1" applyAlignment="1"/>
    <xf numFmtId="167" fontId="11" fillId="0" borderId="0" xfId="1" applyNumberFormat="1" applyFont="1" applyFill="1"/>
    <xf numFmtId="0" fontId="11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Fill="1" applyBorder="1"/>
    <xf numFmtId="0" fontId="11" fillId="0" borderId="26" xfId="0" applyFont="1" applyFill="1" applyBorder="1"/>
    <xf numFmtId="0" fontId="16" fillId="0" borderId="0" xfId="0" applyFont="1" applyBorder="1" applyAlignment="1">
      <alignment horizontal="left" vertical="center"/>
    </xf>
    <xf numFmtId="165" fontId="16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165" fontId="3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20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vertical="distributed"/>
    </xf>
    <xf numFmtId="0" fontId="11" fillId="0" borderId="4" xfId="0" applyFont="1" applyBorder="1" applyAlignment="1">
      <alignment horizontal="center" vertical="center"/>
    </xf>
    <xf numFmtId="9" fontId="11" fillId="1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left" vertical="center"/>
    </xf>
    <xf numFmtId="172" fontId="16" fillId="0" borderId="15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/>
    <xf numFmtId="165" fontId="11" fillId="9" borderId="4" xfId="0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9" borderId="4" xfId="1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165" fontId="16" fillId="0" borderId="34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5" xfId="1" applyFont="1" applyBorder="1" applyAlignment="1">
      <alignment horizontal="center" vertical="center" wrapText="1"/>
    </xf>
    <xf numFmtId="178" fontId="11" fillId="0" borderId="4" xfId="1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168" fontId="16" fillId="0" borderId="4" xfId="2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9" fontId="11" fillId="0" borderId="0" xfId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64" fontId="11" fillId="0" borderId="0" xfId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5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170" fontId="11" fillId="0" borderId="13" xfId="1" applyNumberFormat="1" applyFont="1" applyFill="1" applyBorder="1" applyAlignment="1">
      <alignment horizontal="center"/>
    </xf>
    <xf numFmtId="164" fontId="11" fillId="0" borderId="13" xfId="1" applyFont="1" applyFill="1" applyBorder="1" applyAlignment="1">
      <alignment horizontal="center"/>
    </xf>
    <xf numFmtId="164" fontId="16" fillId="0" borderId="13" xfId="1" applyFont="1" applyFill="1" applyBorder="1" applyAlignment="1"/>
    <xf numFmtId="164" fontId="16" fillId="0" borderId="25" xfId="1" applyFont="1" applyFill="1" applyBorder="1" applyAlignment="1"/>
    <xf numFmtId="0" fontId="11" fillId="0" borderId="15" xfId="0" applyFont="1" applyFill="1" applyBorder="1"/>
    <xf numFmtId="165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0" fontId="16" fillId="0" borderId="4" xfId="2" applyNumberFormat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0" fontId="16" fillId="13" borderId="4" xfId="2" applyNumberFormat="1" applyFont="1" applyFill="1" applyBorder="1" applyAlignment="1"/>
    <xf numFmtId="1" fontId="11" fillId="0" borderId="12" xfId="0" applyNumberFormat="1" applyFont="1" applyFill="1" applyBorder="1" applyAlignment="1">
      <alignment horizontal="center" vertical="center" wrapText="1"/>
    </xf>
    <xf numFmtId="164" fontId="16" fillId="0" borderId="26" xfId="1" applyFont="1" applyFill="1" applyBorder="1" applyAlignment="1"/>
    <xf numFmtId="10" fontId="11" fillId="0" borderId="12" xfId="2" applyNumberFormat="1" applyFont="1" applyFill="1" applyBorder="1"/>
    <xf numFmtId="0" fontId="11" fillId="0" borderId="26" xfId="0" applyFont="1" applyBorder="1"/>
    <xf numFmtId="2" fontId="11" fillId="0" borderId="12" xfId="1" applyNumberFormat="1" applyFont="1" applyFill="1" applyBorder="1" applyAlignment="1">
      <alignment horizontal="center" vertical="center" wrapText="1"/>
    </xf>
    <xf numFmtId="175" fontId="11" fillId="0" borderId="12" xfId="0" applyNumberFormat="1" applyFont="1" applyBorder="1"/>
    <xf numFmtId="168" fontId="11" fillId="0" borderId="12" xfId="2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/>
    <xf numFmtId="0" fontId="16" fillId="0" borderId="0" xfId="0" applyFont="1" applyAlignment="1">
      <alignment horizontal="left"/>
    </xf>
    <xf numFmtId="176" fontId="11" fillId="0" borderId="12" xfId="0" applyNumberFormat="1" applyFont="1" applyFill="1" applyBorder="1" applyAlignment="1">
      <alignment horizontal="center" vertical="center" wrapText="1"/>
    </xf>
    <xf numFmtId="167" fontId="11" fillId="2" borderId="12" xfId="1" applyNumberFormat="1" applyFont="1" applyFill="1" applyBorder="1"/>
    <xf numFmtId="168" fontId="11" fillId="0" borderId="0" xfId="2" applyNumberFormat="1" applyFont="1" applyAlignment="1">
      <alignment horizontal="center" vertical="center" wrapText="1"/>
    </xf>
    <xf numFmtId="10" fontId="11" fillId="11" borderId="12" xfId="2" applyNumberFormat="1" applyFont="1" applyFill="1" applyBorder="1" applyAlignment="1">
      <alignment horizontal="center" vertical="center" wrapText="1"/>
    </xf>
    <xf numFmtId="10" fontId="22" fillId="0" borderId="12" xfId="0" applyNumberFormat="1" applyFont="1" applyBorder="1"/>
    <xf numFmtId="10" fontId="11" fillId="2" borderId="4" xfId="2" applyNumberFormat="1" applyFont="1" applyFill="1" applyBorder="1" applyAlignment="1">
      <alignment horizontal="center"/>
    </xf>
    <xf numFmtId="10" fontId="11" fillId="4" borderId="4" xfId="2" applyNumberFormat="1" applyFont="1" applyFill="1" applyBorder="1" applyAlignment="1">
      <alignment horizontal="center"/>
    </xf>
    <xf numFmtId="10" fontId="11" fillId="3" borderId="4" xfId="2" applyNumberFormat="1" applyFont="1" applyFill="1" applyBorder="1" applyAlignment="1">
      <alignment horizontal="center"/>
    </xf>
    <xf numFmtId="10" fontId="11" fillId="0" borderId="10" xfId="2" applyNumberFormat="1" applyFont="1" applyBorder="1" applyAlignment="1">
      <alignment horizontal="center" vertical="center" wrapText="1"/>
    </xf>
    <xf numFmtId="0" fontId="23" fillId="0" borderId="11" xfId="0" applyFont="1" applyBorder="1"/>
    <xf numFmtId="0" fontId="11" fillId="0" borderId="11" xfId="0" applyFont="1" applyBorder="1"/>
    <xf numFmtId="171" fontId="11" fillId="0" borderId="11" xfId="0" applyNumberFormat="1" applyFont="1" applyBorder="1"/>
    <xf numFmtId="0" fontId="11" fillId="0" borderId="34" xfId="0" applyFont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34" xfId="0" applyFont="1" applyFill="1" applyBorder="1"/>
    <xf numFmtId="1" fontId="11" fillId="2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177" fontId="11" fillId="0" borderId="13" xfId="1" applyNumberFormat="1" applyFont="1" applyBorder="1" applyAlignment="1">
      <alignment horizontal="center" vertical="center"/>
    </xf>
    <xf numFmtId="2" fontId="11" fillId="0" borderId="13" xfId="0" applyNumberFormat="1" applyFont="1" applyBorder="1"/>
    <xf numFmtId="10" fontId="20" fillId="0" borderId="0" xfId="2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41" fillId="0" borderId="0" xfId="1" applyNumberFormat="1" applyFont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164" fontId="16" fillId="0" borderId="12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1" fillId="0" borderId="0" xfId="1" applyFont="1" applyFill="1" applyBorder="1" applyAlignment="1"/>
    <xf numFmtId="0" fontId="40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/>
    <xf numFmtId="0" fontId="40" fillId="5" borderId="0" xfId="0" applyFont="1" applyFill="1" applyBorder="1" applyAlignment="1">
      <alignment horizontal="right"/>
    </xf>
    <xf numFmtId="1" fontId="40" fillId="5" borderId="0" xfId="0" applyNumberFormat="1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40" fillId="6" borderId="0" xfId="0" applyFont="1" applyFill="1" applyBorder="1" applyAlignment="1">
      <alignment horizontal="center" vertical="center" wrapText="1"/>
    </xf>
    <xf numFmtId="0" fontId="40" fillId="6" borderId="0" xfId="0" applyFont="1" applyFill="1" applyBorder="1"/>
    <xf numFmtId="0" fontId="40" fillId="6" borderId="0" xfId="0" applyFont="1" applyFill="1" applyBorder="1" applyAlignment="1">
      <alignment horizontal="right"/>
    </xf>
    <xf numFmtId="1" fontId="40" fillId="6" borderId="0" xfId="0" applyNumberFormat="1" applyFont="1" applyFill="1" applyBorder="1" applyAlignment="1">
      <alignment horizontal="center" vertical="distributed"/>
    </xf>
    <xf numFmtId="164" fontId="11" fillId="0" borderId="0" xfId="0" applyNumberFormat="1" applyFont="1" applyFill="1" applyBorder="1" applyAlignment="1">
      <alignment horizontal="left" vertical="center"/>
    </xf>
    <xf numFmtId="165" fontId="40" fillId="7" borderId="0" xfId="0" applyNumberFormat="1" applyFont="1" applyFill="1" applyBorder="1" applyAlignment="1">
      <alignment horizontal="center" vertical="center" wrapText="1"/>
    </xf>
    <xf numFmtId="164" fontId="42" fillId="7" borderId="0" xfId="1" applyFont="1" applyFill="1" applyBorder="1"/>
    <xf numFmtId="164" fontId="40" fillId="7" borderId="0" xfId="1" applyFont="1" applyFill="1" applyBorder="1" applyAlignment="1">
      <alignment horizontal="right"/>
    </xf>
    <xf numFmtId="1" fontId="40" fillId="7" borderId="0" xfId="0" applyNumberFormat="1" applyFont="1" applyFill="1" applyBorder="1" applyAlignment="1">
      <alignment horizontal="center" vertical="distributed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/>
    <xf numFmtId="1" fontId="40" fillId="0" borderId="0" xfId="0" applyNumberFormat="1" applyFont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6" fillId="0" borderId="11" xfId="1" applyFont="1" applyFill="1" applyBorder="1" applyAlignment="1"/>
    <xf numFmtId="0" fontId="40" fillId="0" borderId="0" xfId="0" applyFont="1" applyFill="1" applyBorder="1" applyAlignment="1">
      <alignment horizontal="right" vertical="center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/>
    <xf numFmtId="0" fontId="40" fillId="3" borderId="0" xfId="0" applyFont="1" applyFill="1" applyBorder="1" applyAlignment="1">
      <alignment horizontal="right"/>
    </xf>
    <xf numFmtId="1" fontId="40" fillId="3" borderId="0" xfId="0" applyNumberFormat="1" applyFont="1" applyFill="1" applyBorder="1" applyAlignment="1">
      <alignment horizontal="center" vertical="distributed"/>
    </xf>
    <xf numFmtId="0" fontId="33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right" vertical="center"/>
    </xf>
    <xf numFmtId="164" fontId="11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1" fillId="11" borderId="0" xfId="0" applyNumberFormat="1" applyFont="1" applyFill="1" applyAlignment="1">
      <alignment horizontal="center" vertical="center" wrapText="1"/>
    </xf>
    <xf numFmtId="164" fontId="16" fillId="0" borderId="4" xfId="0" applyNumberFormat="1" applyFont="1" applyBorder="1"/>
    <xf numFmtId="164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166" fontId="16" fillId="11" borderId="4" xfId="1" applyNumberFormat="1" applyFont="1" applyFill="1" applyBorder="1"/>
    <xf numFmtId="170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0" fontId="11" fillId="0" borderId="2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/>
    <xf numFmtId="49" fontId="11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/>
    </xf>
    <xf numFmtId="176" fontId="11" fillId="0" borderId="4" xfId="0" applyNumberFormat="1" applyFont="1" applyBorder="1" applyAlignment="1">
      <alignment horizontal="center" vertical="center"/>
    </xf>
    <xf numFmtId="10" fontId="11" fillId="0" borderId="4" xfId="2" applyNumberFormat="1" applyFont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74" fontId="11" fillId="0" borderId="0" xfId="2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10" fontId="11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168" fontId="11" fillId="0" borderId="0" xfId="2" applyNumberFormat="1" applyFont="1" applyBorder="1" applyAlignment="1">
      <alignment horizontal="center"/>
    </xf>
    <xf numFmtId="0" fontId="11" fillId="0" borderId="6" xfId="0" applyFont="1" applyFill="1" applyBorder="1" applyAlignment="1"/>
    <xf numFmtId="0" fontId="11" fillId="0" borderId="19" xfId="0" applyFont="1" applyFill="1" applyBorder="1" applyAlignment="1">
      <alignment horizontal="right"/>
    </xf>
    <xf numFmtId="10" fontId="11" fillId="0" borderId="4" xfId="2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9" xfId="0" applyFont="1" applyFill="1" applyBorder="1" applyAlignment="1"/>
    <xf numFmtId="0" fontId="11" fillId="0" borderId="4" xfId="0" applyFont="1" applyFill="1" applyBorder="1" applyAlignment="1">
      <alignment horizontal="right"/>
    </xf>
    <xf numFmtId="49" fontId="11" fillId="0" borderId="4" xfId="1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right"/>
    </xf>
    <xf numFmtId="0" fontId="11" fillId="0" borderId="4" xfId="0" applyFont="1" applyFill="1" applyBorder="1" applyAlignment="1"/>
    <xf numFmtId="1" fontId="11" fillId="0" borderId="0" xfId="0" applyNumberFormat="1" applyFont="1" applyFill="1" applyBorder="1" applyAlignment="1"/>
    <xf numFmtId="0" fontId="11" fillId="0" borderId="24" xfId="0" applyFont="1" applyFill="1" applyBorder="1" applyAlignment="1"/>
    <xf numFmtId="1" fontId="11" fillId="0" borderId="14" xfId="0" applyNumberFormat="1" applyFont="1" applyFill="1" applyBorder="1" applyAlignment="1">
      <alignment horizontal="center"/>
    </xf>
    <xf numFmtId="164" fontId="14" fillId="0" borderId="16" xfId="1" applyFont="1" applyFill="1" applyBorder="1" applyAlignment="1"/>
    <xf numFmtId="0" fontId="11" fillId="0" borderId="15" xfId="0" applyFont="1" applyFill="1" applyBorder="1" applyAlignment="1"/>
    <xf numFmtId="10" fontId="11" fillId="0" borderId="0" xfId="0" applyNumberFormat="1" applyFont="1" applyFill="1" applyBorder="1" applyAlignment="1"/>
    <xf numFmtId="2" fontId="11" fillId="0" borderId="13" xfId="0" applyNumberFormat="1" applyFont="1" applyFill="1" applyBorder="1" applyAlignment="1">
      <alignment horizontal="center"/>
    </xf>
    <xf numFmtId="10" fontId="11" fillId="0" borderId="13" xfId="2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11" fillId="0" borderId="10" xfId="0" applyFont="1" applyFill="1" applyBorder="1" applyAlignment="1"/>
    <xf numFmtId="10" fontId="11" fillId="0" borderId="4" xfId="2" applyNumberFormat="1" applyFont="1" applyBorder="1" applyAlignment="1">
      <alignment horizontal="center" vertical="distributed"/>
    </xf>
    <xf numFmtId="0" fontId="16" fillId="8" borderId="5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distributed"/>
    </xf>
    <xf numFmtId="0" fontId="11" fillId="12" borderId="0" xfId="0" applyFont="1" applyFill="1" applyAlignment="1">
      <alignment horizontal="center" vertical="center"/>
    </xf>
    <xf numFmtId="0" fontId="33" fillId="12" borderId="4" xfId="0" applyFont="1" applyFill="1" applyBorder="1" applyAlignment="1">
      <alignment horizontal="center" vertical="center"/>
    </xf>
    <xf numFmtId="10" fontId="33" fillId="12" borderId="4" xfId="0" applyNumberFormat="1" applyFont="1" applyFill="1" applyBorder="1" applyAlignment="1">
      <alignment horizontal="center" vertical="center"/>
    </xf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168" fontId="11" fillId="12" borderId="0" xfId="2" applyNumberFormat="1" applyFont="1" applyFill="1"/>
    <xf numFmtId="0" fontId="46" fillId="12" borderId="0" xfId="0" applyFont="1" applyFill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Fill="1" applyAlignment="1">
      <alignment horizontal="center"/>
    </xf>
    <xf numFmtId="165" fontId="11" fillId="0" borderId="0" xfId="0" applyNumberFormat="1" applyFont="1" applyFill="1"/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9" fontId="16" fillId="0" borderId="0" xfId="2" applyFont="1" applyFill="1" applyAlignment="1">
      <alignment horizontal="center"/>
    </xf>
    <xf numFmtId="10" fontId="11" fillId="0" borderId="0" xfId="0" applyNumberFormat="1" applyFont="1" applyAlignment="1">
      <alignment horizontal="right" vertical="center"/>
    </xf>
    <xf numFmtId="0" fontId="24" fillId="12" borderId="0" xfId="0" applyFont="1" applyFill="1" applyAlignment="1">
      <alignment horizontal="left" vertical="center"/>
    </xf>
    <xf numFmtId="1" fontId="51" fillId="12" borderId="4" xfId="0" applyNumberFormat="1" applyFont="1" applyFill="1" applyBorder="1" applyAlignment="1">
      <alignment horizontal="center" vertical="center"/>
    </xf>
    <xf numFmtId="0" fontId="44" fillId="0" borderId="0" xfId="0" applyFont="1"/>
    <xf numFmtId="0" fontId="16" fillId="11" borderId="4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vertical="center"/>
    </xf>
    <xf numFmtId="0" fontId="26" fillId="12" borderId="4" xfId="0" applyFont="1" applyFill="1" applyBorder="1" applyAlignment="1">
      <alignment horizontal="left" vertical="center" wrapText="1"/>
    </xf>
    <xf numFmtId="176" fontId="11" fillId="12" borderId="4" xfId="0" applyNumberFormat="1" applyFont="1" applyFill="1" applyBorder="1" applyAlignment="1">
      <alignment horizontal="center" vertical="center"/>
    </xf>
    <xf numFmtId="10" fontId="11" fillId="12" borderId="4" xfId="2" applyNumberFormat="1" applyFont="1" applyFill="1" applyBorder="1" applyAlignment="1">
      <alignment horizontal="center" vertical="center" wrapText="1"/>
    </xf>
    <xf numFmtId="10" fontId="11" fillId="12" borderId="0" xfId="2" applyNumberFormat="1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 wrapText="1"/>
    </xf>
    <xf numFmtId="0" fontId="45" fillId="0" borderId="0" xfId="0" applyFont="1"/>
    <xf numFmtId="0" fontId="55" fillId="12" borderId="4" xfId="0" applyFont="1" applyFill="1" applyBorder="1" applyAlignment="1">
      <alignment horizontal="right" vertical="center" wrapText="1"/>
    </xf>
    <xf numFmtId="0" fontId="55" fillId="12" borderId="4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10" fontId="48" fillId="12" borderId="4" xfId="0" applyNumberFormat="1" applyFont="1" applyFill="1" applyBorder="1" applyAlignment="1">
      <alignment horizontal="center" vertical="center"/>
    </xf>
    <xf numFmtId="1" fontId="49" fillId="12" borderId="4" xfId="0" applyNumberFormat="1" applyFont="1" applyFill="1" applyBorder="1" applyAlignment="1">
      <alignment horizontal="right" vertical="center"/>
    </xf>
    <xf numFmtId="0" fontId="33" fillId="12" borderId="4" xfId="0" applyFont="1" applyFill="1" applyBorder="1" applyAlignment="1">
      <alignment horizontal="left" vertical="center" wrapText="1"/>
    </xf>
    <xf numFmtId="1" fontId="54" fillId="12" borderId="4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distributed"/>
    </xf>
    <xf numFmtId="0" fontId="12" fillId="0" borderId="0" xfId="0" applyFont="1" applyBorder="1" applyAlignment="1">
      <alignment horizontal="left" vertical="center" wrapText="1"/>
    </xf>
    <xf numFmtId="0" fontId="26" fillId="12" borderId="4" xfId="0" applyFont="1" applyFill="1" applyBorder="1" applyAlignment="1">
      <alignment horizontal="left" vertical="center"/>
    </xf>
    <xf numFmtId="168" fontId="16" fillId="12" borderId="8" xfId="2" applyNumberFormat="1" applyFont="1" applyFill="1" applyBorder="1" applyAlignment="1">
      <alignment horizontal="center" vertical="center" wrapText="1"/>
    </xf>
    <xf numFmtId="0" fontId="58" fillId="12" borderId="0" xfId="0" applyFont="1" applyFill="1" applyAlignment="1">
      <alignment horizontal="left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33" fillId="12" borderId="0" xfId="0" applyFont="1" applyFill="1" applyAlignment="1">
      <alignment horizontal="center" vertical="center" wrapText="1"/>
    </xf>
    <xf numFmtId="49" fontId="66" fillId="0" borderId="18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12" borderId="0" xfId="0" applyFont="1" applyFill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9" fontId="46" fillId="12" borderId="0" xfId="2" applyFont="1" applyFill="1" applyAlignment="1">
      <alignment horizontal="center" vertical="center"/>
    </xf>
    <xf numFmtId="9" fontId="26" fillId="12" borderId="4" xfId="0" applyNumberFormat="1" applyFont="1" applyFill="1" applyBorder="1" applyAlignment="1">
      <alignment horizontal="center" vertical="center"/>
    </xf>
    <xf numFmtId="2" fontId="26" fillId="12" borderId="4" xfId="0" applyNumberFormat="1" applyFont="1" applyFill="1" applyBorder="1" applyAlignment="1">
      <alignment horizontal="center" vertical="center"/>
    </xf>
    <xf numFmtId="168" fontId="26" fillId="12" borderId="4" xfId="0" applyNumberFormat="1" applyFont="1" applyFill="1" applyBorder="1" applyAlignment="1">
      <alignment horizontal="center" vertical="center"/>
    </xf>
    <xf numFmtId="1" fontId="67" fillId="10" borderId="4" xfId="0" applyNumberFormat="1" applyFont="1" applyFill="1" applyBorder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9" fontId="61" fillId="12" borderId="4" xfId="2" applyFont="1" applyFill="1" applyBorder="1" applyAlignment="1">
      <alignment horizontal="center" vertical="center"/>
    </xf>
    <xf numFmtId="9" fontId="11" fillId="12" borderId="0" xfId="2" applyFont="1" applyFill="1" applyAlignment="1">
      <alignment horizontal="center" vertical="center"/>
    </xf>
    <xf numFmtId="1" fontId="68" fillId="12" borderId="4" xfId="0" applyNumberFormat="1" applyFont="1" applyFill="1" applyBorder="1" applyAlignment="1">
      <alignment horizontal="center" vertical="center"/>
    </xf>
    <xf numFmtId="1" fontId="69" fillId="12" borderId="4" xfId="0" applyNumberFormat="1" applyFont="1" applyFill="1" applyBorder="1" applyAlignment="1">
      <alignment horizontal="center" vertical="center"/>
    </xf>
    <xf numFmtId="0" fontId="33" fillId="12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left"/>
    </xf>
    <xf numFmtId="9" fontId="32" fillId="0" borderId="4" xfId="0" applyNumberFormat="1" applyFont="1" applyBorder="1" applyAlignment="1">
      <alignment horizontal="center" vertical="center"/>
    </xf>
    <xf numFmtId="9" fontId="11" fillId="9" borderId="23" xfId="2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72" fontId="16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1" fillId="12" borderId="0" xfId="0" applyNumberFormat="1" applyFont="1" applyFill="1"/>
    <xf numFmtId="176" fontId="11" fillId="12" borderId="0" xfId="0" applyNumberFormat="1" applyFont="1" applyFill="1" applyAlignment="1">
      <alignment horizontal="center" vertical="center"/>
    </xf>
    <xf numFmtId="176" fontId="11" fillId="12" borderId="0" xfId="0" applyNumberFormat="1" applyFont="1" applyFill="1" applyAlignment="1">
      <alignment horizontal="center" vertical="center" wrapText="1"/>
    </xf>
    <xf numFmtId="0" fontId="71" fillId="0" borderId="1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72" fillId="0" borderId="7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1" fillId="0" borderId="3" xfId="0" applyFont="1" applyBorder="1" applyAlignment="1">
      <alignment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16" fillId="12" borderId="0" xfId="0" applyNumberFormat="1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0" fontId="33" fillId="0" borderId="4" xfId="0" applyNumberFormat="1" applyFont="1" applyBorder="1" applyAlignment="1">
      <alignment horizontal="center" vertical="center"/>
    </xf>
    <xf numFmtId="1" fontId="71" fillId="12" borderId="4" xfId="0" applyNumberFormat="1" applyFont="1" applyFill="1" applyBorder="1" applyAlignment="1">
      <alignment horizontal="center" vertical="center"/>
    </xf>
    <xf numFmtId="0" fontId="74" fillId="10" borderId="4" xfId="0" applyFont="1" applyFill="1" applyBorder="1" applyAlignment="1">
      <alignment horizontal="center" vertical="center"/>
    </xf>
    <xf numFmtId="1" fontId="75" fillId="12" borderId="4" xfId="0" applyNumberFormat="1" applyFont="1" applyFill="1" applyBorder="1" applyAlignment="1">
      <alignment horizontal="center" vertical="center"/>
    </xf>
    <xf numFmtId="1" fontId="76" fillId="12" borderId="4" xfId="0" applyNumberFormat="1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right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12" borderId="0" xfId="0" applyFont="1" applyFill="1" applyAlignment="1">
      <alignment horizontal="left" vertical="center" wrapText="1"/>
    </xf>
    <xf numFmtId="1" fontId="78" fillId="12" borderId="4" xfId="0" applyNumberFormat="1" applyFont="1" applyFill="1" applyBorder="1" applyAlignment="1">
      <alignment horizontal="right" vertical="center"/>
    </xf>
    <xf numFmtId="0" fontId="24" fillId="12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center"/>
    </xf>
    <xf numFmtId="166" fontId="16" fillId="12" borderId="0" xfId="0" applyNumberFormat="1" applyFont="1" applyFill="1"/>
    <xf numFmtId="176" fontId="16" fillId="12" borderId="0" xfId="0" applyNumberFormat="1" applyFont="1" applyFill="1" applyAlignment="1">
      <alignment horizontal="center" vertical="center" wrapText="1"/>
    </xf>
    <xf numFmtId="10" fontId="33" fillId="12" borderId="0" xfId="0" applyNumberFormat="1" applyFont="1" applyFill="1" applyAlignment="1">
      <alignment horizontal="center" vertical="center"/>
    </xf>
    <xf numFmtId="1" fontId="24" fillId="12" borderId="0" xfId="0" applyNumberFormat="1" applyFont="1" applyFill="1" applyAlignment="1">
      <alignment horizontal="center" vertical="center"/>
    </xf>
    <xf numFmtId="0" fontId="24" fillId="12" borderId="0" xfId="0" applyFont="1" applyFill="1" applyAlignment="1">
      <alignment horizontal="left" vertical="center" wrapText="1"/>
    </xf>
    <xf numFmtId="1" fontId="79" fillId="12" borderId="4" xfId="0" applyNumberFormat="1" applyFont="1" applyFill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distributed"/>
    </xf>
    <xf numFmtId="0" fontId="24" fillId="0" borderId="17" xfId="0" applyFont="1" applyBorder="1" applyAlignment="1">
      <alignment horizontal="left" vertical="distributed"/>
    </xf>
    <xf numFmtId="0" fontId="24" fillId="0" borderId="23" xfId="0" applyFont="1" applyBorder="1" applyAlignment="1">
      <alignment horizontal="left" vertical="distributed"/>
    </xf>
    <xf numFmtId="0" fontId="12" fillId="0" borderId="30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distributed"/>
    </xf>
    <xf numFmtId="0" fontId="24" fillId="0" borderId="17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distributed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3" fillId="14" borderId="7" xfId="0" applyFont="1" applyFill="1" applyBorder="1" applyAlignment="1">
      <alignment horizontal="left" vertical="center" wrapText="1"/>
    </xf>
    <xf numFmtId="0" fontId="63" fillId="14" borderId="39" xfId="0" applyFont="1" applyFill="1" applyBorder="1" applyAlignment="1">
      <alignment horizontal="left" vertical="center" wrapText="1"/>
    </xf>
    <xf numFmtId="0" fontId="63" fillId="14" borderId="17" xfId="0" applyFont="1" applyFill="1" applyBorder="1" applyAlignment="1">
      <alignment horizontal="left" vertical="center" wrapText="1"/>
    </xf>
    <xf numFmtId="0" fontId="63" fillId="14" borderId="23" xfId="0" applyFont="1" applyFill="1" applyBorder="1" applyAlignment="1">
      <alignment horizontal="left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23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58" fillId="15" borderId="7" xfId="0" applyFont="1" applyFill="1" applyBorder="1" applyAlignment="1">
      <alignment horizontal="left" vertical="center" wrapText="1"/>
    </xf>
    <xf numFmtId="0" fontId="58" fillId="15" borderId="17" xfId="0" applyFont="1" applyFill="1" applyBorder="1" applyAlignment="1">
      <alignment horizontal="left" vertical="center" wrapText="1"/>
    </xf>
    <xf numFmtId="0" fontId="58" fillId="15" borderId="23" xfId="0" applyFont="1" applyFill="1" applyBorder="1" applyAlignment="1">
      <alignment horizontal="left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65" fillId="14" borderId="7" xfId="0" applyFont="1" applyFill="1" applyBorder="1" applyAlignment="1">
      <alignment horizontal="left" vertical="center" wrapText="1"/>
    </xf>
    <xf numFmtId="0" fontId="65" fillId="14" borderId="17" xfId="0" applyFont="1" applyFill="1" applyBorder="1" applyAlignment="1">
      <alignment horizontal="left" vertical="center" wrapText="1"/>
    </xf>
    <xf numFmtId="0" fontId="65" fillId="14" borderId="23" xfId="0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9966"/>
      <color rgb="FFFF9933"/>
      <color rgb="FF008000"/>
      <color rgb="FFB2B2B2"/>
      <color rgb="FFFFFF99"/>
      <color rgb="FFFFEBFF"/>
      <color rgb="FFFF6699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C-4791-B771-D1443381380B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C-4791-B771-D1443381380B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C-4791-B771-D1443381380B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Acumul'!$J$35:$L$35</c:f>
            </c:numRef>
          </c:val>
          <c:extLst>
            <c:ext xmlns:c16="http://schemas.microsoft.com/office/drawing/2014/chart" uri="{C3380CC4-5D6E-409C-BE32-E72D297353CC}">
              <c16:uniqueId val="{00000003-307C-4791-B771-D1443381380B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7C-4791-B771-D1443381380B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C-4791-B771-D1443381380B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7C-4791-B771-D1443381380B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Acumul'!$J$36:$L$36</c:f>
            </c:numRef>
          </c:val>
          <c:extLst>
            <c:ext xmlns:c16="http://schemas.microsoft.com/office/drawing/2014/chart" uri="{C3380CC4-5D6E-409C-BE32-E72D297353CC}">
              <c16:uniqueId val="{00000007-307C-4791-B771-D1443381380B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7C-4791-B771-D1443381380B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7C-4791-B771-D1443381380B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7C-4791-B771-D1443381380B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Acumul'!$J$37:$L$37</c:f>
            </c:numRef>
          </c:val>
          <c:extLst>
            <c:ext xmlns:c16="http://schemas.microsoft.com/office/drawing/2014/chart" uri="{C3380CC4-5D6E-409C-BE32-E72D297353CC}">
              <c16:uniqueId val="{0000000B-307C-4791-B771-D1443381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'EA por 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8-4EB9-847D-84ECDE28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0-420F-8848-3B680FEA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8-4CBD-939C-8C320F53D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3-4F9B-A642-DF3E3FB61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4" name="Line 4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5" name="Line 4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8" name="Line 4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9" name="Line 4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4" name="Line 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6" name="Line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8" name="Line 4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0" name="Lin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1" name="Line 4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3" name="Line 4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4" name="Line 4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5" name="Line 4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6" name="Line 4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7" name="Line 4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8" name="Line 4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39" name="Line 4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40" name="Line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42" name="Line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43" name="Line 4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41052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B4A9FA0F-4C9B-4EBF-9E5C-7C32B653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3" name="Gráfico 11">
          <a:extLst>
            <a:ext uri="{FF2B5EF4-FFF2-40B4-BE49-F238E27FC236}">
              <a16:creationId xmlns:a16="http://schemas.microsoft.com/office/drawing/2014/main" id="{6FF8F16E-4AB2-4362-A6F9-0D7B688B0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4" name="Gráfico 12">
          <a:extLst>
            <a:ext uri="{FF2B5EF4-FFF2-40B4-BE49-F238E27FC236}">
              <a16:creationId xmlns:a16="http://schemas.microsoft.com/office/drawing/2014/main" id="{5C8E8CE3-4F9C-4535-BE36-284902077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5" name="Gráfico 13">
          <a:extLst>
            <a:ext uri="{FF2B5EF4-FFF2-40B4-BE49-F238E27FC236}">
              <a16:creationId xmlns:a16="http://schemas.microsoft.com/office/drawing/2014/main" id="{8215E52A-057E-444C-A15A-9EB89E875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6" name="Gráfico 88">
          <a:extLst>
            <a:ext uri="{FF2B5EF4-FFF2-40B4-BE49-F238E27FC236}">
              <a16:creationId xmlns:a16="http://schemas.microsoft.com/office/drawing/2014/main" id="{BC54FB6C-1935-4DA6-A536-3A5ACFBAA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topLeftCell="A4" zoomScale="70" zoomScaleNormal="70" workbookViewId="0">
      <selection activeCell="B4" sqref="B4"/>
    </sheetView>
  </sheetViews>
  <sheetFormatPr baseColWidth="10" defaultRowHeight="13" x14ac:dyDescent="0.3"/>
  <cols>
    <col min="1" max="1" width="0.7265625" style="5" customWidth="1"/>
    <col min="2" max="2" width="35" style="5" customWidth="1"/>
    <col min="3" max="3" width="21.36328125" style="5" customWidth="1"/>
    <col min="4" max="4" width="21.1796875" style="5" customWidth="1"/>
    <col min="5" max="5" width="20.26953125" style="5" customWidth="1"/>
    <col min="6" max="6" width="22.08984375" style="5" customWidth="1"/>
    <col min="7" max="7" width="18" style="5" customWidth="1"/>
    <col min="8" max="8" width="1.6328125" style="5" customWidth="1"/>
    <col min="9" max="9" width="15.7265625" style="5" customWidth="1"/>
    <col min="10" max="10" width="2.1796875" style="5" customWidth="1"/>
    <col min="11" max="11" width="15.81640625" style="5" hidden="1" customWidth="1"/>
    <col min="12" max="12" width="16.36328125" style="12" hidden="1" customWidth="1"/>
    <col min="13" max="13" width="4" style="12" hidden="1" customWidth="1"/>
    <col min="14" max="14" width="18.6328125" style="5" customWidth="1"/>
    <col min="15" max="15" width="18.7265625" style="5" customWidth="1"/>
    <col min="16" max="16" width="11.08984375" style="5" customWidth="1"/>
    <col min="17" max="17" width="11.453125" style="5"/>
    <col min="18" max="19" width="11.453125" style="12"/>
    <col min="20" max="258" width="11.453125" style="5"/>
    <col min="259" max="259" width="12.81640625" style="5" customWidth="1"/>
    <col min="260" max="260" width="18.26953125" style="5" customWidth="1"/>
    <col min="261" max="261" width="13.7265625" style="5" customWidth="1"/>
    <col min="262" max="262" width="16.453125" style="5" customWidth="1"/>
    <col min="263" max="263" width="20.7265625" style="5" customWidth="1"/>
    <col min="264" max="264" width="23.81640625" style="5" customWidth="1"/>
    <col min="265" max="265" width="18.81640625" style="5" customWidth="1"/>
    <col min="266" max="266" width="8.26953125" style="5" customWidth="1"/>
    <col min="267" max="267" width="14.54296875" style="5" bestFit="1" customWidth="1"/>
    <col min="268" max="268" width="14.1796875" style="5" bestFit="1" customWidth="1"/>
    <col min="269" max="269" width="11.453125" style="5"/>
    <col min="270" max="270" width="15.54296875" style="5" customWidth="1"/>
    <col min="271" max="271" width="11.453125" style="5"/>
    <col min="272" max="272" width="13.81640625" style="5" bestFit="1" customWidth="1"/>
    <col min="273" max="514" width="11.453125" style="5"/>
    <col min="515" max="515" width="12.81640625" style="5" customWidth="1"/>
    <col min="516" max="516" width="18.26953125" style="5" customWidth="1"/>
    <col min="517" max="517" width="13.7265625" style="5" customWidth="1"/>
    <col min="518" max="518" width="16.453125" style="5" customWidth="1"/>
    <col min="519" max="519" width="20.7265625" style="5" customWidth="1"/>
    <col min="520" max="520" width="23.81640625" style="5" customWidth="1"/>
    <col min="521" max="521" width="18.81640625" style="5" customWidth="1"/>
    <col min="522" max="522" width="8.26953125" style="5" customWidth="1"/>
    <col min="523" max="523" width="14.54296875" style="5" bestFit="1" customWidth="1"/>
    <col min="524" max="524" width="14.1796875" style="5" bestFit="1" customWidth="1"/>
    <col min="525" max="525" width="11.453125" style="5"/>
    <col min="526" max="526" width="15.54296875" style="5" customWidth="1"/>
    <col min="527" max="527" width="11.453125" style="5"/>
    <col min="528" max="528" width="13.81640625" style="5" bestFit="1" customWidth="1"/>
    <col min="529" max="770" width="11.453125" style="5"/>
    <col min="771" max="771" width="12.81640625" style="5" customWidth="1"/>
    <col min="772" max="772" width="18.26953125" style="5" customWidth="1"/>
    <col min="773" max="773" width="13.7265625" style="5" customWidth="1"/>
    <col min="774" max="774" width="16.453125" style="5" customWidth="1"/>
    <col min="775" max="775" width="20.7265625" style="5" customWidth="1"/>
    <col min="776" max="776" width="23.81640625" style="5" customWidth="1"/>
    <col min="777" max="777" width="18.81640625" style="5" customWidth="1"/>
    <col min="778" max="778" width="8.26953125" style="5" customWidth="1"/>
    <col min="779" max="779" width="14.54296875" style="5" bestFit="1" customWidth="1"/>
    <col min="780" max="780" width="14.1796875" style="5" bestFit="1" customWidth="1"/>
    <col min="781" max="781" width="11.453125" style="5"/>
    <col min="782" max="782" width="15.54296875" style="5" customWidth="1"/>
    <col min="783" max="783" width="11.453125" style="5"/>
    <col min="784" max="784" width="13.81640625" style="5" bestFit="1" customWidth="1"/>
    <col min="785" max="1026" width="11.453125" style="5"/>
    <col min="1027" max="1027" width="12.81640625" style="5" customWidth="1"/>
    <col min="1028" max="1028" width="18.26953125" style="5" customWidth="1"/>
    <col min="1029" max="1029" width="13.7265625" style="5" customWidth="1"/>
    <col min="1030" max="1030" width="16.453125" style="5" customWidth="1"/>
    <col min="1031" max="1031" width="20.7265625" style="5" customWidth="1"/>
    <col min="1032" max="1032" width="23.81640625" style="5" customWidth="1"/>
    <col min="1033" max="1033" width="18.81640625" style="5" customWidth="1"/>
    <col min="1034" max="1034" width="8.26953125" style="5" customWidth="1"/>
    <col min="1035" max="1035" width="14.54296875" style="5" bestFit="1" customWidth="1"/>
    <col min="1036" max="1036" width="14.1796875" style="5" bestFit="1" customWidth="1"/>
    <col min="1037" max="1037" width="11.453125" style="5"/>
    <col min="1038" max="1038" width="15.54296875" style="5" customWidth="1"/>
    <col min="1039" max="1039" width="11.453125" style="5"/>
    <col min="1040" max="1040" width="13.81640625" style="5" bestFit="1" customWidth="1"/>
    <col min="1041" max="1282" width="11.453125" style="5"/>
    <col min="1283" max="1283" width="12.81640625" style="5" customWidth="1"/>
    <col min="1284" max="1284" width="18.26953125" style="5" customWidth="1"/>
    <col min="1285" max="1285" width="13.7265625" style="5" customWidth="1"/>
    <col min="1286" max="1286" width="16.453125" style="5" customWidth="1"/>
    <col min="1287" max="1287" width="20.7265625" style="5" customWidth="1"/>
    <col min="1288" max="1288" width="23.81640625" style="5" customWidth="1"/>
    <col min="1289" max="1289" width="18.81640625" style="5" customWidth="1"/>
    <col min="1290" max="1290" width="8.26953125" style="5" customWidth="1"/>
    <col min="1291" max="1291" width="14.54296875" style="5" bestFit="1" customWidth="1"/>
    <col min="1292" max="1292" width="14.1796875" style="5" bestFit="1" customWidth="1"/>
    <col min="1293" max="1293" width="11.453125" style="5"/>
    <col min="1294" max="1294" width="15.54296875" style="5" customWidth="1"/>
    <col min="1295" max="1295" width="11.453125" style="5"/>
    <col min="1296" max="1296" width="13.81640625" style="5" bestFit="1" customWidth="1"/>
    <col min="1297" max="1538" width="11.453125" style="5"/>
    <col min="1539" max="1539" width="12.81640625" style="5" customWidth="1"/>
    <col min="1540" max="1540" width="18.26953125" style="5" customWidth="1"/>
    <col min="1541" max="1541" width="13.7265625" style="5" customWidth="1"/>
    <col min="1542" max="1542" width="16.453125" style="5" customWidth="1"/>
    <col min="1543" max="1543" width="20.7265625" style="5" customWidth="1"/>
    <col min="1544" max="1544" width="23.81640625" style="5" customWidth="1"/>
    <col min="1545" max="1545" width="18.81640625" style="5" customWidth="1"/>
    <col min="1546" max="1546" width="8.26953125" style="5" customWidth="1"/>
    <col min="1547" max="1547" width="14.54296875" style="5" bestFit="1" customWidth="1"/>
    <col min="1548" max="1548" width="14.1796875" style="5" bestFit="1" customWidth="1"/>
    <col min="1549" max="1549" width="11.453125" style="5"/>
    <col min="1550" max="1550" width="15.54296875" style="5" customWidth="1"/>
    <col min="1551" max="1551" width="11.453125" style="5"/>
    <col min="1552" max="1552" width="13.81640625" style="5" bestFit="1" customWidth="1"/>
    <col min="1553" max="1794" width="11.453125" style="5"/>
    <col min="1795" max="1795" width="12.81640625" style="5" customWidth="1"/>
    <col min="1796" max="1796" width="18.26953125" style="5" customWidth="1"/>
    <col min="1797" max="1797" width="13.7265625" style="5" customWidth="1"/>
    <col min="1798" max="1798" width="16.453125" style="5" customWidth="1"/>
    <col min="1799" max="1799" width="20.7265625" style="5" customWidth="1"/>
    <col min="1800" max="1800" width="23.81640625" style="5" customWidth="1"/>
    <col min="1801" max="1801" width="18.81640625" style="5" customWidth="1"/>
    <col min="1802" max="1802" width="8.26953125" style="5" customWidth="1"/>
    <col min="1803" max="1803" width="14.54296875" style="5" bestFit="1" customWidth="1"/>
    <col min="1804" max="1804" width="14.1796875" style="5" bestFit="1" customWidth="1"/>
    <col min="1805" max="1805" width="11.453125" style="5"/>
    <col min="1806" max="1806" width="15.54296875" style="5" customWidth="1"/>
    <col min="1807" max="1807" width="11.453125" style="5"/>
    <col min="1808" max="1808" width="13.81640625" style="5" bestFit="1" customWidth="1"/>
    <col min="1809" max="2050" width="11.453125" style="5"/>
    <col min="2051" max="2051" width="12.81640625" style="5" customWidth="1"/>
    <col min="2052" max="2052" width="18.26953125" style="5" customWidth="1"/>
    <col min="2053" max="2053" width="13.7265625" style="5" customWidth="1"/>
    <col min="2054" max="2054" width="16.453125" style="5" customWidth="1"/>
    <col min="2055" max="2055" width="20.7265625" style="5" customWidth="1"/>
    <col min="2056" max="2056" width="23.81640625" style="5" customWidth="1"/>
    <col min="2057" max="2057" width="18.81640625" style="5" customWidth="1"/>
    <col min="2058" max="2058" width="8.26953125" style="5" customWidth="1"/>
    <col min="2059" max="2059" width="14.54296875" style="5" bestFit="1" customWidth="1"/>
    <col min="2060" max="2060" width="14.1796875" style="5" bestFit="1" customWidth="1"/>
    <col min="2061" max="2061" width="11.453125" style="5"/>
    <col min="2062" max="2062" width="15.54296875" style="5" customWidth="1"/>
    <col min="2063" max="2063" width="11.453125" style="5"/>
    <col min="2064" max="2064" width="13.81640625" style="5" bestFit="1" customWidth="1"/>
    <col min="2065" max="2306" width="11.453125" style="5"/>
    <col min="2307" max="2307" width="12.81640625" style="5" customWidth="1"/>
    <col min="2308" max="2308" width="18.26953125" style="5" customWidth="1"/>
    <col min="2309" max="2309" width="13.7265625" style="5" customWidth="1"/>
    <col min="2310" max="2310" width="16.453125" style="5" customWidth="1"/>
    <col min="2311" max="2311" width="20.7265625" style="5" customWidth="1"/>
    <col min="2312" max="2312" width="23.81640625" style="5" customWidth="1"/>
    <col min="2313" max="2313" width="18.81640625" style="5" customWidth="1"/>
    <col min="2314" max="2314" width="8.26953125" style="5" customWidth="1"/>
    <col min="2315" max="2315" width="14.54296875" style="5" bestFit="1" customWidth="1"/>
    <col min="2316" max="2316" width="14.1796875" style="5" bestFit="1" customWidth="1"/>
    <col min="2317" max="2317" width="11.453125" style="5"/>
    <col min="2318" max="2318" width="15.54296875" style="5" customWidth="1"/>
    <col min="2319" max="2319" width="11.453125" style="5"/>
    <col min="2320" max="2320" width="13.81640625" style="5" bestFit="1" customWidth="1"/>
    <col min="2321" max="2562" width="11.453125" style="5"/>
    <col min="2563" max="2563" width="12.81640625" style="5" customWidth="1"/>
    <col min="2564" max="2564" width="18.26953125" style="5" customWidth="1"/>
    <col min="2565" max="2565" width="13.7265625" style="5" customWidth="1"/>
    <col min="2566" max="2566" width="16.453125" style="5" customWidth="1"/>
    <col min="2567" max="2567" width="20.7265625" style="5" customWidth="1"/>
    <col min="2568" max="2568" width="23.81640625" style="5" customWidth="1"/>
    <col min="2569" max="2569" width="18.81640625" style="5" customWidth="1"/>
    <col min="2570" max="2570" width="8.26953125" style="5" customWidth="1"/>
    <col min="2571" max="2571" width="14.54296875" style="5" bestFit="1" customWidth="1"/>
    <col min="2572" max="2572" width="14.1796875" style="5" bestFit="1" customWidth="1"/>
    <col min="2573" max="2573" width="11.453125" style="5"/>
    <col min="2574" max="2574" width="15.54296875" style="5" customWidth="1"/>
    <col min="2575" max="2575" width="11.453125" style="5"/>
    <col min="2576" max="2576" width="13.81640625" style="5" bestFit="1" customWidth="1"/>
    <col min="2577" max="2818" width="11.453125" style="5"/>
    <col min="2819" max="2819" width="12.81640625" style="5" customWidth="1"/>
    <col min="2820" max="2820" width="18.26953125" style="5" customWidth="1"/>
    <col min="2821" max="2821" width="13.7265625" style="5" customWidth="1"/>
    <col min="2822" max="2822" width="16.453125" style="5" customWidth="1"/>
    <col min="2823" max="2823" width="20.7265625" style="5" customWidth="1"/>
    <col min="2824" max="2824" width="23.81640625" style="5" customWidth="1"/>
    <col min="2825" max="2825" width="18.81640625" style="5" customWidth="1"/>
    <col min="2826" max="2826" width="8.26953125" style="5" customWidth="1"/>
    <col min="2827" max="2827" width="14.54296875" style="5" bestFit="1" customWidth="1"/>
    <col min="2828" max="2828" width="14.1796875" style="5" bestFit="1" customWidth="1"/>
    <col min="2829" max="2829" width="11.453125" style="5"/>
    <col min="2830" max="2830" width="15.54296875" style="5" customWidth="1"/>
    <col min="2831" max="2831" width="11.453125" style="5"/>
    <col min="2832" max="2832" width="13.81640625" style="5" bestFit="1" customWidth="1"/>
    <col min="2833" max="3074" width="11.453125" style="5"/>
    <col min="3075" max="3075" width="12.81640625" style="5" customWidth="1"/>
    <col min="3076" max="3076" width="18.26953125" style="5" customWidth="1"/>
    <col min="3077" max="3077" width="13.7265625" style="5" customWidth="1"/>
    <col min="3078" max="3078" width="16.453125" style="5" customWidth="1"/>
    <col min="3079" max="3079" width="20.7265625" style="5" customWidth="1"/>
    <col min="3080" max="3080" width="23.81640625" style="5" customWidth="1"/>
    <col min="3081" max="3081" width="18.81640625" style="5" customWidth="1"/>
    <col min="3082" max="3082" width="8.26953125" style="5" customWidth="1"/>
    <col min="3083" max="3083" width="14.54296875" style="5" bestFit="1" customWidth="1"/>
    <col min="3084" max="3084" width="14.1796875" style="5" bestFit="1" customWidth="1"/>
    <col min="3085" max="3085" width="11.453125" style="5"/>
    <col min="3086" max="3086" width="15.54296875" style="5" customWidth="1"/>
    <col min="3087" max="3087" width="11.453125" style="5"/>
    <col min="3088" max="3088" width="13.81640625" style="5" bestFit="1" customWidth="1"/>
    <col min="3089" max="3330" width="11.453125" style="5"/>
    <col min="3331" max="3331" width="12.81640625" style="5" customWidth="1"/>
    <col min="3332" max="3332" width="18.26953125" style="5" customWidth="1"/>
    <col min="3333" max="3333" width="13.7265625" style="5" customWidth="1"/>
    <col min="3334" max="3334" width="16.453125" style="5" customWidth="1"/>
    <col min="3335" max="3335" width="20.7265625" style="5" customWidth="1"/>
    <col min="3336" max="3336" width="23.81640625" style="5" customWidth="1"/>
    <col min="3337" max="3337" width="18.81640625" style="5" customWidth="1"/>
    <col min="3338" max="3338" width="8.26953125" style="5" customWidth="1"/>
    <col min="3339" max="3339" width="14.54296875" style="5" bestFit="1" customWidth="1"/>
    <col min="3340" max="3340" width="14.1796875" style="5" bestFit="1" customWidth="1"/>
    <col min="3341" max="3341" width="11.453125" style="5"/>
    <col min="3342" max="3342" width="15.54296875" style="5" customWidth="1"/>
    <col min="3343" max="3343" width="11.453125" style="5"/>
    <col min="3344" max="3344" width="13.81640625" style="5" bestFit="1" customWidth="1"/>
    <col min="3345" max="3586" width="11.453125" style="5"/>
    <col min="3587" max="3587" width="12.81640625" style="5" customWidth="1"/>
    <col min="3588" max="3588" width="18.26953125" style="5" customWidth="1"/>
    <col min="3589" max="3589" width="13.7265625" style="5" customWidth="1"/>
    <col min="3590" max="3590" width="16.453125" style="5" customWidth="1"/>
    <col min="3591" max="3591" width="20.7265625" style="5" customWidth="1"/>
    <col min="3592" max="3592" width="23.81640625" style="5" customWidth="1"/>
    <col min="3593" max="3593" width="18.81640625" style="5" customWidth="1"/>
    <col min="3594" max="3594" width="8.26953125" style="5" customWidth="1"/>
    <col min="3595" max="3595" width="14.54296875" style="5" bestFit="1" customWidth="1"/>
    <col min="3596" max="3596" width="14.1796875" style="5" bestFit="1" customWidth="1"/>
    <col min="3597" max="3597" width="11.453125" style="5"/>
    <col min="3598" max="3598" width="15.54296875" style="5" customWidth="1"/>
    <col min="3599" max="3599" width="11.453125" style="5"/>
    <col min="3600" max="3600" width="13.81640625" style="5" bestFit="1" customWidth="1"/>
    <col min="3601" max="3842" width="11.453125" style="5"/>
    <col min="3843" max="3843" width="12.81640625" style="5" customWidth="1"/>
    <col min="3844" max="3844" width="18.26953125" style="5" customWidth="1"/>
    <col min="3845" max="3845" width="13.7265625" style="5" customWidth="1"/>
    <col min="3846" max="3846" width="16.453125" style="5" customWidth="1"/>
    <col min="3847" max="3847" width="20.7265625" style="5" customWidth="1"/>
    <col min="3848" max="3848" width="23.81640625" style="5" customWidth="1"/>
    <col min="3849" max="3849" width="18.81640625" style="5" customWidth="1"/>
    <col min="3850" max="3850" width="8.26953125" style="5" customWidth="1"/>
    <col min="3851" max="3851" width="14.54296875" style="5" bestFit="1" customWidth="1"/>
    <col min="3852" max="3852" width="14.1796875" style="5" bestFit="1" customWidth="1"/>
    <col min="3853" max="3853" width="11.453125" style="5"/>
    <col min="3854" max="3854" width="15.54296875" style="5" customWidth="1"/>
    <col min="3855" max="3855" width="11.453125" style="5"/>
    <col min="3856" max="3856" width="13.81640625" style="5" bestFit="1" customWidth="1"/>
    <col min="3857" max="4098" width="11.453125" style="5"/>
    <col min="4099" max="4099" width="12.81640625" style="5" customWidth="1"/>
    <col min="4100" max="4100" width="18.26953125" style="5" customWidth="1"/>
    <col min="4101" max="4101" width="13.7265625" style="5" customWidth="1"/>
    <col min="4102" max="4102" width="16.453125" style="5" customWidth="1"/>
    <col min="4103" max="4103" width="20.7265625" style="5" customWidth="1"/>
    <col min="4104" max="4104" width="23.81640625" style="5" customWidth="1"/>
    <col min="4105" max="4105" width="18.81640625" style="5" customWidth="1"/>
    <col min="4106" max="4106" width="8.26953125" style="5" customWidth="1"/>
    <col min="4107" max="4107" width="14.54296875" style="5" bestFit="1" customWidth="1"/>
    <col min="4108" max="4108" width="14.1796875" style="5" bestFit="1" customWidth="1"/>
    <col min="4109" max="4109" width="11.453125" style="5"/>
    <col min="4110" max="4110" width="15.54296875" style="5" customWidth="1"/>
    <col min="4111" max="4111" width="11.453125" style="5"/>
    <col min="4112" max="4112" width="13.81640625" style="5" bestFit="1" customWidth="1"/>
    <col min="4113" max="4354" width="11.453125" style="5"/>
    <col min="4355" max="4355" width="12.81640625" style="5" customWidth="1"/>
    <col min="4356" max="4356" width="18.26953125" style="5" customWidth="1"/>
    <col min="4357" max="4357" width="13.7265625" style="5" customWidth="1"/>
    <col min="4358" max="4358" width="16.453125" style="5" customWidth="1"/>
    <col min="4359" max="4359" width="20.7265625" style="5" customWidth="1"/>
    <col min="4360" max="4360" width="23.81640625" style="5" customWidth="1"/>
    <col min="4361" max="4361" width="18.81640625" style="5" customWidth="1"/>
    <col min="4362" max="4362" width="8.26953125" style="5" customWidth="1"/>
    <col min="4363" max="4363" width="14.54296875" style="5" bestFit="1" customWidth="1"/>
    <col min="4364" max="4364" width="14.1796875" style="5" bestFit="1" customWidth="1"/>
    <col min="4365" max="4365" width="11.453125" style="5"/>
    <col min="4366" max="4366" width="15.54296875" style="5" customWidth="1"/>
    <col min="4367" max="4367" width="11.453125" style="5"/>
    <col min="4368" max="4368" width="13.81640625" style="5" bestFit="1" customWidth="1"/>
    <col min="4369" max="4610" width="11.453125" style="5"/>
    <col min="4611" max="4611" width="12.81640625" style="5" customWidth="1"/>
    <col min="4612" max="4612" width="18.26953125" style="5" customWidth="1"/>
    <col min="4613" max="4613" width="13.7265625" style="5" customWidth="1"/>
    <col min="4614" max="4614" width="16.453125" style="5" customWidth="1"/>
    <col min="4615" max="4615" width="20.7265625" style="5" customWidth="1"/>
    <col min="4616" max="4616" width="23.81640625" style="5" customWidth="1"/>
    <col min="4617" max="4617" width="18.81640625" style="5" customWidth="1"/>
    <col min="4618" max="4618" width="8.26953125" style="5" customWidth="1"/>
    <col min="4619" max="4619" width="14.54296875" style="5" bestFit="1" customWidth="1"/>
    <col min="4620" max="4620" width="14.1796875" style="5" bestFit="1" customWidth="1"/>
    <col min="4621" max="4621" width="11.453125" style="5"/>
    <col min="4622" max="4622" width="15.54296875" style="5" customWidth="1"/>
    <col min="4623" max="4623" width="11.453125" style="5"/>
    <col min="4624" max="4624" width="13.81640625" style="5" bestFit="1" customWidth="1"/>
    <col min="4625" max="4866" width="11.453125" style="5"/>
    <col min="4867" max="4867" width="12.81640625" style="5" customWidth="1"/>
    <col min="4868" max="4868" width="18.26953125" style="5" customWidth="1"/>
    <col min="4869" max="4869" width="13.7265625" style="5" customWidth="1"/>
    <col min="4870" max="4870" width="16.453125" style="5" customWidth="1"/>
    <col min="4871" max="4871" width="20.7265625" style="5" customWidth="1"/>
    <col min="4872" max="4872" width="23.81640625" style="5" customWidth="1"/>
    <col min="4873" max="4873" width="18.81640625" style="5" customWidth="1"/>
    <col min="4874" max="4874" width="8.26953125" style="5" customWidth="1"/>
    <col min="4875" max="4875" width="14.54296875" style="5" bestFit="1" customWidth="1"/>
    <col min="4876" max="4876" width="14.1796875" style="5" bestFit="1" customWidth="1"/>
    <col min="4877" max="4877" width="11.453125" style="5"/>
    <col min="4878" max="4878" width="15.54296875" style="5" customWidth="1"/>
    <col min="4879" max="4879" width="11.453125" style="5"/>
    <col min="4880" max="4880" width="13.81640625" style="5" bestFit="1" customWidth="1"/>
    <col min="4881" max="5122" width="11.453125" style="5"/>
    <col min="5123" max="5123" width="12.81640625" style="5" customWidth="1"/>
    <col min="5124" max="5124" width="18.26953125" style="5" customWidth="1"/>
    <col min="5125" max="5125" width="13.7265625" style="5" customWidth="1"/>
    <col min="5126" max="5126" width="16.453125" style="5" customWidth="1"/>
    <col min="5127" max="5127" width="20.7265625" style="5" customWidth="1"/>
    <col min="5128" max="5128" width="23.81640625" style="5" customWidth="1"/>
    <col min="5129" max="5129" width="18.81640625" style="5" customWidth="1"/>
    <col min="5130" max="5130" width="8.26953125" style="5" customWidth="1"/>
    <col min="5131" max="5131" width="14.54296875" style="5" bestFit="1" customWidth="1"/>
    <col min="5132" max="5132" width="14.1796875" style="5" bestFit="1" customWidth="1"/>
    <col min="5133" max="5133" width="11.453125" style="5"/>
    <col min="5134" max="5134" width="15.54296875" style="5" customWidth="1"/>
    <col min="5135" max="5135" width="11.453125" style="5"/>
    <col min="5136" max="5136" width="13.81640625" style="5" bestFit="1" customWidth="1"/>
    <col min="5137" max="5378" width="11.453125" style="5"/>
    <col min="5379" max="5379" width="12.81640625" style="5" customWidth="1"/>
    <col min="5380" max="5380" width="18.26953125" style="5" customWidth="1"/>
    <col min="5381" max="5381" width="13.7265625" style="5" customWidth="1"/>
    <col min="5382" max="5382" width="16.453125" style="5" customWidth="1"/>
    <col min="5383" max="5383" width="20.7265625" style="5" customWidth="1"/>
    <col min="5384" max="5384" width="23.81640625" style="5" customWidth="1"/>
    <col min="5385" max="5385" width="18.81640625" style="5" customWidth="1"/>
    <col min="5386" max="5386" width="8.26953125" style="5" customWidth="1"/>
    <col min="5387" max="5387" width="14.54296875" style="5" bestFit="1" customWidth="1"/>
    <col min="5388" max="5388" width="14.1796875" style="5" bestFit="1" customWidth="1"/>
    <col min="5389" max="5389" width="11.453125" style="5"/>
    <col min="5390" max="5390" width="15.54296875" style="5" customWidth="1"/>
    <col min="5391" max="5391" width="11.453125" style="5"/>
    <col min="5392" max="5392" width="13.81640625" style="5" bestFit="1" customWidth="1"/>
    <col min="5393" max="5634" width="11.453125" style="5"/>
    <col min="5635" max="5635" width="12.81640625" style="5" customWidth="1"/>
    <col min="5636" max="5636" width="18.26953125" style="5" customWidth="1"/>
    <col min="5637" max="5637" width="13.7265625" style="5" customWidth="1"/>
    <col min="5638" max="5638" width="16.453125" style="5" customWidth="1"/>
    <col min="5639" max="5639" width="20.7265625" style="5" customWidth="1"/>
    <col min="5640" max="5640" width="23.81640625" style="5" customWidth="1"/>
    <col min="5641" max="5641" width="18.81640625" style="5" customWidth="1"/>
    <col min="5642" max="5642" width="8.26953125" style="5" customWidth="1"/>
    <col min="5643" max="5643" width="14.54296875" style="5" bestFit="1" customWidth="1"/>
    <col min="5644" max="5644" width="14.1796875" style="5" bestFit="1" customWidth="1"/>
    <col min="5645" max="5645" width="11.453125" style="5"/>
    <col min="5646" max="5646" width="15.54296875" style="5" customWidth="1"/>
    <col min="5647" max="5647" width="11.453125" style="5"/>
    <col min="5648" max="5648" width="13.81640625" style="5" bestFit="1" customWidth="1"/>
    <col min="5649" max="5890" width="11.453125" style="5"/>
    <col min="5891" max="5891" width="12.81640625" style="5" customWidth="1"/>
    <col min="5892" max="5892" width="18.26953125" style="5" customWidth="1"/>
    <col min="5893" max="5893" width="13.7265625" style="5" customWidth="1"/>
    <col min="5894" max="5894" width="16.453125" style="5" customWidth="1"/>
    <col min="5895" max="5895" width="20.7265625" style="5" customWidth="1"/>
    <col min="5896" max="5896" width="23.81640625" style="5" customWidth="1"/>
    <col min="5897" max="5897" width="18.81640625" style="5" customWidth="1"/>
    <col min="5898" max="5898" width="8.26953125" style="5" customWidth="1"/>
    <col min="5899" max="5899" width="14.54296875" style="5" bestFit="1" customWidth="1"/>
    <col min="5900" max="5900" width="14.1796875" style="5" bestFit="1" customWidth="1"/>
    <col min="5901" max="5901" width="11.453125" style="5"/>
    <col min="5902" max="5902" width="15.54296875" style="5" customWidth="1"/>
    <col min="5903" max="5903" width="11.453125" style="5"/>
    <col min="5904" max="5904" width="13.81640625" style="5" bestFit="1" customWidth="1"/>
    <col min="5905" max="6146" width="11.453125" style="5"/>
    <col min="6147" max="6147" width="12.81640625" style="5" customWidth="1"/>
    <col min="6148" max="6148" width="18.26953125" style="5" customWidth="1"/>
    <col min="6149" max="6149" width="13.7265625" style="5" customWidth="1"/>
    <col min="6150" max="6150" width="16.453125" style="5" customWidth="1"/>
    <col min="6151" max="6151" width="20.7265625" style="5" customWidth="1"/>
    <col min="6152" max="6152" width="23.81640625" style="5" customWidth="1"/>
    <col min="6153" max="6153" width="18.81640625" style="5" customWidth="1"/>
    <col min="6154" max="6154" width="8.26953125" style="5" customWidth="1"/>
    <col min="6155" max="6155" width="14.54296875" style="5" bestFit="1" customWidth="1"/>
    <col min="6156" max="6156" width="14.1796875" style="5" bestFit="1" customWidth="1"/>
    <col min="6157" max="6157" width="11.453125" style="5"/>
    <col min="6158" max="6158" width="15.54296875" style="5" customWidth="1"/>
    <col min="6159" max="6159" width="11.453125" style="5"/>
    <col min="6160" max="6160" width="13.81640625" style="5" bestFit="1" customWidth="1"/>
    <col min="6161" max="6402" width="11.453125" style="5"/>
    <col min="6403" max="6403" width="12.81640625" style="5" customWidth="1"/>
    <col min="6404" max="6404" width="18.26953125" style="5" customWidth="1"/>
    <col min="6405" max="6405" width="13.7265625" style="5" customWidth="1"/>
    <col min="6406" max="6406" width="16.453125" style="5" customWidth="1"/>
    <col min="6407" max="6407" width="20.7265625" style="5" customWidth="1"/>
    <col min="6408" max="6408" width="23.81640625" style="5" customWidth="1"/>
    <col min="6409" max="6409" width="18.81640625" style="5" customWidth="1"/>
    <col min="6410" max="6410" width="8.26953125" style="5" customWidth="1"/>
    <col min="6411" max="6411" width="14.54296875" style="5" bestFit="1" customWidth="1"/>
    <col min="6412" max="6412" width="14.1796875" style="5" bestFit="1" customWidth="1"/>
    <col min="6413" max="6413" width="11.453125" style="5"/>
    <col min="6414" max="6414" width="15.54296875" style="5" customWidth="1"/>
    <col min="6415" max="6415" width="11.453125" style="5"/>
    <col min="6416" max="6416" width="13.81640625" style="5" bestFit="1" customWidth="1"/>
    <col min="6417" max="6658" width="11.453125" style="5"/>
    <col min="6659" max="6659" width="12.81640625" style="5" customWidth="1"/>
    <col min="6660" max="6660" width="18.26953125" style="5" customWidth="1"/>
    <col min="6661" max="6661" width="13.7265625" style="5" customWidth="1"/>
    <col min="6662" max="6662" width="16.453125" style="5" customWidth="1"/>
    <col min="6663" max="6663" width="20.7265625" style="5" customWidth="1"/>
    <col min="6664" max="6664" width="23.81640625" style="5" customWidth="1"/>
    <col min="6665" max="6665" width="18.81640625" style="5" customWidth="1"/>
    <col min="6666" max="6666" width="8.26953125" style="5" customWidth="1"/>
    <col min="6667" max="6667" width="14.54296875" style="5" bestFit="1" customWidth="1"/>
    <col min="6668" max="6668" width="14.1796875" style="5" bestFit="1" customWidth="1"/>
    <col min="6669" max="6669" width="11.453125" style="5"/>
    <col min="6670" max="6670" width="15.54296875" style="5" customWidth="1"/>
    <col min="6671" max="6671" width="11.453125" style="5"/>
    <col min="6672" max="6672" width="13.81640625" style="5" bestFit="1" customWidth="1"/>
    <col min="6673" max="6914" width="11.453125" style="5"/>
    <col min="6915" max="6915" width="12.81640625" style="5" customWidth="1"/>
    <col min="6916" max="6916" width="18.26953125" style="5" customWidth="1"/>
    <col min="6917" max="6917" width="13.7265625" style="5" customWidth="1"/>
    <col min="6918" max="6918" width="16.453125" style="5" customWidth="1"/>
    <col min="6919" max="6919" width="20.7265625" style="5" customWidth="1"/>
    <col min="6920" max="6920" width="23.81640625" style="5" customWidth="1"/>
    <col min="6921" max="6921" width="18.81640625" style="5" customWidth="1"/>
    <col min="6922" max="6922" width="8.26953125" style="5" customWidth="1"/>
    <col min="6923" max="6923" width="14.54296875" style="5" bestFit="1" customWidth="1"/>
    <col min="6924" max="6924" width="14.1796875" style="5" bestFit="1" customWidth="1"/>
    <col min="6925" max="6925" width="11.453125" style="5"/>
    <col min="6926" max="6926" width="15.54296875" style="5" customWidth="1"/>
    <col min="6927" max="6927" width="11.453125" style="5"/>
    <col min="6928" max="6928" width="13.81640625" style="5" bestFit="1" customWidth="1"/>
    <col min="6929" max="7170" width="11.453125" style="5"/>
    <col min="7171" max="7171" width="12.81640625" style="5" customWidth="1"/>
    <col min="7172" max="7172" width="18.26953125" style="5" customWidth="1"/>
    <col min="7173" max="7173" width="13.7265625" style="5" customWidth="1"/>
    <col min="7174" max="7174" width="16.453125" style="5" customWidth="1"/>
    <col min="7175" max="7175" width="20.7265625" style="5" customWidth="1"/>
    <col min="7176" max="7176" width="23.81640625" style="5" customWidth="1"/>
    <col min="7177" max="7177" width="18.81640625" style="5" customWidth="1"/>
    <col min="7178" max="7178" width="8.26953125" style="5" customWidth="1"/>
    <col min="7179" max="7179" width="14.54296875" style="5" bestFit="1" customWidth="1"/>
    <col min="7180" max="7180" width="14.1796875" style="5" bestFit="1" customWidth="1"/>
    <col min="7181" max="7181" width="11.453125" style="5"/>
    <col min="7182" max="7182" width="15.54296875" style="5" customWidth="1"/>
    <col min="7183" max="7183" width="11.453125" style="5"/>
    <col min="7184" max="7184" width="13.81640625" style="5" bestFit="1" customWidth="1"/>
    <col min="7185" max="7426" width="11.453125" style="5"/>
    <col min="7427" max="7427" width="12.81640625" style="5" customWidth="1"/>
    <col min="7428" max="7428" width="18.26953125" style="5" customWidth="1"/>
    <col min="7429" max="7429" width="13.7265625" style="5" customWidth="1"/>
    <col min="7430" max="7430" width="16.453125" style="5" customWidth="1"/>
    <col min="7431" max="7431" width="20.7265625" style="5" customWidth="1"/>
    <col min="7432" max="7432" width="23.81640625" style="5" customWidth="1"/>
    <col min="7433" max="7433" width="18.81640625" style="5" customWidth="1"/>
    <col min="7434" max="7434" width="8.26953125" style="5" customWidth="1"/>
    <col min="7435" max="7435" width="14.54296875" style="5" bestFit="1" customWidth="1"/>
    <col min="7436" max="7436" width="14.1796875" style="5" bestFit="1" customWidth="1"/>
    <col min="7437" max="7437" width="11.453125" style="5"/>
    <col min="7438" max="7438" width="15.54296875" style="5" customWidth="1"/>
    <col min="7439" max="7439" width="11.453125" style="5"/>
    <col min="7440" max="7440" width="13.81640625" style="5" bestFit="1" customWidth="1"/>
    <col min="7441" max="7682" width="11.453125" style="5"/>
    <col min="7683" max="7683" width="12.81640625" style="5" customWidth="1"/>
    <col min="7684" max="7684" width="18.26953125" style="5" customWidth="1"/>
    <col min="7685" max="7685" width="13.7265625" style="5" customWidth="1"/>
    <col min="7686" max="7686" width="16.453125" style="5" customWidth="1"/>
    <col min="7687" max="7687" width="20.7265625" style="5" customWidth="1"/>
    <col min="7688" max="7688" width="23.81640625" style="5" customWidth="1"/>
    <col min="7689" max="7689" width="18.81640625" style="5" customWidth="1"/>
    <col min="7690" max="7690" width="8.26953125" style="5" customWidth="1"/>
    <col min="7691" max="7691" width="14.54296875" style="5" bestFit="1" customWidth="1"/>
    <col min="7692" max="7692" width="14.1796875" style="5" bestFit="1" customWidth="1"/>
    <col min="7693" max="7693" width="11.453125" style="5"/>
    <col min="7694" max="7694" width="15.54296875" style="5" customWidth="1"/>
    <col min="7695" max="7695" width="11.453125" style="5"/>
    <col min="7696" max="7696" width="13.81640625" style="5" bestFit="1" customWidth="1"/>
    <col min="7697" max="7938" width="11.453125" style="5"/>
    <col min="7939" max="7939" width="12.81640625" style="5" customWidth="1"/>
    <col min="7940" max="7940" width="18.26953125" style="5" customWidth="1"/>
    <col min="7941" max="7941" width="13.7265625" style="5" customWidth="1"/>
    <col min="7942" max="7942" width="16.453125" style="5" customWidth="1"/>
    <col min="7943" max="7943" width="20.7265625" style="5" customWidth="1"/>
    <col min="7944" max="7944" width="23.81640625" style="5" customWidth="1"/>
    <col min="7945" max="7945" width="18.81640625" style="5" customWidth="1"/>
    <col min="7946" max="7946" width="8.26953125" style="5" customWidth="1"/>
    <col min="7947" max="7947" width="14.54296875" style="5" bestFit="1" customWidth="1"/>
    <col min="7948" max="7948" width="14.1796875" style="5" bestFit="1" customWidth="1"/>
    <col min="7949" max="7949" width="11.453125" style="5"/>
    <col min="7950" max="7950" width="15.54296875" style="5" customWidth="1"/>
    <col min="7951" max="7951" width="11.453125" style="5"/>
    <col min="7952" max="7952" width="13.81640625" style="5" bestFit="1" customWidth="1"/>
    <col min="7953" max="8194" width="11.453125" style="5"/>
    <col min="8195" max="8195" width="12.81640625" style="5" customWidth="1"/>
    <col min="8196" max="8196" width="18.26953125" style="5" customWidth="1"/>
    <col min="8197" max="8197" width="13.7265625" style="5" customWidth="1"/>
    <col min="8198" max="8198" width="16.453125" style="5" customWidth="1"/>
    <col min="8199" max="8199" width="20.7265625" style="5" customWidth="1"/>
    <col min="8200" max="8200" width="23.81640625" style="5" customWidth="1"/>
    <col min="8201" max="8201" width="18.81640625" style="5" customWidth="1"/>
    <col min="8202" max="8202" width="8.26953125" style="5" customWidth="1"/>
    <col min="8203" max="8203" width="14.54296875" style="5" bestFit="1" customWidth="1"/>
    <col min="8204" max="8204" width="14.1796875" style="5" bestFit="1" customWidth="1"/>
    <col min="8205" max="8205" width="11.453125" style="5"/>
    <col min="8206" max="8206" width="15.54296875" style="5" customWidth="1"/>
    <col min="8207" max="8207" width="11.453125" style="5"/>
    <col min="8208" max="8208" width="13.81640625" style="5" bestFit="1" customWidth="1"/>
    <col min="8209" max="8450" width="11.453125" style="5"/>
    <col min="8451" max="8451" width="12.81640625" style="5" customWidth="1"/>
    <col min="8452" max="8452" width="18.26953125" style="5" customWidth="1"/>
    <col min="8453" max="8453" width="13.7265625" style="5" customWidth="1"/>
    <col min="8454" max="8454" width="16.453125" style="5" customWidth="1"/>
    <col min="8455" max="8455" width="20.7265625" style="5" customWidth="1"/>
    <col min="8456" max="8456" width="23.81640625" style="5" customWidth="1"/>
    <col min="8457" max="8457" width="18.81640625" style="5" customWidth="1"/>
    <col min="8458" max="8458" width="8.26953125" style="5" customWidth="1"/>
    <col min="8459" max="8459" width="14.54296875" style="5" bestFit="1" customWidth="1"/>
    <col min="8460" max="8460" width="14.1796875" style="5" bestFit="1" customWidth="1"/>
    <col min="8461" max="8461" width="11.453125" style="5"/>
    <col min="8462" max="8462" width="15.54296875" style="5" customWidth="1"/>
    <col min="8463" max="8463" width="11.453125" style="5"/>
    <col min="8464" max="8464" width="13.81640625" style="5" bestFit="1" customWidth="1"/>
    <col min="8465" max="8706" width="11.453125" style="5"/>
    <col min="8707" max="8707" width="12.81640625" style="5" customWidth="1"/>
    <col min="8708" max="8708" width="18.26953125" style="5" customWidth="1"/>
    <col min="8709" max="8709" width="13.7265625" style="5" customWidth="1"/>
    <col min="8710" max="8710" width="16.453125" style="5" customWidth="1"/>
    <col min="8711" max="8711" width="20.7265625" style="5" customWidth="1"/>
    <col min="8712" max="8712" width="23.81640625" style="5" customWidth="1"/>
    <col min="8713" max="8713" width="18.81640625" style="5" customWidth="1"/>
    <col min="8714" max="8714" width="8.26953125" style="5" customWidth="1"/>
    <col min="8715" max="8715" width="14.54296875" style="5" bestFit="1" customWidth="1"/>
    <col min="8716" max="8716" width="14.1796875" style="5" bestFit="1" customWidth="1"/>
    <col min="8717" max="8717" width="11.453125" style="5"/>
    <col min="8718" max="8718" width="15.54296875" style="5" customWidth="1"/>
    <col min="8719" max="8719" width="11.453125" style="5"/>
    <col min="8720" max="8720" width="13.81640625" style="5" bestFit="1" customWidth="1"/>
    <col min="8721" max="8962" width="11.453125" style="5"/>
    <col min="8963" max="8963" width="12.81640625" style="5" customWidth="1"/>
    <col min="8964" max="8964" width="18.26953125" style="5" customWidth="1"/>
    <col min="8965" max="8965" width="13.7265625" style="5" customWidth="1"/>
    <col min="8966" max="8966" width="16.453125" style="5" customWidth="1"/>
    <col min="8967" max="8967" width="20.7265625" style="5" customWidth="1"/>
    <col min="8968" max="8968" width="23.81640625" style="5" customWidth="1"/>
    <col min="8969" max="8969" width="18.81640625" style="5" customWidth="1"/>
    <col min="8970" max="8970" width="8.26953125" style="5" customWidth="1"/>
    <col min="8971" max="8971" width="14.54296875" style="5" bestFit="1" customWidth="1"/>
    <col min="8972" max="8972" width="14.1796875" style="5" bestFit="1" customWidth="1"/>
    <col min="8973" max="8973" width="11.453125" style="5"/>
    <col min="8974" max="8974" width="15.54296875" style="5" customWidth="1"/>
    <col min="8975" max="8975" width="11.453125" style="5"/>
    <col min="8976" max="8976" width="13.81640625" style="5" bestFit="1" customWidth="1"/>
    <col min="8977" max="9218" width="11.453125" style="5"/>
    <col min="9219" max="9219" width="12.81640625" style="5" customWidth="1"/>
    <col min="9220" max="9220" width="18.26953125" style="5" customWidth="1"/>
    <col min="9221" max="9221" width="13.7265625" style="5" customWidth="1"/>
    <col min="9222" max="9222" width="16.453125" style="5" customWidth="1"/>
    <col min="9223" max="9223" width="20.7265625" style="5" customWidth="1"/>
    <col min="9224" max="9224" width="23.81640625" style="5" customWidth="1"/>
    <col min="9225" max="9225" width="18.81640625" style="5" customWidth="1"/>
    <col min="9226" max="9226" width="8.26953125" style="5" customWidth="1"/>
    <col min="9227" max="9227" width="14.54296875" style="5" bestFit="1" customWidth="1"/>
    <col min="9228" max="9228" width="14.1796875" style="5" bestFit="1" customWidth="1"/>
    <col min="9229" max="9229" width="11.453125" style="5"/>
    <col min="9230" max="9230" width="15.54296875" style="5" customWidth="1"/>
    <col min="9231" max="9231" width="11.453125" style="5"/>
    <col min="9232" max="9232" width="13.81640625" style="5" bestFit="1" customWidth="1"/>
    <col min="9233" max="9474" width="11.453125" style="5"/>
    <col min="9475" max="9475" width="12.81640625" style="5" customWidth="1"/>
    <col min="9476" max="9476" width="18.26953125" style="5" customWidth="1"/>
    <col min="9477" max="9477" width="13.7265625" style="5" customWidth="1"/>
    <col min="9478" max="9478" width="16.453125" style="5" customWidth="1"/>
    <col min="9479" max="9479" width="20.7265625" style="5" customWidth="1"/>
    <col min="9480" max="9480" width="23.81640625" style="5" customWidth="1"/>
    <col min="9481" max="9481" width="18.81640625" style="5" customWidth="1"/>
    <col min="9482" max="9482" width="8.26953125" style="5" customWidth="1"/>
    <col min="9483" max="9483" width="14.54296875" style="5" bestFit="1" customWidth="1"/>
    <col min="9484" max="9484" width="14.1796875" style="5" bestFit="1" customWidth="1"/>
    <col min="9485" max="9485" width="11.453125" style="5"/>
    <col min="9486" max="9486" width="15.54296875" style="5" customWidth="1"/>
    <col min="9487" max="9487" width="11.453125" style="5"/>
    <col min="9488" max="9488" width="13.81640625" style="5" bestFit="1" customWidth="1"/>
    <col min="9489" max="9730" width="11.453125" style="5"/>
    <col min="9731" max="9731" width="12.81640625" style="5" customWidth="1"/>
    <col min="9732" max="9732" width="18.26953125" style="5" customWidth="1"/>
    <col min="9733" max="9733" width="13.7265625" style="5" customWidth="1"/>
    <col min="9734" max="9734" width="16.453125" style="5" customWidth="1"/>
    <col min="9735" max="9735" width="20.7265625" style="5" customWidth="1"/>
    <col min="9736" max="9736" width="23.81640625" style="5" customWidth="1"/>
    <col min="9737" max="9737" width="18.81640625" style="5" customWidth="1"/>
    <col min="9738" max="9738" width="8.26953125" style="5" customWidth="1"/>
    <col min="9739" max="9739" width="14.54296875" style="5" bestFit="1" customWidth="1"/>
    <col min="9740" max="9740" width="14.1796875" style="5" bestFit="1" customWidth="1"/>
    <col min="9741" max="9741" width="11.453125" style="5"/>
    <col min="9742" max="9742" width="15.54296875" style="5" customWidth="1"/>
    <col min="9743" max="9743" width="11.453125" style="5"/>
    <col min="9744" max="9744" width="13.81640625" style="5" bestFit="1" customWidth="1"/>
    <col min="9745" max="9986" width="11.453125" style="5"/>
    <col min="9987" max="9987" width="12.81640625" style="5" customWidth="1"/>
    <col min="9988" max="9988" width="18.26953125" style="5" customWidth="1"/>
    <col min="9989" max="9989" width="13.7265625" style="5" customWidth="1"/>
    <col min="9990" max="9990" width="16.453125" style="5" customWidth="1"/>
    <col min="9991" max="9991" width="20.7265625" style="5" customWidth="1"/>
    <col min="9992" max="9992" width="23.81640625" style="5" customWidth="1"/>
    <col min="9993" max="9993" width="18.81640625" style="5" customWidth="1"/>
    <col min="9994" max="9994" width="8.26953125" style="5" customWidth="1"/>
    <col min="9995" max="9995" width="14.54296875" style="5" bestFit="1" customWidth="1"/>
    <col min="9996" max="9996" width="14.1796875" style="5" bestFit="1" customWidth="1"/>
    <col min="9997" max="9997" width="11.453125" style="5"/>
    <col min="9998" max="9998" width="15.54296875" style="5" customWidth="1"/>
    <col min="9999" max="9999" width="11.453125" style="5"/>
    <col min="10000" max="10000" width="13.81640625" style="5" bestFit="1" customWidth="1"/>
    <col min="10001" max="10242" width="11.453125" style="5"/>
    <col min="10243" max="10243" width="12.81640625" style="5" customWidth="1"/>
    <col min="10244" max="10244" width="18.26953125" style="5" customWidth="1"/>
    <col min="10245" max="10245" width="13.7265625" style="5" customWidth="1"/>
    <col min="10246" max="10246" width="16.453125" style="5" customWidth="1"/>
    <col min="10247" max="10247" width="20.7265625" style="5" customWidth="1"/>
    <col min="10248" max="10248" width="23.81640625" style="5" customWidth="1"/>
    <col min="10249" max="10249" width="18.81640625" style="5" customWidth="1"/>
    <col min="10250" max="10250" width="8.26953125" style="5" customWidth="1"/>
    <col min="10251" max="10251" width="14.54296875" style="5" bestFit="1" customWidth="1"/>
    <col min="10252" max="10252" width="14.1796875" style="5" bestFit="1" customWidth="1"/>
    <col min="10253" max="10253" width="11.453125" style="5"/>
    <col min="10254" max="10254" width="15.54296875" style="5" customWidth="1"/>
    <col min="10255" max="10255" width="11.453125" style="5"/>
    <col min="10256" max="10256" width="13.81640625" style="5" bestFit="1" customWidth="1"/>
    <col min="10257" max="10498" width="11.453125" style="5"/>
    <col min="10499" max="10499" width="12.81640625" style="5" customWidth="1"/>
    <col min="10500" max="10500" width="18.26953125" style="5" customWidth="1"/>
    <col min="10501" max="10501" width="13.7265625" style="5" customWidth="1"/>
    <col min="10502" max="10502" width="16.453125" style="5" customWidth="1"/>
    <col min="10503" max="10503" width="20.7265625" style="5" customWidth="1"/>
    <col min="10504" max="10504" width="23.81640625" style="5" customWidth="1"/>
    <col min="10505" max="10505" width="18.81640625" style="5" customWidth="1"/>
    <col min="10506" max="10506" width="8.26953125" style="5" customWidth="1"/>
    <col min="10507" max="10507" width="14.54296875" style="5" bestFit="1" customWidth="1"/>
    <col min="10508" max="10508" width="14.1796875" style="5" bestFit="1" customWidth="1"/>
    <col min="10509" max="10509" width="11.453125" style="5"/>
    <col min="10510" max="10510" width="15.54296875" style="5" customWidth="1"/>
    <col min="10511" max="10511" width="11.453125" style="5"/>
    <col min="10512" max="10512" width="13.81640625" style="5" bestFit="1" customWidth="1"/>
    <col min="10513" max="10754" width="11.453125" style="5"/>
    <col min="10755" max="10755" width="12.81640625" style="5" customWidth="1"/>
    <col min="10756" max="10756" width="18.26953125" style="5" customWidth="1"/>
    <col min="10757" max="10757" width="13.7265625" style="5" customWidth="1"/>
    <col min="10758" max="10758" width="16.453125" style="5" customWidth="1"/>
    <col min="10759" max="10759" width="20.7265625" style="5" customWidth="1"/>
    <col min="10760" max="10760" width="23.81640625" style="5" customWidth="1"/>
    <col min="10761" max="10761" width="18.81640625" style="5" customWidth="1"/>
    <col min="10762" max="10762" width="8.26953125" style="5" customWidth="1"/>
    <col min="10763" max="10763" width="14.54296875" style="5" bestFit="1" customWidth="1"/>
    <col min="10764" max="10764" width="14.1796875" style="5" bestFit="1" customWidth="1"/>
    <col min="10765" max="10765" width="11.453125" style="5"/>
    <col min="10766" max="10766" width="15.54296875" style="5" customWidth="1"/>
    <col min="10767" max="10767" width="11.453125" style="5"/>
    <col min="10768" max="10768" width="13.81640625" style="5" bestFit="1" customWidth="1"/>
    <col min="10769" max="11010" width="11.453125" style="5"/>
    <col min="11011" max="11011" width="12.81640625" style="5" customWidth="1"/>
    <col min="11012" max="11012" width="18.26953125" style="5" customWidth="1"/>
    <col min="11013" max="11013" width="13.7265625" style="5" customWidth="1"/>
    <col min="11014" max="11014" width="16.453125" style="5" customWidth="1"/>
    <col min="11015" max="11015" width="20.7265625" style="5" customWidth="1"/>
    <col min="11016" max="11016" width="23.81640625" style="5" customWidth="1"/>
    <col min="11017" max="11017" width="18.81640625" style="5" customWidth="1"/>
    <col min="11018" max="11018" width="8.26953125" style="5" customWidth="1"/>
    <col min="11019" max="11019" width="14.54296875" style="5" bestFit="1" customWidth="1"/>
    <col min="11020" max="11020" width="14.1796875" style="5" bestFit="1" customWidth="1"/>
    <col min="11021" max="11021" width="11.453125" style="5"/>
    <col min="11022" max="11022" width="15.54296875" style="5" customWidth="1"/>
    <col min="11023" max="11023" width="11.453125" style="5"/>
    <col min="11024" max="11024" width="13.81640625" style="5" bestFit="1" customWidth="1"/>
    <col min="11025" max="11266" width="11.453125" style="5"/>
    <col min="11267" max="11267" width="12.81640625" style="5" customWidth="1"/>
    <col min="11268" max="11268" width="18.26953125" style="5" customWidth="1"/>
    <col min="11269" max="11269" width="13.7265625" style="5" customWidth="1"/>
    <col min="11270" max="11270" width="16.453125" style="5" customWidth="1"/>
    <col min="11271" max="11271" width="20.7265625" style="5" customWidth="1"/>
    <col min="11272" max="11272" width="23.81640625" style="5" customWidth="1"/>
    <col min="11273" max="11273" width="18.81640625" style="5" customWidth="1"/>
    <col min="11274" max="11274" width="8.26953125" style="5" customWidth="1"/>
    <col min="11275" max="11275" width="14.54296875" style="5" bestFit="1" customWidth="1"/>
    <col min="11276" max="11276" width="14.1796875" style="5" bestFit="1" customWidth="1"/>
    <col min="11277" max="11277" width="11.453125" style="5"/>
    <col min="11278" max="11278" width="15.54296875" style="5" customWidth="1"/>
    <col min="11279" max="11279" width="11.453125" style="5"/>
    <col min="11280" max="11280" width="13.81640625" style="5" bestFit="1" customWidth="1"/>
    <col min="11281" max="11522" width="11.453125" style="5"/>
    <col min="11523" max="11523" width="12.81640625" style="5" customWidth="1"/>
    <col min="11524" max="11524" width="18.26953125" style="5" customWidth="1"/>
    <col min="11525" max="11525" width="13.7265625" style="5" customWidth="1"/>
    <col min="11526" max="11526" width="16.453125" style="5" customWidth="1"/>
    <col min="11527" max="11527" width="20.7265625" style="5" customWidth="1"/>
    <col min="11528" max="11528" width="23.81640625" style="5" customWidth="1"/>
    <col min="11529" max="11529" width="18.81640625" style="5" customWidth="1"/>
    <col min="11530" max="11530" width="8.26953125" style="5" customWidth="1"/>
    <col min="11531" max="11531" width="14.54296875" style="5" bestFit="1" customWidth="1"/>
    <col min="11532" max="11532" width="14.1796875" style="5" bestFit="1" customWidth="1"/>
    <col min="11533" max="11533" width="11.453125" style="5"/>
    <col min="11534" max="11534" width="15.54296875" style="5" customWidth="1"/>
    <col min="11535" max="11535" width="11.453125" style="5"/>
    <col min="11536" max="11536" width="13.81640625" style="5" bestFit="1" customWidth="1"/>
    <col min="11537" max="11778" width="11.453125" style="5"/>
    <col min="11779" max="11779" width="12.81640625" style="5" customWidth="1"/>
    <col min="11780" max="11780" width="18.26953125" style="5" customWidth="1"/>
    <col min="11781" max="11781" width="13.7265625" style="5" customWidth="1"/>
    <col min="11782" max="11782" width="16.453125" style="5" customWidth="1"/>
    <col min="11783" max="11783" width="20.7265625" style="5" customWidth="1"/>
    <col min="11784" max="11784" width="23.81640625" style="5" customWidth="1"/>
    <col min="11785" max="11785" width="18.81640625" style="5" customWidth="1"/>
    <col min="11786" max="11786" width="8.26953125" style="5" customWidth="1"/>
    <col min="11787" max="11787" width="14.54296875" style="5" bestFit="1" customWidth="1"/>
    <col min="11788" max="11788" width="14.1796875" style="5" bestFit="1" customWidth="1"/>
    <col min="11789" max="11789" width="11.453125" style="5"/>
    <col min="11790" max="11790" width="15.54296875" style="5" customWidth="1"/>
    <col min="11791" max="11791" width="11.453125" style="5"/>
    <col min="11792" max="11792" width="13.81640625" style="5" bestFit="1" customWidth="1"/>
    <col min="11793" max="12034" width="11.453125" style="5"/>
    <col min="12035" max="12035" width="12.81640625" style="5" customWidth="1"/>
    <col min="12036" max="12036" width="18.26953125" style="5" customWidth="1"/>
    <col min="12037" max="12037" width="13.7265625" style="5" customWidth="1"/>
    <col min="12038" max="12038" width="16.453125" style="5" customWidth="1"/>
    <col min="12039" max="12039" width="20.7265625" style="5" customWidth="1"/>
    <col min="12040" max="12040" width="23.81640625" style="5" customWidth="1"/>
    <col min="12041" max="12041" width="18.81640625" style="5" customWidth="1"/>
    <col min="12042" max="12042" width="8.26953125" style="5" customWidth="1"/>
    <col min="12043" max="12043" width="14.54296875" style="5" bestFit="1" customWidth="1"/>
    <col min="12044" max="12044" width="14.1796875" style="5" bestFit="1" customWidth="1"/>
    <col min="12045" max="12045" width="11.453125" style="5"/>
    <col min="12046" max="12046" width="15.54296875" style="5" customWidth="1"/>
    <col min="12047" max="12047" width="11.453125" style="5"/>
    <col min="12048" max="12048" width="13.81640625" style="5" bestFit="1" customWidth="1"/>
    <col min="12049" max="12290" width="11.453125" style="5"/>
    <col min="12291" max="12291" width="12.81640625" style="5" customWidth="1"/>
    <col min="12292" max="12292" width="18.26953125" style="5" customWidth="1"/>
    <col min="12293" max="12293" width="13.7265625" style="5" customWidth="1"/>
    <col min="12294" max="12294" width="16.453125" style="5" customWidth="1"/>
    <col min="12295" max="12295" width="20.7265625" style="5" customWidth="1"/>
    <col min="12296" max="12296" width="23.81640625" style="5" customWidth="1"/>
    <col min="12297" max="12297" width="18.81640625" style="5" customWidth="1"/>
    <col min="12298" max="12298" width="8.26953125" style="5" customWidth="1"/>
    <col min="12299" max="12299" width="14.54296875" style="5" bestFit="1" customWidth="1"/>
    <col min="12300" max="12300" width="14.1796875" style="5" bestFit="1" customWidth="1"/>
    <col min="12301" max="12301" width="11.453125" style="5"/>
    <col min="12302" max="12302" width="15.54296875" style="5" customWidth="1"/>
    <col min="12303" max="12303" width="11.453125" style="5"/>
    <col min="12304" max="12304" width="13.81640625" style="5" bestFit="1" customWidth="1"/>
    <col min="12305" max="12546" width="11.453125" style="5"/>
    <col min="12547" max="12547" width="12.81640625" style="5" customWidth="1"/>
    <col min="12548" max="12548" width="18.26953125" style="5" customWidth="1"/>
    <col min="12549" max="12549" width="13.7265625" style="5" customWidth="1"/>
    <col min="12550" max="12550" width="16.453125" style="5" customWidth="1"/>
    <col min="12551" max="12551" width="20.7265625" style="5" customWidth="1"/>
    <col min="12552" max="12552" width="23.81640625" style="5" customWidth="1"/>
    <col min="12553" max="12553" width="18.81640625" style="5" customWidth="1"/>
    <col min="12554" max="12554" width="8.26953125" style="5" customWidth="1"/>
    <col min="12555" max="12555" width="14.54296875" style="5" bestFit="1" customWidth="1"/>
    <col min="12556" max="12556" width="14.1796875" style="5" bestFit="1" customWidth="1"/>
    <col min="12557" max="12557" width="11.453125" style="5"/>
    <col min="12558" max="12558" width="15.54296875" style="5" customWidth="1"/>
    <col min="12559" max="12559" width="11.453125" style="5"/>
    <col min="12560" max="12560" width="13.81640625" style="5" bestFit="1" customWidth="1"/>
    <col min="12561" max="12802" width="11.453125" style="5"/>
    <col min="12803" max="12803" width="12.81640625" style="5" customWidth="1"/>
    <col min="12804" max="12804" width="18.26953125" style="5" customWidth="1"/>
    <col min="12805" max="12805" width="13.7265625" style="5" customWidth="1"/>
    <col min="12806" max="12806" width="16.453125" style="5" customWidth="1"/>
    <col min="12807" max="12807" width="20.7265625" style="5" customWidth="1"/>
    <col min="12808" max="12808" width="23.81640625" style="5" customWidth="1"/>
    <col min="12809" max="12809" width="18.81640625" style="5" customWidth="1"/>
    <col min="12810" max="12810" width="8.26953125" style="5" customWidth="1"/>
    <col min="12811" max="12811" width="14.54296875" style="5" bestFit="1" customWidth="1"/>
    <col min="12812" max="12812" width="14.1796875" style="5" bestFit="1" customWidth="1"/>
    <col min="12813" max="12813" width="11.453125" style="5"/>
    <col min="12814" max="12814" width="15.54296875" style="5" customWidth="1"/>
    <col min="12815" max="12815" width="11.453125" style="5"/>
    <col min="12816" max="12816" width="13.81640625" style="5" bestFit="1" customWidth="1"/>
    <col min="12817" max="13058" width="11.453125" style="5"/>
    <col min="13059" max="13059" width="12.81640625" style="5" customWidth="1"/>
    <col min="13060" max="13060" width="18.26953125" style="5" customWidth="1"/>
    <col min="13061" max="13061" width="13.7265625" style="5" customWidth="1"/>
    <col min="13062" max="13062" width="16.453125" style="5" customWidth="1"/>
    <col min="13063" max="13063" width="20.7265625" style="5" customWidth="1"/>
    <col min="13064" max="13064" width="23.81640625" style="5" customWidth="1"/>
    <col min="13065" max="13065" width="18.81640625" style="5" customWidth="1"/>
    <col min="13066" max="13066" width="8.26953125" style="5" customWidth="1"/>
    <col min="13067" max="13067" width="14.54296875" style="5" bestFit="1" customWidth="1"/>
    <col min="13068" max="13068" width="14.1796875" style="5" bestFit="1" customWidth="1"/>
    <col min="13069" max="13069" width="11.453125" style="5"/>
    <col min="13070" max="13070" width="15.54296875" style="5" customWidth="1"/>
    <col min="13071" max="13071" width="11.453125" style="5"/>
    <col min="13072" max="13072" width="13.81640625" style="5" bestFit="1" customWidth="1"/>
    <col min="13073" max="13314" width="11.453125" style="5"/>
    <col min="13315" max="13315" width="12.81640625" style="5" customWidth="1"/>
    <col min="13316" max="13316" width="18.26953125" style="5" customWidth="1"/>
    <col min="13317" max="13317" width="13.7265625" style="5" customWidth="1"/>
    <col min="13318" max="13318" width="16.453125" style="5" customWidth="1"/>
    <col min="13319" max="13319" width="20.7265625" style="5" customWidth="1"/>
    <col min="13320" max="13320" width="23.81640625" style="5" customWidth="1"/>
    <col min="13321" max="13321" width="18.81640625" style="5" customWidth="1"/>
    <col min="13322" max="13322" width="8.26953125" style="5" customWidth="1"/>
    <col min="13323" max="13323" width="14.54296875" style="5" bestFit="1" customWidth="1"/>
    <col min="13324" max="13324" width="14.1796875" style="5" bestFit="1" customWidth="1"/>
    <col min="13325" max="13325" width="11.453125" style="5"/>
    <col min="13326" max="13326" width="15.54296875" style="5" customWidth="1"/>
    <col min="13327" max="13327" width="11.453125" style="5"/>
    <col min="13328" max="13328" width="13.81640625" style="5" bestFit="1" customWidth="1"/>
    <col min="13329" max="13570" width="11.453125" style="5"/>
    <col min="13571" max="13571" width="12.81640625" style="5" customWidth="1"/>
    <col min="13572" max="13572" width="18.26953125" style="5" customWidth="1"/>
    <col min="13573" max="13573" width="13.7265625" style="5" customWidth="1"/>
    <col min="13574" max="13574" width="16.453125" style="5" customWidth="1"/>
    <col min="13575" max="13575" width="20.7265625" style="5" customWidth="1"/>
    <col min="13576" max="13576" width="23.81640625" style="5" customWidth="1"/>
    <col min="13577" max="13577" width="18.81640625" style="5" customWidth="1"/>
    <col min="13578" max="13578" width="8.26953125" style="5" customWidth="1"/>
    <col min="13579" max="13579" width="14.54296875" style="5" bestFit="1" customWidth="1"/>
    <col min="13580" max="13580" width="14.1796875" style="5" bestFit="1" customWidth="1"/>
    <col min="13581" max="13581" width="11.453125" style="5"/>
    <col min="13582" max="13582" width="15.54296875" style="5" customWidth="1"/>
    <col min="13583" max="13583" width="11.453125" style="5"/>
    <col min="13584" max="13584" width="13.81640625" style="5" bestFit="1" customWidth="1"/>
    <col min="13585" max="13826" width="11.453125" style="5"/>
    <col min="13827" max="13827" width="12.81640625" style="5" customWidth="1"/>
    <col min="13828" max="13828" width="18.26953125" style="5" customWidth="1"/>
    <col min="13829" max="13829" width="13.7265625" style="5" customWidth="1"/>
    <col min="13830" max="13830" width="16.453125" style="5" customWidth="1"/>
    <col min="13831" max="13831" width="20.7265625" style="5" customWidth="1"/>
    <col min="13832" max="13832" width="23.81640625" style="5" customWidth="1"/>
    <col min="13833" max="13833" width="18.81640625" style="5" customWidth="1"/>
    <col min="13834" max="13834" width="8.26953125" style="5" customWidth="1"/>
    <col min="13835" max="13835" width="14.54296875" style="5" bestFit="1" customWidth="1"/>
    <col min="13836" max="13836" width="14.1796875" style="5" bestFit="1" customWidth="1"/>
    <col min="13837" max="13837" width="11.453125" style="5"/>
    <col min="13838" max="13838" width="15.54296875" style="5" customWidth="1"/>
    <col min="13839" max="13839" width="11.453125" style="5"/>
    <col min="13840" max="13840" width="13.81640625" style="5" bestFit="1" customWidth="1"/>
    <col min="13841" max="14082" width="11.453125" style="5"/>
    <col min="14083" max="14083" width="12.81640625" style="5" customWidth="1"/>
    <col min="14084" max="14084" width="18.26953125" style="5" customWidth="1"/>
    <col min="14085" max="14085" width="13.7265625" style="5" customWidth="1"/>
    <col min="14086" max="14086" width="16.453125" style="5" customWidth="1"/>
    <col min="14087" max="14087" width="20.7265625" style="5" customWidth="1"/>
    <col min="14088" max="14088" width="23.81640625" style="5" customWidth="1"/>
    <col min="14089" max="14089" width="18.81640625" style="5" customWidth="1"/>
    <col min="14090" max="14090" width="8.26953125" style="5" customWidth="1"/>
    <col min="14091" max="14091" width="14.54296875" style="5" bestFit="1" customWidth="1"/>
    <col min="14092" max="14092" width="14.1796875" style="5" bestFit="1" customWidth="1"/>
    <col min="14093" max="14093" width="11.453125" style="5"/>
    <col min="14094" max="14094" width="15.54296875" style="5" customWidth="1"/>
    <col min="14095" max="14095" width="11.453125" style="5"/>
    <col min="14096" max="14096" width="13.81640625" style="5" bestFit="1" customWidth="1"/>
    <col min="14097" max="14338" width="11.453125" style="5"/>
    <col min="14339" max="14339" width="12.81640625" style="5" customWidth="1"/>
    <col min="14340" max="14340" width="18.26953125" style="5" customWidth="1"/>
    <col min="14341" max="14341" width="13.7265625" style="5" customWidth="1"/>
    <col min="14342" max="14342" width="16.453125" style="5" customWidth="1"/>
    <col min="14343" max="14343" width="20.7265625" style="5" customWidth="1"/>
    <col min="14344" max="14344" width="23.81640625" style="5" customWidth="1"/>
    <col min="14345" max="14345" width="18.81640625" style="5" customWidth="1"/>
    <col min="14346" max="14346" width="8.26953125" style="5" customWidth="1"/>
    <col min="14347" max="14347" width="14.54296875" style="5" bestFit="1" customWidth="1"/>
    <col min="14348" max="14348" width="14.1796875" style="5" bestFit="1" customWidth="1"/>
    <col min="14349" max="14349" width="11.453125" style="5"/>
    <col min="14350" max="14350" width="15.54296875" style="5" customWidth="1"/>
    <col min="14351" max="14351" width="11.453125" style="5"/>
    <col min="14352" max="14352" width="13.81640625" style="5" bestFit="1" customWidth="1"/>
    <col min="14353" max="14594" width="11.453125" style="5"/>
    <col min="14595" max="14595" width="12.81640625" style="5" customWidth="1"/>
    <col min="14596" max="14596" width="18.26953125" style="5" customWidth="1"/>
    <col min="14597" max="14597" width="13.7265625" style="5" customWidth="1"/>
    <col min="14598" max="14598" width="16.453125" style="5" customWidth="1"/>
    <col min="14599" max="14599" width="20.7265625" style="5" customWidth="1"/>
    <col min="14600" max="14600" width="23.81640625" style="5" customWidth="1"/>
    <col min="14601" max="14601" width="18.81640625" style="5" customWidth="1"/>
    <col min="14602" max="14602" width="8.26953125" style="5" customWidth="1"/>
    <col min="14603" max="14603" width="14.54296875" style="5" bestFit="1" customWidth="1"/>
    <col min="14604" max="14604" width="14.1796875" style="5" bestFit="1" customWidth="1"/>
    <col min="14605" max="14605" width="11.453125" style="5"/>
    <col min="14606" max="14606" width="15.54296875" style="5" customWidth="1"/>
    <col min="14607" max="14607" width="11.453125" style="5"/>
    <col min="14608" max="14608" width="13.81640625" style="5" bestFit="1" customWidth="1"/>
    <col min="14609" max="14850" width="11.453125" style="5"/>
    <col min="14851" max="14851" width="12.81640625" style="5" customWidth="1"/>
    <col min="14852" max="14852" width="18.26953125" style="5" customWidth="1"/>
    <col min="14853" max="14853" width="13.7265625" style="5" customWidth="1"/>
    <col min="14854" max="14854" width="16.453125" style="5" customWidth="1"/>
    <col min="14855" max="14855" width="20.7265625" style="5" customWidth="1"/>
    <col min="14856" max="14856" width="23.81640625" style="5" customWidth="1"/>
    <col min="14857" max="14857" width="18.81640625" style="5" customWidth="1"/>
    <col min="14858" max="14858" width="8.26953125" style="5" customWidth="1"/>
    <col min="14859" max="14859" width="14.54296875" style="5" bestFit="1" customWidth="1"/>
    <col min="14860" max="14860" width="14.1796875" style="5" bestFit="1" customWidth="1"/>
    <col min="14861" max="14861" width="11.453125" style="5"/>
    <col min="14862" max="14862" width="15.54296875" style="5" customWidth="1"/>
    <col min="14863" max="14863" width="11.453125" style="5"/>
    <col min="14864" max="14864" width="13.81640625" style="5" bestFit="1" customWidth="1"/>
    <col min="14865" max="15106" width="11.453125" style="5"/>
    <col min="15107" max="15107" width="12.81640625" style="5" customWidth="1"/>
    <col min="15108" max="15108" width="18.26953125" style="5" customWidth="1"/>
    <col min="15109" max="15109" width="13.7265625" style="5" customWidth="1"/>
    <col min="15110" max="15110" width="16.453125" style="5" customWidth="1"/>
    <col min="15111" max="15111" width="20.7265625" style="5" customWidth="1"/>
    <col min="15112" max="15112" width="23.81640625" style="5" customWidth="1"/>
    <col min="15113" max="15113" width="18.81640625" style="5" customWidth="1"/>
    <col min="15114" max="15114" width="8.26953125" style="5" customWidth="1"/>
    <col min="15115" max="15115" width="14.54296875" style="5" bestFit="1" customWidth="1"/>
    <col min="15116" max="15116" width="14.1796875" style="5" bestFit="1" customWidth="1"/>
    <col min="15117" max="15117" width="11.453125" style="5"/>
    <col min="15118" max="15118" width="15.54296875" style="5" customWidth="1"/>
    <col min="15119" max="15119" width="11.453125" style="5"/>
    <col min="15120" max="15120" width="13.81640625" style="5" bestFit="1" customWidth="1"/>
    <col min="15121" max="15362" width="11.453125" style="5"/>
    <col min="15363" max="15363" width="12.81640625" style="5" customWidth="1"/>
    <col min="15364" max="15364" width="18.26953125" style="5" customWidth="1"/>
    <col min="15365" max="15365" width="13.7265625" style="5" customWidth="1"/>
    <col min="15366" max="15366" width="16.453125" style="5" customWidth="1"/>
    <col min="15367" max="15367" width="20.7265625" style="5" customWidth="1"/>
    <col min="15368" max="15368" width="23.81640625" style="5" customWidth="1"/>
    <col min="15369" max="15369" width="18.81640625" style="5" customWidth="1"/>
    <col min="15370" max="15370" width="8.26953125" style="5" customWidth="1"/>
    <col min="15371" max="15371" width="14.54296875" style="5" bestFit="1" customWidth="1"/>
    <col min="15372" max="15372" width="14.1796875" style="5" bestFit="1" customWidth="1"/>
    <col min="15373" max="15373" width="11.453125" style="5"/>
    <col min="15374" max="15374" width="15.54296875" style="5" customWidth="1"/>
    <col min="15375" max="15375" width="11.453125" style="5"/>
    <col min="15376" max="15376" width="13.81640625" style="5" bestFit="1" customWidth="1"/>
    <col min="15377" max="15618" width="11.453125" style="5"/>
    <col min="15619" max="15619" width="12.81640625" style="5" customWidth="1"/>
    <col min="15620" max="15620" width="18.26953125" style="5" customWidth="1"/>
    <col min="15621" max="15621" width="13.7265625" style="5" customWidth="1"/>
    <col min="15622" max="15622" width="16.453125" style="5" customWidth="1"/>
    <col min="15623" max="15623" width="20.7265625" style="5" customWidth="1"/>
    <col min="15624" max="15624" width="23.81640625" style="5" customWidth="1"/>
    <col min="15625" max="15625" width="18.81640625" style="5" customWidth="1"/>
    <col min="15626" max="15626" width="8.26953125" style="5" customWidth="1"/>
    <col min="15627" max="15627" width="14.54296875" style="5" bestFit="1" customWidth="1"/>
    <col min="15628" max="15628" width="14.1796875" style="5" bestFit="1" customWidth="1"/>
    <col min="15629" max="15629" width="11.453125" style="5"/>
    <col min="15630" max="15630" width="15.54296875" style="5" customWidth="1"/>
    <col min="15631" max="15631" width="11.453125" style="5"/>
    <col min="15632" max="15632" width="13.81640625" style="5" bestFit="1" customWidth="1"/>
    <col min="15633" max="15874" width="11.453125" style="5"/>
    <col min="15875" max="15875" width="12.81640625" style="5" customWidth="1"/>
    <col min="15876" max="15876" width="18.26953125" style="5" customWidth="1"/>
    <col min="15877" max="15877" width="13.7265625" style="5" customWidth="1"/>
    <col min="15878" max="15878" width="16.453125" style="5" customWidth="1"/>
    <col min="15879" max="15879" width="20.7265625" style="5" customWidth="1"/>
    <col min="15880" max="15880" width="23.81640625" style="5" customWidth="1"/>
    <col min="15881" max="15881" width="18.81640625" style="5" customWidth="1"/>
    <col min="15882" max="15882" width="8.26953125" style="5" customWidth="1"/>
    <col min="15883" max="15883" width="14.54296875" style="5" bestFit="1" customWidth="1"/>
    <col min="15884" max="15884" width="14.1796875" style="5" bestFit="1" customWidth="1"/>
    <col min="15885" max="15885" width="11.453125" style="5"/>
    <col min="15886" max="15886" width="15.54296875" style="5" customWidth="1"/>
    <col min="15887" max="15887" width="11.453125" style="5"/>
    <col min="15888" max="15888" width="13.81640625" style="5" bestFit="1" customWidth="1"/>
    <col min="15889" max="16130" width="11.453125" style="5"/>
    <col min="16131" max="16131" width="12.81640625" style="5" customWidth="1"/>
    <col min="16132" max="16132" width="18.26953125" style="5" customWidth="1"/>
    <col min="16133" max="16133" width="13.7265625" style="5" customWidth="1"/>
    <col min="16134" max="16134" width="16.453125" style="5" customWidth="1"/>
    <col min="16135" max="16135" width="20.7265625" style="5" customWidth="1"/>
    <col min="16136" max="16136" width="23.81640625" style="5" customWidth="1"/>
    <col min="16137" max="16137" width="18.81640625" style="5" customWidth="1"/>
    <col min="16138" max="16138" width="8.26953125" style="5" customWidth="1"/>
    <col min="16139" max="16139" width="14.54296875" style="5" bestFit="1" customWidth="1"/>
    <col min="16140" max="16140" width="14.1796875" style="5" bestFit="1" customWidth="1"/>
    <col min="16141" max="16141" width="11.453125" style="5"/>
    <col min="16142" max="16142" width="15.54296875" style="5" customWidth="1"/>
    <col min="16143" max="16143" width="11.453125" style="5"/>
    <col min="16144" max="16144" width="13.81640625" style="5" bestFit="1" customWidth="1"/>
    <col min="16145" max="16383" width="11.453125" style="5"/>
    <col min="16384" max="16384" width="11.453125" style="5" customWidth="1"/>
  </cols>
  <sheetData>
    <row r="1" spans="1:36" ht="9" customHeight="1" thickBot="1" x14ac:dyDescent="0.35"/>
    <row r="2" spans="1:36" s="4" customFormat="1" ht="20.25" customHeight="1" thickBot="1" x14ac:dyDescent="0.35">
      <c r="B2" s="458" t="s">
        <v>85</v>
      </c>
      <c r="C2" s="459"/>
      <c r="D2" s="459"/>
      <c r="E2" s="459"/>
      <c r="F2" s="459"/>
      <c r="G2" s="460"/>
      <c r="H2" s="384"/>
      <c r="I2" s="384"/>
      <c r="J2" s="30"/>
    </row>
    <row r="3" spans="1:36" s="12" customFormat="1" ht="31.5" customHeight="1" x14ac:dyDescent="0.3">
      <c r="B3" s="461" t="s">
        <v>135</v>
      </c>
      <c r="C3" s="462"/>
      <c r="D3" s="462"/>
      <c r="E3" s="462"/>
      <c r="F3" s="462"/>
      <c r="G3" s="463"/>
      <c r="H3" s="385"/>
      <c r="I3" s="385"/>
      <c r="J3" s="3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6" s="12" customFormat="1" ht="16.5" customHeight="1" thickBot="1" x14ac:dyDescent="0.7">
      <c r="A4" s="103"/>
      <c r="B4" s="5"/>
      <c r="C4" s="5"/>
      <c r="D4" s="5"/>
      <c r="E4" s="5"/>
      <c r="F4" s="5"/>
      <c r="G4" s="5"/>
      <c r="H4" s="5"/>
      <c r="I4" s="5"/>
      <c r="J4" s="38"/>
      <c r="K4" s="4"/>
      <c r="L4" s="4"/>
      <c r="M4" s="4"/>
      <c r="N4" s="4"/>
      <c r="O4" s="4"/>
      <c r="P4" s="4"/>
      <c r="Q4" s="4"/>
      <c r="R4" s="4"/>
      <c r="S4" s="4"/>
      <c r="T4" s="4"/>
    </row>
    <row r="5" spans="1:36" ht="19.5" customHeight="1" thickBot="1" x14ac:dyDescent="0.35">
      <c r="A5" s="108"/>
      <c r="B5" s="104" t="s">
        <v>86</v>
      </c>
      <c r="C5" s="411">
        <v>0.43243583012005349</v>
      </c>
      <c r="D5" s="105" t="s">
        <v>82</v>
      </c>
      <c r="E5" s="106" t="s">
        <v>87</v>
      </c>
      <c r="F5" s="107">
        <f>1-C5</f>
        <v>0.56756416987994651</v>
      </c>
      <c r="G5" s="115"/>
      <c r="H5" s="115"/>
      <c r="I5" s="115"/>
      <c r="J5" s="313"/>
      <c r="K5" s="4"/>
      <c r="L5" s="4"/>
      <c r="M5" s="4"/>
      <c r="N5" s="4"/>
      <c r="O5" s="4"/>
      <c r="P5" s="4"/>
      <c r="Q5" s="4"/>
      <c r="R5" s="4"/>
      <c r="S5" s="4"/>
      <c r="T5" s="4"/>
      <c r="U5" s="12"/>
      <c r="V5" s="12"/>
      <c r="W5" s="12"/>
      <c r="X5" s="12"/>
      <c r="Y5" s="12"/>
      <c r="Z5" s="12"/>
    </row>
    <row r="6" spans="1:36" ht="13.5" thickBot="1" x14ac:dyDescent="0.35">
      <c r="A6" s="314"/>
      <c r="B6" s="115"/>
      <c r="C6" s="115"/>
      <c r="G6" s="115"/>
      <c r="H6" s="115"/>
      <c r="I6" s="115"/>
      <c r="J6" s="120"/>
      <c r="K6" s="4"/>
      <c r="L6" s="4"/>
      <c r="M6" s="4"/>
      <c r="N6" s="4"/>
      <c r="O6" s="4"/>
      <c r="P6" s="4"/>
      <c r="Q6" s="4"/>
      <c r="R6" s="4"/>
      <c r="S6" s="4"/>
      <c r="T6" s="4"/>
      <c r="W6" s="45"/>
      <c r="X6" s="45"/>
      <c r="Y6" s="45"/>
      <c r="Z6" s="45"/>
      <c r="AA6" s="45"/>
      <c r="AB6" s="45"/>
    </row>
    <row r="7" spans="1:36" ht="21" customHeight="1" thickBot="1" x14ac:dyDescent="0.35">
      <c r="A7" s="314"/>
      <c r="B7" s="315"/>
      <c r="C7" s="115"/>
      <c r="D7" s="464" t="s">
        <v>55</v>
      </c>
      <c r="E7" s="465"/>
      <c r="F7" s="466"/>
      <c r="G7" s="115"/>
      <c r="H7" s="115"/>
      <c r="I7" s="115"/>
      <c r="J7" s="31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2"/>
      <c r="W7" s="4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0.149999999999999" customHeight="1" thickBot="1" x14ac:dyDescent="0.35">
      <c r="A8" s="314"/>
      <c r="B8" s="317"/>
      <c r="C8" s="115"/>
      <c r="D8" s="97" t="s">
        <v>88</v>
      </c>
      <c r="E8" s="98" t="s">
        <v>136</v>
      </c>
      <c r="F8" s="97" t="s">
        <v>137</v>
      </c>
      <c r="G8" s="137"/>
      <c r="H8" s="137"/>
      <c r="I8" s="137"/>
      <c r="J8" s="318"/>
      <c r="K8" s="4"/>
      <c r="L8" s="4"/>
      <c r="M8" s="4"/>
      <c r="N8" s="4"/>
      <c r="O8" s="4"/>
      <c r="P8" s="4"/>
      <c r="Q8" s="4"/>
      <c r="R8" s="4"/>
      <c r="S8" s="4"/>
      <c r="T8" s="4"/>
      <c r="U8" s="83"/>
      <c r="V8" s="4"/>
      <c r="W8" s="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0.149999999999999" customHeight="1" thickBot="1" x14ac:dyDescent="0.35">
      <c r="A9" s="314"/>
      <c r="B9" s="115"/>
      <c r="C9" s="115"/>
      <c r="D9" s="99">
        <v>0.53155998422293083</v>
      </c>
      <c r="E9" s="100"/>
      <c r="F9" s="100"/>
      <c r="G9" s="115"/>
      <c r="H9" s="115"/>
      <c r="I9" s="115"/>
      <c r="J9" s="319"/>
      <c r="K9" s="149"/>
      <c r="L9" s="108"/>
      <c r="M9" s="4"/>
      <c r="N9" s="4"/>
      <c r="O9" s="4"/>
      <c r="P9" s="4"/>
      <c r="Q9" s="4"/>
      <c r="R9" s="4"/>
      <c r="S9" s="4"/>
      <c r="T9" s="4"/>
      <c r="U9" s="84"/>
      <c r="V9" s="4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30.75" hidden="1" customHeight="1" thickBot="1" x14ac:dyDescent="0.45">
      <c r="A10" s="320"/>
      <c r="B10" s="86"/>
      <c r="C10" s="321" t="s">
        <v>131</v>
      </c>
      <c r="D10" s="7">
        <f>F5^D9</f>
        <v>0.7400212685936931</v>
      </c>
      <c r="E10" s="322">
        <f>F5^E9</f>
        <v>1</v>
      </c>
      <c r="F10" s="322">
        <f>F5^F9</f>
        <v>1</v>
      </c>
      <c r="H10" s="115"/>
      <c r="I10" s="115"/>
      <c r="J10" s="46"/>
      <c r="K10" s="4"/>
      <c r="M10" s="4"/>
      <c r="N10" s="2"/>
      <c r="O10" s="4"/>
      <c r="P10" s="41"/>
      <c r="Q10" s="43"/>
      <c r="R10" s="43"/>
      <c r="S10" s="4"/>
      <c r="T10" s="4"/>
      <c r="U10" s="85"/>
      <c r="V10" s="4"/>
      <c r="W10" s="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30.75" hidden="1" customHeight="1" x14ac:dyDescent="0.3">
      <c r="A11" s="320"/>
      <c r="B11" s="86"/>
      <c r="C11" s="87" t="s">
        <v>132</v>
      </c>
      <c r="D11" s="7">
        <f>1-D10</f>
        <v>0.2599787314063069</v>
      </c>
      <c r="E11" s="7">
        <f>1-E10</f>
        <v>0</v>
      </c>
      <c r="F11" s="7">
        <f>1-F10</f>
        <v>0</v>
      </c>
      <c r="H11" s="115"/>
      <c r="I11" s="115"/>
      <c r="J11" s="46"/>
      <c r="K11" s="4"/>
      <c r="L11" s="30"/>
      <c r="M11" s="4"/>
      <c r="N11" s="4"/>
      <c r="O11" s="4"/>
      <c r="P11" s="4"/>
      <c r="Q11" s="4"/>
      <c r="R11" s="4"/>
      <c r="S11" s="43"/>
      <c r="T11" s="4"/>
      <c r="U11" s="83"/>
      <c r="V11" s="40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30.75" hidden="1" customHeight="1" x14ac:dyDescent="0.3">
      <c r="A12" s="320"/>
      <c r="B12" s="109"/>
      <c r="C12" s="44"/>
      <c r="D12" s="109"/>
      <c r="E12" s="109"/>
      <c r="F12" s="109"/>
      <c r="H12" s="115"/>
      <c r="I12" s="115"/>
      <c r="J12" s="88"/>
      <c r="K12" s="4"/>
      <c r="L12" s="89"/>
      <c r="M12" s="40"/>
      <c r="N12" s="90"/>
      <c r="O12" s="4"/>
      <c r="P12" s="4"/>
      <c r="Q12" s="4"/>
      <c r="R12" s="4"/>
      <c r="S12" s="4"/>
      <c r="T12" s="4"/>
      <c r="U12" s="91"/>
      <c r="V12" s="92"/>
      <c r="W12" s="90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30.75" hidden="1" customHeight="1" x14ac:dyDescent="0.4">
      <c r="A13" s="320"/>
      <c r="B13" s="323"/>
      <c r="C13" s="324" t="s">
        <v>83</v>
      </c>
      <c r="D13" s="300" t="s">
        <v>23</v>
      </c>
      <c r="E13" s="325">
        <f>D10-F5</f>
        <v>0.17245709871374659</v>
      </c>
      <c r="F13" s="325">
        <f>F10-F5</f>
        <v>0.43243583012005349</v>
      </c>
      <c r="G13" s="325">
        <f>E10-F5</f>
        <v>0.43243583012005349</v>
      </c>
      <c r="H13" s="115"/>
      <c r="I13" s="115"/>
      <c r="J13" s="46"/>
      <c r="K13" s="4"/>
      <c r="L13" s="91"/>
      <c r="M13" s="9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30.75" hidden="1" customHeight="1" x14ac:dyDescent="0.3">
      <c r="A14" s="320"/>
      <c r="B14" s="323"/>
      <c r="C14" s="326" t="s">
        <v>46</v>
      </c>
      <c r="D14" s="300" t="s">
        <v>24</v>
      </c>
      <c r="E14" s="327">
        <f>1/E13</f>
        <v>5.7985435650860211</v>
      </c>
      <c r="F14" s="327">
        <f>1/G13</f>
        <v>2.3124818304773185</v>
      </c>
      <c r="G14" s="327">
        <f>1/F13</f>
        <v>2.3124818304773185</v>
      </c>
      <c r="H14" s="115"/>
      <c r="I14" s="115"/>
      <c r="L14" s="5"/>
      <c r="M14" s="5"/>
      <c r="O14" s="4"/>
      <c r="R14" s="5"/>
      <c r="S14" s="5"/>
      <c r="T14" s="12"/>
      <c r="U14" s="12"/>
      <c r="V14" s="12"/>
      <c r="W14" s="12"/>
      <c r="X14" s="12"/>
      <c r="Y14" s="12"/>
      <c r="Z14" s="12"/>
    </row>
    <row r="15" spans="1:36" ht="30.75" hidden="1" customHeight="1" x14ac:dyDescent="0.3">
      <c r="A15" s="320"/>
      <c r="B15" s="328"/>
      <c r="C15" s="328"/>
      <c r="D15" s="328"/>
      <c r="E15" s="328"/>
      <c r="F15" s="328"/>
      <c r="G15" s="12"/>
      <c r="H15" s="115"/>
      <c r="I15" s="115"/>
      <c r="L15" s="5"/>
      <c r="M15" s="5"/>
      <c r="O15" s="4"/>
      <c r="R15" s="5"/>
      <c r="S15" s="5"/>
    </row>
    <row r="16" spans="1:36" ht="30.75" hidden="1" customHeight="1" x14ac:dyDescent="0.3">
      <c r="A16" s="320"/>
      <c r="B16" s="329"/>
      <c r="C16" s="330" t="s">
        <v>64</v>
      </c>
      <c r="D16" s="331" t="s">
        <v>65</v>
      </c>
      <c r="E16" s="93">
        <f>E14</f>
        <v>5.7985435650860211</v>
      </c>
      <c r="F16" s="93">
        <f>F14</f>
        <v>2.3124818304773185</v>
      </c>
      <c r="G16" s="93">
        <f>G14</f>
        <v>2.3124818304773185</v>
      </c>
      <c r="H16" s="115"/>
      <c r="I16" s="115"/>
      <c r="L16" s="5"/>
      <c r="M16" s="5"/>
      <c r="O16" s="4"/>
      <c r="R16" s="5"/>
      <c r="S16" s="5"/>
    </row>
    <row r="17" spans="1:19" s="4" customFormat="1" ht="30.75" hidden="1" customHeight="1" x14ac:dyDescent="0.3">
      <c r="A17" s="320"/>
      <c r="B17" s="332"/>
      <c r="C17" s="332"/>
      <c r="D17" s="333" t="s">
        <v>42</v>
      </c>
      <c r="E17" s="327">
        <f>(1-C5)*E14</f>
        <v>3.2910455650307533</v>
      </c>
      <c r="F17" s="327">
        <f>(1-C5)*F14</f>
        <v>1.3124818304773185</v>
      </c>
      <c r="G17" s="327">
        <f>(1-C5)*G14</f>
        <v>1.3124818304773185</v>
      </c>
      <c r="H17" s="115"/>
      <c r="I17" s="115"/>
      <c r="K17" s="52"/>
    </row>
    <row r="18" spans="1:19" s="4" customFormat="1" ht="30.75" hidden="1" customHeight="1" x14ac:dyDescent="0.3">
      <c r="A18" s="320"/>
      <c r="B18" s="334"/>
      <c r="C18" s="334"/>
      <c r="D18" s="330" t="s">
        <v>61</v>
      </c>
      <c r="E18" s="327">
        <f>E14*E13</f>
        <v>1</v>
      </c>
      <c r="F18" s="327">
        <f>F14*G13</f>
        <v>1</v>
      </c>
      <c r="G18" s="327">
        <f>G14*F13</f>
        <v>1</v>
      </c>
      <c r="H18" s="115"/>
      <c r="I18" s="115"/>
    </row>
    <row r="19" spans="1:19" s="4" customFormat="1" ht="30.75" hidden="1" customHeight="1" x14ac:dyDescent="0.3">
      <c r="A19" s="320"/>
      <c r="B19" s="334"/>
      <c r="C19" s="334"/>
      <c r="D19" s="330" t="s">
        <v>43</v>
      </c>
      <c r="E19" s="327">
        <f>(C5-E13)*E14</f>
        <v>1.5074980000552678</v>
      </c>
      <c r="F19" s="327">
        <f>(C5-G13)*F14</f>
        <v>0</v>
      </c>
      <c r="G19" s="327">
        <f>(C5-F13)*G14</f>
        <v>0</v>
      </c>
      <c r="H19" s="115"/>
      <c r="I19" s="115"/>
    </row>
    <row r="20" spans="1:19" s="4" customFormat="1" ht="30.75" hidden="1" customHeight="1" x14ac:dyDescent="0.3">
      <c r="A20" s="320"/>
      <c r="B20" s="110"/>
      <c r="C20" s="110"/>
      <c r="D20" s="110"/>
      <c r="E20" s="335"/>
      <c r="F20" s="335"/>
      <c r="G20" s="335"/>
      <c r="H20" s="115"/>
      <c r="I20" s="115"/>
      <c r="L20" s="291"/>
      <c r="M20" s="58"/>
      <c r="N20" s="60"/>
    </row>
    <row r="21" spans="1:19" s="4" customFormat="1" ht="30.75" hidden="1" customHeight="1" x14ac:dyDescent="0.3">
      <c r="A21" s="320"/>
      <c r="B21" s="329"/>
      <c r="C21" s="330" t="s">
        <v>66</v>
      </c>
      <c r="D21" s="331" t="s">
        <v>67</v>
      </c>
      <c r="E21" s="93">
        <f>E14</f>
        <v>5.7985435650860211</v>
      </c>
      <c r="F21" s="93">
        <f>F14</f>
        <v>2.3124818304773185</v>
      </c>
      <c r="G21" s="93">
        <f>G14</f>
        <v>2.3124818304773185</v>
      </c>
      <c r="H21" s="115"/>
      <c r="I21" s="115"/>
      <c r="K21" s="291"/>
      <c r="L21" s="291"/>
      <c r="M21" s="59"/>
      <c r="N21" s="60"/>
    </row>
    <row r="22" spans="1:19" s="4" customFormat="1" ht="30.75" hidden="1" customHeight="1" x14ac:dyDescent="0.3">
      <c r="A22" s="320"/>
      <c r="B22" s="336"/>
      <c r="C22" s="336"/>
      <c r="D22" s="216" t="s">
        <v>42</v>
      </c>
      <c r="E22" s="327">
        <f>ABS((1-(C5-E13))*E14)</f>
        <v>4.2910455650307533</v>
      </c>
      <c r="F22" s="327">
        <f>ABS((1-(C5-G13))*F14)</f>
        <v>2.3124818304773185</v>
      </c>
      <c r="G22" s="327">
        <f>ABS((1-(C5-F13))*G14)</f>
        <v>2.3124818304773185</v>
      </c>
      <c r="H22" s="115"/>
      <c r="I22" s="115"/>
      <c r="K22" s="291"/>
      <c r="L22" s="291"/>
      <c r="M22" s="58"/>
      <c r="N22" s="60"/>
    </row>
    <row r="23" spans="1:19" ht="30.75" hidden="1" customHeight="1" x14ac:dyDescent="0.3">
      <c r="A23" s="320"/>
      <c r="B23" s="111"/>
      <c r="C23" s="111"/>
      <c r="D23" s="29" t="s">
        <v>62</v>
      </c>
      <c r="E23" s="337">
        <f>E14*E13</f>
        <v>1</v>
      </c>
      <c r="F23" s="327">
        <f>F14*G13</f>
        <v>1</v>
      </c>
      <c r="G23" s="327">
        <f>G14*F13</f>
        <v>1</v>
      </c>
      <c r="H23" s="115"/>
      <c r="I23" s="115"/>
      <c r="L23" s="5"/>
      <c r="M23" s="5"/>
      <c r="O23" s="4"/>
      <c r="R23" s="5"/>
      <c r="S23" s="5"/>
    </row>
    <row r="24" spans="1:19" ht="30.75" hidden="1" customHeight="1" x14ac:dyDescent="0.3">
      <c r="A24" s="320"/>
      <c r="B24" s="332"/>
      <c r="C24" s="338"/>
      <c r="D24" s="333" t="s">
        <v>63</v>
      </c>
      <c r="E24" s="327">
        <f>ABS(C5*E14)</f>
        <v>2.5074980000552678</v>
      </c>
      <c r="F24" s="327">
        <f>ABS(C5*F14)</f>
        <v>1</v>
      </c>
      <c r="G24" s="327">
        <f>ABS(C5*G14)</f>
        <v>1</v>
      </c>
      <c r="H24" s="115"/>
      <c r="I24" s="115"/>
      <c r="K24" s="6"/>
      <c r="L24" s="6"/>
      <c r="M24" s="6"/>
      <c r="O24" s="4"/>
      <c r="R24" s="5"/>
      <c r="S24" s="5"/>
    </row>
    <row r="25" spans="1:19" s="4" customFormat="1" ht="30.75" hidden="1" customHeight="1" x14ac:dyDescent="0.3">
      <c r="A25" s="320"/>
      <c r="B25" s="111"/>
      <c r="C25" s="112"/>
      <c r="D25" s="65"/>
      <c r="E25" s="66"/>
      <c r="F25" s="66"/>
      <c r="G25" s="66"/>
      <c r="H25" s="115"/>
      <c r="I25" s="115"/>
      <c r="K25" s="6"/>
      <c r="L25" s="6"/>
      <c r="M25" s="1"/>
    </row>
    <row r="26" spans="1:19" ht="30.75" hidden="1" customHeight="1" x14ac:dyDescent="0.3">
      <c r="A26" s="320"/>
      <c r="B26" s="339" t="s">
        <v>49</v>
      </c>
      <c r="C26" s="340">
        <f>ROUND(D11,4)</f>
        <v>0.26</v>
      </c>
      <c r="D26" s="340">
        <f>ROUND(C5,4)</f>
        <v>0.43240000000000001</v>
      </c>
      <c r="E26" s="341">
        <f>ROUND(D9,2)</f>
        <v>0.53</v>
      </c>
      <c r="F26" s="342">
        <f>ROUND(E13,4)</f>
        <v>0.17249999999999999</v>
      </c>
      <c r="G26" s="343">
        <f>ROUND(E14,0)</f>
        <v>6</v>
      </c>
      <c r="H26" s="115"/>
      <c r="I26" s="115"/>
      <c r="K26" s="6"/>
      <c r="L26" s="6"/>
      <c r="M26" s="5"/>
      <c r="O26" s="4"/>
      <c r="R26" s="5"/>
      <c r="S26" s="5"/>
    </row>
    <row r="27" spans="1:19" ht="30.75" hidden="1" customHeight="1" x14ac:dyDescent="0.3">
      <c r="A27" s="320"/>
      <c r="B27" s="344" t="s">
        <v>51</v>
      </c>
      <c r="C27" s="340">
        <f>ROUND(E11,4)</f>
        <v>0</v>
      </c>
      <c r="E27" s="345">
        <f>ROUND(E9,2)</f>
        <v>0</v>
      </c>
      <c r="F27" s="31">
        <f>ROUND(F13,4)</f>
        <v>0.43240000000000001</v>
      </c>
      <c r="G27" s="346">
        <f>ROUND(F14,0)</f>
        <v>2</v>
      </c>
      <c r="H27" s="115"/>
      <c r="I27" s="115"/>
      <c r="K27" s="6"/>
      <c r="L27" s="6"/>
      <c r="O27" s="4"/>
      <c r="R27" s="5"/>
      <c r="S27" s="5"/>
    </row>
    <row r="28" spans="1:19" ht="30.75" hidden="1" customHeight="1" x14ac:dyDescent="0.3">
      <c r="A28" s="320"/>
      <c r="B28" s="344" t="s">
        <v>50</v>
      </c>
      <c r="C28" s="340">
        <f>ROUND(F11,4)</f>
        <v>0</v>
      </c>
      <c r="D28" s="111"/>
      <c r="E28" s="345">
        <f>ROUND(F9,2)</f>
        <v>0</v>
      </c>
      <c r="F28" s="31">
        <f>ROUND(G13,4)</f>
        <v>0.43240000000000001</v>
      </c>
      <c r="G28" s="346">
        <f>ROUND(G14,0)</f>
        <v>2</v>
      </c>
      <c r="H28" s="115"/>
      <c r="I28" s="115"/>
      <c r="K28" s="6"/>
      <c r="L28" s="6"/>
      <c r="O28" s="4"/>
      <c r="R28" s="5"/>
      <c r="S28" s="5"/>
    </row>
    <row r="29" spans="1:19" ht="30.75" hidden="1" customHeight="1" x14ac:dyDescent="0.3">
      <c r="A29" s="320"/>
      <c r="B29" s="344" t="s">
        <v>52</v>
      </c>
      <c r="C29" s="300" t="s">
        <v>76</v>
      </c>
      <c r="D29" s="300" t="s">
        <v>77</v>
      </c>
      <c r="E29" s="300" t="s">
        <v>55</v>
      </c>
      <c r="F29" s="300" t="s">
        <v>54</v>
      </c>
      <c r="G29" s="300" t="s">
        <v>48</v>
      </c>
      <c r="H29" s="115"/>
      <c r="I29" s="115"/>
      <c r="K29" s="6"/>
      <c r="L29" s="6"/>
      <c r="M29" s="5"/>
      <c r="O29" s="4"/>
      <c r="R29" s="5"/>
      <c r="S29" s="5"/>
    </row>
    <row r="30" spans="1:19" ht="30.75" hidden="1" customHeight="1" x14ac:dyDescent="0.3">
      <c r="A30" s="320"/>
      <c r="B30" s="347" t="s">
        <v>19</v>
      </c>
      <c r="C30" s="300" t="str">
        <f>CONCATENATE(C26*100,B29," ",B26,C27*100,B29,B27,C28*100,B29,B28)</f>
        <v>26% (0%-0%)</v>
      </c>
      <c r="D30" s="300" t="str">
        <f>CONCATENATE(D26*100,B29)</f>
        <v>43,24%</v>
      </c>
      <c r="E30" s="300" t="str">
        <f>CONCATENATE(E26," ",B26,E27,B27,E28,B28)</f>
        <v>0,53 (0-0)</v>
      </c>
      <c r="F30" s="300" t="str">
        <f>CONCATENATE(F26*100,B29," ",B26,F27*100,B29," ",B30," ",F28*100,B29,B28)</f>
        <v>17,25% (43,24% a 43,24%)</v>
      </c>
      <c r="G30" s="300" t="str">
        <f>CONCATENATE(G26," ",B26,G27," ",B30," ",G28,B28)</f>
        <v>6 (2 a 2)</v>
      </c>
      <c r="H30" s="115"/>
      <c r="I30" s="115"/>
      <c r="K30" s="6"/>
      <c r="L30" s="6"/>
      <c r="M30" s="5"/>
      <c r="O30" s="4"/>
      <c r="R30" s="5"/>
      <c r="S30" s="5"/>
    </row>
    <row r="31" spans="1:19" s="12" customFormat="1" ht="30.75" hidden="1" customHeight="1" x14ac:dyDescent="0.3">
      <c r="A31" s="320"/>
      <c r="B31" s="111"/>
      <c r="C31" s="2"/>
      <c r="D31" s="111"/>
      <c r="E31" s="111"/>
      <c r="F31" s="111"/>
      <c r="G31" s="4"/>
      <c r="H31" s="115"/>
      <c r="I31" s="115"/>
      <c r="K31" s="6"/>
      <c r="L31" s="6"/>
      <c r="O31" s="4"/>
    </row>
    <row r="32" spans="1:19" x14ac:dyDescent="0.3">
      <c r="A32" s="320"/>
      <c r="B32" s="109"/>
      <c r="C32" s="109"/>
      <c r="D32" s="113"/>
      <c r="E32" s="109"/>
      <c r="F32" s="109"/>
      <c r="H32" s="115"/>
      <c r="I32" s="115"/>
      <c r="K32" s="6"/>
      <c r="L32" s="6"/>
      <c r="M32" s="5"/>
      <c r="O32" s="4"/>
      <c r="R32" s="5"/>
      <c r="S32" s="5"/>
    </row>
    <row r="33" spans="1:16" ht="18.75" customHeight="1" x14ac:dyDescent="0.3">
      <c r="A33" s="320"/>
      <c r="C33" s="349" t="s">
        <v>76</v>
      </c>
      <c r="D33" s="349" t="s">
        <v>77</v>
      </c>
      <c r="E33" s="349" t="s">
        <v>55</v>
      </c>
      <c r="F33" s="349" t="s">
        <v>47</v>
      </c>
      <c r="G33" s="349" t="s">
        <v>48</v>
      </c>
      <c r="H33" s="115"/>
      <c r="I33" s="115"/>
      <c r="K33" s="368" t="s">
        <v>133</v>
      </c>
      <c r="L33" s="368" t="s">
        <v>130</v>
      </c>
      <c r="N33" s="27"/>
      <c r="O33" s="4"/>
    </row>
    <row r="34" spans="1:16" ht="27.75" customHeight="1" x14ac:dyDescent="0.3">
      <c r="A34" s="320"/>
      <c r="B34" s="317"/>
      <c r="C34" s="79" t="str">
        <f>C30</f>
        <v>26% (0%-0%)</v>
      </c>
      <c r="D34" s="410" t="str">
        <f>D30</f>
        <v>43,24%</v>
      </c>
      <c r="E34" s="350" t="str">
        <f>E30</f>
        <v>0,53 (0-0)</v>
      </c>
      <c r="F34" s="79" t="str">
        <f>F30</f>
        <v>17,25% (43,24% a 43,24%)</v>
      </c>
      <c r="G34" s="79" t="str">
        <f>G30</f>
        <v>6 (2 a 2)</v>
      </c>
      <c r="H34" s="115"/>
      <c r="I34" s="115"/>
      <c r="K34" s="348">
        <f>IF((F27*F28&lt;0),(C26+D26)/2,C26)</f>
        <v>0.26</v>
      </c>
      <c r="L34" s="348">
        <f>IF((F27*F28&lt;0),(C26+D26)/2,D26)</f>
        <v>0.43240000000000001</v>
      </c>
      <c r="N34" s="27"/>
      <c r="O34" s="4"/>
    </row>
    <row r="35" spans="1:16" x14ac:dyDescent="0.3">
      <c r="B35" s="53"/>
      <c r="G35" s="115"/>
      <c r="H35" s="115"/>
      <c r="I35" s="115"/>
      <c r="N35" s="27"/>
      <c r="O35" s="114"/>
    </row>
    <row r="36" spans="1:16" x14ac:dyDescent="0.3">
      <c r="B36" s="367" t="s">
        <v>231</v>
      </c>
      <c r="G36" s="115"/>
      <c r="H36" s="115"/>
      <c r="I36" s="115"/>
      <c r="J36" s="70"/>
      <c r="L36" s="5"/>
      <c r="M36" s="5"/>
    </row>
    <row r="37" spans="1:16" ht="13.5" thickBot="1" x14ac:dyDescent="0.35">
      <c r="B37" s="376" t="s">
        <v>161</v>
      </c>
      <c r="J37" s="70"/>
      <c r="L37" s="5"/>
      <c r="M37" s="5"/>
    </row>
    <row r="38" spans="1:16" ht="45.5" customHeight="1" thickBot="1" x14ac:dyDescent="0.35">
      <c r="B38" s="470" t="s">
        <v>162</v>
      </c>
      <c r="C38" s="471"/>
      <c r="D38" s="471"/>
      <c r="E38" s="472"/>
      <c r="F38" s="472"/>
      <c r="G38" s="473"/>
      <c r="H38" s="388"/>
      <c r="I38" s="388"/>
      <c r="J38" s="355"/>
      <c r="K38" s="354"/>
      <c r="L38" s="354"/>
      <c r="M38" s="354"/>
      <c r="N38" s="474" t="s">
        <v>139</v>
      </c>
      <c r="O38" s="475"/>
      <c r="P38" s="354"/>
    </row>
    <row r="39" spans="1:16" ht="43" customHeight="1" thickBot="1" x14ac:dyDescent="0.35">
      <c r="B39" s="476" t="s">
        <v>163</v>
      </c>
      <c r="C39" s="389" t="s">
        <v>164</v>
      </c>
      <c r="D39" s="390" t="s">
        <v>165</v>
      </c>
      <c r="E39" s="478" t="s">
        <v>160</v>
      </c>
      <c r="F39" s="478"/>
      <c r="G39" s="479"/>
      <c r="H39" s="391"/>
      <c r="I39" s="391"/>
      <c r="J39" s="355"/>
      <c r="K39" s="354"/>
      <c r="L39" s="354"/>
      <c r="M39" s="354"/>
      <c r="N39" s="480" t="s">
        <v>146</v>
      </c>
      <c r="O39" s="481"/>
      <c r="P39" s="354"/>
    </row>
    <row r="40" spans="1:16" ht="44" thickBot="1" x14ac:dyDescent="0.35">
      <c r="B40" s="477"/>
      <c r="C40" s="392" t="s">
        <v>166</v>
      </c>
      <c r="D40" s="457" t="s">
        <v>166</v>
      </c>
      <c r="E40" s="393" t="s">
        <v>151</v>
      </c>
      <c r="F40" s="393" t="s">
        <v>152</v>
      </c>
      <c r="G40" s="394" t="s">
        <v>153</v>
      </c>
      <c r="H40" s="395"/>
      <c r="I40" s="387" t="s">
        <v>167</v>
      </c>
      <c r="J40" s="355"/>
      <c r="K40" s="354"/>
      <c r="L40" s="356"/>
      <c r="M40" s="354"/>
      <c r="N40" s="396" t="s">
        <v>168</v>
      </c>
      <c r="O40" s="397" t="s">
        <v>169</v>
      </c>
      <c r="P40" s="354"/>
    </row>
    <row r="41" spans="1:16" ht="31.5" customHeight="1" x14ac:dyDescent="0.35">
      <c r="B41" s="409" t="s">
        <v>142</v>
      </c>
      <c r="C41" s="365"/>
      <c r="D41" s="365"/>
      <c r="E41" s="365"/>
      <c r="F41" s="365"/>
      <c r="G41" s="357"/>
      <c r="H41" s="357"/>
      <c r="I41" s="398"/>
      <c r="J41" s="357"/>
      <c r="K41" s="354"/>
      <c r="L41" s="398"/>
      <c r="M41" s="354"/>
      <c r="N41" s="354"/>
      <c r="O41" s="354"/>
      <c r="P41" s="354"/>
    </row>
    <row r="42" spans="1:16" ht="23.5" x14ac:dyDescent="0.3">
      <c r="B42" s="386" t="s">
        <v>155</v>
      </c>
      <c r="C42" s="399">
        <v>0.2599787314063069</v>
      </c>
      <c r="D42" s="399">
        <v>0.43243583012005349</v>
      </c>
      <c r="E42" s="400">
        <v>0.53155998422293083</v>
      </c>
      <c r="F42" s="401">
        <f>D42-C42</f>
        <v>0.17245709871374659</v>
      </c>
      <c r="G42" s="402">
        <f>1/F42</f>
        <v>5.7985435650860211</v>
      </c>
      <c r="H42" s="403"/>
      <c r="I42" s="404" t="s">
        <v>157</v>
      </c>
      <c r="J42" s="357"/>
      <c r="K42" s="354"/>
      <c r="L42" s="405"/>
      <c r="M42" s="354"/>
      <c r="N42" s="406">
        <v>26</v>
      </c>
      <c r="O42" s="366">
        <v>43</v>
      </c>
      <c r="P42" s="369" t="s">
        <v>158</v>
      </c>
    </row>
    <row r="43" spans="1:16" ht="23.5" x14ac:dyDescent="0.3">
      <c r="B43" s="386" t="s">
        <v>154</v>
      </c>
      <c r="C43" s="399">
        <v>0.34971687616614289</v>
      </c>
      <c r="D43" s="399">
        <v>0.56508604389344952</v>
      </c>
      <c r="E43" s="400">
        <v>0.51686738145351974</v>
      </c>
      <c r="F43" s="401">
        <f t="shared" ref="F43:F45" si="0">D43-C43</f>
        <v>0.21536916772730663</v>
      </c>
      <c r="G43" s="402">
        <f t="shared" ref="G43:G45" si="1">1/F43</f>
        <v>4.6431901583339314</v>
      </c>
      <c r="H43" s="403"/>
      <c r="I43" s="404" t="s">
        <v>157</v>
      </c>
      <c r="J43" s="357"/>
      <c r="K43" s="354"/>
      <c r="L43" s="405"/>
      <c r="M43" s="354"/>
      <c r="N43" s="406">
        <v>35</v>
      </c>
      <c r="O43" s="366">
        <v>57</v>
      </c>
      <c r="P43" s="369" t="s">
        <v>150</v>
      </c>
    </row>
    <row r="44" spans="1:16" ht="23.5" x14ac:dyDescent="0.3">
      <c r="B44" s="386" t="s">
        <v>156</v>
      </c>
      <c r="C44" s="399">
        <v>0.4506713240946707</v>
      </c>
      <c r="D44" s="399">
        <v>0.68589547614526913</v>
      </c>
      <c r="E44" s="400">
        <v>0.51730836830228655</v>
      </c>
      <c r="F44" s="401">
        <f t="shared" si="0"/>
        <v>0.23522415205059843</v>
      </c>
      <c r="G44" s="402">
        <f t="shared" si="1"/>
        <v>4.2512641294797513</v>
      </c>
      <c r="H44" s="403"/>
      <c r="I44" s="404" t="s">
        <v>157</v>
      </c>
      <c r="J44" s="357"/>
      <c r="K44" s="354"/>
      <c r="L44" s="405"/>
      <c r="M44" s="354"/>
      <c r="N44" s="406">
        <v>45</v>
      </c>
      <c r="O44" s="366">
        <v>69</v>
      </c>
      <c r="P44" s="369" t="s">
        <v>159</v>
      </c>
    </row>
    <row r="45" spans="1:16" ht="23.5" x14ac:dyDescent="0.3">
      <c r="B45" s="386" t="s">
        <v>170</v>
      </c>
      <c r="C45" s="399">
        <v>0.4506713240946707</v>
      </c>
      <c r="D45" s="399">
        <v>0.68589547614526913</v>
      </c>
      <c r="E45" s="400">
        <v>0.51730836830228655</v>
      </c>
      <c r="F45" s="401">
        <f t="shared" si="0"/>
        <v>0.23522415205059843</v>
      </c>
      <c r="G45" s="402">
        <f t="shared" si="1"/>
        <v>4.2512641294797513</v>
      </c>
      <c r="H45" s="403"/>
      <c r="I45" s="404" t="s">
        <v>157</v>
      </c>
      <c r="J45" s="357"/>
      <c r="K45" s="354"/>
      <c r="L45" s="405"/>
      <c r="M45" s="354"/>
      <c r="N45" s="406">
        <v>45</v>
      </c>
      <c r="O45" s="366">
        <v>69</v>
      </c>
      <c r="P45" s="369" t="s">
        <v>171</v>
      </c>
    </row>
    <row r="46" spans="1:16" ht="30.5" customHeight="1" x14ac:dyDescent="0.35">
      <c r="B46" s="409" t="s">
        <v>141</v>
      </c>
      <c r="C46" s="365"/>
      <c r="D46" s="365"/>
      <c r="E46" s="365"/>
      <c r="F46" s="365"/>
      <c r="G46" s="357"/>
      <c r="H46" s="357"/>
      <c r="I46" s="398"/>
      <c r="J46" s="357"/>
      <c r="K46" s="354"/>
      <c r="L46" s="398"/>
      <c r="M46" s="354"/>
      <c r="N46" s="354"/>
      <c r="O46" s="354"/>
      <c r="P46" s="354"/>
    </row>
    <row r="47" spans="1:16" ht="23.5" x14ac:dyDescent="0.3">
      <c r="B47" s="386" t="s">
        <v>155</v>
      </c>
      <c r="C47" s="399">
        <v>0.56082920085254506</v>
      </c>
      <c r="D47" s="399">
        <v>0.90549069083782463</v>
      </c>
      <c r="E47" s="400">
        <v>0.34881179153168496</v>
      </c>
      <c r="F47" s="401">
        <f>D47-C47</f>
        <v>0.34466148998527957</v>
      </c>
      <c r="G47" s="402">
        <f>1/F47</f>
        <v>2.9013975423906797</v>
      </c>
      <c r="H47" s="403"/>
      <c r="I47" s="404" t="s">
        <v>157</v>
      </c>
      <c r="J47" s="357"/>
      <c r="K47" s="354"/>
      <c r="L47" s="405"/>
      <c r="M47" s="354"/>
      <c r="N47" s="406">
        <v>56</v>
      </c>
      <c r="O47" s="407">
        <v>91</v>
      </c>
      <c r="P47" s="369" t="s">
        <v>158</v>
      </c>
    </row>
    <row r="48" spans="1:16" ht="23.5" x14ac:dyDescent="0.3">
      <c r="B48" s="386" t="s">
        <v>154</v>
      </c>
      <c r="C48" s="399">
        <v>0.6799232755382959</v>
      </c>
      <c r="D48" s="399">
        <v>0.94683851359627635</v>
      </c>
      <c r="E48" s="400">
        <v>0.38821781712537962</v>
      </c>
      <c r="F48" s="401">
        <f t="shared" ref="F48:F50" si="2">D48-C48</f>
        <v>0.26691523805798045</v>
      </c>
      <c r="G48" s="402">
        <f t="shared" ref="G48:G50" si="3">1/F48</f>
        <v>3.746507720112914</v>
      </c>
      <c r="H48" s="403"/>
      <c r="I48" s="404" t="s">
        <v>157</v>
      </c>
      <c r="J48" s="357"/>
      <c r="K48" s="354"/>
      <c r="L48" s="405"/>
      <c r="M48" s="354"/>
      <c r="N48" s="406">
        <v>68</v>
      </c>
      <c r="O48" s="407">
        <v>95</v>
      </c>
      <c r="P48" s="369" t="s">
        <v>150</v>
      </c>
    </row>
    <row r="49" spans="2:16" ht="23.5" x14ac:dyDescent="0.3">
      <c r="B49" s="386" t="s">
        <v>156</v>
      </c>
      <c r="C49" s="399">
        <v>0.75982698885990452</v>
      </c>
      <c r="D49" s="399">
        <v>0.94683851359627635</v>
      </c>
      <c r="E49" s="400">
        <v>0.48609101914234132</v>
      </c>
      <c r="F49" s="401">
        <f t="shared" si="2"/>
        <v>0.18701152473637184</v>
      </c>
      <c r="G49" s="402">
        <f t="shared" si="3"/>
        <v>5.3472640331107373</v>
      </c>
      <c r="H49" s="403"/>
      <c r="I49" s="404" t="s">
        <v>157</v>
      </c>
      <c r="J49" s="357"/>
      <c r="K49" s="354"/>
      <c r="L49" s="405"/>
      <c r="M49" s="354"/>
      <c r="N49" s="406">
        <v>76</v>
      </c>
      <c r="O49" s="407">
        <v>95</v>
      </c>
      <c r="P49" s="369" t="s">
        <v>159</v>
      </c>
    </row>
    <row r="50" spans="2:16" ht="23.5" x14ac:dyDescent="0.3">
      <c r="B50" s="386" t="s">
        <v>172</v>
      </c>
      <c r="C50" s="399">
        <v>0.91994232961996814</v>
      </c>
      <c r="D50" s="399">
        <v>0.94683851359627635</v>
      </c>
      <c r="E50" s="400">
        <v>0.86047910353802026</v>
      </c>
      <c r="F50" s="401">
        <f t="shared" si="2"/>
        <v>2.6896183976308219E-2</v>
      </c>
      <c r="G50" s="402">
        <f t="shared" si="3"/>
        <v>37.179995529509327</v>
      </c>
      <c r="H50" s="403"/>
      <c r="I50" s="404" t="s">
        <v>157</v>
      </c>
      <c r="J50" s="357"/>
      <c r="K50" s="354"/>
      <c r="L50" s="405"/>
      <c r="M50" s="354"/>
      <c r="N50" s="406">
        <v>92</v>
      </c>
      <c r="O50" s="407">
        <v>95</v>
      </c>
      <c r="P50" s="369" t="s">
        <v>173</v>
      </c>
    </row>
    <row r="51" spans="2:16" ht="8" customHeight="1" x14ac:dyDescent="0.3">
      <c r="B51" s="354"/>
      <c r="C51" s="354"/>
      <c r="D51" s="354"/>
      <c r="E51" s="354"/>
      <c r="F51" s="354"/>
      <c r="G51" s="354"/>
      <c r="H51" s="354"/>
      <c r="I51" s="354"/>
      <c r="J51" s="408"/>
      <c r="K51" s="354"/>
      <c r="L51" s="354"/>
      <c r="M51" s="354"/>
      <c r="N51" s="354"/>
      <c r="O51" s="354"/>
      <c r="P51" s="354"/>
    </row>
    <row r="52" spans="2:16" ht="26.5" customHeight="1" x14ac:dyDescent="0.3">
      <c r="B52" s="467" t="s">
        <v>174</v>
      </c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9"/>
      <c r="P52" s="354"/>
    </row>
  </sheetData>
  <mergeCells count="9">
    <mergeCell ref="B2:G2"/>
    <mergeCell ref="B3:G3"/>
    <mergeCell ref="D7:F7"/>
    <mergeCell ref="B52:O52"/>
    <mergeCell ref="B38:G38"/>
    <mergeCell ref="N38:O38"/>
    <mergeCell ref="B39:B40"/>
    <mergeCell ref="E39:G39"/>
    <mergeCell ref="N39:O3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78"/>
  <sheetViews>
    <sheetView zoomScale="70" zoomScaleNormal="70" workbookViewId="0">
      <selection activeCell="B68" sqref="B68"/>
    </sheetView>
  </sheetViews>
  <sheetFormatPr baseColWidth="10" defaultColWidth="11.453125" defaultRowHeight="13" x14ac:dyDescent="0.3"/>
  <cols>
    <col min="1" max="1" width="0.453125" style="5" customWidth="1"/>
    <col min="2" max="2" width="37.36328125" style="5" customWidth="1"/>
    <col min="3" max="3" width="22.81640625" style="5" customWidth="1"/>
    <col min="4" max="4" width="20.453125" style="5" customWidth="1"/>
    <col min="5" max="5" width="15.54296875" style="5" customWidth="1"/>
    <col min="6" max="6" width="23.81640625" style="5" customWidth="1"/>
    <col min="7" max="7" width="16.54296875" style="5" customWidth="1"/>
    <col min="8" max="8" width="13.453125" style="5" customWidth="1"/>
    <col min="9" max="9" width="5.5429687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54296875" style="5" hidden="1" customWidth="1"/>
    <col min="15" max="15" width="20.08984375" style="12" customWidth="1"/>
    <col min="16" max="16" width="19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25"/>
      <c r="C1" s="126"/>
      <c r="D1" s="125"/>
      <c r="E1" s="127"/>
      <c r="F1" s="5"/>
      <c r="G1" s="5"/>
      <c r="H1" s="128"/>
      <c r="I1" s="128"/>
      <c r="J1" s="128"/>
      <c r="K1" s="128"/>
      <c r="L1" s="8"/>
      <c r="M1" s="13"/>
      <c r="N1" s="13"/>
      <c r="O1" s="2"/>
      <c r="P1" s="2"/>
      <c r="Q1" s="3"/>
      <c r="R1" s="2"/>
      <c r="S1" s="2"/>
      <c r="T1" s="2"/>
      <c r="U1" s="129"/>
      <c r="V1" s="129"/>
      <c r="W1" s="129"/>
      <c r="X1" s="129"/>
      <c r="Y1" s="129"/>
      <c r="Z1" s="129"/>
      <c r="AA1" s="129"/>
      <c r="AB1" s="129"/>
      <c r="AC1" s="129"/>
    </row>
    <row r="2" spans="2:30" ht="24.75" customHeight="1" thickBot="1" x14ac:dyDescent="0.35">
      <c r="B2" s="488" t="s">
        <v>84</v>
      </c>
      <c r="C2" s="489"/>
      <c r="D2" s="489"/>
      <c r="E2" s="489"/>
      <c r="F2" s="490"/>
      <c r="G2" s="130"/>
      <c r="H2" s="131" t="s">
        <v>93</v>
      </c>
      <c r="I2" s="132">
        <v>0.95</v>
      </c>
      <c r="J2" s="130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491" t="s">
        <v>134</v>
      </c>
      <c r="C3" s="492"/>
      <c r="D3" s="492"/>
      <c r="E3" s="492"/>
      <c r="F3" s="493"/>
      <c r="G3" s="133"/>
      <c r="H3" s="133"/>
      <c r="I3" s="133"/>
      <c r="J3" s="133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95"/>
      <c r="C4" s="14"/>
      <c r="D4" s="13"/>
      <c r="E4" s="13"/>
      <c r="F4" s="6"/>
      <c r="G4" s="15"/>
      <c r="J4" s="133"/>
      <c r="K4" s="96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34" t="s">
        <v>73</v>
      </c>
      <c r="C5" s="414"/>
      <c r="D5" s="64" t="s">
        <v>20</v>
      </c>
      <c r="E5" s="64" t="s">
        <v>21</v>
      </c>
      <c r="F5" s="101"/>
      <c r="I5" s="136"/>
      <c r="J5" s="133"/>
      <c r="K5" s="136"/>
      <c r="L5" s="137"/>
      <c r="M5" s="137"/>
      <c r="N5" s="137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108"/>
      <c r="C6" s="39"/>
      <c r="D6" s="412" t="s">
        <v>3</v>
      </c>
      <c r="E6" s="412" t="s">
        <v>2</v>
      </c>
      <c r="F6" s="413" t="s">
        <v>22</v>
      </c>
      <c r="I6" s="136"/>
      <c r="J6" s="133"/>
      <c r="K6" s="136"/>
      <c r="L6" s="137"/>
      <c r="M6" s="137"/>
      <c r="N6" s="137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364"/>
      <c r="C7" s="22" t="s">
        <v>175</v>
      </c>
      <c r="D7" s="139">
        <v>9</v>
      </c>
      <c r="E7" s="140">
        <f>F7-D7</f>
        <v>346</v>
      </c>
      <c r="F7" s="141">
        <v>355</v>
      </c>
      <c r="G7" s="136"/>
      <c r="H7" s="358"/>
      <c r="I7" s="359"/>
      <c r="J7" s="133"/>
      <c r="K7" s="136"/>
      <c r="L7" s="137"/>
      <c r="M7" s="137"/>
      <c r="N7" s="137"/>
      <c r="O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364"/>
      <c r="C8" s="22" t="s">
        <v>176</v>
      </c>
      <c r="D8" s="139">
        <v>7</v>
      </c>
      <c r="E8" s="140">
        <f>F8-D8</f>
        <v>335</v>
      </c>
      <c r="F8" s="141">
        <v>342</v>
      </c>
      <c r="G8" s="136"/>
      <c r="H8" s="358"/>
      <c r="I8" s="359"/>
      <c r="J8" s="133"/>
      <c r="K8" s="136"/>
      <c r="L8" s="137"/>
      <c r="M8" s="142"/>
      <c r="N8" s="137"/>
      <c r="O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108"/>
      <c r="C9" s="415" t="s">
        <v>22</v>
      </c>
      <c r="D9" s="144">
        <f>SUM(D7:D8)</f>
        <v>16</v>
      </c>
      <c r="E9" s="145">
        <f>SUM(E7:E8)</f>
        <v>681</v>
      </c>
      <c r="F9" s="146">
        <f>SUM(F7:F8)</f>
        <v>697</v>
      </c>
      <c r="G9" s="361"/>
      <c r="H9" s="362"/>
      <c r="I9" s="363"/>
      <c r="J9" s="133"/>
      <c r="K9" s="136"/>
      <c r="L9" s="137"/>
      <c r="M9" s="142"/>
      <c r="N9" s="137"/>
      <c r="P9" s="23"/>
      <c r="Q9" s="24"/>
      <c r="R9" s="360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108"/>
      <c r="C10" s="25"/>
      <c r="D10" s="26"/>
      <c r="E10" s="22"/>
      <c r="F10" s="22"/>
      <c r="G10" s="137"/>
      <c r="H10" s="137"/>
      <c r="I10" s="136"/>
      <c r="J10" s="136"/>
      <c r="K10" s="136"/>
      <c r="L10" s="137"/>
      <c r="M10" s="142"/>
      <c r="N10" s="137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47" t="s">
        <v>94</v>
      </c>
      <c r="C11" s="28"/>
      <c r="D11" s="29"/>
      <c r="E11" s="2"/>
      <c r="F11" s="21"/>
      <c r="G11" s="148"/>
      <c r="H11" s="142"/>
      <c r="I11" s="148"/>
      <c r="J11" s="142"/>
      <c r="K11" s="149"/>
      <c r="L11" s="149"/>
      <c r="M11" s="148"/>
      <c r="N11" s="149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108" t="s">
        <v>89</v>
      </c>
      <c r="C12" s="28"/>
      <c r="D12" s="29"/>
      <c r="E12" s="2"/>
      <c r="F12" s="21"/>
      <c r="G12" s="148"/>
      <c r="H12" s="142"/>
      <c r="I12" s="148"/>
      <c r="J12" s="142"/>
      <c r="K12" s="150"/>
      <c r="L12" s="149"/>
      <c r="M12" s="149"/>
      <c r="N12" s="149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116" t="s">
        <v>25</v>
      </c>
      <c r="C13" s="116" t="s">
        <v>90</v>
      </c>
      <c r="D13" s="116" t="s">
        <v>95</v>
      </c>
      <c r="E13" s="116" t="s">
        <v>91</v>
      </c>
      <c r="F13" s="116" t="s">
        <v>92</v>
      </c>
      <c r="G13" s="116" t="s">
        <v>4</v>
      </c>
      <c r="H13" s="116" t="s">
        <v>96</v>
      </c>
      <c r="I13" s="116" t="s">
        <v>97</v>
      </c>
      <c r="J13" s="142"/>
      <c r="K13" s="151" t="s">
        <v>45</v>
      </c>
      <c r="L13" s="152" t="s">
        <v>0</v>
      </c>
      <c r="M13" s="152" t="s">
        <v>1</v>
      </c>
      <c r="N13" s="149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117">
        <f>LN((D7/F7)/(D8/F8))</f>
        <v>0.21400737586809546</v>
      </c>
      <c r="C14" s="117">
        <f>SQRT((E7/(D7*F7)+(E8/(D8*F8))))</f>
        <v>0.49822422256612142</v>
      </c>
      <c r="D14" s="153">
        <f>-NORMSINV((1-I2)/2)</f>
        <v>1.9599639845400536</v>
      </c>
      <c r="E14" s="118">
        <f>B14-(D14*C14)</f>
        <v>-0.7624941565869704</v>
      </c>
      <c r="F14" s="119">
        <f>B14+(D14*C14)</f>
        <v>1.1905089083231613</v>
      </c>
      <c r="G14" s="154">
        <f>(D7/F7)/(D8/F8)</f>
        <v>1.2386317907444668</v>
      </c>
      <c r="H14" s="154">
        <f>EXP(E14)</f>
        <v>0.46650144713551844</v>
      </c>
      <c r="I14" s="154">
        <f>EXP(F14)</f>
        <v>3.2887544560974487</v>
      </c>
      <c r="J14" s="142"/>
      <c r="K14" s="155">
        <f>1-G14</f>
        <v>-0.23863179074446683</v>
      </c>
      <c r="L14" s="154">
        <f>1-H14</f>
        <v>0.53349855286448156</v>
      </c>
      <c r="M14" s="154">
        <f>1-I14</f>
        <v>-2.2887544560974487</v>
      </c>
      <c r="N14" s="156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57"/>
      <c r="C15" s="28"/>
      <c r="D15" s="28"/>
      <c r="E15" s="28"/>
      <c r="F15" s="32"/>
      <c r="G15" s="158"/>
      <c r="H15" s="142"/>
      <c r="I15" s="148"/>
      <c r="J15" s="142"/>
      <c r="K15" s="148"/>
      <c r="L15" s="148"/>
      <c r="M15" s="148"/>
      <c r="N15" s="149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102"/>
      <c r="C16" s="33"/>
      <c r="D16" s="34"/>
      <c r="E16" s="35"/>
      <c r="F16" s="36"/>
      <c r="G16" s="159"/>
      <c r="H16" s="160"/>
      <c r="I16" s="161"/>
      <c r="J16" s="161"/>
      <c r="K16" s="162"/>
      <c r="L16" s="162"/>
      <c r="M16" s="163"/>
      <c r="N16" s="163"/>
    </row>
    <row r="17" spans="2:30" ht="15.75" hidden="1" customHeight="1" x14ac:dyDescent="0.3">
      <c r="B17" s="40" t="s">
        <v>98</v>
      </c>
      <c r="C17" s="2"/>
      <c r="D17" s="164"/>
      <c r="E17" s="164"/>
      <c r="F17" s="13"/>
      <c r="G17" s="13"/>
      <c r="H17" s="165"/>
      <c r="I17" s="41"/>
      <c r="J17" s="166"/>
      <c r="K17" s="166"/>
      <c r="L17" s="4"/>
      <c r="M17" s="149"/>
      <c r="N17" s="142"/>
      <c r="O17" s="41"/>
      <c r="P17" s="2"/>
      <c r="Q17" s="2"/>
      <c r="R17" s="42"/>
      <c r="S17" s="41"/>
      <c r="T17" s="43"/>
      <c r="U17" s="43"/>
      <c r="V17" s="43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7" t="s">
        <v>99</v>
      </c>
      <c r="C18" s="2"/>
      <c r="D18" s="41"/>
      <c r="E18" s="41"/>
      <c r="F18" s="2"/>
      <c r="G18" s="2"/>
      <c r="H18" s="42"/>
      <c r="I18" s="41"/>
      <c r="J18" s="43"/>
      <c r="K18" s="43"/>
      <c r="L18" s="43"/>
      <c r="M18" s="149"/>
      <c r="N18" s="142"/>
      <c r="O18" s="2"/>
      <c r="P18" s="2"/>
      <c r="Q18" s="42"/>
      <c r="R18" s="41"/>
      <c r="S18" s="43"/>
      <c r="T18" s="43"/>
      <c r="U18" s="43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67" t="s">
        <v>100</v>
      </c>
      <c r="C19" s="5" t="s">
        <v>9</v>
      </c>
      <c r="D19" s="4"/>
      <c r="E19" s="5" t="s">
        <v>101</v>
      </c>
      <c r="G19" s="5" t="s">
        <v>7</v>
      </c>
      <c r="I19" s="5" t="s">
        <v>8</v>
      </c>
      <c r="J19" s="43"/>
      <c r="K19" s="43"/>
      <c r="L19" s="43"/>
      <c r="M19" s="149"/>
      <c r="N19" s="16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116" t="s">
        <v>102</v>
      </c>
      <c r="C20" s="116" t="s">
        <v>26</v>
      </c>
      <c r="D20" s="168" t="s">
        <v>10</v>
      </c>
      <c r="E20" s="168" t="s">
        <v>9</v>
      </c>
      <c r="F20" s="168" t="s">
        <v>103</v>
      </c>
      <c r="G20" s="168" t="s">
        <v>7</v>
      </c>
      <c r="H20" s="168" t="s">
        <v>8</v>
      </c>
      <c r="I20" s="169" t="s">
        <v>5</v>
      </c>
      <c r="J20" s="168" t="s">
        <v>104</v>
      </c>
      <c r="K20" s="168" t="s">
        <v>0</v>
      </c>
      <c r="L20" s="168" t="s">
        <v>1</v>
      </c>
      <c r="M20" s="170"/>
      <c r="N20" s="171"/>
      <c r="O20" s="172" t="s">
        <v>13</v>
      </c>
      <c r="P20" s="173" t="s">
        <v>78</v>
      </c>
      <c r="Q20" s="174"/>
      <c r="R20" s="175"/>
      <c r="S20" s="176"/>
      <c r="T20" s="176"/>
      <c r="U20" s="177"/>
      <c r="W20" s="178"/>
      <c r="X20" s="172" t="s">
        <v>79</v>
      </c>
      <c r="Y20" s="173" t="s">
        <v>105</v>
      </c>
      <c r="Z20" s="121"/>
      <c r="AA20" s="121"/>
      <c r="AB20" s="121" t="s">
        <v>106</v>
      </c>
      <c r="AC20" s="121"/>
      <c r="AD20" s="101"/>
    </row>
    <row r="21" spans="2:30" ht="12.75" hidden="1" customHeight="1" x14ac:dyDescent="0.3">
      <c r="B21" s="179">
        <f>D7</f>
        <v>9</v>
      </c>
      <c r="C21" s="180">
        <f>F7</f>
        <v>355</v>
      </c>
      <c r="D21" s="181">
        <f>B21/C21</f>
        <v>2.5352112676056339E-2</v>
      </c>
      <c r="E21" s="182">
        <f>2*B21+I21^2</f>
        <v>21.841458820694122</v>
      </c>
      <c r="F21" s="182">
        <f>I21*SQRT((I21^2)+(4*B21*(1-D21)))</f>
        <v>12.228790452412744</v>
      </c>
      <c r="G21" s="183">
        <f>2*(C21+I21^2)</f>
        <v>717.68291764138826</v>
      </c>
      <c r="H21" s="184" t="s">
        <v>11</v>
      </c>
      <c r="I21" s="153">
        <f>-NORMSINV((1-I2)/2)</f>
        <v>1.9599639845400536</v>
      </c>
      <c r="J21" s="185">
        <f>D21</f>
        <v>2.5352112676056339E-2</v>
      </c>
      <c r="K21" s="185">
        <f>(E21-F21)/G21</f>
        <v>1.3394032562280708E-2</v>
      </c>
      <c r="L21" s="185">
        <f>(E21+F21)/G21</f>
        <v>4.747256544028694E-2</v>
      </c>
      <c r="M21" s="170"/>
      <c r="N21" s="186">
        <f>F9/2</f>
        <v>348.5</v>
      </c>
      <c r="O21" s="20" t="s">
        <v>14</v>
      </c>
      <c r="P21" s="2"/>
      <c r="Q21" s="42"/>
      <c r="R21" s="41"/>
      <c r="S21" s="43"/>
      <c r="T21" s="43"/>
      <c r="U21" s="187"/>
      <c r="W21" s="188">
        <f>ABS(D21-D22)</f>
        <v>4.8842764187463986E-3</v>
      </c>
      <c r="X21" s="20" t="s">
        <v>107</v>
      </c>
      <c r="Y21" s="2"/>
      <c r="Z21" s="20"/>
      <c r="AA21" s="20"/>
      <c r="AB21" s="20" t="s">
        <v>108</v>
      </c>
      <c r="AC21" s="20"/>
      <c r="AD21" s="189"/>
    </row>
    <row r="22" spans="2:30" ht="14.25" hidden="1" customHeight="1" x14ac:dyDescent="0.4">
      <c r="B22" s="179">
        <f>D8</f>
        <v>7</v>
      </c>
      <c r="C22" s="180">
        <f>F8</f>
        <v>342</v>
      </c>
      <c r="D22" s="181">
        <f>B22/C22</f>
        <v>2.046783625730994E-2</v>
      </c>
      <c r="E22" s="182">
        <f>2*B22+I22^2</f>
        <v>17.841458820694122</v>
      </c>
      <c r="F22" s="182">
        <f>I22*SQRT((I22^2)+(4*B22*(1-D22)))</f>
        <v>10.959749771178695</v>
      </c>
      <c r="G22" s="183">
        <f>2*(C22+I22^2)</f>
        <v>691.68291764138826</v>
      </c>
      <c r="H22" s="184" t="s">
        <v>11</v>
      </c>
      <c r="I22" s="153">
        <f>-NORMSINV((1-I2)/2)</f>
        <v>1.9599639845400536</v>
      </c>
      <c r="J22" s="185">
        <f>D22</f>
        <v>2.046783625730994E-2</v>
      </c>
      <c r="K22" s="185">
        <f>(E22-F22)/G22</f>
        <v>9.9492251058935881E-3</v>
      </c>
      <c r="L22" s="185">
        <f>(E22+F22)/G22</f>
        <v>4.1639323246674666E-2</v>
      </c>
      <c r="M22" s="170"/>
      <c r="N22" s="190">
        <f>J26</f>
        <v>-4.8842764187463986E-3</v>
      </c>
      <c r="O22" s="20" t="s">
        <v>15</v>
      </c>
      <c r="P22" s="20"/>
      <c r="Q22" s="20"/>
      <c r="R22" s="20"/>
      <c r="S22" s="20"/>
      <c r="T22" s="20"/>
      <c r="U22" s="123"/>
      <c r="W22" s="191">
        <f>SQRT((D23*(1-D23)/C21)+(D23*(1-D23)/C22))</f>
        <v>1.1347231852427305E-2</v>
      </c>
      <c r="X22" s="47" t="s">
        <v>109</v>
      </c>
      <c r="Y22" s="20"/>
      <c r="Z22" s="20"/>
      <c r="AA22" s="20"/>
      <c r="AB22" s="20"/>
      <c r="AC22" s="20"/>
      <c r="AD22" s="189"/>
    </row>
    <row r="23" spans="2:30" ht="12.75" hidden="1" customHeight="1" x14ac:dyDescent="0.3">
      <c r="B23" s="179">
        <f>D9</f>
        <v>16</v>
      </c>
      <c r="C23" s="180">
        <f>F9</f>
        <v>697</v>
      </c>
      <c r="D23" s="181">
        <f>B23/C23</f>
        <v>2.2955523672883789E-2</v>
      </c>
      <c r="E23" s="182">
        <f>2*B23+I23^2</f>
        <v>35.841458820694122</v>
      </c>
      <c r="F23" s="182">
        <f>I23*SQRT((I23^2)+(4*B23*(1-D23)))</f>
        <v>15.967669763184421</v>
      </c>
      <c r="G23" s="183">
        <f>2*(C23+I23^2)</f>
        <v>1401.6829176413883</v>
      </c>
      <c r="H23" s="184" t="s">
        <v>11</v>
      </c>
      <c r="I23" s="153">
        <f>-NORMSINV((1-I2)/2)</f>
        <v>1.9599639845400536</v>
      </c>
      <c r="J23" s="185">
        <f>D23</f>
        <v>2.2955523672883789E-2</v>
      </c>
      <c r="K23" s="185">
        <f>(E23-F23)/G23</f>
        <v>1.4178519840244128E-2</v>
      </c>
      <c r="L23" s="185">
        <f>(E23+F23)/G23</f>
        <v>3.6962088880313791E-2</v>
      </c>
      <c r="M23" s="170"/>
      <c r="N23" s="192">
        <f>(B21+B22)/(C21+C22)</f>
        <v>2.2955523672883789E-2</v>
      </c>
      <c r="O23" s="20" t="s">
        <v>6</v>
      </c>
      <c r="P23" s="2"/>
      <c r="Q23" s="42"/>
      <c r="R23" s="41"/>
      <c r="S23" s="43"/>
      <c r="T23" s="43"/>
      <c r="U23" s="189"/>
      <c r="W23" s="193">
        <f>W21/W22</f>
        <v>0.4304377034211736</v>
      </c>
      <c r="X23" s="20" t="s">
        <v>44</v>
      </c>
      <c r="Y23" s="2"/>
      <c r="Z23" s="20"/>
      <c r="AA23" s="20"/>
      <c r="AB23" s="20"/>
      <c r="AC23" s="20"/>
      <c r="AD23" s="189"/>
    </row>
    <row r="24" spans="2:30" ht="15" hidden="1" customHeight="1" x14ac:dyDescent="0.3">
      <c r="B24" s="108"/>
      <c r="C24" s="194" t="s">
        <v>12</v>
      </c>
      <c r="F24" s="37"/>
      <c r="G24" s="161"/>
      <c r="H24" s="161"/>
      <c r="I24" s="161"/>
      <c r="J24" s="161"/>
      <c r="K24" s="162"/>
      <c r="L24" s="137"/>
      <c r="M24" s="170"/>
      <c r="N24" s="195">
        <f>SQRT(N21*N22^2/(2*N23*(1-N23)))-I21</f>
        <v>-1.5294513926785174</v>
      </c>
      <c r="O24" s="20" t="s">
        <v>110</v>
      </c>
      <c r="P24" s="20"/>
      <c r="Q24" s="20"/>
      <c r="R24" s="20"/>
      <c r="S24" s="20"/>
      <c r="T24" s="4"/>
      <c r="U24" s="187"/>
      <c r="W24" s="196">
        <f>NORMSDIST(-W23)</f>
        <v>0.33343863689397857</v>
      </c>
      <c r="X24" s="40" t="s">
        <v>111</v>
      </c>
      <c r="Y24" s="20"/>
      <c r="Z24" s="4"/>
      <c r="AA24" s="4"/>
      <c r="AB24" s="4"/>
      <c r="AC24" s="4"/>
      <c r="AD24" s="123"/>
    </row>
    <row r="25" spans="2:30" ht="13.5" hidden="1" customHeight="1" thickBot="1" x14ac:dyDescent="0.35">
      <c r="B25" s="108"/>
      <c r="C25" s="194" t="s">
        <v>112</v>
      </c>
      <c r="D25" s="27"/>
      <c r="E25" s="39"/>
      <c r="F25" s="37"/>
      <c r="G25" s="161"/>
      <c r="H25" s="137"/>
      <c r="I25" s="137"/>
      <c r="J25" s="197"/>
      <c r="K25" s="197"/>
      <c r="L25" s="197"/>
      <c r="M25" s="170"/>
      <c r="N25" s="198">
        <f>NORMSDIST(N24)</f>
        <v>6.3076290136401147E-2</v>
      </c>
      <c r="O25" s="40" t="s">
        <v>16</v>
      </c>
      <c r="P25" s="48"/>
      <c r="Q25" s="20"/>
      <c r="R25" s="20"/>
      <c r="S25" s="20"/>
      <c r="T25" s="20"/>
      <c r="U25" s="189"/>
      <c r="W25" s="199">
        <f>1-W24</f>
        <v>0.66656136310602143</v>
      </c>
      <c r="X25" s="49" t="s">
        <v>113</v>
      </c>
      <c r="Y25" s="48"/>
      <c r="Z25" s="4"/>
      <c r="AA25" s="4"/>
      <c r="AB25" s="4"/>
      <c r="AC25" s="4"/>
      <c r="AD25" s="123"/>
    </row>
    <row r="26" spans="2:30" ht="15" hidden="1" customHeight="1" thickBot="1" x14ac:dyDescent="0.4">
      <c r="F26" s="50"/>
      <c r="G26" s="137"/>
      <c r="H26" s="137"/>
      <c r="I26" s="131" t="s">
        <v>23</v>
      </c>
      <c r="J26" s="200">
        <f>D22-D21</f>
        <v>-4.8842764187463986E-3</v>
      </c>
      <c r="K26" s="201">
        <f>J26+SQRT((D22-K22)^2+(L21-D21)^2)</f>
        <v>1.9609714906663547E-2</v>
      </c>
      <c r="L26" s="202">
        <f>J26-SQRT((D21-K21)^2+(L22-D22)^2)</f>
        <v>-2.9199447430859723E-2</v>
      </c>
      <c r="M26" s="136"/>
      <c r="N26" s="203">
        <f>1-N25</f>
        <v>0.93692370986359885</v>
      </c>
      <c r="O26" s="204" t="s">
        <v>114</v>
      </c>
      <c r="P26" s="205"/>
      <c r="Q26" s="206"/>
      <c r="R26" s="205"/>
      <c r="S26" s="205"/>
      <c r="T26" s="205"/>
      <c r="U26" s="207"/>
      <c r="W26" s="208"/>
      <c r="X26" s="209"/>
      <c r="Y26" s="205"/>
      <c r="Z26" s="209"/>
      <c r="AA26" s="209"/>
      <c r="AB26" s="209"/>
      <c r="AC26" s="209"/>
      <c r="AD26" s="210"/>
    </row>
    <row r="27" spans="2:30" ht="13.5" hidden="1" customHeight="1" thickBot="1" x14ac:dyDescent="0.35">
      <c r="F27" s="51"/>
      <c r="G27" s="137"/>
      <c r="H27" s="137"/>
      <c r="I27" s="131" t="s">
        <v>24</v>
      </c>
      <c r="J27" s="211">
        <f>1/J26</f>
        <v>-204.73861720067444</v>
      </c>
      <c r="K27" s="212">
        <f>1/K26</f>
        <v>50.995131992469283</v>
      </c>
      <c r="L27" s="213">
        <f>1/L26</f>
        <v>-34.247223423246709</v>
      </c>
      <c r="M27" s="136"/>
      <c r="N27" s="137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37"/>
      <c r="H28" s="137"/>
      <c r="K28" s="214"/>
      <c r="L28" s="214"/>
      <c r="M28" s="215"/>
      <c r="N28" s="171"/>
      <c r="O28" s="216"/>
      <c r="P28" s="216" t="s">
        <v>109</v>
      </c>
      <c r="Q28" s="217">
        <f>SQRT((D23*(1-D23)/C21)+(D23*(1-D23)/C22))</f>
        <v>1.1347231852427305E-2</v>
      </c>
      <c r="R28" s="218"/>
      <c r="S28" s="218"/>
      <c r="T28" s="218"/>
      <c r="U28" s="101"/>
      <c r="V28" s="5"/>
    </row>
    <row r="29" spans="2:30" ht="31.5" hidden="1" customHeight="1" x14ac:dyDescent="0.35">
      <c r="F29" s="219"/>
      <c r="G29" s="220"/>
      <c r="H29" s="221" t="s">
        <v>64</v>
      </c>
      <c r="I29" s="222" t="s">
        <v>56</v>
      </c>
      <c r="J29" s="223">
        <f>J27</f>
        <v>-204.73861720067444</v>
      </c>
      <c r="K29" s="223">
        <f>K27</f>
        <v>50.995131992469283</v>
      </c>
      <c r="L29" s="223">
        <f>L27</f>
        <v>-34.247223423246709</v>
      </c>
      <c r="M29" s="137"/>
      <c r="N29" s="224" t="s">
        <v>115</v>
      </c>
      <c r="O29" s="225"/>
      <c r="P29" s="20" t="s">
        <v>116</v>
      </c>
      <c r="Q29" s="20"/>
      <c r="R29" s="42"/>
      <c r="S29" s="226" t="s">
        <v>117</v>
      </c>
      <c r="T29" s="20"/>
      <c r="U29" s="189"/>
      <c r="V29" s="5"/>
    </row>
    <row r="30" spans="2:30" s="4" customFormat="1" ht="14.25" hidden="1" customHeight="1" x14ac:dyDescent="0.4">
      <c r="F30" s="54"/>
      <c r="G30" s="227"/>
      <c r="H30" s="228"/>
      <c r="I30" s="229" t="s">
        <v>68</v>
      </c>
      <c r="J30" s="230">
        <f>(1-D22)*J27</f>
        <v>-200.54806070826297</v>
      </c>
      <c r="K30" s="230">
        <f>(1-D22)*K27</f>
        <v>49.951371980927512</v>
      </c>
      <c r="L30" s="230">
        <f>(1-D22)*L27</f>
        <v>-33.546256861952187</v>
      </c>
      <c r="M30" s="137"/>
      <c r="N30" s="231"/>
      <c r="O30" s="81" t="s">
        <v>118</v>
      </c>
      <c r="Q30" s="232" t="s">
        <v>119</v>
      </c>
      <c r="R30" s="81" t="s">
        <v>120</v>
      </c>
      <c r="S30" s="20"/>
      <c r="T30" s="20"/>
      <c r="U30" s="123"/>
    </row>
    <row r="31" spans="2:30" s="4" customFormat="1" ht="14.25" hidden="1" customHeight="1" x14ac:dyDescent="0.4">
      <c r="F31" s="55"/>
      <c r="G31" s="233"/>
      <c r="H31" s="234"/>
      <c r="I31" s="235" t="s">
        <v>71</v>
      </c>
      <c r="J31" s="236">
        <f>J27*J26</f>
        <v>1</v>
      </c>
      <c r="K31" s="236">
        <f>K27*K26</f>
        <v>1</v>
      </c>
      <c r="L31" s="236">
        <f>L27*L26</f>
        <v>1</v>
      </c>
      <c r="M31" s="149"/>
      <c r="N31" s="195">
        <f>ABS((J26/Q28))-I21</f>
        <v>-1.5295262811188799</v>
      </c>
      <c r="O31" s="81" t="s">
        <v>121</v>
      </c>
      <c r="P31" s="20"/>
      <c r="Q31" s="20"/>
      <c r="R31" s="41"/>
      <c r="S31" s="43"/>
      <c r="T31" s="43"/>
      <c r="U31" s="187"/>
    </row>
    <row r="32" spans="2:30" s="4" customFormat="1" ht="12.75" hidden="1" customHeight="1" x14ac:dyDescent="0.3">
      <c r="B32" s="237"/>
      <c r="C32" s="56"/>
      <c r="E32" s="30"/>
      <c r="G32" s="238"/>
      <c r="H32" s="239"/>
      <c r="I32" s="240" t="s">
        <v>72</v>
      </c>
      <c r="J32" s="241">
        <f>(D22-J26)*J27</f>
        <v>-5.1905564924114644</v>
      </c>
      <c r="K32" s="241">
        <f>(D22-K26)*K27</f>
        <v>4.3760011541768867E-2</v>
      </c>
      <c r="L32" s="241">
        <f>(D22-L26)*L27</f>
        <v>-1.7009665612945233</v>
      </c>
      <c r="M32" s="149"/>
      <c r="N32" s="198">
        <f>NORMSDIST(N31)</f>
        <v>6.30670144838648E-2</v>
      </c>
      <c r="O32" s="47" t="s">
        <v>122</v>
      </c>
      <c r="P32" s="48"/>
      <c r="Q32" s="20"/>
      <c r="R32" s="20"/>
      <c r="S32" s="20"/>
      <c r="T32" s="20"/>
      <c r="U32" s="123"/>
    </row>
    <row r="33" spans="2:22" s="4" customFormat="1" ht="12.75" hidden="1" customHeight="1" x14ac:dyDescent="0.3">
      <c r="B33" s="237"/>
      <c r="G33" s="242"/>
      <c r="H33" s="243"/>
      <c r="I33" s="243"/>
      <c r="J33" s="244"/>
      <c r="K33" s="244"/>
      <c r="L33" s="244"/>
      <c r="M33" s="149"/>
      <c r="N33" s="203">
        <f>1-N32</f>
        <v>0.93693298551613524</v>
      </c>
      <c r="O33" s="205" t="s">
        <v>123</v>
      </c>
      <c r="P33" s="205"/>
      <c r="Q33" s="206"/>
      <c r="R33" s="245"/>
      <c r="S33" s="246"/>
      <c r="T33" s="246"/>
      <c r="U33" s="207"/>
    </row>
    <row r="34" spans="2:22" s="4" customFormat="1" ht="31.5" hidden="1" customHeight="1" x14ac:dyDescent="0.3">
      <c r="B34" s="157"/>
      <c r="F34" s="29"/>
      <c r="G34" s="247"/>
      <c r="H34" s="221" t="s">
        <v>66</v>
      </c>
      <c r="I34" s="248" t="s">
        <v>124</v>
      </c>
      <c r="J34" s="249">
        <f>ABS(J27)</f>
        <v>204.73861720067444</v>
      </c>
      <c r="K34" s="249">
        <f>ABS(L27)</f>
        <v>34.247223423246709</v>
      </c>
      <c r="L34" s="249">
        <f>ABS(K27)</f>
        <v>50.995131992469283</v>
      </c>
      <c r="M34" s="149"/>
      <c r="N34" s="136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57"/>
      <c r="G35" s="227"/>
      <c r="H35" s="228"/>
      <c r="I35" s="229" t="s">
        <v>68</v>
      </c>
      <c r="J35" s="230">
        <f>ABS((1-(D22-J26))*J27)</f>
        <v>199.54806070826299</v>
      </c>
      <c r="K35" s="230">
        <f>ABS((1-(D22-L26))*L27)</f>
        <v>32.546256861952187</v>
      </c>
      <c r="L35" s="230">
        <f>ABS((1-(D22-K26))*K27)</f>
        <v>50.951371980927512</v>
      </c>
      <c r="M35" s="149"/>
      <c r="N35" s="136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57"/>
      <c r="F36" s="61"/>
      <c r="G36" s="250"/>
      <c r="H36" s="251"/>
      <c r="I36" s="252" t="s">
        <v>69</v>
      </c>
      <c r="J36" s="253">
        <f>J27*J26</f>
        <v>1</v>
      </c>
      <c r="K36" s="253">
        <f>L27*L26</f>
        <v>1</v>
      </c>
      <c r="L36" s="253">
        <f>K27*K26</f>
        <v>1</v>
      </c>
      <c r="M36" s="149"/>
      <c r="N36" s="136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54" t="s">
        <v>125</v>
      </c>
      <c r="C37" s="62"/>
      <c r="D37" s="62"/>
      <c r="E37" s="62"/>
      <c r="F37" s="57"/>
      <c r="G37" s="238"/>
      <c r="H37" s="239"/>
      <c r="I37" s="240" t="s">
        <v>70</v>
      </c>
      <c r="J37" s="241">
        <f>ABS(D22*J27)</f>
        <v>4.1905564924114653</v>
      </c>
      <c r="K37" s="241">
        <f>ABS(D22*L27)</f>
        <v>0.70096656129452328</v>
      </c>
      <c r="L37" s="241">
        <f>ABS(D22*K27)</f>
        <v>1.0437600115417689</v>
      </c>
      <c r="M37" s="137"/>
      <c r="N37" s="136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108"/>
      <c r="C38" s="63" t="s">
        <v>20</v>
      </c>
      <c r="D38" s="64" t="s">
        <v>21</v>
      </c>
      <c r="E38" s="20"/>
      <c r="F38" s="57"/>
      <c r="G38" s="255"/>
      <c r="H38" s="256"/>
      <c r="I38" s="257"/>
      <c r="J38" s="258"/>
      <c r="K38" s="258"/>
      <c r="L38" s="258"/>
      <c r="M38" s="162"/>
      <c r="N38" s="149"/>
      <c r="O38" s="4"/>
      <c r="P38" s="4"/>
      <c r="Q38" s="4"/>
      <c r="R38" s="4"/>
    </row>
    <row r="39" spans="2:22" ht="12.75" hidden="1" customHeight="1" x14ac:dyDescent="0.3">
      <c r="B39" s="259" t="s">
        <v>32</v>
      </c>
      <c r="C39" s="68" t="s">
        <v>3</v>
      </c>
      <c r="D39" s="69" t="s">
        <v>2</v>
      </c>
      <c r="E39" s="70" t="s">
        <v>22</v>
      </c>
      <c r="G39" s="137"/>
      <c r="H39" s="137"/>
      <c r="I39" s="137"/>
      <c r="J39" s="137"/>
      <c r="K39" s="137"/>
      <c r="L39" s="137"/>
      <c r="M39" s="137"/>
      <c r="N39" s="149"/>
      <c r="O39" s="4"/>
      <c r="P39" s="4"/>
      <c r="Q39" s="4"/>
      <c r="R39" s="4"/>
      <c r="U39" s="5"/>
      <c r="V39" s="5"/>
    </row>
    <row r="40" spans="2:22" ht="12.75" hidden="1" customHeight="1" x14ac:dyDescent="0.3">
      <c r="B40" s="260" t="s">
        <v>17</v>
      </c>
      <c r="C40" s="71">
        <f>F7*D9/F9</f>
        <v>8.1492109038737439</v>
      </c>
      <c r="D40" s="71">
        <f>F7*E9/F9</f>
        <v>346.85078909612628</v>
      </c>
      <c r="E40" s="71">
        <f>F7</f>
        <v>355</v>
      </c>
      <c r="G40" s="261"/>
      <c r="H40" s="262" t="s">
        <v>30</v>
      </c>
      <c r="I40" s="263">
        <f>CHIINV(0.05,K41)</f>
        <v>3.8414588206941236</v>
      </c>
      <c r="J40" s="137"/>
      <c r="K40" s="137"/>
      <c r="L40" s="137"/>
      <c r="M40" s="137"/>
      <c r="N40" s="149"/>
      <c r="O40" s="58"/>
      <c r="P40" s="58"/>
      <c r="Q40" s="58"/>
      <c r="R40" s="4"/>
      <c r="U40" s="5"/>
      <c r="V40" s="5"/>
    </row>
    <row r="41" spans="2:22" ht="12.75" hidden="1" customHeight="1" x14ac:dyDescent="0.3">
      <c r="B41" s="264" t="s">
        <v>18</v>
      </c>
      <c r="C41" s="71">
        <f>F8*D9/F9</f>
        <v>7.8507890961262552</v>
      </c>
      <c r="D41" s="71">
        <f>F8*E9/F9</f>
        <v>334.14921090387372</v>
      </c>
      <c r="E41" s="71">
        <f>F8</f>
        <v>342</v>
      </c>
      <c r="F41" s="12"/>
      <c r="G41" s="265"/>
      <c r="H41" s="265"/>
      <c r="I41" s="266"/>
      <c r="J41" s="267" t="s">
        <v>31</v>
      </c>
      <c r="K41" s="268">
        <f>(COUNT(C40:D40)-1)*(COUNT(C40:C41)-1)</f>
        <v>1</v>
      </c>
      <c r="L41" s="137"/>
      <c r="M41" s="137"/>
      <c r="N41" s="137"/>
      <c r="O41" s="58"/>
      <c r="P41" s="58"/>
      <c r="Q41" s="58"/>
      <c r="R41" s="4"/>
      <c r="U41" s="5"/>
      <c r="V41" s="5"/>
    </row>
    <row r="42" spans="2:22" ht="12.75" hidden="1" customHeight="1" x14ac:dyDescent="0.3">
      <c r="B42" s="269" t="s">
        <v>29</v>
      </c>
      <c r="C42" s="71">
        <f>SUM(C40:C41)</f>
        <v>16</v>
      </c>
      <c r="D42" s="71">
        <f>SUM(D40:D41)</f>
        <v>681</v>
      </c>
      <c r="E42" s="72">
        <f>SUM(E40:E41)</f>
        <v>697</v>
      </c>
      <c r="F42" s="12"/>
      <c r="G42" s="162"/>
      <c r="H42" s="270" t="s">
        <v>33</v>
      </c>
      <c r="I42" s="94" t="s">
        <v>34</v>
      </c>
      <c r="J42" s="137"/>
      <c r="K42" s="137"/>
      <c r="L42" s="137"/>
      <c r="M42" s="137"/>
      <c r="N42" s="137"/>
      <c r="O42" s="58"/>
      <c r="P42" s="59"/>
      <c r="Q42" s="58"/>
      <c r="R42" s="4"/>
      <c r="U42" s="5"/>
      <c r="V42" s="5"/>
    </row>
    <row r="43" spans="2:22" ht="12.75" hidden="1" customHeight="1" x14ac:dyDescent="0.3">
      <c r="B43" s="269"/>
      <c r="C43" s="73"/>
      <c r="D43" s="73"/>
      <c r="E43" s="74"/>
      <c r="F43" s="12"/>
      <c r="G43" s="162"/>
      <c r="H43" s="270" t="s">
        <v>35</v>
      </c>
      <c r="I43" s="94" t="s">
        <v>36</v>
      </c>
      <c r="J43" s="137"/>
      <c r="K43" s="137"/>
      <c r="L43" s="137"/>
      <c r="M43" s="137"/>
      <c r="N43" s="137"/>
      <c r="O43" s="60"/>
      <c r="P43" s="60"/>
      <c r="Q43" s="60"/>
      <c r="R43" s="4"/>
      <c r="U43" s="5"/>
      <c r="V43" s="5"/>
    </row>
    <row r="44" spans="2:22" ht="26.25" hidden="1" customHeight="1" x14ac:dyDescent="0.3">
      <c r="B44" s="271"/>
      <c r="C44" s="494" t="s">
        <v>126</v>
      </c>
      <c r="D44" s="495"/>
      <c r="G44" s="137"/>
      <c r="H44" s="272"/>
      <c r="I44" s="137"/>
      <c r="J44" s="137"/>
      <c r="K44" s="137"/>
      <c r="L44" s="137"/>
      <c r="M44" s="137"/>
      <c r="N44" s="137"/>
      <c r="O44" s="5"/>
      <c r="P44" s="5"/>
      <c r="U44" s="5"/>
      <c r="V44" s="5"/>
    </row>
    <row r="45" spans="2:22" ht="12.75" hidden="1" customHeight="1" x14ac:dyDescent="0.3">
      <c r="B45" s="271"/>
      <c r="C45" s="75">
        <f>(D7-C40)^2/C40</f>
        <v>8.8823579930082802E-2</v>
      </c>
      <c r="D45" s="75">
        <f>(E7-D40)^2/D40</f>
        <v>2.086897619502784E-3</v>
      </c>
      <c r="F45" s="67"/>
      <c r="G45" s="273"/>
      <c r="H45" s="137"/>
      <c r="I45" s="137"/>
      <c r="J45" s="149"/>
      <c r="K45" s="149"/>
      <c r="L45" s="274"/>
      <c r="M45" s="137"/>
      <c r="N45" s="137"/>
      <c r="O45" s="5"/>
      <c r="P45" s="5"/>
      <c r="U45" s="5"/>
      <c r="V45" s="5"/>
    </row>
    <row r="46" spans="2:22" ht="12.75" hidden="1" customHeight="1" x14ac:dyDescent="0.3">
      <c r="B46" s="271"/>
      <c r="C46" s="75">
        <f>(D8-C41)^2/C41</f>
        <v>9.2199914839705632E-2</v>
      </c>
      <c r="D46" s="75">
        <f>(E8-D41)^2/D41</f>
        <v>2.1662241372031824E-3</v>
      </c>
      <c r="E46" s="16"/>
      <c r="F46" s="76" t="s">
        <v>37</v>
      </c>
      <c r="G46" s="275">
        <f>C48-I40</f>
        <v>-3.6561822041676293</v>
      </c>
      <c r="H46" s="137"/>
      <c r="I46" s="137"/>
      <c r="J46" s="149"/>
      <c r="K46" s="149"/>
      <c r="L46" s="137"/>
      <c r="M46" s="137"/>
      <c r="N46" s="137"/>
      <c r="O46" s="5"/>
      <c r="P46" s="5"/>
      <c r="U46" s="5"/>
      <c r="V46" s="5"/>
    </row>
    <row r="47" spans="2:22" ht="12.75" hidden="1" customHeight="1" thickBot="1" x14ac:dyDescent="0.35">
      <c r="B47" s="94" t="s">
        <v>39</v>
      </c>
      <c r="D47" s="77"/>
      <c r="G47" s="115" t="s">
        <v>40</v>
      </c>
      <c r="H47" s="137"/>
      <c r="I47" s="137"/>
      <c r="J47" s="149"/>
      <c r="K47" s="149"/>
      <c r="L47" s="137"/>
      <c r="M47" s="137"/>
      <c r="N47" s="137"/>
      <c r="O47" s="5"/>
      <c r="P47" s="5"/>
      <c r="U47" s="5"/>
      <c r="V47" s="5"/>
    </row>
    <row r="48" spans="2:22" ht="13.5" hidden="1" customHeight="1" thickBot="1" x14ac:dyDescent="0.35">
      <c r="B48" s="124" t="s">
        <v>38</v>
      </c>
      <c r="C48" s="276">
        <f>SUM(C45:D46)</f>
        <v>0.18527661652649441</v>
      </c>
      <c r="D48" s="20"/>
      <c r="G48" s="115" t="s">
        <v>41</v>
      </c>
      <c r="H48" s="137"/>
      <c r="I48" s="277"/>
      <c r="J48" s="149"/>
      <c r="K48" s="149"/>
      <c r="L48" s="278"/>
      <c r="M48" s="137"/>
      <c r="N48" s="137"/>
      <c r="O48" s="5"/>
      <c r="P48" s="5"/>
      <c r="U48" s="5"/>
      <c r="V48" s="5"/>
    </row>
    <row r="49" spans="2:22" ht="12.75" hidden="1" customHeight="1" thickBot="1" x14ac:dyDescent="0.35">
      <c r="B49" s="279" t="s">
        <v>80</v>
      </c>
      <c r="C49" s="280">
        <f>CHIDIST(C48,1)</f>
        <v>0.66687727378795714</v>
      </c>
      <c r="E49" s="20"/>
      <c r="F49" s="20"/>
      <c r="G49" s="136"/>
      <c r="H49" s="281"/>
      <c r="I49" s="136"/>
      <c r="J49" s="149"/>
      <c r="K49" s="149"/>
      <c r="L49" s="136"/>
      <c r="M49" s="137"/>
      <c r="N49" s="137"/>
      <c r="O49" s="5"/>
      <c r="P49" s="5"/>
      <c r="U49" s="5"/>
      <c r="V49" s="5"/>
    </row>
    <row r="50" spans="2:22" s="4" customFormat="1" ht="12.75" hidden="1" customHeight="1" x14ac:dyDescent="0.3">
      <c r="B50" s="157"/>
      <c r="E50" s="78"/>
      <c r="F50" s="78"/>
      <c r="G50" s="149"/>
      <c r="H50" s="149"/>
      <c r="I50" s="282"/>
      <c r="J50" s="149"/>
      <c r="K50" s="149"/>
      <c r="L50" s="149"/>
      <c r="M50" s="149"/>
      <c r="N50" s="149"/>
    </row>
    <row r="51" spans="2:22" ht="13.5" hidden="1" customHeight="1" x14ac:dyDescent="0.3">
      <c r="B51" s="108"/>
      <c r="G51" s="137"/>
      <c r="H51" s="137"/>
      <c r="I51" s="137"/>
      <c r="J51" s="149"/>
      <c r="K51" s="149"/>
      <c r="L51" s="137"/>
      <c r="M51" s="137"/>
      <c r="N51" s="137"/>
      <c r="O51" s="5"/>
      <c r="P51" s="5"/>
      <c r="U51" s="5"/>
      <c r="V51" s="5"/>
    </row>
    <row r="52" spans="2:22" ht="12.75" hidden="1" customHeight="1" thickBot="1" x14ac:dyDescent="0.35">
      <c r="B52" s="283" t="s">
        <v>127</v>
      </c>
      <c r="C52" s="122"/>
      <c r="D52" s="122"/>
      <c r="E52" s="122"/>
      <c r="F52" s="122"/>
      <c r="G52" s="122"/>
      <c r="H52" s="284"/>
      <c r="I52" s="137"/>
      <c r="J52" s="285" t="s">
        <v>128</v>
      </c>
      <c r="K52" s="286"/>
      <c r="L52" s="287"/>
      <c r="M52" s="287"/>
      <c r="N52" s="287"/>
      <c r="O52" s="101"/>
      <c r="P52" s="5"/>
      <c r="U52" s="5"/>
      <c r="V52" s="5"/>
    </row>
    <row r="53" spans="2:22" ht="12.75" hidden="1" customHeight="1" thickBot="1" x14ac:dyDescent="0.35">
      <c r="B53" s="288">
        <f>I2*100</f>
        <v>95</v>
      </c>
      <c r="C53" s="57"/>
      <c r="D53" s="57"/>
      <c r="E53" s="4"/>
      <c r="F53" s="4"/>
      <c r="G53" s="4"/>
      <c r="H53" s="123"/>
      <c r="I53" s="137"/>
      <c r="J53" s="289"/>
      <c r="K53" s="149"/>
      <c r="L53" s="136"/>
      <c r="M53" s="136"/>
      <c r="N53" s="136"/>
      <c r="O53" s="189"/>
      <c r="P53" s="5"/>
      <c r="U53" s="5"/>
      <c r="V53" s="5"/>
    </row>
    <row r="54" spans="2:22" ht="12.75" hidden="1" customHeight="1" x14ac:dyDescent="0.3">
      <c r="B54" s="290" t="s">
        <v>49</v>
      </c>
      <c r="C54" s="291"/>
      <c r="D54" s="291"/>
      <c r="E54" s="1">
        <f>ROUND(G14,2)</f>
        <v>1.24</v>
      </c>
      <c r="F54" s="52">
        <f>ROUND(J26,4)</f>
        <v>-4.8999999999999998E-3</v>
      </c>
      <c r="G54" s="292">
        <f>ROUND(J27,0)</f>
        <v>-205</v>
      </c>
      <c r="H54" s="293"/>
      <c r="I54" s="137"/>
      <c r="J54" s="294" t="s">
        <v>49</v>
      </c>
      <c r="K54" s="4"/>
      <c r="L54" s="4"/>
      <c r="M54" s="4"/>
      <c r="N54" s="136"/>
      <c r="O54" s="189"/>
      <c r="P54" s="5"/>
      <c r="U54" s="5"/>
      <c r="V54" s="5"/>
    </row>
    <row r="55" spans="2:22" ht="12.75" hidden="1" customHeight="1" x14ac:dyDescent="0.3">
      <c r="B55" s="290" t="s">
        <v>51</v>
      </c>
      <c r="C55" s="20"/>
      <c r="D55" s="20"/>
      <c r="E55" s="1">
        <f>ROUND(H14,2)</f>
        <v>0.47</v>
      </c>
      <c r="F55" s="52">
        <f>ROUND(L26,4)</f>
        <v>-2.92E-2</v>
      </c>
      <c r="G55" s="292">
        <f>ROUND(L27,0)</f>
        <v>-34</v>
      </c>
      <c r="H55" s="293"/>
      <c r="I55" s="137"/>
      <c r="J55" s="294" t="s">
        <v>51</v>
      </c>
      <c r="K55" s="295" t="str">
        <f>ROUND(J21,4)*100&amp;J57</f>
        <v>2,54%</v>
      </c>
      <c r="L55" s="295" t="str">
        <f>ROUND(K21,4)*100&amp;J57</f>
        <v>1,34%</v>
      </c>
      <c r="M55" s="295" t="str">
        <f>ROUND(L21,4)*100&amp;J57</f>
        <v>4,75%</v>
      </c>
      <c r="N55" s="111" t="str">
        <f>CONCATENATE(K55," ",J54,L55," ",J58," ",M55,J56)</f>
        <v>2,54% (1,34% a 4,75%)</v>
      </c>
      <c r="O55" s="189"/>
      <c r="P55" s="5"/>
      <c r="U55" s="5"/>
      <c r="V55" s="5"/>
    </row>
    <row r="56" spans="2:22" s="12" customFormat="1" ht="12.75" hidden="1" customHeight="1" x14ac:dyDescent="0.3">
      <c r="B56" s="290" t="s">
        <v>50</v>
      </c>
      <c r="C56" s="291">
        <f>ROUND(D7,0)</f>
        <v>9</v>
      </c>
      <c r="D56" s="291">
        <f>ROUND(D8,0)</f>
        <v>7</v>
      </c>
      <c r="E56" s="1">
        <f>ROUND(I14,2)</f>
        <v>3.29</v>
      </c>
      <c r="F56" s="52">
        <f>ROUND(K26,4)</f>
        <v>1.9599999999999999E-2</v>
      </c>
      <c r="G56" s="292">
        <f>ROUND(K27,0)</f>
        <v>51</v>
      </c>
      <c r="H56" s="296">
        <f>ROUND(N32,4)</f>
        <v>6.3100000000000003E-2</v>
      </c>
      <c r="I56" s="162"/>
      <c r="J56" s="294" t="s">
        <v>50</v>
      </c>
      <c r="K56" s="80" t="str">
        <f>ROUND(J22,4)*100&amp;J57</f>
        <v>2,05%</v>
      </c>
      <c r="L56" s="80" t="str">
        <f>ROUND(K22,4)*100&amp;J57</f>
        <v>0,99%</v>
      </c>
      <c r="M56" s="80" t="str">
        <f>ROUND(L22,4)*100&amp;J57</f>
        <v>4,16%</v>
      </c>
      <c r="N56" s="111" t="str">
        <f>CONCATENATE(K56," ",J54,L56," ",J58," ",M56,J56)</f>
        <v>2,05% (0,99% a 4,16%)</v>
      </c>
      <c r="O56" s="123"/>
    </row>
    <row r="57" spans="2:22" ht="12.75" hidden="1" customHeight="1" x14ac:dyDescent="0.3">
      <c r="B57" s="290" t="s">
        <v>52</v>
      </c>
      <c r="C57" s="297" t="s">
        <v>74</v>
      </c>
      <c r="D57" s="297" t="s">
        <v>75</v>
      </c>
      <c r="E57" s="297" t="s">
        <v>4</v>
      </c>
      <c r="F57" s="297" t="s">
        <v>58</v>
      </c>
      <c r="G57" s="298" t="s">
        <v>56</v>
      </c>
      <c r="H57" s="261" t="s">
        <v>59</v>
      </c>
      <c r="I57" s="137"/>
      <c r="J57" s="294" t="s">
        <v>52</v>
      </c>
      <c r="K57" s="80" t="str">
        <f>ROUND(J23,4)*100&amp;J57</f>
        <v>2,3%</v>
      </c>
      <c r="L57" s="80" t="str">
        <f>ROUND(K23,4)*100&amp;J57</f>
        <v>1,42%</v>
      </c>
      <c r="M57" s="80" t="str">
        <f>ROUND(L23,4)*100&amp;J57</f>
        <v>3,7%</v>
      </c>
      <c r="N57" s="111" t="str">
        <f>CONCATENATE(K57," ",J54,L57," ",J58," ",M57,J56)</f>
        <v>2,3% (1,42% a 3,7%)</v>
      </c>
      <c r="O57" s="123"/>
    </row>
    <row r="58" spans="2:22" ht="12.75" hidden="1" customHeight="1" x14ac:dyDescent="0.3">
      <c r="B58" s="299" t="s">
        <v>19</v>
      </c>
      <c r="C58" s="300" t="str">
        <f>CONCATENATE(C56,B59,C21," ",B54,K55,B56)</f>
        <v>9/355 (2,54%)</v>
      </c>
      <c r="D58" s="131" t="str">
        <f>CONCATENATE(D56,B59,C22," ",B54,K56,B56)</f>
        <v>7/342 (2,05%)</v>
      </c>
      <c r="E58" s="300" t="str">
        <f>CONCATENATE(E54," ",B54,E55,B55,E56,B56)</f>
        <v>1,24 (0,47-3,29)</v>
      </c>
      <c r="F58" s="300" t="str">
        <f>CONCATENATE(F54*100,B57," ",B54,F55*100,B57," ",B58," ",F56*100,B57,B56)</f>
        <v>-0,49% (-2,92% a 1,96%)</v>
      </c>
      <c r="G58" s="261" t="str">
        <f>CONCATENATE(G54," ",B54,G56," ",B58," ",G55,B56)</f>
        <v>-205 (51 a -34)</v>
      </c>
      <c r="H58" s="261" t="str">
        <f>CONCATENATE(H56*100,B57)</f>
        <v>6,31%</v>
      </c>
      <c r="I58" s="137"/>
      <c r="J58" s="301" t="s">
        <v>19</v>
      </c>
      <c r="K58" s="20"/>
      <c r="L58" s="20"/>
      <c r="M58" s="20"/>
      <c r="N58" s="136"/>
      <c r="O58" s="189"/>
      <c r="P58" s="5"/>
      <c r="U58" s="5"/>
      <c r="V58" s="5"/>
    </row>
    <row r="59" spans="2:22" ht="13.5" hidden="1" customHeight="1" thickBot="1" x14ac:dyDescent="0.35">
      <c r="B59" s="302" t="s">
        <v>57</v>
      </c>
      <c r="C59" s="209"/>
      <c r="D59" s="209"/>
      <c r="E59" s="209"/>
      <c r="F59" s="209"/>
      <c r="G59" s="303"/>
      <c r="H59" s="304"/>
      <c r="I59" s="137"/>
      <c r="J59" s="305" t="s">
        <v>57</v>
      </c>
      <c r="K59" s="209"/>
      <c r="L59" s="209"/>
      <c r="M59" s="209"/>
      <c r="N59" s="306"/>
      <c r="O59" s="207"/>
      <c r="P59" s="5"/>
      <c r="U59" s="5"/>
      <c r="V59" s="5"/>
    </row>
    <row r="60" spans="2:22" x14ac:dyDescent="0.3">
      <c r="B60" s="108"/>
      <c r="G60" s="137"/>
      <c r="H60" s="137"/>
      <c r="I60" s="137"/>
      <c r="J60" s="137"/>
      <c r="K60" s="137"/>
      <c r="L60" s="149"/>
      <c r="M60" s="137"/>
      <c r="N60" s="137"/>
      <c r="O60" s="5"/>
      <c r="P60" s="5"/>
      <c r="U60" s="5"/>
      <c r="V60" s="5"/>
    </row>
    <row r="61" spans="2:22" ht="27" customHeight="1" x14ac:dyDescent="0.3">
      <c r="B61" s="108"/>
      <c r="C61" s="307" t="s">
        <v>74</v>
      </c>
      <c r="D61" s="307" t="s">
        <v>75</v>
      </c>
      <c r="E61" s="308" t="str">
        <f>CONCATENATE(E57," ",B54,H2," ",B53,B57,B56)</f>
        <v>RR (IC 95%)</v>
      </c>
      <c r="F61" s="308" t="str">
        <f>CONCATENATE(F57," ",B54,H2," ",B53,B57,B56)</f>
        <v>RAR (IC 95%)</v>
      </c>
      <c r="G61" s="308" t="str">
        <f>CONCATENATE(G57," ",B54,H2," ",B53,B57,B56)</f>
        <v>NNT (IC 95%)</v>
      </c>
      <c r="H61" s="308" t="s">
        <v>60</v>
      </c>
      <c r="I61" s="309"/>
      <c r="J61" s="308" t="s">
        <v>81</v>
      </c>
      <c r="L61" s="368" t="s">
        <v>129</v>
      </c>
      <c r="M61" s="368" t="s">
        <v>130</v>
      </c>
      <c r="O61" s="5"/>
      <c r="P61" s="5"/>
      <c r="U61" s="5"/>
      <c r="V61" s="5"/>
    </row>
    <row r="62" spans="2:22" ht="21" customHeight="1" x14ac:dyDescent="0.3">
      <c r="B62" s="108"/>
      <c r="C62" s="131" t="str">
        <f t="shared" ref="C62:H62" si="0">C58</f>
        <v>9/355 (2,54%)</v>
      </c>
      <c r="D62" s="131" t="str">
        <f t="shared" si="0"/>
        <v>7/342 (2,05%)</v>
      </c>
      <c r="E62" s="131" t="str">
        <f t="shared" si="0"/>
        <v>1,24 (0,47-3,29)</v>
      </c>
      <c r="F62" s="131" t="str">
        <f t="shared" si="0"/>
        <v>-0,49% (-2,92% a 1,96%)</v>
      </c>
      <c r="G62" s="131" t="str">
        <f t="shared" si="0"/>
        <v>-205 (51 a -34)</v>
      </c>
      <c r="H62" s="131" t="str">
        <f t="shared" si="0"/>
        <v>6,31%</v>
      </c>
      <c r="I62" s="310"/>
      <c r="J62" s="311">
        <f>C49</f>
        <v>0.66687727378795714</v>
      </c>
      <c r="L62" s="312">
        <f>IF((K26*L26&lt;0),J23,J21)</f>
        <v>2.2955523672883789E-2</v>
      </c>
      <c r="M62" s="312">
        <f>IF((K26*L26&lt;0),J23,J22)</f>
        <v>2.2955523672883789E-2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67" t="s">
        <v>231</v>
      </c>
      <c r="O64" s="5"/>
      <c r="P64" s="5"/>
    </row>
    <row r="65" spans="2:16" x14ac:dyDescent="0.3">
      <c r="B65" s="376" t="s">
        <v>161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5"/>
    </row>
    <row r="66" spans="2:16" ht="13.5" thickBot="1" x14ac:dyDescent="0.35">
      <c r="C66" s="351"/>
      <c r="D66" s="351"/>
      <c r="E66" s="351"/>
      <c r="F66" s="351"/>
      <c r="G66" s="351"/>
      <c r="H66" s="351"/>
      <c r="I66" s="416"/>
      <c r="J66" s="417"/>
      <c r="K66" s="351"/>
      <c r="L66" s="351"/>
      <c r="M66" s="351"/>
      <c r="N66" s="351"/>
      <c r="O66" s="354"/>
      <c r="P66" s="354"/>
    </row>
    <row r="67" spans="2:16" ht="35" customHeight="1" thickBot="1" x14ac:dyDescent="0.35">
      <c r="B67" s="496" t="s">
        <v>177</v>
      </c>
      <c r="C67" s="497"/>
      <c r="D67" s="497"/>
      <c r="E67" s="497"/>
      <c r="F67" s="497"/>
      <c r="G67" s="497"/>
      <c r="H67" s="498"/>
      <c r="I67" s="416"/>
      <c r="J67" s="418"/>
      <c r="K67" s="351"/>
      <c r="L67" s="351"/>
      <c r="M67" s="351"/>
      <c r="N67" s="351"/>
      <c r="O67" s="499" t="s">
        <v>139</v>
      </c>
      <c r="P67" s="500"/>
    </row>
    <row r="68" spans="2:16" ht="51.5" customHeight="1" thickBot="1" x14ac:dyDescent="0.35">
      <c r="B68" s="419" t="s">
        <v>178</v>
      </c>
      <c r="C68" s="389" t="s">
        <v>179</v>
      </c>
      <c r="D68" s="420" t="s">
        <v>180</v>
      </c>
      <c r="E68" s="421" t="s">
        <v>147</v>
      </c>
      <c r="F68" s="422"/>
      <c r="G68" s="422"/>
      <c r="H68" s="423"/>
      <c r="I68" s="416"/>
      <c r="J68" s="418"/>
      <c r="K68" s="351"/>
      <c r="L68" s="351"/>
      <c r="M68" s="351"/>
      <c r="N68" s="351"/>
      <c r="O68" s="480" t="s">
        <v>146</v>
      </c>
      <c r="P68" s="481"/>
    </row>
    <row r="69" spans="2:16" ht="26.5" customHeight="1" thickBot="1" x14ac:dyDescent="0.35">
      <c r="B69" s="424"/>
      <c r="C69" s="425" t="s">
        <v>138</v>
      </c>
      <c r="D69" s="426" t="s">
        <v>138</v>
      </c>
      <c r="E69" s="427" t="s">
        <v>53</v>
      </c>
      <c r="F69" s="428" t="s">
        <v>47</v>
      </c>
      <c r="G69" s="428" t="s">
        <v>48</v>
      </c>
      <c r="H69" s="429" t="s">
        <v>60</v>
      </c>
      <c r="I69" s="416"/>
      <c r="J69" s="417"/>
      <c r="K69" s="351"/>
      <c r="L69" s="405"/>
      <c r="M69" s="405"/>
      <c r="N69" s="351"/>
      <c r="O69" s="396" t="s">
        <v>168</v>
      </c>
      <c r="P69" s="397" t="s">
        <v>169</v>
      </c>
    </row>
    <row r="70" spans="2:16" ht="31" customHeight="1" x14ac:dyDescent="0.3">
      <c r="B70" s="365" t="s">
        <v>230</v>
      </c>
      <c r="C70" s="430"/>
      <c r="D70" s="430"/>
      <c r="E70" s="431"/>
      <c r="F70" s="431"/>
      <c r="G70" s="431"/>
      <c r="H70" s="431"/>
      <c r="I70" s="416"/>
      <c r="J70" s="417"/>
      <c r="K70" s="351"/>
      <c r="L70" s="405"/>
      <c r="M70" s="405"/>
      <c r="N70" s="351"/>
      <c r="O70" s="351"/>
      <c r="P70" s="432"/>
    </row>
    <row r="71" spans="2:16" ht="31" customHeight="1" x14ac:dyDescent="0.3">
      <c r="B71" s="370" t="s">
        <v>181</v>
      </c>
      <c r="C71" s="433" t="s">
        <v>182</v>
      </c>
      <c r="D71" s="433" t="s">
        <v>183</v>
      </c>
      <c r="E71" s="434" t="s">
        <v>184</v>
      </c>
      <c r="F71" s="434" t="s">
        <v>185</v>
      </c>
      <c r="G71" s="434" t="s">
        <v>186</v>
      </c>
      <c r="H71" s="435">
        <v>0.3584</v>
      </c>
      <c r="I71" s="310"/>
      <c r="J71" s="311">
        <v>0.11020557274179546</v>
      </c>
      <c r="L71" s="312">
        <v>0.46341463414634149</v>
      </c>
      <c r="M71" s="312">
        <v>0.46341463414634149</v>
      </c>
      <c r="N71" s="351"/>
      <c r="O71" s="436">
        <f>L71*100</f>
        <v>46.341463414634148</v>
      </c>
      <c r="P71" s="436">
        <f>M71*100</f>
        <v>46.341463414634148</v>
      </c>
    </row>
    <row r="72" spans="2:16" ht="31" customHeight="1" x14ac:dyDescent="0.3">
      <c r="B72" s="370" t="s">
        <v>187</v>
      </c>
      <c r="C72" s="433" t="s">
        <v>188</v>
      </c>
      <c r="D72" s="433" t="s">
        <v>189</v>
      </c>
      <c r="E72" s="434" t="s">
        <v>190</v>
      </c>
      <c r="F72" s="434" t="s">
        <v>191</v>
      </c>
      <c r="G72" s="437" t="s">
        <v>192</v>
      </c>
      <c r="H72" s="435">
        <v>0.99990000000000001</v>
      </c>
      <c r="I72" s="310"/>
      <c r="J72" s="311">
        <v>1.1112581406436715E-8</v>
      </c>
      <c r="L72" s="312">
        <v>0.10140845070422536</v>
      </c>
      <c r="M72" s="312">
        <v>0.26900584795321636</v>
      </c>
      <c r="N72" s="351"/>
      <c r="O72" s="438">
        <f t="shared" ref="O72:P73" si="1">L72*100</f>
        <v>10.140845070422536</v>
      </c>
      <c r="P72" s="456">
        <f t="shared" si="1"/>
        <v>26.900584795321635</v>
      </c>
    </row>
    <row r="73" spans="2:16" ht="31" customHeight="1" x14ac:dyDescent="0.3">
      <c r="B73" s="370" t="s">
        <v>193</v>
      </c>
      <c r="C73" s="433" t="s">
        <v>194</v>
      </c>
      <c r="D73" s="433" t="s">
        <v>195</v>
      </c>
      <c r="E73" s="434" t="s">
        <v>196</v>
      </c>
      <c r="F73" s="434" t="s">
        <v>197</v>
      </c>
      <c r="G73" s="437" t="s">
        <v>198</v>
      </c>
      <c r="H73" s="435">
        <v>0.99880000000000002</v>
      </c>
      <c r="I73" s="310"/>
      <c r="J73" s="311">
        <v>5.4984258559465081E-7</v>
      </c>
      <c r="L73" s="312">
        <v>1.4084507042253521E-2</v>
      </c>
      <c r="M73" s="312">
        <v>0.1023391812865497</v>
      </c>
      <c r="N73" s="351"/>
      <c r="O73" s="438">
        <f t="shared" si="1"/>
        <v>1.4084507042253522</v>
      </c>
      <c r="P73" s="456">
        <f t="shared" si="1"/>
        <v>10.23391812865497</v>
      </c>
    </row>
    <row r="74" spans="2:16" ht="31" customHeight="1" x14ac:dyDescent="0.3">
      <c r="B74" s="370" t="s">
        <v>199</v>
      </c>
      <c r="C74" s="433" t="s">
        <v>200</v>
      </c>
      <c r="D74" s="433" t="s">
        <v>201</v>
      </c>
      <c r="E74" s="440" t="s">
        <v>202</v>
      </c>
      <c r="F74" s="434" t="s">
        <v>203</v>
      </c>
      <c r="G74" s="434" t="s">
        <v>204</v>
      </c>
      <c r="H74" s="435">
        <v>6.3100000000000003E-2</v>
      </c>
      <c r="I74" s="310"/>
      <c r="J74" s="311">
        <v>0.66687727378795714</v>
      </c>
      <c r="L74" s="312">
        <v>2.2955523672883789E-2</v>
      </c>
      <c r="M74" s="312">
        <v>2.2955523672883789E-2</v>
      </c>
      <c r="N74" s="351"/>
      <c r="O74" s="436">
        <f t="shared" ref="O74" si="2">L74*100</f>
        <v>2.2955523672883791</v>
      </c>
      <c r="P74" s="436">
        <f t="shared" ref="P74" si="3">M74*100</f>
        <v>2.2955523672883791</v>
      </c>
    </row>
    <row r="75" spans="2:16" ht="4.5" customHeight="1" x14ac:dyDescent="0.3">
      <c r="B75" s="351"/>
      <c r="C75" s="351"/>
      <c r="D75" s="351"/>
      <c r="E75" s="351"/>
      <c r="F75" s="351"/>
      <c r="G75" s="351"/>
      <c r="H75" s="351"/>
      <c r="I75" s="432"/>
      <c r="J75" s="417"/>
      <c r="K75" s="351"/>
      <c r="L75" s="354"/>
      <c r="M75" s="354"/>
      <c r="N75" s="354"/>
      <c r="O75" s="354"/>
      <c r="P75" s="354"/>
    </row>
    <row r="76" spans="2:16" ht="22" customHeight="1" x14ac:dyDescent="0.3">
      <c r="B76" s="482" t="s">
        <v>205</v>
      </c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4"/>
    </row>
    <row r="77" spans="2:16" ht="62" customHeight="1" x14ac:dyDescent="0.3">
      <c r="B77" s="485" t="s">
        <v>143</v>
      </c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7"/>
    </row>
    <row r="78" spans="2:16" x14ac:dyDescent="0.3">
      <c r="O78" s="5"/>
      <c r="P78" s="5"/>
    </row>
  </sheetData>
  <mergeCells count="8">
    <mergeCell ref="O68:P68"/>
    <mergeCell ref="B76:P76"/>
    <mergeCell ref="B77:P77"/>
    <mergeCell ref="B2:F2"/>
    <mergeCell ref="B3:F3"/>
    <mergeCell ref="C44:D44"/>
    <mergeCell ref="B67:H67"/>
    <mergeCell ref="O67:P67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4187-04C7-4C0A-BC14-A62E392CDD2E}">
  <dimension ref="B1:AD80"/>
  <sheetViews>
    <sheetView zoomScale="70" zoomScaleNormal="70" workbookViewId="0">
      <selection activeCell="B1" sqref="B1"/>
    </sheetView>
  </sheetViews>
  <sheetFormatPr baseColWidth="10" defaultColWidth="11.453125" defaultRowHeight="13" x14ac:dyDescent="0.3"/>
  <cols>
    <col min="1" max="1" width="0.453125" style="5" customWidth="1"/>
    <col min="2" max="2" width="37.36328125" style="5" customWidth="1"/>
    <col min="3" max="4" width="20.6328125" style="5" customWidth="1"/>
    <col min="5" max="5" width="15.54296875" style="5" customWidth="1"/>
    <col min="6" max="6" width="23.81640625" style="5" customWidth="1"/>
    <col min="7" max="7" width="16.54296875" style="5" customWidth="1"/>
    <col min="8" max="8" width="13.453125" style="5" customWidth="1"/>
    <col min="9" max="9" width="5.5429687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54296875" style="5" hidden="1" customWidth="1"/>
    <col min="15" max="16" width="17.72656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25"/>
      <c r="C1" s="126"/>
      <c r="D1" s="125"/>
      <c r="E1" s="127"/>
      <c r="F1" s="5"/>
      <c r="G1" s="5"/>
      <c r="H1" s="128"/>
      <c r="I1" s="128"/>
      <c r="J1" s="128"/>
      <c r="K1" s="128"/>
      <c r="L1" s="8"/>
      <c r="M1" s="13"/>
      <c r="N1" s="13"/>
      <c r="O1" s="2"/>
      <c r="P1" s="2"/>
      <c r="Q1" s="3"/>
      <c r="R1" s="2"/>
      <c r="S1" s="2"/>
      <c r="T1" s="2"/>
      <c r="U1" s="129"/>
      <c r="V1" s="129"/>
      <c r="W1" s="129"/>
      <c r="X1" s="129"/>
      <c r="Y1" s="129"/>
      <c r="Z1" s="129"/>
      <c r="AA1" s="129"/>
      <c r="AB1" s="129"/>
      <c r="AC1" s="129"/>
    </row>
    <row r="2" spans="2:30" ht="24.75" customHeight="1" thickBot="1" x14ac:dyDescent="0.35">
      <c r="B2" s="488" t="s">
        <v>84</v>
      </c>
      <c r="C2" s="489"/>
      <c r="D2" s="489"/>
      <c r="E2" s="489"/>
      <c r="F2" s="490"/>
      <c r="G2" s="130"/>
      <c r="H2" s="131" t="s">
        <v>93</v>
      </c>
      <c r="I2" s="132">
        <v>0.95</v>
      </c>
      <c r="J2" s="130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491" t="s">
        <v>134</v>
      </c>
      <c r="C3" s="492"/>
      <c r="D3" s="492"/>
      <c r="E3" s="492"/>
      <c r="F3" s="493"/>
      <c r="G3" s="133"/>
      <c r="H3" s="133"/>
      <c r="I3" s="133"/>
      <c r="J3" s="133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95"/>
      <c r="C4" s="14"/>
      <c r="D4" s="13"/>
      <c r="E4" s="13"/>
      <c r="F4" s="6"/>
      <c r="G4" s="15"/>
      <c r="J4" s="133"/>
      <c r="K4" s="96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34" t="s">
        <v>73</v>
      </c>
      <c r="C5" s="135"/>
      <c r="D5" s="64" t="s">
        <v>20</v>
      </c>
      <c r="E5" s="64" t="s">
        <v>21</v>
      </c>
      <c r="F5" s="101"/>
      <c r="I5" s="136"/>
      <c r="J5" s="133"/>
      <c r="K5" s="136"/>
      <c r="L5" s="137"/>
      <c r="M5" s="137"/>
      <c r="N5" s="137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108"/>
      <c r="C6" s="138"/>
      <c r="D6" s="412" t="s">
        <v>3</v>
      </c>
      <c r="E6" s="412" t="s">
        <v>2</v>
      </c>
      <c r="F6" s="413" t="s">
        <v>22</v>
      </c>
      <c r="I6" s="136"/>
      <c r="J6" s="133"/>
      <c r="K6" s="136"/>
      <c r="L6" s="137"/>
      <c r="M6" s="137"/>
      <c r="N6" s="137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364"/>
      <c r="C7" s="441" t="s">
        <v>168</v>
      </c>
      <c r="D7" s="139">
        <v>105</v>
      </c>
      <c r="E7" s="140">
        <f>F7-D7</f>
        <v>178</v>
      </c>
      <c r="F7" s="141">
        <v>283</v>
      </c>
      <c r="G7" s="136"/>
      <c r="H7" s="358"/>
      <c r="I7" s="359"/>
      <c r="J7" s="133"/>
      <c r="K7" s="136"/>
      <c r="L7" s="137"/>
      <c r="M7" s="137"/>
      <c r="N7" s="137"/>
      <c r="O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364"/>
      <c r="C8" s="441" t="s">
        <v>169</v>
      </c>
      <c r="D8" s="139">
        <v>54</v>
      </c>
      <c r="E8" s="140">
        <f>F8-D8</f>
        <v>226</v>
      </c>
      <c r="F8" s="141">
        <v>280</v>
      </c>
      <c r="G8" s="136"/>
      <c r="H8" s="358"/>
      <c r="I8" s="359"/>
      <c r="J8" s="133"/>
      <c r="K8" s="136"/>
      <c r="L8" s="137"/>
      <c r="M8" s="142"/>
      <c r="N8" s="137"/>
      <c r="O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108"/>
      <c r="C9" s="143" t="s">
        <v>22</v>
      </c>
      <c r="D9" s="144">
        <f>SUM(D7:D8)</f>
        <v>159</v>
      </c>
      <c r="E9" s="145">
        <f>SUM(E7:E8)</f>
        <v>404</v>
      </c>
      <c r="F9" s="146">
        <f>SUM(F7:F8)</f>
        <v>563</v>
      </c>
      <c r="G9" s="361"/>
      <c r="H9" s="362"/>
      <c r="I9" s="363"/>
      <c r="J9" s="133"/>
      <c r="K9" s="136"/>
      <c r="L9" s="137"/>
      <c r="M9" s="142"/>
      <c r="N9" s="137"/>
      <c r="P9" s="23"/>
      <c r="Q9" s="24"/>
      <c r="R9" s="360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108"/>
      <c r="C10" s="25"/>
      <c r="D10" s="26"/>
      <c r="E10" s="22"/>
      <c r="F10" s="22"/>
      <c r="G10" s="137"/>
      <c r="H10" s="137"/>
      <c r="I10" s="136"/>
      <c r="J10" s="136"/>
      <c r="K10" s="136"/>
      <c r="L10" s="137"/>
      <c r="M10" s="142"/>
      <c r="N10" s="137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47" t="s">
        <v>94</v>
      </c>
      <c r="C11" s="28"/>
      <c r="D11" s="29"/>
      <c r="E11" s="2"/>
      <c r="F11" s="21"/>
      <c r="G11" s="148"/>
      <c r="H11" s="142"/>
      <c r="I11" s="148"/>
      <c r="J11" s="142"/>
      <c r="K11" s="149"/>
      <c r="L11" s="149"/>
      <c r="M11" s="148"/>
      <c r="N11" s="149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108" t="s">
        <v>89</v>
      </c>
      <c r="C12" s="28"/>
      <c r="D12" s="29"/>
      <c r="E12" s="2"/>
      <c r="F12" s="21"/>
      <c r="G12" s="148"/>
      <c r="H12" s="142"/>
      <c r="I12" s="148"/>
      <c r="J12" s="142"/>
      <c r="K12" s="150"/>
      <c r="L12" s="149"/>
      <c r="M12" s="149"/>
      <c r="N12" s="149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116" t="s">
        <v>25</v>
      </c>
      <c r="C13" s="116" t="s">
        <v>90</v>
      </c>
      <c r="D13" s="116" t="s">
        <v>95</v>
      </c>
      <c r="E13" s="116" t="s">
        <v>91</v>
      </c>
      <c r="F13" s="116" t="s">
        <v>92</v>
      </c>
      <c r="G13" s="116" t="s">
        <v>4</v>
      </c>
      <c r="H13" s="116" t="s">
        <v>96</v>
      </c>
      <c r="I13" s="116" t="s">
        <v>97</v>
      </c>
      <c r="J13" s="142"/>
      <c r="K13" s="151" t="s">
        <v>45</v>
      </c>
      <c r="L13" s="152" t="s">
        <v>0</v>
      </c>
      <c r="M13" s="152" t="s">
        <v>1</v>
      </c>
      <c r="N13" s="149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117">
        <f>LN((D7/F7)/(D8/F8))</f>
        <v>0.654319009119261</v>
      </c>
      <c r="C14" s="117">
        <f>SQRT((E7/(D7*F7)+(E8/(D8*F8))))</f>
        <v>0.14469737581001887</v>
      </c>
      <c r="D14" s="153">
        <f>-NORMSINV((1-I2)/2)</f>
        <v>1.9599639845400536</v>
      </c>
      <c r="E14" s="118">
        <f>B14-(D14*C14)</f>
        <v>0.37071736387416682</v>
      </c>
      <c r="F14" s="119">
        <f>B14+(D14*C14)</f>
        <v>0.93792065436435523</v>
      </c>
      <c r="G14" s="154">
        <f>(D7/F7)/(D8/F8)</f>
        <v>1.9238319591676483</v>
      </c>
      <c r="H14" s="154">
        <f>EXP(E14)</f>
        <v>1.4487735397743826</v>
      </c>
      <c r="I14" s="154">
        <f>EXP(F14)</f>
        <v>2.5546638625738627</v>
      </c>
      <c r="J14" s="142"/>
      <c r="K14" s="155">
        <f>1-G14</f>
        <v>-0.92383195916764826</v>
      </c>
      <c r="L14" s="154">
        <f>1-H14</f>
        <v>-0.44877353977438261</v>
      </c>
      <c r="M14" s="154">
        <f>1-I14</f>
        <v>-1.5546638625738627</v>
      </c>
      <c r="N14" s="156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57"/>
      <c r="C15" s="28"/>
      <c r="D15" s="28"/>
      <c r="E15" s="28"/>
      <c r="F15" s="32"/>
      <c r="G15" s="158"/>
      <c r="H15" s="142"/>
      <c r="I15" s="148"/>
      <c r="J15" s="142"/>
      <c r="K15" s="148"/>
      <c r="L15" s="148"/>
      <c r="M15" s="148"/>
      <c r="N15" s="149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102"/>
      <c r="C16" s="33"/>
      <c r="D16" s="34"/>
      <c r="E16" s="35"/>
      <c r="F16" s="36"/>
      <c r="G16" s="159"/>
      <c r="H16" s="160"/>
      <c r="I16" s="161"/>
      <c r="J16" s="161"/>
      <c r="K16" s="162"/>
      <c r="L16" s="162"/>
      <c r="M16" s="163"/>
      <c r="N16" s="163"/>
    </row>
    <row r="17" spans="2:30" ht="15.75" hidden="1" customHeight="1" x14ac:dyDescent="0.3">
      <c r="B17" s="40" t="s">
        <v>98</v>
      </c>
      <c r="C17" s="2"/>
      <c r="D17" s="164"/>
      <c r="E17" s="164"/>
      <c r="F17" s="13"/>
      <c r="G17" s="13"/>
      <c r="H17" s="165"/>
      <c r="I17" s="41"/>
      <c r="J17" s="166"/>
      <c r="K17" s="166"/>
      <c r="L17" s="4"/>
      <c r="M17" s="149"/>
      <c r="N17" s="142"/>
      <c r="O17" s="41"/>
      <c r="P17" s="2"/>
      <c r="Q17" s="2"/>
      <c r="R17" s="42"/>
      <c r="S17" s="41"/>
      <c r="T17" s="43"/>
      <c r="U17" s="43"/>
      <c r="V17" s="43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7" t="s">
        <v>99</v>
      </c>
      <c r="C18" s="2"/>
      <c r="D18" s="41"/>
      <c r="E18" s="41"/>
      <c r="F18" s="2"/>
      <c r="G18" s="2"/>
      <c r="H18" s="42"/>
      <c r="I18" s="41"/>
      <c r="J18" s="43"/>
      <c r="K18" s="43"/>
      <c r="L18" s="43"/>
      <c r="M18" s="149"/>
      <c r="N18" s="142"/>
      <c r="O18" s="2"/>
      <c r="P18" s="2"/>
      <c r="Q18" s="42"/>
      <c r="R18" s="41"/>
      <c r="S18" s="43"/>
      <c r="T18" s="43"/>
      <c r="U18" s="43"/>
      <c r="W18" s="12" t="s">
        <v>27</v>
      </c>
      <c r="X18" s="12"/>
      <c r="Y18" s="12"/>
      <c r="Z18" s="12"/>
      <c r="AA18" s="12"/>
      <c r="AB18" s="12"/>
    </row>
    <row r="19" spans="2:30" ht="25.5" hidden="1" customHeight="1" x14ac:dyDescent="0.3">
      <c r="B19" s="167" t="s">
        <v>100</v>
      </c>
      <c r="C19" s="5" t="s">
        <v>9</v>
      </c>
      <c r="D19" s="4"/>
      <c r="E19" s="5" t="s">
        <v>101</v>
      </c>
      <c r="G19" s="5" t="s">
        <v>7</v>
      </c>
      <c r="I19" s="5" t="s">
        <v>8</v>
      </c>
      <c r="J19" s="43"/>
      <c r="K19" s="43"/>
      <c r="L19" s="43"/>
      <c r="M19" s="149"/>
      <c r="N19" s="16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116" t="s">
        <v>102</v>
      </c>
      <c r="C20" s="116" t="s">
        <v>26</v>
      </c>
      <c r="D20" s="168" t="s">
        <v>10</v>
      </c>
      <c r="E20" s="168" t="s">
        <v>9</v>
      </c>
      <c r="F20" s="168" t="s">
        <v>103</v>
      </c>
      <c r="G20" s="168" t="s">
        <v>7</v>
      </c>
      <c r="H20" s="168" t="s">
        <v>8</v>
      </c>
      <c r="I20" s="169" t="s">
        <v>5</v>
      </c>
      <c r="J20" s="168" t="s">
        <v>104</v>
      </c>
      <c r="K20" s="168" t="s">
        <v>0</v>
      </c>
      <c r="L20" s="168" t="s">
        <v>1</v>
      </c>
      <c r="M20" s="170"/>
      <c r="N20" s="171"/>
      <c r="O20" s="172" t="s">
        <v>13</v>
      </c>
      <c r="P20" s="173" t="s">
        <v>78</v>
      </c>
      <c r="Q20" s="174"/>
      <c r="R20" s="175"/>
      <c r="S20" s="176"/>
      <c r="T20" s="176"/>
      <c r="U20" s="177"/>
      <c r="W20" s="178"/>
      <c r="X20" s="172" t="s">
        <v>79</v>
      </c>
      <c r="Y20" s="173" t="s">
        <v>105</v>
      </c>
      <c r="Z20" s="121"/>
      <c r="AA20" s="121"/>
      <c r="AB20" s="121" t="s">
        <v>106</v>
      </c>
      <c r="AC20" s="121"/>
      <c r="AD20" s="101"/>
    </row>
    <row r="21" spans="2:30" ht="12.75" hidden="1" customHeight="1" x14ac:dyDescent="0.3">
      <c r="B21" s="179">
        <f>D7</f>
        <v>105</v>
      </c>
      <c r="C21" s="180">
        <f>F7</f>
        <v>283</v>
      </c>
      <c r="D21" s="181">
        <f>B21/C21</f>
        <v>0.37102473498233218</v>
      </c>
      <c r="E21" s="182">
        <f>2*B21+I21^2</f>
        <v>213.84145882069413</v>
      </c>
      <c r="F21" s="182">
        <f>I21*SQRT((I21^2)+(4*B21*(1-D21)))</f>
        <v>32.08665593961635</v>
      </c>
      <c r="G21" s="183">
        <f>2*(C21+I21^2)</f>
        <v>573.68291764138826</v>
      </c>
      <c r="H21" s="184" t="s">
        <v>11</v>
      </c>
      <c r="I21" s="153">
        <f>-NORMSINV((1-I2)/2)</f>
        <v>1.9599639845400536</v>
      </c>
      <c r="J21" s="185">
        <f>D21</f>
        <v>0.37102473498233218</v>
      </c>
      <c r="K21" s="185">
        <f>(E21-F21)/G21</f>
        <v>0.31682101260455087</v>
      </c>
      <c r="L21" s="185">
        <f>(E21+F21)/G21</f>
        <v>0.42868300100586443</v>
      </c>
      <c r="M21" s="170"/>
      <c r="N21" s="186">
        <f>F9/2</f>
        <v>281.5</v>
      </c>
      <c r="O21" s="20" t="s">
        <v>14</v>
      </c>
      <c r="P21" s="2"/>
      <c r="Q21" s="42"/>
      <c r="R21" s="41"/>
      <c r="S21" s="43"/>
      <c r="T21" s="43"/>
      <c r="U21" s="187"/>
      <c r="W21" s="188">
        <f>ABS(D21-D22)</f>
        <v>0.17816759212518932</v>
      </c>
      <c r="X21" s="20" t="s">
        <v>107</v>
      </c>
      <c r="Y21" s="2"/>
      <c r="Z21" s="20"/>
      <c r="AA21" s="20"/>
      <c r="AB21" s="20" t="s">
        <v>108</v>
      </c>
      <c r="AC21" s="20"/>
      <c r="AD21" s="189"/>
    </row>
    <row r="22" spans="2:30" ht="14.25" hidden="1" customHeight="1" x14ac:dyDescent="0.4">
      <c r="B22" s="179">
        <f>D8</f>
        <v>54</v>
      </c>
      <c r="C22" s="180">
        <f>F8</f>
        <v>280</v>
      </c>
      <c r="D22" s="181">
        <f>B22/C22</f>
        <v>0.19285714285714287</v>
      </c>
      <c r="E22" s="182">
        <f>2*B22+I22^2</f>
        <v>111.84145882069413</v>
      </c>
      <c r="F22" s="182">
        <f>I22*SQRT((I22^2)+(4*B22*(1-D22)))</f>
        <v>26.162716072065852</v>
      </c>
      <c r="G22" s="183">
        <f>2*(C22+I22^2)</f>
        <v>567.68291764138826</v>
      </c>
      <c r="H22" s="184" t="s">
        <v>11</v>
      </c>
      <c r="I22" s="153">
        <f>-NORMSINV((1-I2)/2)</f>
        <v>1.9599639845400536</v>
      </c>
      <c r="J22" s="185">
        <f>D22</f>
        <v>0.19285714285714287</v>
      </c>
      <c r="K22" s="185">
        <f>(E22-F22)/G22</f>
        <v>0.15092711104397283</v>
      </c>
      <c r="L22" s="185">
        <f>(E22+F22)/G22</f>
        <v>0.24310080610869955</v>
      </c>
      <c r="M22" s="170"/>
      <c r="N22" s="190">
        <f>J26</f>
        <v>-0.17816759212518932</v>
      </c>
      <c r="O22" s="20" t="s">
        <v>15</v>
      </c>
      <c r="P22" s="20"/>
      <c r="Q22" s="20"/>
      <c r="R22" s="20"/>
      <c r="S22" s="20"/>
      <c r="T22" s="20"/>
      <c r="U22" s="123"/>
      <c r="W22" s="191">
        <f>SQRT((D23*(1-D23)/C21)+(D23*(1-D23)/C22))</f>
        <v>3.794572140736463E-2</v>
      </c>
      <c r="X22" s="47" t="s">
        <v>109</v>
      </c>
      <c r="Y22" s="20"/>
      <c r="Z22" s="20"/>
      <c r="AA22" s="20"/>
      <c r="AB22" s="20"/>
      <c r="AC22" s="20"/>
      <c r="AD22" s="189"/>
    </row>
    <row r="23" spans="2:30" ht="12.75" hidden="1" customHeight="1" x14ac:dyDescent="0.3">
      <c r="B23" s="179">
        <f>D9</f>
        <v>159</v>
      </c>
      <c r="C23" s="180">
        <f>F9</f>
        <v>563</v>
      </c>
      <c r="D23" s="181">
        <f>B23/C23</f>
        <v>0.28241563055062169</v>
      </c>
      <c r="E23" s="182">
        <f>2*B23+I23^2</f>
        <v>321.84145882069413</v>
      </c>
      <c r="F23" s="182">
        <f>I23*SQRT((I23^2)+(4*B23*(1-D23)))</f>
        <v>42.046829110425243</v>
      </c>
      <c r="G23" s="183">
        <f>2*(C23+I23^2)</f>
        <v>1133.6829176413883</v>
      </c>
      <c r="H23" s="184" t="s">
        <v>11</v>
      </c>
      <c r="I23" s="153">
        <f>-NORMSINV((1-I2)/2)</f>
        <v>1.9599639845400536</v>
      </c>
      <c r="J23" s="185">
        <f>D23</f>
        <v>0.28241563055062169</v>
      </c>
      <c r="K23" s="185">
        <f>(E23-F23)/G23</f>
        <v>0.24680148686757827</v>
      </c>
      <c r="L23" s="185">
        <f>(E23+F23)/G23</f>
        <v>0.32097889301197546</v>
      </c>
      <c r="M23" s="170"/>
      <c r="N23" s="192">
        <f>(B21+B22)/(C21+C22)</f>
        <v>0.28241563055062169</v>
      </c>
      <c r="O23" s="20" t="s">
        <v>6</v>
      </c>
      <c r="P23" s="2"/>
      <c r="Q23" s="42"/>
      <c r="R23" s="41"/>
      <c r="S23" s="43"/>
      <c r="T23" s="43"/>
      <c r="U23" s="189"/>
      <c r="W23" s="193">
        <f>W21/W22</f>
        <v>4.695327576262919</v>
      </c>
      <c r="X23" s="20" t="s">
        <v>44</v>
      </c>
      <c r="Y23" s="2"/>
      <c r="Z23" s="20"/>
      <c r="AA23" s="20"/>
      <c r="AB23" s="20"/>
      <c r="AC23" s="20"/>
      <c r="AD23" s="189"/>
    </row>
    <row r="24" spans="2:30" ht="15" hidden="1" customHeight="1" x14ac:dyDescent="0.3">
      <c r="B24" s="108"/>
      <c r="C24" s="194" t="s">
        <v>12</v>
      </c>
      <c r="F24" s="37"/>
      <c r="G24" s="161"/>
      <c r="H24" s="161"/>
      <c r="I24" s="161"/>
      <c r="J24" s="161"/>
      <c r="K24" s="162"/>
      <c r="L24" s="137"/>
      <c r="M24" s="170"/>
      <c r="N24" s="195">
        <f>SQRT(N21*N22^2/(2*N23*(1-N23)))-I21</f>
        <v>2.7354302525763088</v>
      </c>
      <c r="O24" s="20" t="s">
        <v>110</v>
      </c>
      <c r="P24" s="20"/>
      <c r="Q24" s="20"/>
      <c r="R24" s="20"/>
      <c r="S24" s="20"/>
      <c r="T24" s="4"/>
      <c r="U24" s="187"/>
      <c r="W24" s="196">
        <f>NORMSDIST(-W23)</f>
        <v>1.3308990699116848E-6</v>
      </c>
      <c r="X24" s="40" t="s">
        <v>111</v>
      </c>
      <c r="Y24" s="20"/>
      <c r="Z24" s="4"/>
      <c r="AA24" s="4"/>
      <c r="AB24" s="4"/>
      <c r="AC24" s="4"/>
      <c r="AD24" s="123"/>
    </row>
    <row r="25" spans="2:30" ht="13.5" hidden="1" customHeight="1" x14ac:dyDescent="0.3">
      <c r="B25" s="108"/>
      <c r="C25" s="194" t="s">
        <v>112</v>
      </c>
      <c r="D25" s="27"/>
      <c r="E25" s="39"/>
      <c r="F25" s="37"/>
      <c r="G25" s="161"/>
      <c r="H25" s="137"/>
      <c r="I25" s="137"/>
      <c r="J25" s="197"/>
      <c r="K25" s="197"/>
      <c r="L25" s="197"/>
      <c r="M25" s="170"/>
      <c r="N25" s="198">
        <f>NORMSDIST(N24)</f>
        <v>0.99688506063587656</v>
      </c>
      <c r="O25" s="40" t="s">
        <v>16</v>
      </c>
      <c r="P25" s="48"/>
      <c r="Q25" s="20"/>
      <c r="R25" s="20"/>
      <c r="S25" s="20"/>
      <c r="T25" s="20"/>
      <c r="U25" s="189"/>
      <c r="W25" s="199">
        <f>1-W24</f>
        <v>0.99999866910093005</v>
      </c>
      <c r="X25" s="49" t="s">
        <v>113</v>
      </c>
      <c r="Y25" s="48"/>
      <c r="Z25" s="4"/>
      <c r="AA25" s="4"/>
      <c r="AB25" s="4"/>
      <c r="AC25" s="4"/>
      <c r="AD25" s="123"/>
    </row>
    <row r="26" spans="2:30" ht="15" hidden="1" customHeight="1" x14ac:dyDescent="0.35">
      <c r="F26" s="50"/>
      <c r="G26" s="137"/>
      <c r="H26" s="137"/>
      <c r="I26" s="131" t="s">
        <v>23</v>
      </c>
      <c r="J26" s="200">
        <f>D22-D21</f>
        <v>-0.17816759212518932</v>
      </c>
      <c r="K26" s="201">
        <f>J26+SQRT((D22-K22)^2+(L21-D21)^2)</f>
        <v>-0.10687521378995726</v>
      </c>
      <c r="L26" s="202">
        <f>J26-SQRT((D21-K21)^2+(L22-D22)^2)</f>
        <v>-0.25207611136717806</v>
      </c>
      <c r="M26" s="136"/>
      <c r="N26" s="203">
        <f>1-N25</f>
        <v>3.1149393641234369E-3</v>
      </c>
      <c r="O26" s="204" t="s">
        <v>114</v>
      </c>
      <c r="P26" s="205"/>
      <c r="Q26" s="206"/>
      <c r="R26" s="205"/>
      <c r="S26" s="205"/>
      <c r="T26" s="205"/>
      <c r="U26" s="207"/>
      <c r="W26" s="208"/>
      <c r="X26" s="209"/>
      <c r="Y26" s="205"/>
      <c r="Z26" s="209"/>
      <c r="AA26" s="209"/>
      <c r="AB26" s="209"/>
      <c r="AC26" s="209"/>
      <c r="AD26" s="210"/>
    </row>
    <row r="27" spans="2:30" ht="13.5" hidden="1" customHeight="1" x14ac:dyDescent="0.3">
      <c r="F27" s="51"/>
      <c r="G27" s="137"/>
      <c r="H27" s="137"/>
      <c r="I27" s="131" t="s">
        <v>24</v>
      </c>
      <c r="J27" s="211">
        <f>1/J26</f>
        <v>-5.6126930160079329</v>
      </c>
      <c r="K27" s="212">
        <f>1/K26</f>
        <v>-9.3567064292877884</v>
      </c>
      <c r="L27" s="213">
        <f>1/L26</f>
        <v>-3.9670558014257216</v>
      </c>
      <c r="M27" s="136"/>
      <c r="N27" s="137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37"/>
      <c r="H28" s="137"/>
      <c r="K28" s="214"/>
      <c r="L28" s="214"/>
      <c r="M28" s="215"/>
      <c r="N28" s="171"/>
      <c r="O28" s="216"/>
      <c r="P28" s="216" t="s">
        <v>109</v>
      </c>
      <c r="Q28" s="217">
        <f>SQRT((D23*(1-D23)/C21)+(D23*(1-D23)/C22))</f>
        <v>3.794572140736463E-2</v>
      </c>
      <c r="R28" s="218"/>
      <c r="S28" s="218"/>
      <c r="T28" s="218"/>
      <c r="U28" s="101"/>
      <c r="V28" s="5"/>
    </row>
    <row r="29" spans="2:30" ht="31.5" hidden="1" customHeight="1" x14ac:dyDescent="0.35">
      <c r="F29" s="219"/>
      <c r="G29" s="220"/>
      <c r="H29" s="221" t="s">
        <v>64</v>
      </c>
      <c r="I29" s="222" t="s">
        <v>56</v>
      </c>
      <c r="J29" s="223">
        <f>J27</f>
        <v>-5.6126930160079329</v>
      </c>
      <c r="K29" s="223">
        <f>K27</f>
        <v>-9.3567064292877884</v>
      </c>
      <c r="L29" s="223">
        <f>L27</f>
        <v>-3.9670558014257216</v>
      </c>
      <c r="M29" s="137"/>
      <c r="N29" s="224" t="s">
        <v>115</v>
      </c>
      <c r="O29" s="225"/>
      <c r="P29" s="20" t="s">
        <v>116</v>
      </c>
      <c r="Q29" s="20"/>
      <c r="R29" s="42"/>
      <c r="S29" s="226" t="s">
        <v>117</v>
      </c>
      <c r="T29" s="20"/>
      <c r="U29" s="189"/>
      <c r="V29" s="5"/>
    </row>
    <row r="30" spans="2:30" s="4" customFormat="1" ht="14.25" hidden="1" customHeight="1" x14ac:dyDescent="0.4">
      <c r="F30" s="54"/>
      <c r="G30" s="227"/>
      <c r="H30" s="228"/>
      <c r="I30" s="229" t="s">
        <v>68</v>
      </c>
      <c r="J30" s="230">
        <f>(1-D22)*J27</f>
        <v>-4.5302450772064029</v>
      </c>
      <c r="K30" s="230">
        <f>(1-D22)*K27</f>
        <v>-7.5521987607822867</v>
      </c>
      <c r="L30" s="230">
        <f>(1-D22)*L27</f>
        <v>-3.2019807540079039</v>
      </c>
      <c r="M30" s="137"/>
      <c r="N30" s="231"/>
      <c r="O30" s="81" t="s">
        <v>118</v>
      </c>
      <c r="Q30" s="232" t="s">
        <v>119</v>
      </c>
      <c r="R30" s="81" t="s">
        <v>120</v>
      </c>
      <c r="S30" s="20"/>
      <c r="T30" s="20"/>
      <c r="U30" s="123"/>
    </row>
    <row r="31" spans="2:30" s="4" customFormat="1" ht="14.25" hidden="1" customHeight="1" x14ac:dyDescent="0.4">
      <c r="F31" s="55"/>
      <c r="G31" s="233"/>
      <c r="H31" s="234"/>
      <c r="I31" s="235" t="s">
        <v>71</v>
      </c>
      <c r="J31" s="236">
        <f>J27*J26</f>
        <v>1</v>
      </c>
      <c r="K31" s="236">
        <f>K27*K26</f>
        <v>1</v>
      </c>
      <c r="L31" s="236">
        <f>L27*L26</f>
        <v>1</v>
      </c>
      <c r="M31" s="149"/>
      <c r="N31" s="195">
        <f>ABS((J26/Q28))-I21</f>
        <v>2.7353635917228654</v>
      </c>
      <c r="O31" s="81" t="s">
        <v>121</v>
      </c>
      <c r="P31" s="20"/>
      <c r="Q31" s="20"/>
      <c r="R31" s="41"/>
      <c r="S31" s="43"/>
      <c r="T31" s="43"/>
      <c r="U31" s="187"/>
    </row>
    <row r="32" spans="2:30" s="4" customFormat="1" ht="12.75" hidden="1" customHeight="1" x14ac:dyDescent="0.3">
      <c r="B32" s="237"/>
      <c r="C32" s="56"/>
      <c r="E32" s="30"/>
      <c r="G32" s="238"/>
      <c r="H32" s="239"/>
      <c r="I32" s="240" t="s">
        <v>72</v>
      </c>
      <c r="J32" s="241">
        <f>(D22-J26)*J27</f>
        <v>-2.08244793880153</v>
      </c>
      <c r="K32" s="241">
        <f>(D22-K26)*K27</f>
        <v>-2.8045076685055021</v>
      </c>
      <c r="L32" s="241">
        <f>(D22-L26)*L27</f>
        <v>-1.7650750474178178</v>
      </c>
      <c r="M32" s="149"/>
      <c r="N32" s="198">
        <f>NORMSDIST(N31)</f>
        <v>0.99688442967966684</v>
      </c>
      <c r="O32" s="47" t="s">
        <v>122</v>
      </c>
      <c r="P32" s="48"/>
      <c r="Q32" s="20"/>
      <c r="R32" s="20"/>
      <c r="S32" s="20"/>
      <c r="T32" s="20"/>
      <c r="U32" s="123"/>
    </row>
    <row r="33" spans="2:22" s="4" customFormat="1" ht="12.75" hidden="1" customHeight="1" x14ac:dyDescent="0.3">
      <c r="B33" s="237"/>
      <c r="G33" s="242"/>
      <c r="H33" s="243"/>
      <c r="I33" s="243"/>
      <c r="J33" s="244"/>
      <c r="K33" s="244"/>
      <c r="L33" s="244"/>
      <c r="M33" s="149"/>
      <c r="N33" s="203">
        <f>1-N32</f>
        <v>3.1155703203331608E-3</v>
      </c>
      <c r="O33" s="205" t="s">
        <v>123</v>
      </c>
      <c r="P33" s="205"/>
      <c r="Q33" s="206"/>
      <c r="R33" s="245"/>
      <c r="S33" s="246"/>
      <c r="T33" s="246"/>
      <c r="U33" s="207"/>
    </row>
    <row r="34" spans="2:22" s="4" customFormat="1" ht="31.5" hidden="1" customHeight="1" x14ac:dyDescent="0.3">
      <c r="B34" s="157"/>
      <c r="F34" s="29"/>
      <c r="G34" s="247"/>
      <c r="H34" s="221" t="s">
        <v>66</v>
      </c>
      <c r="I34" s="248" t="s">
        <v>124</v>
      </c>
      <c r="J34" s="249">
        <f>ABS(J27)</f>
        <v>5.6126930160079329</v>
      </c>
      <c r="K34" s="249">
        <f>ABS(L27)</f>
        <v>3.9670558014257216</v>
      </c>
      <c r="L34" s="249">
        <f>ABS(K27)</f>
        <v>9.3567064292877884</v>
      </c>
      <c r="M34" s="149"/>
      <c r="N34" s="136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57"/>
      <c r="G35" s="227"/>
      <c r="H35" s="228"/>
      <c r="I35" s="229" t="s">
        <v>68</v>
      </c>
      <c r="J35" s="230">
        <f>ABS((1-(D22-J26))*J27)</f>
        <v>3.5302450772064033</v>
      </c>
      <c r="K35" s="230">
        <f>ABS((1-(D22-L26))*L27)</f>
        <v>2.2019807540079035</v>
      </c>
      <c r="L35" s="230">
        <f>ABS((1-(D22-K26))*K27)</f>
        <v>6.5521987607822858</v>
      </c>
      <c r="M35" s="149"/>
      <c r="N35" s="136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57"/>
      <c r="F36" s="61"/>
      <c r="G36" s="250"/>
      <c r="H36" s="251"/>
      <c r="I36" s="252" t="s">
        <v>69</v>
      </c>
      <c r="J36" s="253">
        <f>J27*J26</f>
        <v>1</v>
      </c>
      <c r="K36" s="253">
        <f>L27*L26</f>
        <v>1</v>
      </c>
      <c r="L36" s="253">
        <f>K27*K26</f>
        <v>1</v>
      </c>
      <c r="M36" s="149"/>
      <c r="N36" s="136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54" t="s">
        <v>125</v>
      </c>
      <c r="C37" s="62"/>
      <c r="D37" s="62"/>
      <c r="E37" s="62"/>
      <c r="F37" s="57"/>
      <c r="G37" s="238"/>
      <c r="H37" s="239"/>
      <c r="I37" s="240" t="s">
        <v>70</v>
      </c>
      <c r="J37" s="241">
        <f>ABS(D22*J27)</f>
        <v>1.08244793880153</v>
      </c>
      <c r="K37" s="241">
        <f>ABS(D22*L27)</f>
        <v>0.76507504741781773</v>
      </c>
      <c r="L37" s="241">
        <f>ABS(D22*K27)</f>
        <v>1.8045076685055021</v>
      </c>
      <c r="M37" s="137"/>
      <c r="N37" s="136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108"/>
      <c r="C38" s="63" t="s">
        <v>20</v>
      </c>
      <c r="D38" s="64" t="s">
        <v>21</v>
      </c>
      <c r="E38" s="20"/>
      <c r="F38" s="57"/>
      <c r="G38" s="255"/>
      <c r="H38" s="256"/>
      <c r="I38" s="257"/>
      <c r="J38" s="258"/>
      <c r="K38" s="258"/>
      <c r="L38" s="258"/>
      <c r="M38" s="162"/>
      <c r="N38" s="149"/>
      <c r="O38" s="4"/>
      <c r="P38" s="4"/>
      <c r="Q38" s="4"/>
      <c r="R38" s="4"/>
    </row>
    <row r="39" spans="2:22" ht="12.75" hidden="1" customHeight="1" x14ac:dyDescent="0.3">
      <c r="B39" s="259" t="s">
        <v>32</v>
      </c>
      <c r="C39" s="68" t="s">
        <v>3</v>
      </c>
      <c r="D39" s="69" t="s">
        <v>2</v>
      </c>
      <c r="E39" s="70" t="s">
        <v>22</v>
      </c>
      <c r="G39" s="137"/>
      <c r="H39" s="137"/>
      <c r="I39" s="137"/>
      <c r="J39" s="137"/>
      <c r="K39" s="137"/>
      <c r="L39" s="137"/>
      <c r="M39" s="137"/>
      <c r="N39" s="149"/>
      <c r="O39" s="4"/>
      <c r="P39" s="4"/>
      <c r="Q39" s="4"/>
      <c r="R39" s="4"/>
      <c r="U39" s="5"/>
      <c r="V39" s="5"/>
    </row>
    <row r="40" spans="2:22" ht="12.75" hidden="1" customHeight="1" x14ac:dyDescent="0.3">
      <c r="B40" s="260" t="s">
        <v>17</v>
      </c>
      <c r="C40" s="71">
        <f>F7*D9/F9</f>
        <v>79.923623445825939</v>
      </c>
      <c r="D40" s="71">
        <f>F7*E9/F9</f>
        <v>203.07637655417406</v>
      </c>
      <c r="E40" s="71">
        <f>F7</f>
        <v>283</v>
      </c>
      <c r="G40" s="261"/>
      <c r="H40" s="262" t="s">
        <v>30</v>
      </c>
      <c r="I40" s="263">
        <f>CHIINV(0.05,K41)</f>
        <v>3.8414588206941236</v>
      </c>
      <c r="J40" s="137"/>
      <c r="K40" s="137"/>
      <c r="L40" s="137"/>
      <c r="M40" s="137"/>
      <c r="N40" s="149"/>
      <c r="O40" s="58"/>
      <c r="P40" s="58"/>
      <c r="Q40" s="58"/>
      <c r="R40" s="4"/>
      <c r="U40" s="5"/>
      <c r="V40" s="5"/>
    </row>
    <row r="41" spans="2:22" ht="12.75" hidden="1" customHeight="1" x14ac:dyDescent="0.3">
      <c r="B41" s="264" t="s">
        <v>18</v>
      </c>
      <c r="C41" s="71">
        <f>F8*D9/F9</f>
        <v>79.076376554174061</v>
      </c>
      <c r="D41" s="71">
        <f>F8*E9/F9</f>
        <v>200.92362344582594</v>
      </c>
      <c r="E41" s="71">
        <f>F8</f>
        <v>280</v>
      </c>
      <c r="F41" s="12"/>
      <c r="G41" s="265"/>
      <c r="H41" s="265"/>
      <c r="I41" s="266"/>
      <c r="J41" s="267" t="s">
        <v>31</v>
      </c>
      <c r="K41" s="268">
        <f>(COUNT(C40:D40)-1)*(COUNT(C40:C41)-1)</f>
        <v>1</v>
      </c>
      <c r="L41" s="137"/>
      <c r="M41" s="137"/>
      <c r="N41" s="137"/>
      <c r="O41" s="58"/>
      <c r="P41" s="58"/>
      <c r="Q41" s="58"/>
      <c r="R41" s="4"/>
      <c r="U41" s="5"/>
      <c r="V41" s="5"/>
    </row>
    <row r="42" spans="2:22" ht="12.75" hidden="1" customHeight="1" x14ac:dyDescent="0.3">
      <c r="B42" s="269" t="s">
        <v>29</v>
      </c>
      <c r="C42" s="71">
        <f>SUM(C40:C41)</f>
        <v>159</v>
      </c>
      <c r="D42" s="71">
        <f>SUM(D40:D41)</f>
        <v>404</v>
      </c>
      <c r="E42" s="72">
        <f>SUM(E40:E41)</f>
        <v>563</v>
      </c>
      <c r="F42" s="12"/>
      <c r="G42" s="162"/>
      <c r="H42" s="270" t="s">
        <v>33</v>
      </c>
      <c r="I42" s="94" t="s">
        <v>34</v>
      </c>
      <c r="J42" s="137"/>
      <c r="K42" s="137"/>
      <c r="L42" s="137"/>
      <c r="M42" s="137"/>
      <c r="N42" s="137"/>
      <c r="O42" s="58"/>
      <c r="P42" s="59"/>
      <c r="Q42" s="58"/>
      <c r="R42" s="4"/>
      <c r="U42" s="5"/>
      <c r="V42" s="5"/>
    </row>
    <row r="43" spans="2:22" ht="12.75" hidden="1" customHeight="1" x14ac:dyDescent="0.3">
      <c r="B43" s="269"/>
      <c r="C43" s="73"/>
      <c r="D43" s="73"/>
      <c r="E43" s="74"/>
      <c r="F43" s="12"/>
      <c r="G43" s="162"/>
      <c r="H43" s="270" t="s">
        <v>35</v>
      </c>
      <c r="I43" s="94" t="s">
        <v>36</v>
      </c>
      <c r="J43" s="137"/>
      <c r="K43" s="137"/>
      <c r="L43" s="137"/>
      <c r="M43" s="137"/>
      <c r="N43" s="137"/>
      <c r="O43" s="60"/>
      <c r="P43" s="60"/>
      <c r="Q43" s="60"/>
      <c r="R43" s="4"/>
      <c r="U43" s="5"/>
      <c r="V43" s="5"/>
    </row>
    <row r="44" spans="2:22" ht="26.25" hidden="1" customHeight="1" x14ac:dyDescent="0.3">
      <c r="B44" s="271"/>
      <c r="C44" s="494" t="s">
        <v>126</v>
      </c>
      <c r="D44" s="495"/>
      <c r="G44" s="137"/>
      <c r="H44" s="272"/>
      <c r="I44" s="137"/>
      <c r="J44" s="137"/>
      <c r="K44" s="137"/>
      <c r="L44" s="137"/>
      <c r="M44" s="137"/>
      <c r="N44" s="137"/>
      <c r="O44" s="5"/>
      <c r="P44" s="5"/>
      <c r="U44" s="5"/>
      <c r="V44" s="5"/>
    </row>
    <row r="45" spans="2:22" ht="12.75" hidden="1" customHeight="1" x14ac:dyDescent="0.3">
      <c r="B45" s="271"/>
      <c r="C45" s="75">
        <f>(D7-C40)^2/C40</f>
        <v>7.8678197255779114</v>
      </c>
      <c r="D45" s="75">
        <f>(E7-D40)^2/D40</f>
        <v>3.0964934068487326</v>
      </c>
      <c r="F45" s="67"/>
      <c r="G45" s="273"/>
      <c r="H45" s="137"/>
      <c r="I45" s="137"/>
      <c r="J45" s="149"/>
      <c r="K45" s="149"/>
      <c r="L45" s="274"/>
      <c r="M45" s="137"/>
      <c r="N45" s="137"/>
      <c r="O45" s="5"/>
      <c r="P45" s="5"/>
      <c r="U45" s="5"/>
      <c r="V45" s="5"/>
    </row>
    <row r="46" spans="2:22" ht="12.75" hidden="1" customHeight="1" x14ac:dyDescent="0.3">
      <c r="B46" s="271"/>
      <c r="C46" s="75">
        <f>(D8-C41)^2/C41</f>
        <v>7.9521177940662469</v>
      </c>
      <c r="D46" s="75">
        <f>(E8-D41)^2/D41</f>
        <v>3.1296701219221119</v>
      </c>
      <c r="E46" s="16"/>
      <c r="F46" s="76" t="s">
        <v>37</v>
      </c>
      <c r="G46" s="275">
        <f>C48-I40</f>
        <v>18.204642227720882</v>
      </c>
      <c r="H46" s="137"/>
      <c r="I46" s="137"/>
      <c r="J46" s="149"/>
      <c r="K46" s="149"/>
      <c r="L46" s="137"/>
      <c r="M46" s="137"/>
      <c r="N46" s="137"/>
      <c r="O46" s="5"/>
      <c r="P46" s="5"/>
      <c r="U46" s="5"/>
      <c r="V46" s="5"/>
    </row>
    <row r="47" spans="2:22" ht="12.75" hidden="1" customHeight="1" x14ac:dyDescent="0.3">
      <c r="B47" s="94" t="s">
        <v>39</v>
      </c>
      <c r="D47" s="77"/>
      <c r="G47" s="115" t="s">
        <v>40</v>
      </c>
      <c r="H47" s="137"/>
      <c r="I47" s="137"/>
      <c r="J47" s="149"/>
      <c r="K47" s="149"/>
      <c r="L47" s="137"/>
      <c r="M47" s="137"/>
      <c r="N47" s="137"/>
      <c r="O47" s="5"/>
      <c r="P47" s="5"/>
      <c r="U47" s="5"/>
      <c r="V47" s="5"/>
    </row>
    <row r="48" spans="2:22" ht="13.5" hidden="1" customHeight="1" x14ac:dyDescent="0.3">
      <c r="B48" s="124" t="s">
        <v>38</v>
      </c>
      <c r="C48" s="276">
        <f>SUM(C45:D46)</f>
        <v>22.046101048415004</v>
      </c>
      <c r="D48" s="20"/>
      <c r="G48" s="115" t="s">
        <v>41</v>
      </c>
      <c r="H48" s="137"/>
      <c r="I48" s="277"/>
      <c r="J48" s="149"/>
      <c r="K48" s="149"/>
      <c r="L48" s="278"/>
      <c r="M48" s="137"/>
      <c r="N48" s="137"/>
      <c r="O48" s="5"/>
      <c r="P48" s="5"/>
      <c r="U48" s="5"/>
      <c r="V48" s="5"/>
    </row>
    <row r="49" spans="2:22" ht="12.75" hidden="1" customHeight="1" x14ac:dyDescent="0.3">
      <c r="B49" s="279" t="s">
        <v>80</v>
      </c>
      <c r="C49" s="280">
        <f>CHIDIST(C48,1)</f>
        <v>2.6617981398233942E-6</v>
      </c>
      <c r="E49" s="20"/>
      <c r="F49" s="20"/>
      <c r="G49" s="136"/>
      <c r="H49" s="281"/>
      <c r="I49" s="136"/>
      <c r="J49" s="149"/>
      <c r="K49" s="149"/>
      <c r="L49" s="136"/>
      <c r="M49" s="137"/>
      <c r="N49" s="137"/>
      <c r="O49" s="5"/>
      <c r="P49" s="5"/>
      <c r="U49" s="5"/>
      <c r="V49" s="5"/>
    </row>
    <row r="50" spans="2:22" s="4" customFormat="1" ht="12.75" hidden="1" customHeight="1" x14ac:dyDescent="0.3">
      <c r="B50" s="157"/>
      <c r="E50" s="78"/>
      <c r="F50" s="78"/>
      <c r="G50" s="149"/>
      <c r="H50" s="149"/>
      <c r="I50" s="282"/>
      <c r="J50" s="149"/>
      <c r="K50" s="149"/>
      <c r="L50" s="149"/>
      <c r="M50" s="149"/>
      <c r="N50" s="149"/>
    </row>
    <row r="51" spans="2:22" ht="13.5" hidden="1" customHeight="1" x14ac:dyDescent="0.3">
      <c r="B51" s="108"/>
      <c r="G51" s="137"/>
      <c r="H51" s="137"/>
      <c r="I51" s="137"/>
      <c r="J51" s="149"/>
      <c r="K51" s="149"/>
      <c r="L51" s="137"/>
      <c r="M51" s="137"/>
      <c r="N51" s="137"/>
      <c r="O51" s="5"/>
      <c r="P51" s="5"/>
      <c r="U51" s="5"/>
      <c r="V51" s="5"/>
    </row>
    <row r="52" spans="2:22" ht="12.75" hidden="1" customHeight="1" x14ac:dyDescent="0.3">
      <c r="B52" s="283" t="s">
        <v>127</v>
      </c>
      <c r="C52" s="122"/>
      <c r="D52" s="122"/>
      <c r="E52" s="122"/>
      <c r="F52" s="122"/>
      <c r="G52" s="122"/>
      <c r="H52" s="284"/>
      <c r="I52" s="137"/>
      <c r="J52" s="285" t="s">
        <v>128</v>
      </c>
      <c r="K52" s="286"/>
      <c r="L52" s="287"/>
      <c r="M52" s="287"/>
      <c r="N52" s="287"/>
      <c r="O52" s="101"/>
      <c r="P52" s="5"/>
      <c r="U52" s="5"/>
      <c r="V52" s="5"/>
    </row>
    <row r="53" spans="2:22" ht="12.75" hidden="1" customHeight="1" x14ac:dyDescent="0.3">
      <c r="B53" s="288">
        <f>I2*100</f>
        <v>95</v>
      </c>
      <c r="C53" s="57"/>
      <c r="D53" s="57"/>
      <c r="E53" s="4"/>
      <c r="F53" s="4"/>
      <c r="G53" s="4"/>
      <c r="H53" s="123"/>
      <c r="I53" s="137"/>
      <c r="J53" s="289"/>
      <c r="K53" s="149"/>
      <c r="L53" s="136"/>
      <c r="M53" s="136"/>
      <c r="N53" s="136"/>
      <c r="O53" s="189"/>
      <c r="P53" s="5"/>
      <c r="U53" s="5"/>
      <c r="V53" s="5"/>
    </row>
    <row r="54" spans="2:22" ht="12.75" hidden="1" customHeight="1" x14ac:dyDescent="0.3">
      <c r="B54" s="290" t="s">
        <v>49</v>
      </c>
      <c r="C54" s="291"/>
      <c r="D54" s="291"/>
      <c r="E54" s="1">
        <f>ROUND(G14,2)</f>
        <v>1.92</v>
      </c>
      <c r="F54" s="52">
        <f>ROUND(J26,4)</f>
        <v>-0.1782</v>
      </c>
      <c r="G54" s="292">
        <f>ROUND(J27,0)</f>
        <v>-6</v>
      </c>
      <c r="H54" s="293"/>
      <c r="I54" s="137"/>
      <c r="J54" s="294" t="s">
        <v>49</v>
      </c>
      <c r="K54" s="4"/>
      <c r="L54" s="4"/>
      <c r="M54" s="4"/>
      <c r="N54" s="136"/>
      <c r="O54" s="189"/>
      <c r="P54" s="5"/>
      <c r="U54" s="5"/>
      <c r="V54" s="5"/>
    </row>
    <row r="55" spans="2:22" ht="12.75" hidden="1" customHeight="1" x14ac:dyDescent="0.3">
      <c r="B55" s="290" t="s">
        <v>51</v>
      </c>
      <c r="C55" s="20"/>
      <c r="D55" s="20"/>
      <c r="E55" s="1">
        <f>ROUND(H14,2)</f>
        <v>1.45</v>
      </c>
      <c r="F55" s="52">
        <f>ROUND(L26,4)</f>
        <v>-0.25209999999999999</v>
      </c>
      <c r="G55" s="292">
        <f>ROUND(L27,0)</f>
        <v>-4</v>
      </c>
      <c r="H55" s="293"/>
      <c r="I55" s="137"/>
      <c r="J55" s="294" t="s">
        <v>51</v>
      </c>
      <c r="K55" s="295" t="str">
        <f>ROUND(J21,4)*100&amp;J57</f>
        <v>37,1%</v>
      </c>
      <c r="L55" s="295" t="str">
        <f>ROUND(K21,4)*100&amp;J57</f>
        <v>31,68%</v>
      </c>
      <c r="M55" s="295" t="str">
        <f>ROUND(L21,4)*100&amp;J57</f>
        <v>42,87%</v>
      </c>
      <c r="N55" s="111" t="str">
        <f>CONCATENATE(K55," ",J54,L55," ",J58," ",M55,J56)</f>
        <v>37,1% (31,68% a 42,87%)</v>
      </c>
      <c r="O55" s="189"/>
      <c r="P55" s="5"/>
      <c r="U55" s="5"/>
      <c r="V55" s="5"/>
    </row>
    <row r="56" spans="2:22" s="12" customFormat="1" ht="12.75" hidden="1" customHeight="1" x14ac:dyDescent="0.3">
      <c r="B56" s="290" t="s">
        <v>50</v>
      </c>
      <c r="C56" s="291">
        <f>ROUND(D7,0)</f>
        <v>105</v>
      </c>
      <c r="D56" s="291">
        <f>ROUND(D8,0)</f>
        <v>54</v>
      </c>
      <c r="E56" s="1">
        <f>ROUND(I14,2)</f>
        <v>2.5499999999999998</v>
      </c>
      <c r="F56" s="52">
        <f>ROUND(K26,4)</f>
        <v>-0.1069</v>
      </c>
      <c r="G56" s="292">
        <f>ROUND(K27,0)</f>
        <v>-9</v>
      </c>
      <c r="H56" s="296">
        <f>ROUND(N32,4)</f>
        <v>0.99690000000000001</v>
      </c>
      <c r="I56" s="162"/>
      <c r="J56" s="294" t="s">
        <v>50</v>
      </c>
      <c r="K56" s="80" t="str">
        <f>ROUND(J22,4)*100&amp;J57</f>
        <v>19,29%</v>
      </c>
      <c r="L56" s="80" t="str">
        <f>ROUND(K22,4)*100&amp;J57</f>
        <v>15,09%</v>
      </c>
      <c r="M56" s="80" t="str">
        <f>ROUND(L22,4)*100&amp;J57</f>
        <v>24,31%</v>
      </c>
      <c r="N56" s="111" t="str">
        <f>CONCATENATE(K56," ",J54,L56," ",J58," ",M56,J56)</f>
        <v>19,29% (15,09% a 24,31%)</v>
      </c>
      <c r="O56" s="123"/>
    </row>
    <row r="57" spans="2:22" ht="12.75" hidden="1" customHeight="1" x14ac:dyDescent="0.3">
      <c r="B57" s="290" t="s">
        <v>52</v>
      </c>
      <c r="C57" s="297" t="s">
        <v>74</v>
      </c>
      <c r="D57" s="297" t="s">
        <v>75</v>
      </c>
      <c r="E57" s="297" t="s">
        <v>4</v>
      </c>
      <c r="F57" s="297" t="s">
        <v>58</v>
      </c>
      <c r="G57" s="298" t="s">
        <v>56</v>
      </c>
      <c r="H57" s="261" t="s">
        <v>59</v>
      </c>
      <c r="I57" s="137"/>
      <c r="J57" s="294" t="s">
        <v>52</v>
      </c>
      <c r="K57" s="80" t="str">
        <f>ROUND(J23,4)*100&amp;J57</f>
        <v>28,24%</v>
      </c>
      <c r="L57" s="80" t="str">
        <f>ROUND(K23,4)*100&amp;J57</f>
        <v>24,68%</v>
      </c>
      <c r="M57" s="80" t="str">
        <f>ROUND(L23,4)*100&amp;J57</f>
        <v>32,1%</v>
      </c>
      <c r="N57" s="111" t="str">
        <f>CONCATENATE(K57," ",J54,L57," ",J58," ",M57,J56)</f>
        <v>28,24% (24,68% a 32,1%)</v>
      </c>
      <c r="O57" s="123"/>
    </row>
    <row r="58" spans="2:22" ht="12.75" hidden="1" customHeight="1" x14ac:dyDescent="0.3">
      <c r="B58" s="299" t="s">
        <v>19</v>
      </c>
      <c r="C58" s="300" t="str">
        <f>CONCATENATE(C56,B59,C21," ",B54,K55,B56)</f>
        <v>105/283 (37,1%)</v>
      </c>
      <c r="D58" s="131" t="str">
        <f>CONCATENATE(D56,B59,C22," ",B54,K56,B56)</f>
        <v>54/280 (19,29%)</v>
      </c>
      <c r="E58" s="300" t="str">
        <f>CONCATENATE(E54," ",B54,E55,B55,E56,B56)</f>
        <v>1,92 (1,45-2,55)</v>
      </c>
      <c r="F58" s="300" t="str">
        <f>CONCATENATE(F54*100,B57," ",B54,F55*100,B57," ",B58," ",F56*100,B57,B56)</f>
        <v>-17,82% (-25,21% a -10,69%)</v>
      </c>
      <c r="G58" s="261" t="str">
        <f>CONCATENATE(G54," ",B54,G56," ",B58," ",G55,B56)</f>
        <v>-6 (-9 a -4)</v>
      </c>
      <c r="H58" s="261" t="str">
        <f>CONCATENATE(H56*100,B57)</f>
        <v>99,69%</v>
      </c>
      <c r="I58" s="137"/>
      <c r="J58" s="301" t="s">
        <v>19</v>
      </c>
      <c r="K58" s="20"/>
      <c r="L58" s="20"/>
      <c r="M58" s="20"/>
      <c r="N58" s="136"/>
      <c r="O58" s="189"/>
      <c r="P58" s="5"/>
      <c r="U58" s="5"/>
      <c r="V58" s="5"/>
    </row>
    <row r="59" spans="2:22" ht="13.5" hidden="1" customHeight="1" x14ac:dyDescent="0.3">
      <c r="B59" s="302" t="s">
        <v>57</v>
      </c>
      <c r="C59" s="209"/>
      <c r="D59" s="209"/>
      <c r="E59" s="209"/>
      <c r="F59" s="209"/>
      <c r="G59" s="303"/>
      <c r="H59" s="304"/>
      <c r="I59" s="137"/>
      <c r="J59" s="305" t="s">
        <v>57</v>
      </c>
      <c r="K59" s="209"/>
      <c r="L59" s="209"/>
      <c r="M59" s="209"/>
      <c r="N59" s="306"/>
      <c r="O59" s="207"/>
      <c r="P59" s="5"/>
      <c r="U59" s="5"/>
      <c r="V59" s="5"/>
    </row>
    <row r="60" spans="2:22" x14ac:dyDescent="0.3">
      <c r="B60" s="108"/>
      <c r="G60" s="137"/>
      <c r="H60" s="137"/>
      <c r="I60" s="137"/>
      <c r="J60" s="137"/>
      <c r="K60" s="137"/>
      <c r="L60" s="149"/>
      <c r="M60" s="137"/>
      <c r="N60" s="137"/>
      <c r="O60" s="5"/>
      <c r="P60" s="5"/>
      <c r="U60" s="5"/>
      <c r="V60" s="5"/>
    </row>
    <row r="61" spans="2:22" ht="27" customHeight="1" x14ac:dyDescent="0.3">
      <c r="B61" s="108"/>
      <c r="C61" s="307" t="s">
        <v>74</v>
      </c>
      <c r="D61" s="307" t="s">
        <v>75</v>
      </c>
      <c r="E61" s="308" t="str">
        <f>CONCATENATE(E57," ",B54,H2," ",B53,B57,B56)</f>
        <v>RR (IC 95%)</v>
      </c>
      <c r="F61" s="308" t="str">
        <f>CONCATENATE(F57," ",B54,H2," ",B53,B57,B56)</f>
        <v>RAR (IC 95%)</v>
      </c>
      <c r="G61" s="308" t="str">
        <f>CONCATENATE(G57," ",B54,H2," ",B53,B57,B56)</f>
        <v>NNT (IC 95%)</v>
      </c>
      <c r="H61" s="308" t="s">
        <v>60</v>
      </c>
      <c r="I61" s="309"/>
      <c r="J61" s="308" t="s">
        <v>81</v>
      </c>
      <c r="L61" s="368" t="s">
        <v>129</v>
      </c>
      <c r="M61" s="368" t="s">
        <v>130</v>
      </c>
      <c r="O61" s="5"/>
      <c r="P61" s="5"/>
      <c r="U61" s="5"/>
      <c r="V61" s="5"/>
    </row>
    <row r="62" spans="2:22" ht="21" customHeight="1" x14ac:dyDescent="0.3">
      <c r="B62" s="108"/>
      <c r="C62" s="131" t="str">
        <f t="shared" ref="C62:H62" si="0">C58</f>
        <v>105/283 (37,1%)</v>
      </c>
      <c r="D62" s="131" t="str">
        <f t="shared" si="0"/>
        <v>54/280 (19,29%)</v>
      </c>
      <c r="E62" s="131" t="str">
        <f t="shared" si="0"/>
        <v>1,92 (1,45-2,55)</v>
      </c>
      <c r="F62" s="131" t="str">
        <f t="shared" si="0"/>
        <v>-17,82% (-25,21% a -10,69%)</v>
      </c>
      <c r="G62" s="131" t="str">
        <f t="shared" si="0"/>
        <v>-6 (-9 a -4)</v>
      </c>
      <c r="H62" s="131" t="str">
        <f t="shared" si="0"/>
        <v>99,69%</v>
      </c>
      <c r="I62" s="310"/>
      <c r="J62" s="311">
        <f>C49</f>
        <v>2.6617981398233942E-6</v>
      </c>
      <c r="L62" s="312">
        <f>IF((K26*L26&lt;0),J23,J21)</f>
        <v>0.37102473498233218</v>
      </c>
      <c r="M62" s="312">
        <f>IF((K26*L26&lt;0),J23,J22)</f>
        <v>0.19285714285714287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67" t="s">
        <v>231</v>
      </c>
      <c r="O64" s="5"/>
      <c r="P64" s="5"/>
    </row>
    <row r="65" spans="2:16" x14ac:dyDescent="0.3">
      <c r="B65" s="376" t="s">
        <v>161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5"/>
    </row>
    <row r="66" spans="2:16" ht="13.5" thickBot="1" x14ac:dyDescent="0.35">
      <c r="C66" s="351"/>
      <c r="D66" s="351"/>
      <c r="E66" s="351"/>
      <c r="F66" s="351"/>
      <c r="G66" s="351"/>
      <c r="H66" s="351"/>
      <c r="I66" s="416"/>
      <c r="J66" s="417"/>
      <c r="K66" s="351"/>
      <c r="L66" s="351"/>
      <c r="M66" s="351"/>
      <c r="N66" s="351"/>
      <c r="O66" s="354"/>
      <c r="P66" s="354"/>
    </row>
    <row r="67" spans="2:16" ht="40.5" customHeight="1" thickBot="1" x14ac:dyDescent="0.35">
      <c r="B67" s="501" t="s">
        <v>206</v>
      </c>
      <c r="C67" s="502"/>
      <c r="D67" s="502"/>
      <c r="E67" s="502"/>
      <c r="F67" s="502"/>
      <c r="G67" s="502"/>
      <c r="H67" s="503"/>
      <c r="I67" s="416"/>
      <c r="J67" s="418"/>
      <c r="K67" s="351"/>
      <c r="L67" s="351"/>
      <c r="M67" s="351"/>
      <c r="N67" s="351"/>
      <c r="O67" s="474" t="s">
        <v>139</v>
      </c>
      <c r="P67" s="475"/>
    </row>
    <row r="68" spans="2:16" ht="35.5" customHeight="1" thickBot="1" x14ac:dyDescent="0.35">
      <c r="B68" s="507" t="s">
        <v>178</v>
      </c>
      <c r="C68" s="442" t="s">
        <v>164</v>
      </c>
      <c r="D68" s="443" t="s">
        <v>165</v>
      </c>
      <c r="E68" s="504" t="s">
        <v>140</v>
      </c>
      <c r="F68" s="505"/>
      <c r="G68" s="505"/>
      <c r="H68" s="506"/>
      <c r="I68" s="416"/>
      <c r="J68" s="418"/>
      <c r="K68" s="351"/>
      <c r="L68" s="351"/>
      <c r="M68" s="351"/>
      <c r="N68" s="351"/>
      <c r="O68" s="480" t="s">
        <v>146</v>
      </c>
      <c r="P68" s="481"/>
    </row>
    <row r="69" spans="2:16" ht="26" customHeight="1" thickBot="1" x14ac:dyDescent="0.35">
      <c r="B69" s="508"/>
      <c r="C69" s="425" t="s">
        <v>138</v>
      </c>
      <c r="D69" s="426" t="s">
        <v>138</v>
      </c>
      <c r="E69" s="444" t="s">
        <v>53</v>
      </c>
      <c r="F69" s="445" t="s">
        <v>47</v>
      </c>
      <c r="G69" s="445" t="s">
        <v>48</v>
      </c>
      <c r="H69" s="446" t="s">
        <v>60</v>
      </c>
      <c r="I69" s="416"/>
      <c r="J69" s="417"/>
      <c r="K69" s="351"/>
      <c r="L69" s="405"/>
      <c r="M69" s="405"/>
      <c r="N69" s="351"/>
      <c r="O69" s="396" t="s">
        <v>168</v>
      </c>
      <c r="P69" s="397" t="s">
        <v>169</v>
      </c>
    </row>
    <row r="70" spans="2:16" ht="14.5" x14ac:dyDescent="0.3">
      <c r="B70" s="447"/>
      <c r="C70" s="430"/>
      <c r="D70" s="430"/>
      <c r="E70" s="431"/>
      <c r="F70" s="431"/>
      <c r="G70" s="431"/>
      <c r="H70" s="431"/>
      <c r="I70" s="416"/>
      <c r="J70" s="417"/>
      <c r="K70" s="351"/>
      <c r="L70" s="405"/>
      <c r="M70" s="405"/>
      <c r="N70" s="351"/>
      <c r="O70" s="351"/>
      <c r="P70" s="432"/>
    </row>
    <row r="71" spans="2:16" ht="23.5" customHeight="1" x14ac:dyDescent="0.3">
      <c r="B71" s="370" t="s">
        <v>149</v>
      </c>
      <c r="C71" s="374" t="s">
        <v>207</v>
      </c>
      <c r="D71" s="374" t="s">
        <v>208</v>
      </c>
      <c r="E71" s="352" t="s">
        <v>209</v>
      </c>
      <c r="F71" s="352" t="s">
        <v>210</v>
      </c>
      <c r="G71" s="434" t="s">
        <v>211</v>
      </c>
      <c r="H71" s="353">
        <v>0.99829999999999997</v>
      </c>
      <c r="I71" s="432"/>
      <c r="J71" s="311">
        <v>1.0007692702673271E-6</v>
      </c>
      <c r="L71" s="312">
        <v>0.392226148409894</v>
      </c>
      <c r="M71" s="312">
        <v>0.20357142857142857</v>
      </c>
      <c r="N71" s="351"/>
      <c r="O71" s="438">
        <f t="shared" ref="O71:P71" si="1">L71*100</f>
        <v>39.222614840989401</v>
      </c>
      <c r="P71" s="439">
        <f t="shared" si="1"/>
        <v>20.357142857142858</v>
      </c>
    </row>
    <row r="72" spans="2:16" ht="23.5" customHeight="1" x14ac:dyDescent="0.3">
      <c r="B72" s="377" t="s">
        <v>144</v>
      </c>
      <c r="C72" s="378" t="s">
        <v>212</v>
      </c>
      <c r="D72" s="378" t="s">
        <v>213</v>
      </c>
      <c r="E72" s="379" t="s">
        <v>214</v>
      </c>
      <c r="F72" s="379" t="s">
        <v>215</v>
      </c>
      <c r="G72" s="379" t="s">
        <v>216</v>
      </c>
      <c r="H72" s="380">
        <v>0.16650000000000001</v>
      </c>
      <c r="I72" s="432"/>
      <c r="J72" s="371">
        <v>0.32120289770439497</v>
      </c>
      <c r="K72" s="354"/>
      <c r="L72" s="372">
        <v>1.5985790408525755E-2</v>
      </c>
      <c r="M72" s="372">
        <v>1.5985790408525755E-2</v>
      </c>
      <c r="N72" s="351"/>
      <c r="O72" s="381">
        <v>2</v>
      </c>
      <c r="P72" s="381">
        <v>1</v>
      </c>
    </row>
    <row r="73" spans="2:16" ht="23.5" customHeight="1" x14ac:dyDescent="0.3">
      <c r="B73" s="377" t="s">
        <v>145</v>
      </c>
      <c r="C73" s="378" t="s">
        <v>217</v>
      </c>
      <c r="D73" s="378" t="s">
        <v>218</v>
      </c>
      <c r="E73" s="379" t="s">
        <v>219</v>
      </c>
      <c r="F73" s="379" t="s">
        <v>220</v>
      </c>
      <c r="G73" s="379" t="s">
        <v>221</v>
      </c>
      <c r="H73" s="380">
        <v>0.99690000000000001</v>
      </c>
      <c r="I73" s="432"/>
      <c r="J73" s="371">
        <v>2.6617981398233942E-6</v>
      </c>
      <c r="K73" s="354"/>
      <c r="L73" s="372">
        <v>0.37102473498233218</v>
      </c>
      <c r="M73" s="372">
        <v>0.19285714285714287</v>
      </c>
      <c r="N73" s="351"/>
      <c r="O73" s="448">
        <f t="shared" ref="O73:P73" si="2">L73*100</f>
        <v>37.102473498233216</v>
      </c>
      <c r="P73" s="383">
        <f t="shared" si="2"/>
        <v>19.285714285714288</v>
      </c>
    </row>
    <row r="74" spans="2:16" ht="26" customHeight="1" x14ac:dyDescent="0.35">
      <c r="B74" s="409" t="s">
        <v>222</v>
      </c>
      <c r="C74" s="449"/>
      <c r="D74" s="449"/>
      <c r="E74" s="450"/>
      <c r="F74" s="450"/>
      <c r="G74" s="450"/>
      <c r="H74" s="450"/>
      <c r="I74" s="451"/>
      <c r="J74" s="452"/>
      <c r="K74" s="450"/>
      <c r="L74" s="450"/>
      <c r="M74" s="450"/>
      <c r="N74" s="450"/>
      <c r="O74" s="431"/>
      <c r="P74" s="450"/>
    </row>
    <row r="75" spans="2:16" ht="43.5" x14ac:dyDescent="0.3">
      <c r="B75" s="382" t="s">
        <v>148</v>
      </c>
      <c r="C75" s="375" t="s">
        <v>223</v>
      </c>
      <c r="D75" s="375" t="s">
        <v>224</v>
      </c>
      <c r="E75" s="408"/>
      <c r="F75" s="408"/>
      <c r="G75" s="408"/>
      <c r="H75" s="453"/>
      <c r="I75" s="432"/>
      <c r="J75" s="417"/>
      <c r="K75" s="354"/>
      <c r="L75" s="373"/>
      <c r="M75" s="373"/>
      <c r="N75" s="351"/>
      <c r="O75" s="454"/>
      <c r="P75" s="454"/>
    </row>
    <row r="76" spans="2:16" ht="26" customHeight="1" x14ac:dyDescent="0.35">
      <c r="B76" s="409" t="s">
        <v>225</v>
      </c>
      <c r="C76" s="449"/>
      <c r="D76" s="449"/>
      <c r="E76" s="450"/>
      <c r="F76" s="450"/>
      <c r="G76" s="450"/>
      <c r="H76" s="450"/>
      <c r="I76" s="451"/>
      <c r="J76" s="452"/>
      <c r="K76" s="450"/>
      <c r="L76" s="450"/>
      <c r="M76" s="450"/>
      <c r="N76" s="450"/>
      <c r="O76" s="431"/>
      <c r="P76" s="450"/>
    </row>
    <row r="77" spans="2:16" ht="43.5" x14ac:dyDescent="0.3">
      <c r="B77" s="382" t="s">
        <v>226</v>
      </c>
      <c r="C77" s="375" t="s">
        <v>227</v>
      </c>
      <c r="D77" s="375" t="s">
        <v>228</v>
      </c>
      <c r="E77" s="408"/>
      <c r="F77" s="408"/>
      <c r="G77" s="408"/>
      <c r="H77" s="453"/>
      <c r="I77" s="432"/>
      <c r="J77" s="432"/>
      <c r="K77" s="432"/>
      <c r="L77" s="432"/>
      <c r="M77" s="432"/>
      <c r="N77" s="432"/>
      <c r="O77" s="432"/>
      <c r="P77" s="432"/>
    </row>
    <row r="78" spans="2:16" ht="5.5" customHeight="1" x14ac:dyDescent="0.3">
      <c r="B78" s="455"/>
      <c r="C78" s="449"/>
      <c r="D78" s="449"/>
      <c r="E78" s="450"/>
      <c r="F78" s="450"/>
      <c r="G78" s="450"/>
      <c r="H78" s="450"/>
      <c r="I78" s="432"/>
      <c r="J78" s="432"/>
      <c r="K78" s="432"/>
      <c r="L78" s="432"/>
      <c r="M78" s="432"/>
      <c r="N78" s="432"/>
      <c r="O78" s="432"/>
      <c r="P78" s="432"/>
    </row>
    <row r="79" spans="2:16" ht="31" customHeight="1" x14ac:dyDescent="0.3">
      <c r="B79" s="482" t="s">
        <v>229</v>
      </c>
      <c r="C79" s="483"/>
      <c r="D79" s="483"/>
      <c r="E79" s="483"/>
      <c r="F79" s="483"/>
      <c r="G79" s="483"/>
      <c r="H79" s="484"/>
      <c r="I79" s="432"/>
      <c r="J79" s="432"/>
      <c r="K79" s="432"/>
      <c r="L79" s="432"/>
      <c r="M79" s="432"/>
      <c r="N79" s="432"/>
      <c r="O79" s="432"/>
      <c r="P79" s="432"/>
    </row>
    <row r="80" spans="2:16" x14ac:dyDescent="0.3">
      <c r="I80" s="432"/>
      <c r="J80" s="432"/>
      <c r="K80" s="432"/>
      <c r="L80" s="432"/>
      <c r="M80" s="432"/>
      <c r="N80" s="432"/>
      <c r="O80" s="432"/>
      <c r="P80" s="432"/>
    </row>
  </sheetData>
  <mergeCells count="9">
    <mergeCell ref="O67:P67"/>
    <mergeCell ref="E68:H68"/>
    <mergeCell ref="B68:B69"/>
    <mergeCell ref="O68:P68"/>
    <mergeCell ref="B2:F2"/>
    <mergeCell ref="B3:F3"/>
    <mergeCell ref="C44:D44"/>
    <mergeCell ref="B79:H79"/>
    <mergeCell ref="B67:H67"/>
  </mergeCells>
  <phoneticPr fontId="6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NNT desde HR</vt:lpstr>
      <vt:lpstr>EA por Inc Acumul</vt:lpstr>
      <vt:lpstr>Respuestas por 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2022-08-05T07:07:10Z</dcterms:modified>
</cp:coreProperties>
</file>