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612-Galo\0-Datos\20-Elab formales\20220511-Rev+MA FA [4naco vs warf]\00-MA 4ECA, FA naco vs warf\"/>
    </mc:Choice>
  </mc:AlternateContent>
  <xr:revisionPtr revIDLastSave="0" documentId="13_ncr:1_{D3BD4C07-D165-46F6-84F8-284DBB8B5A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 todas variables" sheetId="11" r:id="rId1"/>
    <sheet name="Mort" sheetId="2" r:id="rId2"/>
    <sheet name="Ict" sheetId="3" r:id="rId3"/>
    <sheet name="IctHem" sheetId="4" r:id="rId4"/>
    <sheet name="IctIsq" sheetId="5" r:id="rId5"/>
    <sheet name="EmbSi" sheetId="6" r:id="rId6"/>
    <sheet name="HemM" sheetId="7" r:id="rId7"/>
    <sheet name="IAM" sheetId="8" r:id="rId8"/>
    <sheet name="HemIntcr" sheetId="9" r:id="rId9"/>
    <sheet name="Comodín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5" i="2" l="1"/>
  <c r="AS190" i="11" l="1"/>
  <c r="BJ188" i="11"/>
  <c r="BL188" i="11" s="1"/>
  <c r="BH188" i="11"/>
  <c r="AY188" i="11"/>
  <c r="BI188" i="11" s="1"/>
  <c r="BK188" i="11" s="1"/>
  <c r="AB188" i="11"/>
  <c r="AP190" i="11" s="1"/>
  <c r="H188" i="11"/>
  <c r="F188" i="11"/>
  <c r="E188" i="11"/>
  <c r="C188" i="11"/>
  <c r="K187" i="11"/>
  <c r="N187" i="11" s="1"/>
  <c r="G187" i="11"/>
  <c r="D187" i="11"/>
  <c r="K186" i="11"/>
  <c r="N186" i="11" s="1"/>
  <c r="G186" i="11"/>
  <c r="D186" i="11"/>
  <c r="L186" i="11" s="1"/>
  <c r="M186" i="11" s="1"/>
  <c r="M188" i="11" s="1"/>
  <c r="AS181" i="11"/>
  <c r="BJ179" i="11"/>
  <c r="BL179" i="11" s="1"/>
  <c r="BH179" i="11"/>
  <c r="AY179" i="11"/>
  <c r="AB179" i="11"/>
  <c r="AP181" i="11" s="1"/>
  <c r="H179" i="11"/>
  <c r="F179" i="11"/>
  <c r="E179" i="11"/>
  <c r="C179" i="11"/>
  <c r="K178" i="11"/>
  <c r="Q178" i="11" s="1"/>
  <c r="G178" i="11"/>
  <c r="D178" i="11"/>
  <c r="K177" i="11"/>
  <c r="Q177" i="11" s="1"/>
  <c r="G177" i="11"/>
  <c r="D177" i="11"/>
  <c r="D179" i="11" s="1"/>
  <c r="K176" i="11"/>
  <c r="G176" i="11"/>
  <c r="G179" i="11" s="1"/>
  <c r="D176" i="11"/>
  <c r="L176" i="11" s="1"/>
  <c r="M176" i="11" s="1"/>
  <c r="AE176" i="11" s="1"/>
  <c r="AE179" i="11" s="1"/>
  <c r="AS171" i="11"/>
  <c r="BI169" i="11"/>
  <c r="BK169" i="11" s="1"/>
  <c r="AY169" i="11"/>
  <c r="BJ169" i="11" s="1"/>
  <c r="BL169" i="11" s="1"/>
  <c r="AB169" i="11"/>
  <c r="AP171" i="11" s="1"/>
  <c r="H169" i="11"/>
  <c r="F169" i="11"/>
  <c r="E169" i="11"/>
  <c r="C169" i="11"/>
  <c r="K168" i="11"/>
  <c r="G168" i="11"/>
  <c r="D168" i="11"/>
  <c r="K167" i="11"/>
  <c r="P167" i="11" s="1"/>
  <c r="G167" i="11"/>
  <c r="L167" i="11" s="1"/>
  <c r="M167" i="11" s="1"/>
  <c r="AE167" i="11" s="1"/>
  <c r="D167" i="11"/>
  <c r="K166" i="11"/>
  <c r="G166" i="11"/>
  <c r="D166" i="11"/>
  <c r="L165" i="11"/>
  <c r="M165" i="11" s="1"/>
  <c r="M169" i="11" s="1"/>
  <c r="K165" i="11"/>
  <c r="G165" i="11"/>
  <c r="D165" i="11"/>
  <c r="AS160" i="11"/>
  <c r="BJ158" i="11"/>
  <c r="BL158" i="11" s="1"/>
  <c r="AY158" i="11"/>
  <c r="AB158" i="11"/>
  <c r="AP160" i="11" s="1"/>
  <c r="H158" i="11"/>
  <c r="F158" i="11"/>
  <c r="E158" i="11"/>
  <c r="C158" i="11"/>
  <c r="K157" i="11"/>
  <c r="G157" i="11"/>
  <c r="D157" i="11"/>
  <c r="Q156" i="11"/>
  <c r="P156" i="11"/>
  <c r="K156" i="11"/>
  <c r="N156" i="11" s="1"/>
  <c r="G156" i="11"/>
  <c r="D156" i="11"/>
  <c r="L156" i="11" s="1"/>
  <c r="M156" i="11" s="1"/>
  <c r="P155" i="11"/>
  <c r="N155" i="11"/>
  <c r="K155" i="11"/>
  <c r="Q155" i="11" s="1"/>
  <c r="G155" i="11"/>
  <c r="D155" i="11"/>
  <c r="L155" i="11" s="1"/>
  <c r="M155" i="11" s="1"/>
  <c r="AI155" i="11" s="1"/>
  <c r="P154" i="11"/>
  <c r="K154" i="11"/>
  <c r="Q154" i="11" s="1"/>
  <c r="G154" i="11"/>
  <c r="D154" i="11"/>
  <c r="K153" i="11"/>
  <c r="G153" i="11"/>
  <c r="G158" i="11" s="1"/>
  <c r="D153" i="11"/>
  <c r="D158" i="11" s="1"/>
  <c r="AS148" i="11"/>
  <c r="BJ146" i="11"/>
  <c r="BL146" i="11" s="1"/>
  <c r="BI146" i="11"/>
  <c r="BK146" i="11" s="1"/>
  <c r="BM146" i="11" s="1"/>
  <c r="BH146" i="11"/>
  <c r="BF146" i="11"/>
  <c r="AY146" i="11"/>
  <c r="AB146" i="11"/>
  <c r="AP148" i="11" s="1"/>
  <c r="H146" i="11"/>
  <c r="F146" i="11"/>
  <c r="E146" i="11"/>
  <c r="C146" i="11"/>
  <c r="AI145" i="11"/>
  <c r="AE145" i="11"/>
  <c r="K145" i="11"/>
  <c r="G145" i="11"/>
  <c r="D145" i="11"/>
  <c r="L145" i="11" s="1"/>
  <c r="M145" i="11" s="1"/>
  <c r="Q144" i="11"/>
  <c r="K144" i="11"/>
  <c r="P144" i="11" s="1"/>
  <c r="G144" i="11"/>
  <c r="D144" i="11"/>
  <c r="L143" i="11"/>
  <c r="M143" i="11" s="1"/>
  <c r="K143" i="11"/>
  <c r="Q143" i="11" s="1"/>
  <c r="G143" i="11"/>
  <c r="D143" i="11"/>
  <c r="K142" i="11"/>
  <c r="G142" i="11"/>
  <c r="D142" i="11"/>
  <c r="K141" i="11"/>
  <c r="N141" i="11" s="1"/>
  <c r="G141" i="11"/>
  <c r="D141" i="11"/>
  <c r="K140" i="11"/>
  <c r="G140" i="11"/>
  <c r="D140" i="11"/>
  <c r="L140" i="11" s="1"/>
  <c r="M140" i="11" s="1"/>
  <c r="AS135" i="11"/>
  <c r="BI133" i="11"/>
  <c r="BK133" i="11" s="1"/>
  <c r="BH133" i="11"/>
  <c r="AY133" i="11"/>
  <c r="BJ133" i="11" s="1"/>
  <c r="BL133" i="11" s="1"/>
  <c r="AB133" i="11"/>
  <c r="AP135" i="11" s="1"/>
  <c r="H133" i="11"/>
  <c r="F133" i="11"/>
  <c r="E133" i="11"/>
  <c r="C133" i="11"/>
  <c r="Q132" i="11"/>
  <c r="N132" i="11"/>
  <c r="K132" i="11"/>
  <c r="P132" i="11" s="1"/>
  <c r="G132" i="11"/>
  <c r="D132" i="11"/>
  <c r="K131" i="11"/>
  <c r="N131" i="11" s="1"/>
  <c r="G131" i="11"/>
  <c r="D131" i="11"/>
  <c r="K130" i="11"/>
  <c r="Q130" i="11" s="1"/>
  <c r="G130" i="11"/>
  <c r="D130" i="11"/>
  <c r="Q129" i="11"/>
  <c r="P129" i="11"/>
  <c r="K129" i="11"/>
  <c r="N129" i="11" s="1"/>
  <c r="G129" i="11"/>
  <c r="L129" i="11" s="1"/>
  <c r="M129" i="11" s="1"/>
  <c r="D129" i="11"/>
  <c r="K128" i="11"/>
  <c r="N128" i="11" s="1"/>
  <c r="G128" i="11"/>
  <c r="D128" i="11"/>
  <c r="M127" i="11"/>
  <c r="L127" i="11"/>
  <c r="K127" i="11"/>
  <c r="P127" i="11" s="1"/>
  <c r="G127" i="11"/>
  <c r="D127" i="11"/>
  <c r="L126" i="11"/>
  <c r="M126" i="11" s="1"/>
  <c r="M133" i="11" s="1"/>
  <c r="K126" i="11"/>
  <c r="G126" i="11"/>
  <c r="D126" i="11"/>
  <c r="AS121" i="11"/>
  <c r="BJ119" i="11"/>
  <c r="BL119" i="11" s="1"/>
  <c r="BI119" i="11"/>
  <c r="BK119" i="11" s="1"/>
  <c r="AY119" i="11"/>
  <c r="BH119" i="11" s="1"/>
  <c r="AB119" i="11"/>
  <c r="AP121" i="11" s="1"/>
  <c r="H119" i="11"/>
  <c r="F119" i="11"/>
  <c r="E119" i="11"/>
  <c r="C119" i="11"/>
  <c r="Q118" i="11"/>
  <c r="K118" i="11"/>
  <c r="P118" i="11" s="1"/>
  <c r="G118" i="11"/>
  <c r="D118" i="11"/>
  <c r="Q117" i="11"/>
  <c r="P117" i="11"/>
  <c r="K117" i="11"/>
  <c r="N117" i="11" s="1"/>
  <c r="G117" i="11"/>
  <c r="L117" i="11" s="1"/>
  <c r="M117" i="11" s="1"/>
  <c r="D117" i="11"/>
  <c r="K116" i="11"/>
  <c r="G116" i="11"/>
  <c r="D116" i="11"/>
  <c r="K115" i="11"/>
  <c r="N115" i="11" s="1"/>
  <c r="G115" i="11"/>
  <c r="L115" i="11" s="1"/>
  <c r="M115" i="11" s="1"/>
  <c r="R115" i="11" s="1"/>
  <c r="D115" i="11"/>
  <c r="B119" i="11" s="1"/>
  <c r="AS110" i="11"/>
  <c r="AP110" i="11"/>
  <c r="BJ108" i="11"/>
  <c r="BL108" i="11" s="1"/>
  <c r="BH108" i="11"/>
  <c r="AY108" i="11"/>
  <c r="BI108" i="11" s="1"/>
  <c r="BK108" i="11" s="1"/>
  <c r="BM108" i="11" s="1"/>
  <c r="AB108" i="11"/>
  <c r="H108" i="11"/>
  <c r="F108" i="11"/>
  <c r="E108" i="11"/>
  <c r="C108" i="11"/>
  <c r="K107" i="11"/>
  <c r="G107" i="11"/>
  <c r="D107" i="11"/>
  <c r="K106" i="11"/>
  <c r="G106" i="11"/>
  <c r="G108" i="11" s="1"/>
  <c r="D106" i="11"/>
  <c r="AS101" i="11"/>
  <c r="BF99" i="11"/>
  <c r="AY99" i="11"/>
  <c r="BJ99" i="11" s="1"/>
  <c r="BL99" i="11" s="1"/>
  <c r="AB99" i="11"/>
  <c r="AP101" i="11" s="1"/>
  <c r="H99" i="11"/>
  <c r="F99" i="11"/>
  <c r="E99" i="11"/>
  <c r="C99" i="11"/>
  <c r="K98" i="11"/>
  <c r="G98" i="11"/>
  <c r="D98" i="11"/>
  <c r="K97" i="11"/>
  <c r="Q97" i="11" s="1"/>
  <c r="G97" i="11"/>
  <c r="D97" i="11"/>
  <c r="L97" i="11" s="1"/>
  <c r="M97" i="11" s="1"/>
  <c r="N96" i="11"/>
  <c r="K96" i="11"/>
  <c r="Q96" i="11" s="1"/>
  <c r="G96" i="11"/>
  <c r="D96" i="11"/>
  <c r="L96" i="11" s="1"/>
  <c r="M96" i="11" s="1"/>
  <c r="K95" i="11"/>
  <c r="Q95" i="11" s="1"/>
  <c r="G95" i="11"/>
  <c r="D95" i="11"/>
  <c r="AS90" i="11"/>
  <c r="BL88" i="11"/>
  <c r="BJ88" i="11"/>
  <c r="BH88" i="11"/>
  <c r="AY88" i="11"/>
  <c r="BI88" i="11" s="1"/>
  <c r="BK88" i="11" s="1"/>
  <c r="AB88" i="11"/>
  <c r="AP90" i="11" s="1"/>
  <c r="H88" i="11"/>
  <c r="F88" i="11"/>
  <c r="E88" i="11"/>
  <c r="C88" i="11"/>
  <c r="K87" i="11"/>
  <c r="G87" i="11"/>
  <c r="D87" i="11"/>
  <c r="L87" i="11" s="1"/>
  <c r="M87" i="11" s="1"/>
  <c r="P86" i="11"/>
  <c r="K86" i="11"/>
  <c r="G86" i="11"/>
  <c r="L86" i="11" s="1"/>
  <c r="M86" i="11" s="1"/>
  <c r="D86" i="11"/>
  <c r="K85" i="11"/>
  <c r="Q85" i="11" s="1"/>
  <c r="G85" i="11"/>
  <c r="D85" i="11"/>
  <c r="N84" i="11"/>
  <c r="K84" i="11"/>
  <c r="P84" i="11" s="1"/>
  <c r="G84" i="11"/>
  <c r="D84" i="11"/>
  <c r="AS79" i="11"/>
  <c r="BH77" i="11"/>
  <c r="BF77" i="11"/>
  <c r="AY77" i="11"/>
  <c r="AB77" i="11"/>
  <c r="AP79" i="11" s="1"/>
  <c r="H77" i="11"/>
  <c r="F77" i="11"/>
  <c r="E77" i="11"/>
  <c r="C77" i="11"/>
  <c r="K76" i="11"/>
  <c r="Q76" i="11" s="1"/>
  <c r="G76" i="11"/>
  <c r="D76" i="11"/>
  <c r="Q75" i="11"/>
  <c r="K75" i="11"/>
  <c r="G75" i="11"/>
  <c r="D75" i="11"/>
  <c r="K74" i="11"/>
  <c r="N74" i="11" s="1"/>
  <c r="G74" i="11"/>
  <c r="D74" i="11"/>
  <c r="Q73" i="11"/>
  <c r="N73" i="11"/>
  <c r="K73" i="11"/>
  <c r="P73" i="11" s="1"/>
  <c r="G73" i="11"/>
  <c r="D73" i="11"/>
  <c r="AS68" i="11"/>
  <c r="AP68" i="11"/>
  <c r="BK66" i="11"/>
  <c r="BJ66" i="11"/>
  <c r="BL66" i="11" s="1"/>
  <c r="BI66" i="11"/>
  <c r="BH66" i="11"/>
  <c r="AY66" i="11"/>
  <c r="BF66" i="11" s="1"/>
  <c r="AB66" i="11"/>
  <c r="H66" i="11"/>
  <c r="F66" i="11"/>
  <c r="E66" i="11"/>
  <c r="C66" i="11"/>
  <c r="Q65" i="11"/>
  <c r="K65" i="11"/>
  <c r="P65" i="11" s="1"/>
  <c r="G65" i="11"/>
  <c r="D65" i="11"/>
  <c r="L65" i="11" s="1"/>
  <c r="M65" i="11" s="1"/>
  <c r="AI65" i="11" s="1"/>
  <c r="N64" i="11"/>
  <c r="K64" i="11"/>
  <c r="G64" i="11"/>
  <c r="L64" i="11" s="1"/>
  <c r="M64" i="11" s="1"/>
  <c r="D64" i="11"/>
  <c r="K63" i="11"/>
  <c r="N63" i="11" s="1"/>
  <c r="G63" i="11"/>
  <c r="D63" i="11"/>
  <c r="L63" i="11" s="1"/>
  <c r="M63" i="11" s="1"/>
  <c r="Q62" i="11"/>
  <c r="N62" i="11"/>
  <c r="K62" i="11"/>
  <c r="P62" i="11" s="1"/>
  <c r="G62" i="11"/>
  <c r="G66" i="11" s="1"/>
  <c r="D62" i="11"/>
  <c r="AS57" i="11"/>
  <c r="BI55" i="11"/>
  <c r="BK55" i="11" s="1"/>
  <c r="AY55" i="11"/>
  <c r="BJ55" i="11" s="1"/>
  <c r="BL55" i="11" s="1"/>
  <c r="AB55" i="11"/>
  <c r="AP57" i="11" s="1"/>
  <c r="H55" i="11"/>
  <c r="F55" i="11"/>
  <c r="E55" i="11"/>
  <c r="C55" i="11"/>
  <c r="K54" i="11"/>
  <c r="G54" i="11"/>
  <c r="D54" i="11"/>
  <c r="AE53" i="11"/>
  <c r="P53" i="11"/>
  <c r="K53" i="11"/>
  <c r="Q53" i="11" s="1"/>
  <c r="G53" i="11"/>
  <c r="D53" i="11"/>
  <c r="L53" i="11" s="1"/>
  <c r="M53" i="11" s="1"/>
  <c r="K52" i="11"/>
  <c r="N52" i="11" s="1"/>
  <c r="G52" i="11"/>
  <c r="D52" i="11"/>
  <c r="L52" i="11" s="1"/>
  <c r="M52" i="11" s="1"/>
  <c r="O52" i="11" s="1"/>
  <c r="K51" i="11"/>
  <c r="G51" i="11"/>
  <c r="D51" i="11"/>
  <c r="AS46" i="11"/>
  <c r="BI44" i="11"/>
  <c r="BK44" i="11" s="1"/>
  <c r="AY44" i="11"/>
  <c r="BH44" i="11" s="1"/>
  <c r="AB44" i="11"/>
  <c r="AP46" i="11" s="1"/>
  <c r="H44" i="11"/>
  <c r="F44" i="11"/>
  <c r="E44" i="11"/>
  <c r="C44" i="11"/>
  <c r="Q43" i="11"/>
  <c r="P43" i="11"/>
  <c r="N43" i="11"/>
  <c r="K43" i="11"/>
  <c r="G43" i="11"/>
  <c r="L43" i="11" s="1"/>
  <c r="M43" i="11" s="1"/>
  <c r="D43" i="11"/>
  <c r="P42" i="11"/>
  <c r="K42" i="11"/>
  <c r="Q42" i="11" s="1"/>
  <c r="G42" i="11"/>
  <c r="D42" i="11"/>
  <c r="K41" i="11"/>
  <c r="G41" i="11"/>
  <c r="L41" i="11" s="1"/>
  <c r="M41" i="11" s="1"/>
  <c r="R41" i="11" s="1"/>
  <c r="D41" i="11"/>
  <c r="Q40" i="11"/>
  <c r="P40" i="11"/>
  <c r="N40" i="11"/>
  <c r="L40" i="11"/>
  <c r="M40" i="11" s="1"/>
  <c r="K40" i="11"/>
  <c r="G40" i="11"/>
  <c r="D40" i="11"/>
  <c r="B44" i="11" s="1"/>
  <c r="AS35" i="11"/>
  <c r="BI33" i="11"/>
  <c r="BK33" i="11" s="1"/>
  <c r="BH33" i="11"/>
  <c r="BF33" i="11"/>
  <c r="AY33" i="11"/>
  <c r="BJ33" i="11" s="1"/>
  <c r="BL33" i="11" s="1"/>
  <c r="AB33" i="11"/>
  <c r="AP35" i="11" s="1"/>
  <c r="H33" i="11"/>
  <c r="F33" i="11"/>
  <c r="E33" i="11"/>
  <c r="C33" i="11"/>
  <c r="K32" i="11"/>
  <c r="G32" i="11"/>
  <c r="D32" i="11"/>
  <c r="P31" i="11"/>
  <c r="K31" i="11"/>
  <c r="G31" i="11"/>
  <c r="D31" i="11"/>
  <c r="L31" i="11" s="1"/>
  <c r="M31" i="11" s="1"/>
  <c r="K30" i="11"/>
  <c r="P30" i="11" s="1"/>
  <c r="G30" i="11"/>
  <c r="D30" i="11"/>
  <c r="K29" i="11"/>
  <c r="G29" i="11"/>
  <c r="D29" i="11"/>
  <c r="L29" i="11" s="1"/>
  <c r="M29" i="11" s="1"/>
  <c r="AS24" i="11"/>
  <c r="AY22" i="11"/>
  <c r="AB22" i="11"/>
  <c r="AP24" i="11" s="1"/>
  <c r="H22" i="11"/>
  <c r="F22" i="11"/>
  <c r="E22" i="11"/>
  <c r="C22" i="11"/>
  <c r="K21" i="11"/>
  <c r="Q21" i="11" s="1"/>
  <c r="G21" i="11"/>
  <c r="D21" i="11"/>
  <c r="L21" i="11" s="1"/>
  <c r="M21" i="11" s="1"/>
  <c r="R20" i="11"/>
  <c r="K20" i="11"/>
  <c r="Q20" i="11" s="1"/>
  <c r="G20" i="11"/>
  <c r="D20" i="11"/>
  <c r="L20" i="11" s="1"/>
  <c r="M20" i="11" s="1"/>
  <c r="AE20" i="11" s="1"/>
  <c r="P19" i="11"/>
  <c r="K19" i="11"/>
  <c r="N19" i="11" s="1"/>
  <c r="G19" i="11"/>
  <c r="D19" i="11"/>
  <c r="AS14" i="11"/>
  <c r="BH12" i="11"/>
  <c r="AY12" i="11"/>
  <c r="BF12" i="11" s="1"/>
  <c r="AB12" i="11"/>
  <c r="AP14" i="11" s="1"/>
  <c r="H12" i="11"/>
  <c r="F12" i="11"/>
  <c r="E12" i="11"/>
  <c r="C12" i="11"/>
  <c r="K11" i="11"/>
  <c r="G11" i="11"/>
  <c r="D11" i="11"/>
  <c r="K10" i="11"/>
  <c r="Q10" i="11" s="1"/>
  <c r="G10" i="11"/>
  <c r="D10" i="11"/>
  <c r="L10" i="11" s="1"/>
  <c r="M10" i="11" s="1"/>
  <c r="AI10" i="11" s="1"/>
  <c r="K9" i="11"/>
  <c r="Q9" i="11" s="1"/>
  <c r="G9" i="11"/>
  <c r="D9" i="11"/>
  <c r="L9" i="11" s="1"/>
  <c r="M9" i="11" s="1"/>
  <c r="AE9" i="11" s="1"/>
  <c r="L8" i="11"/>
  <c r="M8" i="11" s="1"/>
  <c r="K8" i="11"/>
  <c r="P8" i="11" s="1"/>
  <c r="G8" i="11"/>
  <c r="G12" i="11" s="1"/>
  <c r="D8" i="11"/>
  <c r="D12" i="11" s="1"/>
  <c r="H2" i="11"/>
  <c r="AQ168" i="11" s="1"/>
  <c r="H21" i="10"/>
  <c r="H20" i="10"/>
  <c r="C13" i="10"/>
  <c r="C8" i="10"/>
  <c r="E7" i="10"/>
  <c r="B21" i="10" s="1"/>
  <c r="F21" i="10" s="1"/>
  <c r="C7" i="10"/>
  <c r="E6" i="10"/>
  <c r="D6" i="10" s="1"/>
  <c r="C6" i="10"/>
  <c r="J38" i="9"/>
  <c r="H42" i="9" s="1"/>
  <c r="B38" i="9"/>
  <c r="R37" i="9"/>
  <c r="J37" i="9"/>
  <c r="F37" i="9"/>
  <c r="E37" i="9"/>
  <c r="B37" i="9"/>
  <c r="R36" i="9"/>
  <c r="J36" i="9"/>
  <c r="E36" i="9"/>
  <c r="B36" i="9"/>
  <c r="R35" i="9"/>
  <c r="J35" i="9"/>
  <c r="E35" i="9"/>
  <c r="B35" i="9"/>
  <c r="R34" i="9"/>
  <c r="R38" i="9" s="1"/>
  <c r="J34" i="9"/>
  <c r="E34" i="9"/>
  <c r="B34" i="9"/>
  <c r="E24" i="9"/>
  <c r="E28" i="9" s="1"/>
  <c r="E22" i="9"/>
  <c r="E21" i="9"/>
  <c r="D21" i="9"/>
  <c r="D24" i="9" s="1"/>
  <c r="D28" i="9" s="1"/>
  <c r="E20" i="9"/>
  <c r="F15" i="9"/>
  <c r="E17" i="9" s="1"/>
  <c r="E15" i="9"/>
  <c r="F17" i="9" s="1"/>
  <c r="D15" i="9"/>
  <c r="O9" i="9"/>
  <c r="N9" i="9"/>
  <c r="G9" i="9"/>
  <c r="E9" i="9"/>
  <c r="Q9" i="9" s="1"/>
  <c r="H38" i="9" s="1"/>
  <c r="D9" i="9"/>
  <c r="B9" i="9"/>
  <c r="P9" i="9" s="1"/>
  <c r="F38" i="9" s="1"/>
  <c r="A9" i="9"/>
  <c r="Q8" i="9"/>
  <c r="H37" i="9" s="1"/>
  <c r="P8" i="9"/>
  <c r="O8" i="9"/>
  <c r="M8" i="9"/>
  <c r="I37" i="9" s="1"/>
  <c r="L8" i="9"/>
  <c r="G37" i="9" s="1"/>
  <c r="J8" i="9"/>
  <c r="K8" i="9" s="1"/>
  <c r="I8" i="9"/>
  <c r="Q7" i="9"/>
  <c r="H36" i="9" s="1"/>
  <c r="P7" i="9"/>
  <c r="F36" i="9" s="1"/>
  <c r="O7" i="9"/>
  <c r="J7" i="9"/>
  <c r="M7" i="9" s="1"/>
  <c r="I36" i="9" s="1"/>
  <c r="I7" i="9"/>
  <c r="L7" i="9" s="1"/>
  <c r="G36" i="9" s="1"/>
  <c r="Q6" i="9"/>
  <c r="H35" i="9" s="1"/>
  <c r="P6" i="9"/>
  <c r="F35" i="9" s="1"/>
  <c r="O6" i="9"/>
  <c r="M6" i="9"/>
  <c r="I35" i="9" s="1"/>
  <c r="L6" i="9"/>
  <c r="G35" i="9" s="1"/>
  <c r="J6" i="9"/>
  <c r="K6" i="9" s="1"/>
  <c r="I6" i="9"/>
  <c r="Q5" i="9"/>
  <c r="H34" i="9" s="1"/>
  <c r="P5" i="9"/>
  <c r="F34" i="9" s="1"/>
  <c r="O5" i="9"/>
  <c r="J5" i="9"/>
  <c r="M5" i="9" s="1"/>
  <c r="I34" i="9" s="1"/>
  <c r="I5" i="9"/>
  <c r="L5" i="9" s="1"/>
  <c r="G34" i="9" s="1"/>
  <c r="B2" i="9"/>
  <c r="B31" i="9" s="1"/>
  <c r="R37" i="8"/>
  <c r="J37" i="8"/>
  <c r="G37" i="8"/>
  <c r="E37" i="8"/>
  <c r="B37" i="8"/>
  <c r="R36" i="8"/>
  <c r="J36" i="8"/>
  <c r="G36" i="8"/>
  <c r="E36" i="8"/>
  <c r="B36" i="8"/>
  <c r="R35" i="8"/>
  <c r="J35" i="8"/>
  <c r="E35" i="8"/>
  <c r="B38" i="8" s="1"/>
  <c r="B35" i="8"/>
  <c r="R34" i="8"/>
  <c r="R38" i="8" s="1"/>
  <c r="J34" i="8"/>
  <c r="G34" i="8"/>
  <c r="E34" i="8"/>
  <c r="B34" i="8"/>
  <c r="E22" i="8"/>
  <c r="E21" i="8"/>
  <c r="D21" i="8"/>
  <c r="D24" i="8" s="1"/>
  <c r="D28" i="8" s="1"/>
  <c r="E20" i="8"/>
  <c r="F18" i="8"/>
  <c r="G22" i="8" s="1"/>
  <c r="F15" i="8"/>
  <c r="E17" i="8" s="1"/>
  <c r="F21" i="8" s="1"/>
  <c r="E15" i="8"/>
  <c r="F17" i="8" s="1"/>
  <c r="D15" i="8"/>
  <c r="C21" i="8" s="1"/>
  <c r="C24" i="8" s="1"/>
  <c r="C28" i="8" s="1"/>
  <c r="O9" i="8"/>
  <c r="G9" i="8"/>
  <c r="Q9" i="8" s="1"/>
  <c r="H38" i="8" s="1"/>
  <c r="E9" i="8"/>
  <c r="D9" i="8"/>
  <c r="B9" i="8"/>
  <c r="P9" i="8" s="1"/>
  <c r="F38" i="8" s="1"/>
  <c r="A9" i="8"/>
  <c r="Q8" i="8"/>
  <c r="H37" i="8" s="1"/>
  <c r="P8" i="8"/>
  <c r="F37" i="8" s="1"/>
  <c r="O8" i="8"/>
  <c r="K8" i="8"/>
  <c r="J8" i="8"/>
  <c r="M8" i="8" s="1"/>
  <c r="I37" i="8" s="1"/>
  <c r="I8" i="8"/>
  <c r="L8" i="8" s="1"/>
  <c r="Q7" i="8"/>
  <c r="H36" i="8" s="1"/>
  <c r="P7" i="8"/>
  <c r="F36" i="8" s="1"/>
  <c r="O7" i="8"/>
  <c r="M7" i="8"/>
  <c r="I36" i="8" s="1"/>
  <c r="L7" i="8"/>
  <c r="K7" i="8"/>
  <c r="J7" i="8"/>
  <c r="I7" i="8"/>
  <c r="Q6" i="8"/>
  <c r="H35" i="8" s="1"/>
  <c r="P6" i="8"/>
  <c r="F35" i="8" s="1"/>
  <c r="O6" i="8"/>
  <c r="J6" i="8"/>
  <c r="M6" i="8" s="1"/>
  <c r="I35" i="8" s="1"/>
  <c r="I6" i="8"/>
  <c r="I9" i="8" s="1"/>
  <c r="Q5" i="8"/>
  <c r="H34" i="8" s="1"/>
  <c r="P5" i="8"/>
  <c r="F34" i="8" s="1"/>
  <c r="O5" i="8"/>
  <c r="L5" i="8"/>
  <c r="K5" i="8"/>
  <c r="J5" i="8"/>
  <c r="I5" i="8"/>
  <c r="B2" i="8"/>
  <c r="B31" i="8" s="1"/>
  <c r="R37" i="7"/>
  <c r="J37" i="7"/>
  <c r="E37" i="7"/>
  <c r="B37" i="7"/>
  <c r="R36" i="7"/>
  <c r="J36" i="7"/>
  <c r="E36" i="7"/>
  <c r="B36" i="7"/>
  <c r="R35" i="7"/>
  <c r="J35" i="7"/>
  <c r="E35" i="7"/>
  <c r="B35" i="7"/>
  <c r="R34" i="7"/>
  <c r="R38" i="7" s="1"/>
  <c r="J34" i="7"/>
  <c r="H34" i="7"/>
  <c r="G34" i="7"/>
  <c r="E34" i="7"/>
  <c r="B38" i="7" s="1"/>
  <c r="B34" i="7"/>
  <c r="D28" i="7"/>
  <c r="D24" i="7"/>
  <c r="E22" i="7"/>
  <c r="E21" i="7"/>
  <c r="D21" i="7"/>
  <c r="C21" i="7"/>
  <c r="C24" i="7" s="1"/>
  <c r="C28" i="7" s="1"/>
  <c r="E20" i="7"/>
  <c r="E24" i="7" s="1"/>
  <c r="E28" i="7" s="1"/>
  <c r="F17" i="7"/>
  <c r="E17" i="7"/>
  <c r="F21" i="7" s="1"/>
  <c r="F15" i="7"/>
  <c r="E15" i="7"/>
  <c r="D15" i="7"/>
  <c r="D17" i="7" s="1"/>
  <c r="L9" i="7"/>
  <c r="G38" i="7" s="1"/>
  <c r="I9" i="7"/>
  <c r="G9" i="7"/>
  <c r="E9" i="7"/>
  <c r="Q9" i="7" s="1"/>
  <c r="H38" i="7" s="1"/>
  <c r="D9" i="7"/>
  <c r="P9" i="7" s="1"/>
  <c r="F38" i="7" s="1"/>
  <c r="B9" i="7"/>
  <c r="A9" i="7"/>
  <c r="Q8" i="7"/>
  <c r="H37" i="7" s="1"/>
  <c r="P8" i="7"/>
  <c r="F37" i="7" s="1"/>
  <c r="O8" i="7"/>
  <c r="M8" i="7"/>
  <c r="I37" i="7" s="1"/>
  <c r="K8" i="7"/>
  <c r="J8" i="7"/>
  <c r="I8" i="7"/>
  <c r="L8" i="7" s="1"/>
  <c r="G37" i="7" s="1"/>
  <c r="Q7" i="7"/>
  <c r="H36" i="7" s="1"/>
  <c r="P7" i="7"/>
  <c r="F36" i="7" s="1"/>
  <c r="O7" i="7"/>
  <c r="M7" i="7"/>
  <c r="I36" i="7" s="1"/>
  <c r="J7" i="7"/>
  <c r="K7" i="7" s="1"/>
  <c r="I7" i="7"/>
  <c r="L7" i="7" s="1"/>
  <c r="G36" i="7" s="1"/>
  <c r="Q6" i="7"/>
  <c r="H35" i="7" s="1"/>
  <c r="P6" i="7"/>
  <c r="F35" i="7" s="1"/>
  <c r="O6" i="7"/>
  <c r="J6" i="7"/>
  <c r="M6" i="7" s="1"/>
  <c r="I35" i="7" s="1"/>
  <c r="I6" i="7"/>
  <c r="L6" i="7" s="1"/>
  <c r="G35" i="7" s="1"/>
  <c r="Q5" i="7"/>
  <c r="P5" i="7"/>
  <c r="F34" i="7" s="1"/>
  <c r="O5" i="7"/>
  <c r="O9" i="7" s="1"/>
  <c r="N9" i="7" s="1"/>
  <c r="J38" i="7" s="1"/>
  <c r="H42" i="7" s="1"/>
  <c r="J5" i="7"/>
  <c r="I5" i="7"/>
  <c r="L5" i="7" s="1"/>
  <c r="B2" i="7"/>
  <c r="B31" i="7" s="1"/>
  <c r="R37" i="6"/>
  <c r="R38" i="6" s="1"/>
  <c r="J37" i="6"/>
  <c r="E37" i="6"/>
  <c r="B37" i="6"/>
  <c r="R36" i="6"/>
  <c r="J36" i="6"/>
  <c r="E36" i="6"/>
  <c r="B36" i="6"/>
  <c r="R35" i="6"/>
  <c r="J35" i="6"/>
  <c r="E35" i="6"/>
  <c r="B35" i="6"/>
  <c r="R34" i="6"/>
  <c r="J34" i="6"/>
  <c r="H34" i="6"/>
  <c r="E34" i="6"/>
  <c r="B34" i="6"/>
  <c r="D28" i="6"/>
  <c r="E24" i="6"/>
  <c r="E28" i="6" s="1"/>
  <c r="C24" i="6"/>
  <c r="C28" i="6" s="1"/>
  <c r="E22" i="6"/>
  <c r="E21" i="6"/>
  <c r="D21" i="6"/>
  <c r="D24" i="6" s="1"/>
  <c r="C21" i="6"/>
  <c r="E20" i="6"/>
  <c r="E17" i="6"/>
  <c r="F21" i="6" s="1"/>
  <c r="D17" i="6"/>
  <c r="F20" i="6" s="1"/>
  <c r="F15" i="6"/>
  <c r="E15" i="6"/>
  <c r="F17" i="6" s="1"/>
  <c r="D15" i="6"/>
  <c r="G9" i="6"/>
  <c r="Q9" i="6" s="1"/>
  <c r="H38" i="6" s="1"/>
  <c r="E9" i="6"/>
  <c r="D9" i="6"/>
  <c r="B9" i="6"/>
  <c r="P9" i="6" s="1"/>
  <c r="F38" i="6" s="1"/>
  <c r="A9" i="6"/>
  <c r="Q8" i="6"/>
  <c r="H37" i="6" s="1"/>
  <c r="P8" i="6"/>
  <c r="F37" i="6" s="1"/>
  <c r="O8" i="6"/>
  <c r="M8" i="6"/>
  <c r="I37" i="6" s="1"/>
  <c r="J8" i="6"/>
  <c r="I8" i="6"/>
  <c r="L8" i="6" s="1"/>
  <c r="G37" i="6" s="1"/>
  <c r="Q7" i="6"/>
  <c r="H36" i="6" s="1"/>
  <c r="P7" i="6"/>
  <c r="F36" i="6" s="1"/>
  <c r="O7" i="6"/>
  <c r="M7" i="6"/>
  <c r="I36" i="6" s="1"/>
  <c r="K7" i="6"/>
  <c r="J7" i="6"/>
  <c r="I7" i="6"/>
  <c r="L7" i="6" s="1"/>
  <c r="G36" i="6" s="1"/>
  <c r="Q6" i="6"/>
  <c r="H35" i="6" s="1"/>
  <c r="P6" i="6"/>
  <c r="F35" i="6" s="1"/>
  <c r="O6" i="6"/>
  <c r="J6" i="6"/>
  <c r="M6" i="6" s="1"/>
  <c r="I35" i="6" s="1"/>
  <c r="I6" i="6"/>
  <c r="L6" i="6" s="1"/>
  <c r="G35" i="6" s="1"/>
  <c r="Q5" i="6"/>
  <c r="P5" i="6"/>
  <c r="F34" i="6" s="1"/>
  <c r="O5" i="6"/>
  <c r="O9" i="6" s="1"/>
  <c r="N9" i="6" s="1"/>
  <c r="J38" i="6" s="1"/>
  <c r="H42" i="6" s="1"/>
  <c r="J5" i="6"/>
  <c r="M5" i="6" s="1"/>
  <c r="I34" i="6" s="1"/>
  <c r="I5" i="6"/>
  <c r="B2" i="6"/>
  <c r="B31" i="6" s="1"/>
  <c r="H38" i="5"/>
  <c r="F38" i="5"/>
  <c r="B38" i="5"/>
  <c r="R37" i="5"/>
  <c r="J37" i="5"/>
  <c r="F37" i="5"/>
  <c r="E37" i="5"/>
  <c r="B37" i="5"/>
  <c r="R36" i="5"/>
  <c r="J36" i="5"/>
  <c r="E36" i="5"/>
  <c r="B36" i="5"/>
  <c r="R35" i="5"/>
  <c r="R38" i="5" s="1"/>
  <c r="J35" i="5"/>
  <c r="F35" i="5"/>
  <c r="E35" i="5"/>
  <c r="B35" i="5"/>
  <c r="R34" i="5"/>
  <c r="J34" i="5"/>
  <c r="H34" i="5"/>
  <c r="E34" i="5"/>
  <c r="B34" i="5"/>
  <c r="D28" i="5"/>
  <c r="E24" i="5"/>
  <c r="E28" i="5" s="1"/>
  <c r="E22" i="5"/>
  <c r="E21" i="5"/>
  <c r="D21" i="5"/>
  <c r="D24" i="5" s="1"/>
  <c r="C21" i="5"/>
  <c r="C24" i="5" s="1"/>
  <c r="C28" i="5" s="1"/>
  <c r="E20" i="5"/>
  <c r="E17" i="5"/>
  <c r="F15" i="5"/>
  <c r="E15" i="5"/>
  <c r="F17" i="5" s="1"/>
  <c r="F22" i="5" s="1"/>
  <c r="D15" i="5"/>
  <c r="D17" i="5" s="1"/>
  <c r="Q9" i="5"/>
  <c r="P9" i="5"/>
  <c r="Q8" i="5"/>
  <c r="H37" i="5" s="1"/>
  <c r="P8" i="5"/>
  <c r="O8" i="5"/>
  <c r="J8" i="5"/>
  <c r="M8" i="5" s="1"/>
  <c r="I37" i="5" s="1"/>
  <c r="I8" i="5"/>
  <c r="L8" i="5" s="1"/>
  <c r="G37" i="5" s="1"/>
  <c r="Q7" i="5"/>
  <c r="H36" i="5" s="1"/>
  <c r="P7" i="5"/>
  <c r="F36" i="5" s="1"/>
  <c r="O7" i="5"/>
  <c r="M7" i="5"/>
  <c r="I36" i="5" s="1"/>
  <c r="K7" i="5"/>
  <c r="J7" i="5"/>
  <c r="I7" i="5"/>
  <c r="L7" i="5" s="1"/>
  <c r="G36" i="5" s="1"/>
  <c r="Q6" i="5"/>
  <c r="H35" i="5" s="1"/>
  <c r="P6" i="5"/>
  <c r="O6" i="5"/>
  <c r="J6" i="5"/>
  <c r="M6" i="5" s="1"/>
  <c r="I35" i="5" s="1"/>
  <c r="I6" i="5"/>
  <c r="L6" i="5" s="1"/>
  <c r="G35" i="5" s="1"/>
  <c r="Q5" i="5"/>
  <c r="P5" i="5"/>
  <c r="F34" i="5" s="1"/>
  <c r="O5" i="5"/>
  <c r="O9" i="5" s="1"/>
  <c r="N9" i="5" s="1"/>
  <c r="J38" i="5" s="1"/>
  <c r="H42" i="5" s="1"/>
  <c r="M5" i="5"/>
  <c r="I34" i="5" s="1"/>
  <c r="K5" i="5"/>
  <c r="J5" i="5"/>
  <c r="I5" i="5"/>
  <c r="B2" i="5"/>
  <c r="B31" i="5" s="1"/>
  <c r="R37" i="4"/>
  <c r="J37" i="4"/>
  <c r="E37" i="4"/>
  <c r="B37" i="4"/>
  <c r="R36" i="4"/>
  <c r="J36" i="4"/>
  <c r="H36" i="4"/>
  <c r="E36" i="4"/>
  <c r="B38" i="4" s="1"/>
  <c r="B36" i="4"/>
  <c r="R35" i="4"/>
  <c r="J35" i="4"/>
  <c r="E35" i="4"/>
  <c r="B35" i="4"/>
  <c r="R34" i="4"/>
  <c r="J34" i="4"/>
  <c r="H34" i="4"/>
  <c r="E34" i="4"/>
  <c r="B34" i="4"/>
  <c r="B31" i="4"/>
  <c r="E22" i="4"/>
  <c r="F21" i="4"/>
  <c r="E21" i="4"/>
  <c r="D21" i="4"/>
  <c r="D24" i="4" s="1"/>
  <c r="D28" i="4" s="1"/>
  <c r="C21" i="4"/>
  <c r="C24" i="4" s="1"/>
  <c r="C28" i="4" s="1"/>
  <c r="E20" i="4"/>
  <c r="E24" i="4" s="1"/>
  <c r="E28" i="4" s="1"/>
  <c r="E17" i="4"/>
  <c r="F18" i="4" s="1"/>
  <c r="G22" i="4" s="1"/>
  <c r="D17" i="4"/>
  <c r="F20" i="4" s="1"/>
  <c r="F15" i="4"/>
  <c r="E15" i="4"/>
  <c r="F17" i="4" s="1"/>
  <c r="D15" i="4"/>
  <c r="P9" i="4"/>
  <c r="F38" i="4" s="1"/>
  <c r="G9" i="4"/>
  <c r="Q9" i="4" s="1"/>
  <c r="H38" i="4" s="1"/>
  <c r="E9" i="4"/>
  <c r="D9" i="4"/>
  <c r="B9" i="4"/>
  <c r="A9" i="4"/>
  <c r="Q8" i="4"/>
  <c r="H37" i="4" s="1"/>
  <c r="P8" i="4"/>
  <c r="F37" i="4" s="1"/>
  <c r="O8" i="4"/>
  <c r="L8" i="4"/>
  <c r="G37" i="4" s="1"/>
  <c r="K8" i="4"/>
  <c r="J8" i="4"/>
  <c r="M8" i="4" s="1"/>
  <c r="I37" i="4" s="1"/>
  <c r="I8" i="4"/>
  <c r="Q7" i="4"/>
  <c r="P7" i="4"/>
  <c r="F36" i="4" s="1"/>
  <c r="O7" i="4"/>
  <c r="J7" i="4"/>
  <c r="M7" i="4" s="1"/>
  <c r="I36" i="4" s="1"/>
  <c r="I7" i="4"/>
  <c r="L7" i="4" s="1"/>
  <c r="G36" i="4" s="1"/>
  <c r="Q6" i="4"/>
  <c r="H35" i="4" s="1"/>
  <c r="P6" i="4"/>
  <c r="F35" i="4" s="1"/>
  <c r="O6" i="4"/>
  <c r="M6" i="4"/>
  <c r="I35" i="4" s="1"/>
  <c r="J6" i="4"/>
  <c r="K6" i="4" s="1"/>
  <c r="I6" i="4"/>
  <c r="L6" i="4" s="1"/>
  <c r="G35" i="4" s="1"/>
  <c r="Q5" i="4"/>
  <c r="P5" i="4"/>
  <c r="F34" i="4" s="1"/>
  <c r="O5" i="4"/>
  <c r="J5" i="4"/>
  <c r="M5" i="4" s="1"/>
  <c r="I34" i="4" s="1"/>
  <c r="I5" i="4"/>
  <c r="L5" i="4" s="1"/>
  <c r="G34" i="4" s="1"/>
  <c r="B2" i="4"/>
  <c r="B38" i="3"/>
  <c r="R37" i="3"/>
  <c r="J37" i="3"/>
  <c r="H37" i="3"/>
  <c r="G37" i="3"/>
  <c r="E37" i="3"/>
  <c r="B37" i="3"/>
  <c r="R36" i="3"/>
  <c r="J36" i="3"/>
  <c r="F36" i="3"/>
  <c r="E36" i="3"/>
  <c r="B36" i="3"/>
  <c r="R35" i="3"/>
  <c r="J35" i="3"/>
  <c r="H35" i="3"/>
  <c r="F35" i="3"/>
  <c r="E35" i="3"/>
  <c r="B35" i="3"/>
  <c r="R34" i="3"/>
  <c r="R38" i="3" s="1"/>
  <c r="J34" i="3"/>
  <c r="F34" i="3"/>
  <c r="E34" i="3"/>
  <c r="B34" i="3"/>
  <c r="B31" i="3"/>
  <c r="E22" i="3"/>
  <c r="F21" i="3"/>
  <c r="E21" i="3"/>
  <c r="D21" i="3"/>
  <c r="D24" i="3" s="1"/>
  <c r="D28" i="3" s="1"/>
  <c r="E20" i="3"/>
  <c r="E24" i="3" s="1"/>
  <c r="E28" i="3" s="1"/>
  <c r="F18" i="3"/>
  <c r="G22" i="3" s="1"/>
  <c r="F15" i="3"/>
  <c r="E17" i="3" s="1"/>
  <c r="E15" i="3"/>
  <c r="F17" i="3" s="1"/>
  <c r="D15" i="3"/>
  <c r="D17" i="3" s="1"/>
  <c r="Q9" i="3"/>
  <c r="H38" i="3" s="1"/>
  <c r="P9" i="3"/>
  <c r="F38" i="3" s="1"/>
  <c r="G9" i="3"/>
  <c r="E9" i="3"/>
  <c r="D9" i="3"/>
  <c r="B9" i="3"/>
  <c r="L9" i="3" s="1"/>
  <c r="G38" i="3" s="1"/>
  <c r="A9" i="3"/>
  <c r="Q8" i="3"/>
  <c r="P8" i="3"/>
  <c r="F37" i="3" s="1"/>
  <c r="O8" i="3"/>
  <c r="M8" i="3"/>
  <c r="I37" i="3" s="1"/>
  <c r="K8" i="3"/>
  <c r="J8" i="3"/>
  <c r="I8" i="3"/>
  <c r="L8" i="3" s="1"/>
  <c r="Q7" i="3"/>
  <c r="H36" i="3" s="1"/>
  <c r="P7" i="3"/>
  <c r="O7" i="3"/>
  <c r="J7" i="3"/>
  <c r="M7" i="3" s="1"/>
  <c r="I36" i="3" s="1"/>
  <c r="I7" i="3"/>
  <c r="L7" i="3" s="1"/>
  <c r="G36" i="3" s="1"/>
  <c r="Q6" i="3"/>
  <c r="P6" i="3"/>
  <c r="O6" i="3"/>
  <c r="O9" i="3" s="1"/>
  <c r="N9" i="3" s="1"/>
  <c r="J38" i="3" s="1"/>
  <c r="H42" i="3" s="1"/>
  <c r="M6" i="3"/>
  <c r="I35" i="3" s="1"/>
  <c r="K6" i="3"/>
  <c r="J6" i="3"/>
  <c r="I6" i="3"/>
  <c r="L6" i="3" s="1"/>
  <c r="G35" i="3" s="1"/>
  <c r="Q5" i="3"/>
  <c r="H34" i="3" s="1"/>
  <c r="P5" i="3"/>
  <c r="O5" i="3"/>
  <c r="J5" i="3"/>
  <c r="J9" i="3" s="1"/>
  <c r="M9" i="3" s="1"/>
  <c r="I38" i="3" s="1"/>
  <c r="I5" i="3"/>
  <c r="I9" i="3" s="1"/>
  <c r="B2" i="3"/>
  <c r="R37" i="2"/>
  <c r="J37" i="2"/>
  <c r="E37" i="2"/>
  <c r="R36" i="2"/>
  <c r="J36" i="2"/>
  <c r="E36" i="2"/>
  <c r="R35" i="2"/>
  <c r="J35" i="2"/>
  <c r="E35" i="2"/>
  <c r="B38" i="2" s="1"/>
  <c r="R34" i="2"/>
  <c r="J34" i="2"/>
  <c r="E34" i="2"/>
  <c r="E24" i="2"/>
  <c r="E28" i="2" s="1"/>
  <c r="E22" i="2"/>
  <c r="E21" i="2"/>
  <c r="D21" i="2"/>
  <c r="D24" i="2" s="1"/>
  <c r="D28" i="2" s="1"/>
  <c r="E20" i="2"/>
  <c r="F15" i="2"/>
  <c r="E17" i="2" s="1"/>
  <c r="E15" i="2"/>
  <c r="F17" i="2" s="1"/>
  <c r="F22" i="2" s="1"/>
  <c r="D15" i="2"/>
  <c r="Q8" i="2"/>
  <c r="H37" i="2" s="1"/>
  <c r="P8" i="2"/>
  <c r="F37" i="2" s="1"/>
  <c r="O8" i="2"/>
  <c r="J8" i="2"/>
  <c r="M8" i="2" s="1"/>
  <c r="I37" i="2" s="1"/>
  <c r="I8" i="2"/>
  <c r="L8" i="2" s="1"/>
  <c r="G37" i="2" s="1"/>
  <c r="Q7" i="2"/>
  <c r="H36" i="2" s="1"/>
  <c r="P7" i="2"/>
  <c r="F36" i="2" s="1"/>
  <c r="O7" i="2"/>
  <c r="J7" i="2"/>
  <c r="M7" i="2" s="1"/>
  <c r="I36" i="2" s="1"/>
  <c r="I7" i="2"/>
  <c r="K7" i="2" s="1"/>
  <c r="Q6" i="2"/>
  <c r="H35" i="2" s="1"/>
  <c r="P6" i="2"/>
  <c r="F35" i="2" s="1"/>
  <c r="O6" i="2"/>
  <c r="J6" i="2"/>
  <c r="M6" i="2" s="1"/>
  <c r="I35" i="2" s="1"/>
  <c r="I6" i="2"/>
  <c r="L6" i="2" s="1"/>
  <c r="G35" i="2" s="1"/>
  <c r="Q5" i="2"/>
  <c r="H34" i="2" s="1"/>
  <c r="P5" i="2"/>
  <c r="F34" i="2" s="1"/>
  <c r="O5" i="2"/>
  <c r="J5" i="2"/>
  <c r="M5" i="2" s="1"/>
  <c r="I34" i="2" s="1"/>
  <c r="I5" i="2"/>
  <c r="G34" i="2" s="1"/>
  <c r="B2" i="2"/>
  <c r="B31" i="2" s="1"/>
  <c r="R38" i="2" l="1"/>
  <c r="F21" i="2"/>
  <c r="F18" i="2"/>
  <c r="G22" i="2" s="1"/>
  <c r="J9" i="2"/>
  <c r="M9" i="2" s="1"/>
  <c r="I38" i="2" s="1"/>
  <c r="C42" i="2" s="1"/>
  <c r="L7" i="2"/>
  <c r="G36" i="2" s="1"/>
  <c r="AI21" i="11"/>
  <c r="R129" i="11"/>
  <c r="AI129" i="11"/>
  <c r="AE129" i="11"/>
  <c r="R117" i="11"/>
  <c r="O117" i="11"/>
  <c r="R97" i="11"/>
  <c r="AI97" i="11"/>
  <c r="O156" i="11"/>
  <c r="R156" i="11"/>
  <c r="S8" i="11"/>
  <c r="U8" i="11" s="1"/>
  <c r="W8" i="11" s="1"/>
  <c r="BI12" i="11"/>
  <c r="BK12" i="11" s="1"/>
  <c r="BM12" i="11" s="1"/>
  <c r="S20" i="11"/>
  <c r="T20" i="11" s="1"/>
  <c r="V20" i="11" s="1"/>
  <c r="AQ40" i="11"/>
  <c r="BM66" i="11"/>
  <c r="L75" i="11"/>
  <c r="M75" i="11" s="1"/>
  <c r="AE75" i="11" s="1"/>
  <c r="P96" i="11"/>
  <c r="AQ98" i="11"/>
  <c r="L177" i="11"/>
  <c r="M177" i="11" s="1"/>
  <c r="S40" i="11"/>
  <c r="AQ33" i="11"/>
  <c r="AQ8" i="11"/>
  <c r="L11" i="11"/>
  <c r="M11" i="11" s="1"/>
  <c r="M12" i="11" s="1"/>
  <c r="BJ12" i="11"/>
  <c r="BL12" i="11" s="1"/>
  <c r="AQ20" i="11"/>
  <c r="S22" i="11"/>
  <c r="L62" i="11"/>
  <c r="M62" i="11" s="1"/>
  <c r="M66" i="11" s="1"/>
  <c r="L95" i="11"/>
  <c r="M95" i="11" s="1"/>
  <c r="L141" i="11"/>
  <c r="M141" i="11" s="1"/>
  <c r="AE141" i="11" s="1"/>
  <c r="S156" i="11"/>
  <c r="BF188" i="11"/>
  <c r="AQ66" i="11"/>
  <c r="D99" i="11"/>
  <c r="D22" i="11"/>
  <c r="R65" i="11"/>
  <c r="O155" i="11"/>
  <c r="L157" i="11"/>
  <c r="M157" i="11" s="1"/>
  <c r="AE157" i="11" s="1"/>
  <c r="L178" i="11"/>
  <c r="M178" i="11" s="1"/>
  <c r="O178" i="11" s="1"/>
  <c r="AQ141" i="11"/>
  <c r="N9" i="11"/>
  <c r="O9" i="11" s="1"/>
  <c r="L32" i="11"/>
  <c r="M32" i="11" s="1"/>
  <c r="AE32" i="11" s="1"/>
  <c r="S43" i="11"/>
  <c r="G77" i="11"/>
  <c r="Q84" i="11"/>
  <c r="N95" i="11"/>
  <c r="P115" i="11"/>
  <c r="N127" i="11"/>
  <c r="N130" i="11"/>
  <c r="AQ145" i="11"/>
  <c r="P178" i="11"/>
  <c r="AI186" i="11"/>
  <c r="S84" i="11"/>
  <c r="Q115" i="11"/>
  <c r="L118" i="11"/>
  <c r="M118" i="11" s="1"/>
  <c r="Q127" i="11"/>
  <c r="L131" i="11"/>
  <c r="M131" i="11" s="1"/>
  <c r="AE131" i="11" s="1"/>
  <c r="BF133" i="11"/>
  <c r="B146" i="11"/>
  <c r="S153" i="11"/>
  <c r="BF169" i="11"/>
  <c r="B179" i="11"/>
  <c r="P9" i="11"/>
  <c r="N21" i="11"/>
  <c r="Z21" i="11" s="1"/>
  <c r="AA21" i="11" s="1"/>
  <c r="S41" i="11"/>
  <c r="AQ43" i="11"/>
  <c r="S19" i="11"/>
  <c r="P21" i="11"/>
  <c r="G33" i="11"/>
  <c r="AQ52" i="11"/>
  <c r="AQ55" i="11"/>
  <c r="L85" i="11"/>
  <c r="M85" i="11" s="1"/>
  <c r="S88" i="11"/>
  <c r="P95" i="11"/>
  <c r="N97" i="11"/>
  <c r="O97" i="11" s="1"/>
  <c r="L154" i="11"/>
  <c r="M154" i="11" s="1"/>
  <c r="BH169" i="11"/>
  <c r="AQ108" i="11"/>
  <c r="S115" i="11"/>
  <c r="T115" i="11" s="1"/>
  <c r="V115" i="11" s="1"/>
  <c r="BM133" i="11"/>
  <c r="BM169" i="11"/>
  <c r="S10" i="11"/>
  <c r="AQ31" i="11"/>
  <c r="S9" i="11"/>
  <c r="U9" i="11" s="1"/>
  <c r="W9" i="11" s="1"/>
  <c r="AQ19" i="11"/>
  <c r="S32" i="11"/>
  <c r="S63" i="11"/>
  <c r="G88" i="11"/>
  <c r="S21" i="11"/>
  <c r="AQ32" i="11"/>
  <c r="BF55" i="11"/>
  <c r="AQ63" i="11"/>
  <c r="S73" i="11"/>
  <c r="P97" i="11"/>
  <c r="N118" i="11"/>
  <c r="P187" i="11"/>
  <c r="D44" i="11"/>
  <c r="AQ9" i="11"/>
  <c r="S12" i="11"/>
  <c r="G22" i="11"/>
  <c r="N42" i="11"/>
  <c r="BH55" i="11"/>
  <c r="AQ73" i="11"/>
  <c r="BF88" i="11"/>
  <c r="AQ95" i="11"/>
  <c r="BF108" i="11"/>
  <c r="L116" i="11"/>
  <c r="M116" i="11" s="1"/>
  <c r="M119" i="11" s="1"/>
  <c r="L132" i="11"/>
  <c r="M132" i="11" s="1"/>
  <c r="R132" i="11" s="1"/>
  <c r="N154" i="11"/>
  <c r="O154" i="11" s="1"/>
  <c r="N167" i="11"/>
  <c r="Q187" i="11"/>
  <c r="S53" i="11"/>
  <c r="L168" i="11"/>
  <c r="M168" i="11" s="1"/>
  <c r="B12" i="11"/>
  <c r="AQ12" i="11"/>
  <c r="N20" i="11"/>
  <c r="AQ21" i="11"/>
  <c r="S42" i="11"/>
  <c r="P20" i="11"/>
  <c r="N30" i="11"/>
  <c r="AQ42" i="11"/>
  <c r="S116" i="11"/>
  <c r="S118" i="11"/>
  <c r="AQ30" i="11"/>
  <c r="S33" i="11"/>
  <c r="AQ53" i="11"/>
  <c r="P74" i="11"/>
  <c r="O9" i="2"/>
  <c r="N9" i="2" s="1"/>
  <c r="J38" i="2" s="1"/>
  <c r="H42" i="2" s="1"/>
  <c r="I9" i="2"/>
  <c r="K6" i="2"/>
  <c r="Q9" i="2"/>
  <c r="H38" i="2" s="1"/>
  <c r="AI29" i="11"/>
  <c r="AE29" i="11"/>
  <c r="R29" i="11"/>
  <c r="AE40" i="11"/>
  <c r="AI40" i="11"/>
  <c r="R40" i="11"/>
  <c r="U40" i="11" s="1"/>
  <c r="W40" i="11" s="1"/>
  <c r="O40" i="11"/>
  <c r="AE64" i="11"/>
  <c r="R64" i="11"/>
  <c r="AI64" i="11"/>
  <c r="O64" i="11"/>
  <c r="AE8" i="11"/>
  <c r="R8" i="11"/>
  <c r="T8" i="11" s="1"/>
  <c r="V8" i="11" s="1"/>
  <c r="AI8" i="11"/>
  <c r="O63" i="11"/>
  <c r="R31" i="11"/>
  <c r="O31" i="11"/>
  <c r="AI31" i="11"/>
  <c r="AE31" i="11"/>
  <c r="AA31" i="11"/>
  <c r="R32" i="11"/>
  <c r="AI32" i="11"/>
  <c r="Q32" i="11"/>
  <c r="P32" i="11"/>
  <c r="N32" i="11"/>
  <c r="Q87" i="11"/>
  <c r="P87" i="11"/>
  <c r="N87" i="11"/>
  <c r="D33" i="11"/>
  <c r="B33" i="11"/>
  <c r="L30" i="11"/>
  <c r="M30" i="11" s="1"/>
  <c r="R85" i="11"/>
  <c r="AI85" i="11"/>
  <c r="AE85" i="11"/>
  <c r="Q107" i="11"/>
  <c r="P107" i="11"/>
  <c r="N107" i="11"/>
  <c r="N85" i="11"/>
  <c r="AI11" i="11"/>
  <c r="BM55" i="11"/>
  <c r="AE43" i="11"/>
  <c r="AI43" i="11"/>
  <c r="O43" i="11"/>
  <c r="R133" i="11"/>
  <c r="AD133" i="11"/>
  <c r="R52" i="11"/>
  <c r="AE52" i="11"/>
  <c r="AI9" i="11"/>
  <c r="R63" i="11"/>
  <c r="AI63" i="11"/>
  <c r="P85" i="11"/>
  <c r="N8" i="11"/>
  <c r="O8" i="11" s="1"/>
  <c r="Q11" i="11"/>
  <c r="P11" i="11"/>
  <c r="N11" i="11"/>
  <c r="Q29" i="11"/>
  <c r="P29" i="11"/>
  <c r="AI52" i="11"/>
  <c r="AE96" i="11"/>
  <c r="R96" i="11"/>
  <c r="O96" i="11"/>
  <c r="AI96" i="11"/>
  <c r="AE143" i="11"/>
  <c r="R143" i="11"/>
  <c r="AI143" i="11"/>
  <c r="BM119" i="11"/>
  <c r="AI75" i="11"/>
  <c r="AE63" i="11"/>
  <c r="G99" i="11"/>
  <c r="L98" i="11"/>
  <c r="M98" i="11" s="1"/>
  <c r="N29" i="11"/>
  <c r="G44" i="11"/>
  <c r="R43" i="11"/>
  <c r="U43" i="11" s="1"/>
  <c r="W43" i="11" s="1"/>
  <c r="D55" i="11"/>
  <c r="B55" i="11"/>
  <c r="L51" i="11"/>
  <c r="M51" i="11" s="1"/>
  <c r="Q140" i="11"/>
  <c r="P140" i="11"/>
  <c r="N140" i="11"/>
  <c r="BM33" i="11"/>
  <c r="P10" i="11"/>
  <c r="N10" i="11"/>
  <c r="O10" i="11" s="1"/>
  <c r="AE10" i="11"/>
  <c r="R9" i="11"/>
  <c r="R10" i="11"/>
  <c r="AE11" i="11"/>
  <c r="P41" i="11"/>
  <c r="N41" i="11"/>
  <c r="Z41" i="11" s="1"/>
  <c r="AA41" i="11" s="1"/>
  <c r="G55" i="11"/>
  <c r="R75" i="11"/>
  <c r="R87" i="11"/>
  <c r="AI87" i="11"/>
  <c r="AE127" i="11"/>
  <c r="R127" i="11"/>
  <c r="O127" i="11"/>
  <c r="AI127" i="11"/>
  <c r="Q63" i="11"/>
  <c r="P63" i="11"/>
  <c r="AE41" i="11"/>
  <c r="AI41" i="11"/>
  <c r="AI126" i="11"/>
  <c r="AE126" i="11"/>
  <c r="AE133" i="11" s="1"/>
  <c r="AF133" i="11" s="1"/>
  <c r="R126" i="11"/>
  <c r="AE87" i="11"/>
  <c r="AI140" i="11"/>
  <c r="AE140" i="11"/>
  <c r="AE146" i="11" s="1"/>
  <c r="R140" i="11"/>
  <c r="M146" i="11"/>
  <c r="O131" i="11"/>
  <c r="AI131" i="11"/>
  <c r="Q8" i="11"/>
  <c r="AE21" i="11"/>
  <c r="R21" i="11"/>
  <c r="T21" i="11" s="1"/>
  <c r="V21" i="11" s="1"/>
  <c r="O21" i="11"/>
  <c r="Q41" i="11"/>
  <c r="P64" i="11"/>
  <c r="Q64" i="11"/>
  <c r="P165" i="11"/>
  <c r="N165" i="11"/>
  <c r="AE168" i="11"/>
  <c r="R168" i="11"/>
  <c r="AI168" i="11"/>
  <c r="BJ22" i="11"/>
  <c r="BL22" i="11" s="1"/>
  <c r="BH22" i="11"/>
  <c r="P166" i="11"/>
  <c r="N166" i="11"/>
  <c r="Q19" i="11"/>
  <c r="Q51" i="11"/>
  <c r="P51" i="11"/>
  <c r="N51" i="11"/>
  <c r="Z51" i="11" s="1"/>
  <c r="R53" i="11"/>
  <c r="AI53" i="11"/>
  <c r="L76" i="11"/>
  <c r="M76" i="11" s="1"/>
  <c r="AI20" i="11"/>
  <c r="P52" i="11"/>
  <c r="Q98" i="11"/>
  <c r="P98" i="11"/>
  <c r="O167" i="11"/>
  <c r="AI167" i="11"/>
  <c r="Q30" i="11"/>
  <c r="Q52" i="11"/>
  <c r="L54" i="11"/>
  <c r="M54" i="11" s="1"/>
  <c r="N76" i="11"/>
  <c r="L130" i="11"/>
  <c r="M130" i="11" s="1"/>
  <c r="BF22" i="11"/>
  <c r="AE65" i="11"/>
  <c r="O65" i="11"/>
  <c r="D77" i="11"/>
  <c r="B77" i="11"/>
  <c r="L73" i="11"/>
  <c r="M73" i="11" s="1"/>
  <c r="R86" i="11"/>
  <c r="AI86" i="11"/>
  <c r="AE86" i="11"/>
  <c r="R167" i="11"/>
  <c r="BI22" i="11"/>
  <c r="BK22" i="11" s="1"/>
  <c r="Q54" i="11"/>
  <c r="P54" i="11"/>
  <c r="N54" i="11"/>
  <c r="D66" i="11"/>
  <c r="B66" i="11"/>
  <c r="L74" i="11"/>
  <c r="M74" i="11" s="1"/>
  <c r="N75" i="11"/>
  <c r="O75" i="11" s="1"/>
  <c r="P75" i="11"/>
  <c r="P76" i="11"/>
  <c r="O86" i="11"/>
  <c r="N98" i="11"/>
  <c r="O20" i="11"/>
  <c r="Q31" i="11"/>
  <c r="N31" i="11"/>
  <c r="Z31" i="11" s="1"/>
  <c r="AQ41" i="11"/>
  <c r="BJ44" i="11"/>
  <c r="BL44" i="11" s="1"/>
  <c r="BM44" i="11" s="1"/>
  <c r="BF44" i="11"/>
  <c r="S55" i="11"/>
  <c r="AQ62" i="11"/>
  <c r="AQ74" i="11"/>
  <c r="S166" i="11"/>
  <c r="R177" i="11"/>
  <c r="AE177" i="11"/>
  <c r="AI177" i="11"/>
  <c r="AQ188" i="11"/>
  <c r="AQ51" i="11"/>
  <c r="Q126" i="11"/>
  <c r="N126" i="11"/>
  <c r="O126" i="11" s="1"/>
  <c r="O133" i="11" s="1"/>
  <c r="P133" i="11" s="1"/>
  <c r="Z127" i="11" s="1"/>
  <c r="AA127" i="11" s="1"/>
  <c r="AQ128" i="11"/>
  <c r="AQ54" i="11"/>
  <c r="BJ77" i="11"/>
  <c r="BL77" i="11" s="1"/>
  <c r="BI77" i="11"/>
  <c r="BK77" i="11" s="1"/>
  <c r="BM77" i="11" s="1"/>
  <c r="S95" i="11"/>
  <c r="N157" i="11"/>
  <c r="Q157" i="11"/>
  <c r="P157" i="11"/>
  <c r="L187" i="11"/>
  <c r="M187" i="11" s="1"/>
  <c r="G188" i="11"/>
  <c r="S11" i="11"/>
  <c r="L19" i="11"/>
  <c r="M19" i="11" s="1"/>
  <c r="B22" i="11"/>
  <c r="AQ22" i="11"/>
  <c r="S29" i="11"/>
  <c r="S54" i="11"/>
  <c r="N65" i="11"/>
  <c r="AQ87" i="11"/>
  <c r="S97" i="11"/>
  <c r="S107" i="11"/>
  <c r="AQ130" i="11"/>
  <c r="AQ10" i="11"/>
  <c r="S30" i="11"/>
  <c r="S62" i="11"/>
  <c r="S74" i="11"/>
  <c r="D88" i="11"/>
  <c r="L84" i="11"/>
  <c r="M84" i="11" s="1"/>
  <c r="B88" i="11"/>
  <c r="Q106" i="11"/>
  <c r="P106" i="11"/>
  <c r="N106" i="11"/>
  <c r="S179" i="11"/>
  <c r="AQ144" i="11"/>
  <c r="S129" i="11"/>
  <c r="T129" i="11" s="1"/>
  <c r="V129" i="11" s="1"/>
  <c r="AQ127" i="11"/>
  <c r="AQ178" i="11"/>
  <c r="S145" i="11"/>
  <c r="AQ143" i="11"/>
  <c r="S128" i="11"/>
  <c r="AQ126" i="11"/>
  <c r="S178" i="11"/>
  <c r="S176" i="11"/>
  <c r="AQ169" i="11"/>
  <c r="AQ156" i="11"/>
  <c r="S141" i="11"/>
  <c r="S186" i="11"/>
  <c r="AQ166" i="11"/>
  <c r="S158" i="11"/>
  <c r="AQ158" i="11"/>
  <c r="AQ133" i="11"/>
  <c r="S132" i="11"/>
  <c r="AQ186" i="11"/>
  <c r="S154" i="11"/>
  <c r="S142" i="11"/>
  <c r="S133" i="11"/>
  <c r="AQ132" i="11"/>
  <c r="S126" i="11"/>
  <c r="AQ176" i="11"/>
  <c r="S167" i="11"/>
  <c r="U167" i="11" s="1"/>
  <c r="W167" i="11" s="1"/>
  <c r="AQ154" i="11"/>
  <c r="AQ142" i="11"/>
  <c r="S187" i="11"/>
  <c r="AQ179" i="11"/>
  <c r="S155" i="11"/>
  <c r="AQ146" i="11"/>
  <c r="AQ155" i="11"/>
  <c r="S146" i="11"/>
  <c r="AQ115" i="11"/>
  <c r="S188" i="11"/>
  <c r="AQ187" i="11"/>
  <c r="S177" i="11"/>
  <c r="S168" i="11"/>
  <c r="S143" i="11"/>
  <c r="S140" i="11"/>
  <c r="S165" i="11"/>
  <c r="S144" i="11"/>
  <c r="S106" i="11"/>
  <c r="S87" i="11"/>
  <c r="AQ85" i="11"/>
  <c r="AQ129" i="11"/>
  <c r="AQ118" i="11"/>
  <c r="AQ116" i="11"/>
  <c r="AQ106" i="11"/>
  <c r="S86" i="11"/>
  <c r="AQ84" i="11"/>
  <c r="S66" i="11"/>
  <c r="S85" i="11"/>
  <c r="AQ165" i="11"/>
  <c r="S127" i="11"/>
  <c r="T127" i="11" s="1"/>
  <c r="V127" i="11" s="1"/>
  <c r="AQ167" i="11"/>
  <c r="AQ157" i="11"/>
  <c r="S131" i="11"/>
  <c r="S119" i="11"/>
  <c r="AQ119" i="11"/>
  <c r="S117" i="11"/>
  <c r="T117" i="11" s="1"/>
  <c r="V117" i="11" s="1"/>
  <c r="AQ107" i="11"/>
  <c r="S99" i="11"/>
  <c r="S98" i="11"/>
  <c r="AQ96" i="11"/>
  <c r="AQ131" i="11"/>
  <c r="AQ97" i="11"/>
  <c r="AQ86" i="11"/>
  <c r="S157" i="11"/>
  <c r="S52" i="11"/>
  <c r="AQ177" i="11"/>
  <c r="S130" i="11"/>
  <c r="S96" i="11"/>
  <c r="S51" i="11"/>
  <c r="AQ44" i="11"/>
  <c r="S169" i="11"/>
  <c r="AQ153" i="11"/>
  <c r="AQ77" i="11"/>
  <c r="AQ75" i="11"/>
  <c r="S75" i="11"/>
  <c r="AQ64" i="11"/>
  <c r="S64" i="11"/>
  <c r="AQ140" i="11"/>
  <c r="AQ117" i="11"/>
  <c r="AQ99" i="11"/>
  <c r="S77" i="11"/>
  <c r="AQ76" i="11"/>
  <c r="S76" i="11"/>
  <c r="AQ65" i="11"/>
  <c r="S65" i="11"/>
  <c r="U65" i="11" s="1"/>
  <c r="W65" i="11" s="1"/>
  <c r="S44" i="11"/>
  <c r="S108" i="11"/>
  <c r="AQ11" i="11"/>
  <c r="AQ29" i="11"/>
  <c r="S31" i="11"/>
  <c r="U31" i="11" s="1"/>
  <c r="W31" i="11" s="1"/>
  <c r="L42" i="11"/>
  <c r="M42" i="11" s="1"/>
  <c r="N53" i="11"/>
  <c r="AQ88" i="11"/>
  <c r="P126" i="11"/>
  <c r="AD169" i="11"/>
  <c r="R169" i="11"/>
  <c r="L142" i="11"/>
  <c r="M142" i="11" s="1"/>
  <c r="AI157" i="11"/>
  <c r="AD188" i="11"/>
  <c r="R188" i="11"/>
  <c r="R165" i="11"/>
  <c r="AI165" i="11"/>
  <c r="AE165" i="11"/>
  <c r="AE169" i="11" s="1"/>
  <c r="AE115" i="11"/>
  <c r="AI115" i="11"/>
  <c r="P130" i="11"/>
  <c r="AE155" i="11"/>
  <c r="R155" i="11"/>
  <c r="Q74" i="11"/>
  <c r="O115" i="11"/>
  <c r="O129" i="11"/>
  <c r="R145" i="11"/>
  <c r="R157" i="11"/>
  <c r="O165" i="11"/>
  <c r="O169" i="11" s="1"/>
  <c r="P169" i="11" s="1"/>
  <c r="M179" i="11"/>
  <c r="R176" i="11"/>
  <c r="AI176" i="11"/>
  <c r="AE97" i="11"/>
  <c r="D108" i="11"/>
  <c r="B108" i="11"/>
  <c r="L106" i="11"/>
  <c r="M106" i="11" s="1"/>
  <c r="L107" i="11"/>
  <c r="M107" i="11" s="1"/>
  <c r="U115" i="11"/>
  <c r="W115" i="11" s="1"/>
  <c r="O118" i="11"/>
  <c r="D133" i="11"/>
  <c r="O141" i="11"/>
  <c r="AI141" i="11"/>
  <c r="R141" i="11"/>
  <c r="AE156" i="11"/>
  <c r="AI156" i="11"/>
  <c r="Q86" i="11"/>
  <c r="N86" i="11"/>
  <c r="BM88" i="11"/>
  <c r="Q116" i="11"/>
  <c r="P116" i="11"/>
  <c r="N116" i="11"/>
  <c r="AI117" i="11"/>
  <c r="AE117" i="11"/>
  <c r="G133" i="11"/>
  <c r="BI158" i="11"/>
  <c r="BK158" i="11" s="1"/>
  <c r="BM158" i="11" s="1"/>
  <c r="BH158" i="11"/>
  <c r="BF158" i="11"/>
  <c r="Q167" i="11"/>
  <c r="L128" i="11"/>
  <c r="M128" i="11" s="1"/>
  <c r="L144" i="11"/>
  <c r="M144" i="11" s="1"/>
  <c r="D146" i="11"/>
  <c r="G119" i="11"/>
  <c r="Q142" i="11"/>
  <c r="N142" i="11"/>
  <c r="N177" i="11"/>
  <c r="Z187" i="11"/>
  <c r="P128" i="11"/>
  <c r="P141" i="11"/>
  <c r="N143" i="11"/>
  <c r="Q145" i="11"/>
  <c r="N145" i="11"/>
  <c r="O145" i="11" s="1"/>
  <c r="P177" i="11"/>
  <c r="Q128" i="11"/>
  <c r="B133" i="11"/>
  <c r="Q141" i="11"/>
  <c r="P142" i="11"/>
  <c r="P145" i="11"/>
  <c r="Q176" i="11"/>
  <c r="P176" i="11"/>
  <c r="N176" i="11"/>
  <c r="O186" i="11"/>
  <c r="O188" i="11" s="1"/>
  <c r="P188" i="11" s="1"/>
  <c r="AE186" i="11"/>
  <c r="AE188" i="11" s="1"/>
  <c r="R186" i="11"/>
  <c r="B99" i="11"/>
  <c r="BI99" i="11"/>
  <c r="BK99" i="11" s="1"/>
  <c r="BM99" i="11" s="1"/>
  <c r="BH99" i="11"/>
  <c r="P143" i="11"/>
  <c r="Q153" i="11"/>
  <c r="P153" i="11"/>
  <c r="N153" i="11"/>
  <c r="B158" i="11"/>
  <c r="D169" i="11"/>
  <c r="N168" i="11"/>
  <c r="O168" i="11" s="1"/>
  <c r="P168" i="11"/>
  <c r="BF119" i="11"/>
  <c r="BF179" i="11"/>
  <c r="BI179" i="11"/>
  <c r="BK179" i="11" s="1"/>
  <c r="BM179" i="11" s="1"/>
  <c r="L153" i="11"/>
  <c r="M153" i="11" s="1"/>
  <c r="L166" i="11"/>
  <c r="M166" i="11" s="1"/>
  <c r="BM188" i="11"/>
  <c r="P186" i="11"/>
  <c r="B188" i="11"/>
  <c r="D119" i="11"/>
  <c r="Q131" i="11"/>
  <c r="P131" i="11"/>
  <c r="Q186" i="11"/>
  <c r="B169" i="11"/>
  <c r="N178" i="11"/>
  <c r="D188" i="11"/>
  <c r="G146" i="11"/>
  <c r="N144" i="11"/>
  <c r="G169" i="11"/>
  <c r="B38" i="6"/>
  <c r="F20" i="7"/>
  <c r="F24" i="7" s="1"/>
  <c r="F28" i="7" s="1"/>
  <c r="D18" i="7"/>
  <c r="G20" i="7" s="1"/>
  <c r="J9" i="7"/>
  <c r="M9" i="7" s="1"/>
  <c r="I38" i="7" s="1"/>
  <c r="M5" i="7"/>
  <c r="I34" i="7" s="1"/>
  <c r="K5" i="7"/>
  <c r="F20" i="5"/>
  <c r="D18" i="5"/>
  <c r="G20" i="5" s="1"/>
  <c r="F22" i="6"/>
  <c r="F24" i="6" s="1"/>
  <c r="F28" i="6" s="1"/>
  <c r="E18" i="6"/>
  <c r="G21" i="6" s="1"/>
  <c r="P9" i="2"/>
  <c r="F38" i="2" s="1"/>
  <c r="L9" i="2"/>
  <c r="G38" i="2" s="1"/>
  <c r="F21" i="5"/>
  <c r="F18" i="5"/>
  <c r="G22" i="5" s="1"/>
  <c r="D18" i="3"/>
  <c r="G20" i="3" s="1"/>
  <c r="G24" i="3" s="1"/>
  <c r="G28" i="3" s="1"/>
  <c r="F20" i="3"/>
  <c r="F24" i="3" s="1"/>
  <c r="F28" i="3" s="1"/>
  <c r="A12" i="2"/>
  <c r="C42" i="3"/>
  <c r="A12" i="3"/>
  <c r="E18" i="3"/>
  <c r="G21" i="3" s="1"/>
  <c r="F22" i="3"/>
  <c r="C21" i="2"/>
  <c r="C24" i="2" s="1"/>
  <c r="C28" i="2" s="1"/>
  <c r="D17" i="2"/>
  <c r="F22" i="4"/>
  <c r="E18" i="4"/>
  <c r="G21" i="4" s="1"/>
  <c r="R38" i="4"/>
  <c r="F24" i="4"/>
  <c r="F28" i="4" s="1"/>
  <c r="O9" i="4"/>
  <c r="N9" i="4" s="1"/>
  <c r="J38" i="4" s="1"/>
  <c r="H42" i="4" s="1"/>
  <c r="F21" i="9"/>
  <c r="F18" i="9"/>
  <c r="G22" i="9" s="1"/>
  <c r="I9" i="5"/>
  <c r="L9" i="5" s="1"/>
  <c r="G38" i="5" s="1"/>
  <c r="E24" i="8"/>
  <c r="E28" i="8" s="1"/>
  <c r="J9" i="5"/>
  <c r="M9" i="5" s="1"/>
  <c r="I38" i="5" s="1"/>
  <c r="E18" i="5"/>
  <c r="G21" i="5" s="1"/>
  <c r="C21" i="3"/>
  <c r="C24" i="3" s="1"/>
  <c r="C28" i="3" s="1"/>
  <c r="L5" i="5"/>
  <c r="G34" i="5" s="1"/>
  <c r="D18" i="6"/>
  <c r="G20" i="6" s="1"/>
  <c r="I9" i="6"/>
  <c r="L5" i="6"/>
  <c r="G34" i="6" s="1"/>
  <c r="J9" i="8"/>
  <c r="M9" i="8" s="1"/>
  <c r="I38" i="8" s="1"/>
  <c r="K7" i="4"/>
  <c r="F18" i="6"/>
  <c r="G22" i="6" s="1"/>
  <c r="K9" i="8"/>
  <c r="H9" i="8" s="1"/>
  <c r="E38" i="8" s="1"/>
  <c r="E18" i="2"/>
  <c r="G21" i="2" s="1"/>
  <c r="K5" i="4"/>
  <c r="K5" i="6"/>
  <c r="J9" i="6"/>
  <c r="M9" i="6" s="1"/>
  <c r="I38" i="6" s="1"/>
  <c r="L9" i="8"/>
  <c r="G38" i="8" s="1"/>
  <c r="D8" i="10"/>
  <c r="K6" i="7"/>
  <c r="M5" i="8"/>
  <c r="I34" i="8" s="1"/>
  <c r="K8" i="2"/>
  <c r="I9" i="4"/>
  <c r="L9" i="4" s="1"/>
  <c r="G38" i="4" s="1"/>
  <c r="L9" i="6"/>
  <c r="G38" i="6" s="1"/>
  <c r="N9" i="8"/>
  <c r="J38" i="8" s="1"/>
  <c r="H42" i="8" s="1"/>
  <c r="J9" i="4"/>
  <c r="M9" i="4" s="1"/>
  <c r="I38" i="4" s="1"/>
  <c r="D18" i="4"/>
  <c r="G20" i="4" s="1"/>
  <c r="G24" i="4" s="1"/>
  <c r="G28" i="4" s="1"/>
  <c r="J9" i="9"/>
  <c r="K5" i="2"/>
  <c r="K5" i="3"/>
  <c r="K7" i="3"/>
  <c r="K6" i="5"/>
  <c r="K9" i="5" s="1"/>
  <c r="H9" i="5" s="1"/>
  <c r="E38" i="5" s="1"/>
  <c r="K8" i="5"/>
  <c r="L9" i="9"/>
  <c r="G38" i="9" s="1"/>
  <c r="B13" i="10"/>
  <c r="L5" i="3"/>
  <c r="G34" i="3" s="1"/>
  <c r="K8" i="6"/>
  <c r="M5" i="3"/>
  <c r="I34" i="3" s="1"/>
  <c r="E18" i="7"/>
  <c r="G21" i="7" s="1"/>
  <c r="F22" i="7"/>
  <c r="F22" i="8"/>
  <c r="E18" i="8"/>
  <c r="G21" i="8" s="1"/>
  <c r="K6" i="6"/>
  <c r="K6" i="8"/>
  <c r="C21" i="9"/>
  <c r="C24" i="9" s="1"/>
  <c r="C28" i="9" s="1"/>
  <c r="D17" i="9"/>
  <c r="F18" i="7"/>
  <c r="G22" i="7" s="1"/>
  <c r="D17" i="8"/>
  <c r="F22" i="9"/>
  <c r="E18" i="9"/>
  <c r="G21" i="9" s="1"/>
  <c r="D7" i="10"/>
  <c r="A20" i="10"/>
  <c r="I9" i="9"/>
  <c r="B20" i="10"/>
  <c r="D39" i="10"/>
  <c r="D41" i="10" s="1"/>
  <c r="B53" i="10"/>
  <c r="L6" i="8"/>
  <c r="G35" i="8" s="1"/>
  <c r="C53" i="10"/>
  <c r="E8" i="10"/>
  <c r="C40" i="10" s="1"/>
  <c r="B40" i="10"/>
  <c r="B45" i="10" s="1"/>
  <c r="M9" i="9"/>
  <c r="I38" i="9" s="1"/>
  <c r="A13" i="10"/>
  <c r="D40" i="10"/>
  <c r="B54" i="10"/>
  <c r="C54" i="10"/>
  <c r="F13" i="10"/>
  <c r="A21" i="10"/>
  <c r="K5" i="9"/>
  <c r="K7" i="9"/>
  <c r="T132" i="11" l="1"/>
  <c r="V132" i="11" s="1"/>
  <c r="U86" i="11"/>
  <c r="W86" i="11" s="1"/>
  <c r="T97" i="11"/>
  <c r="V97" i="11" s="1"/>
  <c r="U117" i="11"/>
  <c r="W117" i="11" s="1"/>
  <c r="U53" i="11"/>
  <c r="W53" i="11" s="1"/>
  <c r="U156" i="11"/>
  <c r="W156" i="11" s="1"/>
  <c r="T9" i="11"/>
  <c r="V9" i="11" s="1"/>
  <c r="U20" i="11"/>
  <c r="W20" i="11" s="1"/>
  <c r="T31" i="11"/>
  <c r="V31" i="11" s="1"/>
  <c r="U129" i="11"/>
  <c r="W129" i="11" s="1"/>
  <c r="T155" i="11"/>
  <c r="V155" i="11" s="1"/>
  <c r="R62" i="11"/>
  <c r="AE132" i="11"/>
  <c r="AI95" i="11"/>
  <c r="R95" i="11"/>
  <c r="O95" i="11"/>
  <c r="U127" i="11"/>
  <c r="W127" i="11" s="1"/>
  <c r="R116" i="11"/>
  <c r="T116" i="11" s="1"/>
  <c r="V116" i="11" s="1"/>
  <c r="AI62" i="11"/>
  <c r="AI132" i="11"/>
  <c r="R131" i="11"/>
  <c r="U131" i="11" s="1"/>
  <c r="W131" i="11" s="1"/>
  <c r="O62" i="11"/>
  <c r="M99" i="11"/>
  <c r="AD99" i="11" s="1"/>
  <c r="T96" i="11"/>
  <c r="V96" i="11" s="1"/>
  <c r="O132" i="11"/>
  <c r="O41" i="11"/>
  <c r="O157" i="11"/>
  <c r="AE116" i="11"/>
  <c r="AI116" i="11"/>
  <c r="AE62" i="11"/>
  <c r="T62" i="11"/>
  <c r="V62" i="11" s="1"/>
  <c r="U95" i="11"/>
  <c r="W95" i="11" s="1"/>
  <c r="U155" i="11"/>
  <c r="W155" i="11" s="1"/>
  <c r="T156" i="11"/>
  <c r="V156" i="11" s="1"/>
  <c r="T167" i="11"/>
  <c r="V167" i="11" s="1"/>
  <c r="R178" i="11"/>
  <c r="U97" i="11"/>
  <c r="W97" i="11" s="1"/>
  <c r="AI154" i="11"/>
  <c r="AE154" i="11"/>
  <c r="R118" i="11"/>
  <c r="AE118" i="11"/>
  <c r="AE119" i="11" s="1"/>
  <c r="AF169" i="11"/>
  <c r="AE178" i="11"/>
  <c r="BM22" i="11"/>
  <c r="R154" i="11"/>
  <c r="T154" i="11" s="1"/>
  <c r="V154" i="11" s="1"/>
  <c r="AI118" i="11"/>
  <c r="T43" i="11"/>
  <c r="V43" i="11" s="1"/>
  <c r="AI178" i="11"/>
  <c r="R11" i="11"/>
  <c r="AE95" i="11"/>
  <c r="AI187" i="11"/>
  <c r="AA187" i="11"/>
  <c r="R187" i="11"/>
  <c r="AE187" i="11"/>
  <c r="O187" i="11"/>
  <c r="U62" i="11"/>
  <c r="W62" i="11" s="1"/>
  <c r="Z140" i="11"/>
  <c r="AA140" i="11" s="1"/>
  <c r="AA146" i="11" s="1"/>
  <c r="U32" i="11"/>
  <c r="W32" i="11" s="1"/>
  <c r="T32" i="11"/>
  <c r="V32" i="11" s="1"/>
  <c r="U143" i="11"/>
  <c r="W143" i="11" s="1"/>
  <c r="T143" i="11"/>
  <c r="V143" i="11" s="1"/>
  <c r="O74" i="11"/>
  <c r="R74" i="11"/>
  <c r="AI74" i="11"/>
  <c r="AE74" i="11"/>
  <c r="T95" i="11"/>
  <c r="V95" i="11" s="1"/>
  <c r="U133" i="11"/>
  <c r="W133" i="11" s="1"/>
  <c r="T133" i="11"/>
  <c r="V133" i="11" s="1"/>
  <c r="Z132" i="11"/>
  <c r="AA132" i="11" s="1"/>
  <c r="Q133" i="11"/>
  <c r="Z128" i="11"/>
  <c r="AA128" i="11" s="1"/>
  <c r="Z129" i="11"/>
  <c r="AA129" i="11" s="1"/>
  <c r="Z131" i="11"/>
  <c r="AA131" i="11" s="1"/>
  <c r="M55" i="11"/>
  <c r="O51" i="11"/>
  <c r="R51" i="11"/>
  <c r="AE51" i="11"/>
  <c r="AA51" i="11"/>
  <c r="AI51" i="11"/>
  <c r="U29" i="11"/>
  <c r="W29" i="11" s="1"/>
  <c r="T29" i="11"/>
  <c r="V29" i="11" s="1"/>
  <c r="T141" i="11"/>
  <c r="V141" i="11" s="1"/>
  <c r="U141" i="11"/>
  <c r="W141" i="11" s="1"/>
  <c r="O119" i="11"/>
  <c r="P119" i="11" s="1"/>
  <c r="U41" i="11"/>
  <c r="W41" i="11" s="1"/>
  <c r="T41" i="11"/>
  <c r="V41" i="11" s="1"/>
  <c r="T40" i="11"/>
  <c r="V40" i="11" s="1"/>
  <c r="T157" i="11"/>
  <c r="V157" i="11" s="1"/>
  <c r="U157" i="11"/>
  <c r="W157" i="11" s="1"/>
  <c r="O73" i="11"/>
  <c r="AI73" i="11"/>
  <c r="AE73" i="11"/>
  <c r="M77" i="11"/>
  <c r="R73" i="11"/>
  <c r="U63" i="11"/>
  <c r="W63" i="11" s="1"/>
  <c r="T63" i="11"/>
  <c r="V63" i="11" s="1"/>
  <c r="U52" i="11"/>
  <c r="W52" i="11" s="1"/>
  <c r="T52" i="11"/>
  <c r="V52" i="11" s="1"/>
  <c r="O11" i="11"/>
  <c r="O12" i="11" s="1"/>
  <c r="P12" i="11" s="1"/>
  <c r="U154" i="11"/>
  <c r="W154" i="11" s="1"/>
  <c r="U21" i="11"/>
  <c r="W21" i="11" s="1"/>
  <c r="U64" i="11"/>
  <c r="W64" i="11" s="1"/>
  <c r="T64" i="11"/>
  <c r="V64" i="11" s="1"/>
  <c r="R179" i="11"/>
  <c r="AD179" i="11"/>
  <c r="AF179" i="11" s="1"/>
  <c r="U169" i="11"/>
  <c r="W169" i="11" s="1"/>
  <c r="T169" i="11"/>
  <c r="V169" i="11" s="1"/>
  <c r="Q169" i="11"/>
  <c r="Z167" i="11"/>
  <c r="AA167" i="11" s="1"/>
  <c r="U87" i="11"/>
  <c r="W87" i="11" s="1"/>
  <c r="T87" i="11"/>
  <c r="V87" i="11" s="1"/>
  <c r="AF188" i="11"/>
  <c r="R107" i="11"/>
  <c r="U107" i="11" s="1"/>
  <c r="W107" i="11" s="1"/>
  <c r="AI107" i="11"/>
  <c r="AE107" i="11"/>
  <c r="O107" i="11"/>
  <c r="Z130" i="11"/>
  <c r="AA130" i="11" s="1"/>
  <c r="U168" i="11"/>
  <c r="W168" i="11" s="1"/>
  <c r="T168" i="11"/>
  <c r="V168" i="11" s="1"/>
  <c r="Q168" i="11"/>
  <c r="U188" i="11"/>
  <c r="W188" i="11" s="1"/>
  <c r="T188" i="11"/>
  <c r="V188" i="11" s="1"/>
  <c r="Q188" i="11"/>
  <c r="Z186" i="11"/>
  <c r="AA186" i="11" s="1"/>
  <c r="AA188" i="11" s="1"/>
  <c r="M108" i="11"/>
  <c r="R106" i="11"/>
  <c r="T106" i="11" s="1"/>
  <c r="V106" i="11" s="1"/>
  <c r="AI106" i="11"/>
  <c r="O106" i="11"/>
  <c r="AE106" i="11"/>
  <c r="T51" i="11"/>
  <c r="V51" i="11" s="1"/>
  <c r="U51" i="11"/>
  <c r="W51" i="11" s="1"/>
  <c r="AD66" i="11"/>
  <c r="R66" i="11"/>
  <c r="O143" i="11"/>
  <c r="U11" i="11"/>
  <c r="W11" i="11" s="1"/>
  <c r="T11" i="11"/>
  <c r="V11" i="11" s="1"/>
  <c r="R142" i="11"/>
  <c r="O142" i="11"/>
  <c r="AI142" i="11"/>
  <c r="AE142" i="11"/>
  <c r="U106" i="11"/>
  <c r="W106" i="11" s="1"/>
  <c r="Z126" i="11"/>
  <c r="AA126" i="11" s="1"/>
  <c r="AA133" i="11" s="1"/>
  <c r="R130" i="11"/>
  <c r="U130" i="11" s="1"/>
  <c r="W130" i="11" s="1"/>
  <c r="AI130" i="11"/>
  <c r="AE130" i="11"/>
  <c r="O130" i="11"/>
  <c r="T140" i="11"/>
  <c r="V140" i="11" s="1"/>
  <c r="U140" i="11"/>
  <c r="W140" i="11" s="1"/>
  <c r="T86" i="11"/>
  <c r="V86" i="11" s="1"/>
  <c r="T53" i="11"/>
  <c r="V53" i="11" s="1"/>
  <c r="O32" i="11"/>
  <c r="AD119" i="11"/>
  <c r="R119" i="11"/>
  <c r="AE42" i="11"/>
  <c r="AE44" i="11" s="1"/>
  <c r="AI42" i="11"/>
  <c r="R42" i="11"/>
  <c r="O42" i="11"/>
  <c r="Z145" i="11"/>
  <c r="AA145" i="11" s="1"/>
  <c r="O66" i="11"/>
  <c r="P66" i="11" s="1"/>
  <c r="Z65" i="11" s="1"/>
  <c r="AA65" i="11" s="1"/>
  <c r="O87" i="11"/>
  <c r="O85" i="11"/>
  <c r="O29" i="11"/>
  <c r="U177" i="11"/>
  <c r="W177" i="11" s="1"/>
  <c r="T177" i="11"/>
  <c r="V177" i="11" s="1"/>
  <c r="U96" i="11"/>
  <c r="W96" i="11" s="1"/>
  <c r="M44" i="11"/>
  <c r="T145" i="11"/>
  <c r="V145" i="11" s="1"/>
  <c r="U145" i="11"/>
  <c r="W145" i="11" s="1"/>
  <c r="AI19" i="11"/>
  <c r="AE19" i="11"/>
  <c r="AE22" i="11" s="1"/>
  <c r="R19" i="11"/>
  <c r="O19" i="11"/>
  <c r="O22" i="11" s="1"/>
  <c r="M22" i="11"/>
  <c r="R54" i="11"/>
  <c r="U54" i="11" s="1"/>
  <c r="W54" i="11" s="1"/>
  <c r="O54" i="11"/>
  <c r="AI54" i="11"/>
  <c r="AE54" i="11"/>
  <c r="Z166" i="11"/>
  <c r="Z165" i="11"/>
  <c r="AA165" i="11" s="1"/>
  <c r="AA169" i="11" s="1"/>
  <c r="O140" i="11"/>
  <c r="O146" i="11" s="1"/>
  <c r="P146" i="11" s="1"/>
  <c r="Z143" i="11" s="1"/>
  <c r="AA143" i="11" s="1"/>
  <c r="AI98" i="11"/>
  <c r="AE98" i="11"/>
  <c r="AE99" i="11" s="1"/>
  <c r="R98" i="11"/>
  <c r="U98" i="11" s="1"/>
  <c r="W98" i="11" s="1"/>
  <c r="O98" i="11"/>
  <c r="O99" i="11" s="1"/>
  <c r="R30" i="11"/>
  <c r="O30" i="11"/>
  <c r="AI30" i="11"/>
  <c r="AE30" i="11"/>
  <c r="AE33" i="11" s="1"/>
  <c r="AE12" i="11"/>
  <c r="AF12" i="11" s="1"/>
  <c r="U132" i="11"/>
  <c r="W132" i="11" s="1"/>
  <c r="AE144" i="11"/>
  <c r="R144" i="11"/>
  <c r="O144" i="11"/>
  <c r="AI144" i="11"/>
  <c r="O128" i="11"/>
  <c r="R128" i="11"/>
  <c r="T128" i="11" s="1"/>
  <c r="V128" i="11" s="1"/>
  <c r="AI128" i="11"/>
  <c r="AE128" i="11"/>
  <c r="AI153" i="11"/>
  <c r="O153" i="11"/>
  <c r="O158" i="11" s="1"/>
  <c r="R153" i="11"/>
  <c r="U153" i="11" s="1"/>
  <c r="W153" i="11" s="1"/>
  <c r="M158" i="11"/>
  <c r="AE153" i="11"/>
  <c r="AE158" i="11" s="1"/>
  <c r="T153" i="11"/>
  <c r="V153" i="11" s="1"/>
  <c r="U142" i="11"/>
  <c r="W142" i="11" s="1"/>
  <c r="T142" i="11"/>
  <c r="V142" i="11" s="1"/>
  <c r="U126" i="11"/>
  <c r="W126" i="11" s="1"/>
  <c r="T126" i="11"/>
  <c r="V126" i="11" s="1"/>
  <c r="M88" i="11"/>
  <c r="AE84" i="11"/>
  <c r="AE88" i="11" s="1"/>
  <c r="AI84" i="11"/>
  <c r="R84" i="11"/>
  <c r="O84" i="11"/>
  <c r="O53" i="11"/>
  <c r="Q166" i="11"/>
  <c r="Q165" i="11"/>
  <c r="T165" i="11"/>
  <c r="V165" i="11" s="1"/>
  <c r="U165" i="11"/>
  <c r="W165" i="11" s="1"/>
  <c r="R146" i="11"/>
  <c r="AD146" i="11"/>
  <c r="AF146" i="11" s="1"/>
  <c r="AE66" i="11"/>
  <c r="U85" i="11"/>
  <c r="W85" i="11" s="1"/>
  <c r="T85" i="11"/>
  <c r="V85" i="11" s="1"/>
  <c r="R12" i="11"/>
  <c r="AD12" i="11"/>
  <c r="O116" i="11"/>
  <c r="U75" i="11"/>
  <c r="W75" i="11" s="1"/>
  <c r="T75" i="11"/>
  <c r="V75" i="11" s="1"/>
  <c r="R166" i="11"/>
  <c r="U166" i="11" s="1"/>
  <c r="W166" i="11" s="1"/>
  <c r="O166" i="11"/>
  <c r="AI166" i="11"/>
  <c r="AE166" i="11"/>
  <c r="AA166" i="11"/>
  <c r="AI76" i="11"/>
  <c r="R76" i="11"/>
  <c r="T76" i="11" s="1"/>
  <c r="V76" i="11" s="1"/>
  <c r="AE76" i="11"/>
  <c r="O76" i="11"/>
  <c r="Z168" i="11"/>
  <c r="AA168" i="11" s="1"/>
  <c r="U176" i="11"/>
  <c r="W176" i="11" s="1"/>
  <c r="T176" i="11"/>
  <c r="V176" i="11" s="1"/>
  <c r="U186" i="11"/>
  <c r="W186" i="11" s="1"/>
  <c r="T186" i="11"/>
  <c r="V186" i="11" s="1"/>
  <c r="O176" i="11"/>
  <c r="O179" i="11" s="1"/>
  <c r="P179" i="11" s="1"/>
  <c r="Z177" i="11" s="1"/>
  <c r="AA177" i="11" s="1"/>
  <c r="O177" i="11"/>
  <c r="U10" i="11"/>
  <c r="W10" i="11" s="1"/>
  <c r="T10" i="11"/>
  <c r="V10" i="11" s="1"/>
  <c r="T65" i="11"/>
  <c r="V65" i="11" s="1"/>
  <c r="M33" i="11"/>
  <c r="G43" i="5"/>
  <c r="J46" i="5" s="1"/>
  <c r="A13" i="5"/>
  <c r="K9" i="7"/>
  <c r="H9" i="7" s="1"/>
  <c r="E38" i="7" s="1"/>
  <c r="C42" i="7"/>
  <c r="A12" i="7"/>
  <c r="F20" i="9"/>
  <c r="F24" i="9" s="1"/>
  <c r="F28" i="9" s="1"/>
  <c r="D18" i="9"/>
  <c r="G20" i="9" s="1"/>
  <c r="G24" i="9" s="1"/>
  <c r="G28" i="9" s="1"/>
  <c r="A12" i="9"/>
  <c r="C42" i="9"/>
  <c r="C43" i="9"/>
  <c r="C43" i="8"/>
  <c r="A12" i="8"/>
  <c r="C42" i="8"/>
  <c r="G24" i="7"/>
  <c r="G28" i="7" s="1"/>
  <c r="E13" i="10"/>
  <c r="H13" i="10" s="1"/>
  <c r="D13" i="10"/>
  <c r="G13" i="10" s="1"/>
  <c r="N20" i="10"/>
  <c r="B22" i="10"/>
  <c r="F20" i="10"/>
  <c r="K9" i="9"/>
  <c r="H9" i="9" s="1"/>
  <c r="E38" i="9" s="1"/>
  <c r="K9" i="2"/>
  <c r="H9" i="2" s="1"/>
  <c r="E38" i="2" s="1"/>
  <c r="C21" i="10"/>
  <c r="E21" i="10" s="1"/>
  <c r="D21" i="10"/>
  <c r="J13" i="10"/>
  <c r="D53" i="10"/>
  <c r="B39" i="10"/>
  <c r="A12" i="6"/>
  <c r="C42" i="6"/>
  <c r="F20" i="2"/>
  <c r="F24" i="2" s="1"/>
  <c r="F28" i="2" s="1"/>
  <c r="D18" i="2"/>
  <c r="G20" i="2" s="1"/>
  <c r="G24" i="2" s="1"/>
  <c r="G28" i="2" s="1"/>
  <c r="G24" i="6"/>
  <c r="G28" i="6" s="1"/>
  <c r="N22" i="10"/>
  <c r="A22" i="10"/>
  <c r="C22" i="10" s="1"/>
  <c r="W21" i="10" s="1"/>
  <c r="D20" i="10"/>
  <c r="C20" i="10"/>
  <c r="K9" i="6"/>
  <c r="H9" i="6" s="1"/>
  <c r="E38" i="6" s="1"/>
  <c r="C43" i="6" s="1"/>
  <c r="K9" i="3"/>
  <c r="H9" i="3" s="1"/>
  <c r="E38" i="3" s="1"/>
  <c r="C42" i="4"/>
  <c r="A12" i="4"/>
  <c r="G24" i="5"/>
  <c r="G28" i="5" s="1"/>
  <c r="C39" i="10"/>
  <c r="C45" i="10"/>
  <c r="K9" i="4"/>
  <c r="H9" i="4" s="1"/>
  <c r="E38" i="4" s="1"/>
  <c r="C43" i="4" s="1"/>
  <c r="C43" i="5"/>
  <c r="C42" i="5"/>
  <c r="A12" i="5"/>
  <c r="A26" i="5" s="1"/>
  <c r="F24" i="5"/>
  <c r="F28" i="5" s="1"/>
  <c r="A13" i="8"/>
  <c r="G43" i="8"/>
  <c r="J46" i="8" s="1"/>
  <c r="F20" i="8"/>
  <c r="F24" i="8" s="1"/>
  <c r="F28" i="8" s="1"/>
  <c r="D18" i="8"/>
  <c r="G20" i="8" s="1"/>
  <c r="G24" i="8" s="1"/>
  <c r="G28" i="8" s="1"/>
  <c r="P158" i="11" l="1"/>
  <c r="Z153" i="11" s="1"/>
  <c r="AA153" i="11" s="1"/>
  <c r="AA158" i="11" s="1"/>
  <c r="Z178" i="11"/>
  <c r="AA178" i="11" s="1"/>
  <c r="T178" i="11"/>
  <c r="V178" i="11" s="1"/>
  <c r="U178" i="11"/>
  <c r="W178" i="11" s="1"/>
  <c r="U118" i="11"/>
  <c r="W118" i="11" s="1"/>
  <c r="T118" i="11"/>
  <c r="V118" i="11" s="1"/>
  <c r="P99" i="11"/>
  <c r="U99" i="11" s="1"/>
  <c r="W99" i="11" s="1"/>
  <c r="AF99" i="11"/>
  <c r="T131" i="11"/>
  <c r="V131" i="11" s="1"/>
  <c r="R99" i="11"/>
  <c r="AE108" i="11"/>
  <c r="O44" i="11"/>
  <c r="P44" i="11" s="1"/>
  <c r="Q44" i="11" s="1"/>
  <c r="T54" i="11"/>
  <c r="V54" i="11" s="1"/>
  <c r="U116" i="11"/>
  <c r="W116" i="11" s="1"/>
  <c r="AF66" i="11"/>
  <c r="Z144" i="11"/>
  <c r="AA144" i="11" s="1"/>
  <c r="Q12" i="11"/>
  <c r="U12" i="11"/>
  <c r="W12" i="11" s="1"/>
  <c r="T12" i="11"/>
  <c r="V12" i="11" s="1"/>
  <c r="Z9" i="11"/>
  <c r="AA9" i="11" s="1"/>
  <c r="Z11" i="11"/>
  <c r="AA11" i="11" s="1"/>
  <c r="Z8" i="11"/>
  <c r="AA8" i="11" s="1"/>
  <c r="AA12" i="11" s="1"/>
  <c r="Z10" i="11"/>
  <c r="AA10" i="11" s="1"/>
  <c r="AH158" i="11"/>
  <c r="AC158" i="11"/>
  <c r="AX158" i="11"/>
  <c r="BO158" i="11"/>
  <c r="BA158" i="11"/>
  <c r="BU158" i="11" s="1"/>
  <c r="BU159" i="11" s="1"/>
  <c r="Z95" i="11"/>
  <c r="AA95" i="11" s="1"/>
  <c r="Z98" i="11"/>
  <c r="AA98" i="11" s="1"/>
  <c r="O33" i="11"/>
  <c r="P33" i="11" s="1"/>
  <c r="U73" i="11"/>
  <c r="W73" i="11" s="1"/>
  <c r="T73" i="11"/>
  <c r="V73" i="11" s="1"/>
  <c r="R77" i="11"/>
  <c r="AD77" i="11"/>
  <c r="AE77" i="11"/>
  <c r="R22" i="11"/>
  <c r="AD22" i="11"/>
  <c r="AF22" i="11" s="1"/>
  <c r="U30" i="11"/>
  <c r="W30" i="11" s="1"/>
  <c r="T30" i="11"/>
  <c r="V30" i="11" s="1"/>
  <c r="BO146" i="11"/>
  <c r="AX146" i="11"/>
  <c r="BA146" i="11"/>
  <c r="BU146" i="11" s="1"/>
  <c r="BU147" i="11" s="1"/>
  <c r="AC146" i="11"/>
  <c r="AG146" i="11" s="1"/>
  <c r="AH146" i="11"/>
  <c r="AF119" i="11"/>
  <c r="T166" i="11"/>
  <c r="V166" i="11" s="1"/>
  <c r="T66" i="11"/>
  <c r="V66" i="11" s="1"/>
  <c r="U66" i="11"/>
  <c r="W66" i="11" s="1"/>
  <c r="Z62" i="11"/>
  <c r="AA62" i="11" s="1"/>
  <c r="Q66" i="11"/>
  <c r="Z64" i="11"/>
  <c r="AA64" i="11" s="1"/>
  <c r="Z63" i="11"/>
  <c r="AA63" i="11" s="1"/>
  <c r="O108" i="11"/>
  <c r="P108" i="11" s="1"/>
  <c r="BO133" i="11"/>
  <c r="AX133" i="11"/>
  <c r="AH133" i="11"/>
  <c r="AC133" i="11"/>
  <c r="AG133" i="11" s="1"/>
  <c r="BA133" i="11"/>
  <c r="BU133" i="11" s="1"/>
  <c r="BU134" i="11" s="1"/>
  <c r="U179" i="11"/>
  <c r="W179" i="11" s="1"/>
  <c r="T179" i="11"/>
  <c r="V179" i="11" s="1"/>
  <c r="Q179" i="11"/>
  <c r="T98" i="11"/>
  <c r="V98" i="11" s="1"/>
  <c r="Q146" i="11"/>
  <c r="T146" i="11"/>
  <c r="V146" i="11" s="1"/>
  <c r="U146" i="11"/>
  <c r="W146" i="11" s="1"/>
  <c r="Z141" i="11"/>
  <c r="AA141" i="11" s="1"/>
  <c r="O77" i="11"/>
  <c r="P77" i="11" s="1"/>
  <c r="T19" i="11"/>
  <c r="V19" i="11" s="1"/>
  <c r="U19" i="11"/>
  <c r="W19" i="11" s="1"/>
  <c r="BO169" i="11"/>
  <c r="AX169" i="11"/>
  <c r="AH169" i="11"/>
  <c r="BA169" i="11"/>
  <c r="BU169" i="11" s="1"/>
  <c r="BU170" i="11" s="1"/>
  <c r="AC169" i="11"/>
  <c r="AG169" i="11" s="1"/>
  <c r="T130" i="11"/>
  <c r="V130" i="11" s="1"/>
  <c r="U187" i="11"/>
  <c r="W187" i="11" s="1"/>
  <c r="T187" i="11"/>
  <c r="V187" i="11" s="1"/>
  <c r="AD88" i="11"/>
  <c r="AF88" i="11" s="1"/>
  <c r="R88" i="11"/>
  <c r="AF158" i="11"/>
  <c r="AD108" i="11"/>
  <c r="AF108" i="11" s="1"/>
  <c r="R108" i="11"/>
  <c r="U119" i="11"/>
  <c r="W119" i="11" s="1"/>
  <c r="T119" i="11"/>
  <c r="V119" i="11" s="1"/>
  <c r="Q119" i="11"/>
  <c r="Z115" i="11"/>
  <c r="AA115" i="11" s="1"/>
  <c r="Z117" i="11"/>
  <c r="AA117" i="11" s="1"/>
  <c r="Z118" i="11"/>
  <c r="AA118" i="11" s="1"/>
  <c r="U76" i="11"/>
  <c r="W76" i="11" s="1"/>
  <c r="Z116" i="11"/>
  <c r="AA116" i="11" s="1"/>
  <c r="O88" i="11"/>
  <c r="P88" i="11" s="1"/>
  <c r="R158" i="11"/>
  <c r="AD158" i="11"/>
  <c r="Z142" i="11"/>
  <c r="AA142" i="11" s="1"/>
  <c r="U128" i="11"/>
  <c r="W128" i="11" s="1"/>
  <c r="T107" i="11"/>
  <c r="V107" i="11" s="1"/>
  <c r="AE55" i="11"/>
  <c r="T74" i="11"/>
  <c r="V74" i="11" s="1"/>
  <c r="U74" i="11"/>
  <c r="W74" i="11" s="1"/>
  <c r="P22" i="11"/>
  <c r="U144" i="11"/>
  <c r="W144" i="11" s="1"/>
  <c r="T144" i="11"/>
  <c r="V144" i="11" s="1"/>
  <c r="T84" i="11"/>
  <c r="V84" i="11" s="1"/>
  <c r="U84" i="11"/>
  <c r="W84" i="11" s="1"/>
  <c r="AD44" i="11"/>
  <c r="AF44" i="11" s="1"/>
  <c r="R44" i="11"/>
  <c r="Z176" i="11"/>
  <c r="AA176" i="11" s="1"/>
  <c r="AA179" i="11" s="1"/>
  <c r="U158" i="11"/>
  <c r="W158" i="11" s="1"/>
  <c r="Q158" i="11"/>
  <c r="T158" i="11"/>
  <c r="V158" i="11" s="1"/>
  <c r="Z154" i="11"/>
  <c r="AA154" i="11" s="1"/>
  <c r="Z156" i="11"/>
  <c r="AA156" i="11" s="1"/>
  <c r="Z155" i="11"/>
  <c r="AA155" i="11" s="1"/>
  <c r="Z157" i="11"/>
  <c r="AA157" i="11" s="1"/>
  <c r="AD55" i="11"/>
  <c r="R55" i="11"/>
  <c r="U42" i="11"/>
  <c r="W42" i="11" s="1"/>
  <c r="T42" i="11"/>
  <c r="V42" i="11" s="1"/>
  <c r="AD33" i="11"/>
  <c r="AF33" i="11" s="1"/>
  <c r="R33" i="11"/>
  <c r="BO188" i="11"/>
  <c r="AC188" i="11"/>
  <c r="AG188" i="11" s="1"/>
  <c r="BA188" i="11"/>
  <c r="BU188" i="11" s="1"/>
  <c r="BU189" i="11" s="1"/>
  <c r="AX188" i="11"/>
  <c r="AH188" i="11"/>
  <c r="O55" i="11"/>
  <c r="P55" i="11" s="1"/>
  <c r="A13" i="2"/>
  <c r="A26" i="2" s="1"/>
  <c r="G43" i="2"/>
  <c r="J46" i="2" s="1"/>
  <c r="C43" i="2"/>
  <c r="A13" i="7"/>
  <c r="A26" i="7" s="1"/>
  <c r="G43" i="7"/>
  <c r="J46" i="7" s="1"/>
  <c r="A13" i="9"/>
  <c r="A26" i="9" s="1"/>
  <c r="G43" i="9"/>
  <c r="J46" i="9" s="1"/>
  <c r="K13" i="10"/>
  <c r="D54" i="10"/>
  <c r="D57" i="10" s="1"/>
  <c r="D61" i="10" s="1"/>
  <c r="C43" i="7"/>
  <c r="D55" i="10"/>
  <c r="L13" i="10"/>
  <c r="C55" i="10"/>
  <c r="C57" i="10" s="1"/>
  <c r="C61" i="10" s="1"/>
  <c r="I21" i="10"/>
  <c r="I25" i="10"/>
  <c r="A26" i="4"/>
  <c r="G43" i="3"/>
  <c r="J46" i="3" s="1"/>
  <c r="A13" i="3"/>
  <c r="A26" i="3" s="1"/>
  <c r="C43" i="3"/>
  <c r="A26" i="6"/>
  <c r="C41" i="10"/>
  <c r="C44" i="10"/>
  <c r="B41" i="10"/>
  <c r="J40" i="10"/>
  <c r="H39" i="10" s="1"/>
  <c r="B44" i="10"/>
  <c r="B47" i="10" s="1"/>
  <c r="K46" i="5"/>
  <c r="K48" i="5" s="1"/>
  <c r="J48" i="5"/>
  <c r="L48" i="5" s="1"/>
  <c r="A13" i="6"/>
  <c r="G43" i="6"/>
  <c r="J46" i="6" s="1"/>
  <c r="K21" i="10"/>
  <c r="J21" i="10"/>
  <c r="J48" i="8"/>
  <c r="L48" i="8" s="1"/>
  <c r="K46" i="8"/>
  <c r="K48" i="8" s="1"/>
  <c r="B55" i="10"/>
  <c r="B57" i="10" s="1"/>
  <c r="B61" i="10" s="1"/>
  <c r="W20" i="10"/>
  <c r="W22" i="10" s="1"/>
  <c r="W23" i="10" s="1"/>
  <c r="W24" i="10" s="1"/>
  <c r="I20" i="10"/>
  <c r="E20" i="10"/>
  <c r="J20" i="10" s="1"/>
  <c r="G43" i="4"/>
  <c r="J46" i="4" s="1"/>
  <c r="A13" i="4"/>
  <c r="A26" i="8"/>
  <c r="Z43" i="11" l="1"/>
  <c r="AA43" i="11" s="1"/>
  <c r="Z42" i="11"/>
  <c r="AA42" i="11" s="1"/>
  <c r="Z40" i="11"/>
  <c r="AA40" i="11" s="1"/>
  <c r="AA44" i="11" s="1"/>
  <c r="U44" i="11"/>
  <c r="W44" i="11" s="1"/>
  <c r="Z96" i="11"/>
  <c r="AA96" i="11" s="1"/>
  <c r="Z97" i="11"/>
  <c r="AA97" i="11" s="1"/>
  <c r="T99" i="11"/>
  <c r="V99" i="11" s="1"/>
  <c r="AA66" i="11"/>
  <c r="Q99" i="11"/>
  <c r="AX66" i="11"/>
  <c r="AC66" i="11"/>
  <c r="AG66" i="11" s="1"/>
  <c r="AH66" i="11"/>
  <c r="AX190" i="11"/>
  <c r="AY190" i="11" s="1"/>
  <c r="BE188" i="11"/>
  <c r="BC188" i="11"/>
  <c r="BD188" i="11" s="1"/>
  <c r="AZ188" i="11"/>
  <c r="BG188" i="11"/>
  <c r="T44" i="11"/>
  <c r="V44" i="11" s="1"/>
  <c r="AG167" i="11"/>
  <c r="AG168" i="11"/>
  <c r="AG165" i="11"/>
  <c r="AG166" i="11"/>
  <c r="U55" i="11"/>
  <c r="W55" i="11" s="1"/>
  <c r="T55" i="11"/>
  <c r="V55" i="11" s="1"/>
  <c r="Q55" i="11"/>
  <c r="Z52" i="11"/>
  <c r="AA52" i="11" s="1"/>
  <c r="Z54" i="11"/>
  <c r="AA54" i="11" s="1"/>
  <c r="Z53" i="11"/>
  <c r="AA53" i="11" s="1"/>
  <c r="AG132" i="11"/>
  <c r="AG130" i="11"/>
  <c r="AG127" i="11"/>
  <c r="AG128" i="11"/>
  <c r="AG131" i="11"/>
  <c r="AG126" i="11"/>
  <c r="AG129" i="11"/>
  <c r="BC146" i="11"/>
  <c r="BD146" i="11" s="1"/>
  <c r="AX148" i="11"/>
  <c r="AY148" i="11" s="1"/>
  <c r="BG146" i="11"/>
  <c r="BE146" i="11"/>
  <c r="BN146" i="11" s="1"/>
  <c r="AZ146" i="11"/>
  <c r="AH154" i="11"/>
  <c r="AJ154" i="11" s="1"/>
  <c r="AH153" i="11"/>
  <c r="AJ153" i="11" s="1"/>
  <c r="AH156" i="11"/>
  <c r="AJ156" i="11" s="1"/>
  <c r="AH157" i="11"/>
  <c r="AJ157" i="11" s="1"/>
  <c r="AH155" i="11"/>
  <c r="AJ155" i="11" s="1"/>
  <c r="AG187" i="11"/>
  <c r="AG186" i="11"/>
  <c r="AA119" i="11"/>
  <c r="AH166" i="11"/>
  <c r="AJ166" i="11" s="1"/>
  <c r="AH165" i="11"/>
  <c r="AJ165" i="11" s="1"/>
  <c r="AH167" i="11"/>
  <c r="AJ167" i="11" s="1"/>
  <c r="AH168" i="11"/>
  <c r="AJ168" i="11" s="1"/>
  <c r="AH131" i="11"/>
  <c r="AJ131" i="11" s="1"/>
  <c r="AH127" i="11"/>
  <c r="AJ127" i="11" s="1"/>
  <c r="AH130" i="11"/>
  <c r="AJ130" i="11" s="1"/>
  <c r="AH126" i="11"/>
  <c r="AJ126" i="11" s="1"/>
  <c r="AH129" i="11"/>
  <c r="AJ129" i="11" s="1"/>
  <c r="AH132" i="11"/>
  <c r="AJ132" i="11" s="1"/>
  <c r="AH128" i="11"/>
  <c r="AJ128" i="11" s="1"/>
  <c r="U33" i="11"/>
  <c r="W33" i="11" s="1"/>
  <c r="Q33" i="11"/>
  <c r="Z30" i="11"/>
  <c r="AA30" i="11" s="1"/>
  <c r="T33" i="11"/>
  <c r="V33" i="11" s="1"/>
  <c r="Z32" i="11"/>
  <c r="AA32" i="11" s="1"/>
  <c r="Z29" i="11"/>
  <c r="AA29" i="11" s="1"/>
  <c r="U22" i="11"/>
  <c r="W22" i="11" s="1"/>
  <c r="T22" i="11"/>
  <c r="V22" i="11" s="1"/>
  <c r="Q22" i="11"/>
  <c r="Z19" i="11"/>
  <c r="AA19" i="11" s="1"/>
  <c r="Z20" i="11"/>
  <c r="AA20" i="11" s="1"/>
  <c r="AX171" i="11"/>
  <c r="AY171" i="11" s="1"/>
  <c r="BE169" i="11"/>
  <c r="BC169" i="11"/>
  <c r="BD169" i="11" s="1"/>
  <c r="AZ169" i="11"/>
  <c r="BG169" i="11"/>
  <c r="AX135" i="11"/>
  <c r="AY135" i="11" s="1"/>
  <c r="BG133" i="11"/>
  <c r="BE133" i="11"/>
  <c r="BC133" i="11"/>
  <c r="BD133" i="11" s="1"/>
  <c r="AZ133" i="11"/>
  <c r="AC12" i="11"/>
  <c r="AG12" i="11" s="1"/>
  <c r="BA12" i="11"/>
  <c r="BU12" i="11" s="1"/>
  <c r="BU13" i="11" s="1"/>
  <c r="AX12" i="11"/>
  <c r="BO12" i="11"/>
  <c r="AH12" i="11"/>
  <c r="AH143" i="11"/>
  <c r="AJ143" i="11" s="1"/>
  <c r="AH140" i="11"/>
  <c r="AJ140" i="11" s="1"/>
  <c r="AH144" i="11"/>
  <c r="AJ144" i="11" s="1"/>
  <c r="AH141" i="11"/>
  <c r="AJ141" i="11" s="1"/>
  <c r="AH142" i="11"/>
  <c r="AJ142" i="11" s="1"/>
  <c r="AH145" i="11"/>
  <c r="AJ145" i="11" s="1"/>
  <c r="AH44" i="11"/>
  <c r="AC44" i="11"/>
  <c r="AG44" i="11" s="1"/>
  <c r="AX44" i="11"/>
  <c r="AX179" i="11"/>
  <c r="BO179" i="11"/>
  <c r="AH179" i="11"/>
  <c r="AC179" i="11"/>
  <c r="AG179" i="11" s="1"/>
  <c r="BA179" i="11"/>
  <c r="BU179" i="11" s="1"/>
  <c r="BU180" i="11" s="1"/>
  <c r="Z84" i="11"/>
  <c r="AA84" i="11" s="1"/>
  <c r="T88" i="11"/>
  <c r="V88" i="11" s="1"/>
  <c r="U88" i="11"/>
  <c r="W88" i="11" s="1"/>
  <c r="Q88" i="11"/>
  <c r="Z86" i="11"/>
  <c r="AA86" i="11" s="1"/>
  <c r="Z85" i="11"/>
  <c r="AA85" i="11" s="1"/>
  <c r="Z87" i="11"/>
  <c r="AA87" i="11" s="1"/>
  <c r="T108" i="11"/>
  <c r="V108" i="11" s="1"/>
  <c r="U108" i="11"/>
  <c r="W108" i="11" s="1"/>
  <c r="Q108" i="11"/>
  <c r="Z106" i="11"/>
  <c r="AA106" i="11" s="1"/>
  <c r="Z107" i="11"/>
  <c r="AA107" i="11" s="1"/>
  <c r="AH186" i="11"/>
  <c r="AJ186" i="11" s="1"/>
  <c r="AH187" i="11"/>
  <c r="AJ187" i="11" s="1"/>
  <c r="AG143" i="11"/>
  <c r="AG140" i="11"/>
  <c r="AG144" i="11"/>
  <c r="AG141" i="11"/>
  <c r="AG142" i="11"/>
  <c r="AG145" i="11"/>
  <c r="AF55" i="11"/>
  <c r="T77" i="11"/>
  <c r="V77" i="11" s="1"/>
  <c r="Q77" i="11"/>
  <c r="U77" i="11"/>
  <c r="W77" i="11" s="1"/>
  <c r="Z74" i="11"/>
  <c r="AA74" i="11" s="1"/>
  <c r="Z73" i="11"/>
  <c r="AA73" i="11" s="1"/>
  <c r="Z75" i="11"/>
  <c r="AA75" i="11" s="1"/>
  <c r="Z76" i="11"/>
  <c r="AA76" i="11" s="1"/>
  <c r="AF77" i="11"/>
  <c r="AX160" i="11"/>
  <c r="AY160" i="11" s="1"/>
  <c r="BG158" i="11"/>
  <c r="BE158" i="11"/>
  <c r="AZ158" i="11"/>
  <c r="BC158" i="11"/>
  <c r="BD158" i="11" s="1"/>
  <c r="AA99" i="11"/>
  <c r="AG158" i="11"/>
  <c r="J48" i="9"/>
  <c r="K46" i="9"/>
  <c r="K48" i="9" s="1"/>
  <c r="J48" i="3"/>
  <c r="K46" i="3"/>
  <c r="K48" i="3" s="1"/>
  <c r="K20" i="10"/>
  <c r="K46" i="7"/>
  <c r="K48" i="7" s="1"/>
  <c r="J48" i="7"/>
  <c r="L48" i="7" s="1"/>
  <c r="N21" i="10"/>
  <c r="N23" i="10" s="1"/>
  <c r="N24" i="10" s="1"/>
  <c r="E53" i="10"/>
  <c r="I26" i="10"/>
  <c r="K25" i="10"/>
  <c r="J25" i="10"/>
  <c r="K46" i="6"/>
  <c r="K48" i="6" s="1"/>
  <c r="J48" i="6"/>
  <c r="L48" i="6" s="1"/>
  <c r="B48" i="10"/>
  <c r="I61" i="10" s="1"/>
  <c r="F45" i="10"/>
  <c r="J48" i="4"/>
  <c r="K46" i="4"/>
  <c r="K48" i="4" s="1"/>
  <c r="J48" i="2"/>
  <c r="K46" i="2"/>
  <c r="K48" i="2" s="1"/>
  <c r="AA55" i="11" l="1"/>
  <c r="AA88" i="11"/>
  <c r="BN158" i="11"/>
  <c r="AA33" i="11"/>
  <c r="AH8" i="11"/>
  <c r="AJ8" i="11" s="1"/>
  <c r="AH9" i="11"/>
  <c r="AJ9" i="11" s="1"/>
  <c r="AH10" i="11"/>
  <c r="AJ10" i="11" s="1"/>
  <c r="AH11" i="11"/>
  <c r="AJ11" i="11" s="1"/>
  <c r="AO168" i="11"/>
  <c r="AP168" i="11" s="1"/>
  <c r="AL168" i="11"/>
  <c r="AM168" i="11" s="1"/>
  <c r="BQ146" i="11"/>
  <c r="BT146" i="11" s="1"/>
  <c r="BW146" i="11" s="1"/>
  <c r="BW147" i="11" s="1"/>
  <c r="BP146" i="11"/>
  <c r="BS146" i="11" s="1"/>
  <c r="BV146" i="11" s="1"/>
  <c r="BV147" i="11" s="1"/>
  <c r="AO187" i="11"/>
  <c r="AP187" i="11" s="1"/>
  <c r="AL187" i="11"/>
  <c r="AM187" i="11" s="1"/>
  <c r="AK187" i="11"/>
  <c r="AH177" i="11"/>
  <c r="AJ177" i="11" s="1"/>
  <c r="AH178" i="11"/>
  <c r="AJ178" i="11" s="1"/>
  <c r="AH176" i="11"/>
  <c r="AJ176" i="11" s="1"/>
  <c r="BE12" i="11"/>
  <c r="BC12" i="11"/>
  <c r="BD12" i="11" s="1"/>
  <c r="AZ12" i="11"/>
  <c r="BG12" i="11"/>
  <c r="AX14" i="11"/>
  <c r="AY14" i="11" s="1"/>
  <c r="AL167" i="11"/>
  <c r="AM167" i="11" s="1"/>
  <c r="AO167" i="11"/>
  <c r="AP167" i="11" s="1"/>
  <c r="AJ146" i="11"/>
  <c r="AO146" i="11" s="1"/>
  <c r="AP146" i="11" s="1"/>
  <c r="AO140" i="11"/>
  <c r="AP140" i="11" s="1"/>
  <c r="AL140" i="11"/>
  <c r="AK140" i="11"/>
  <c r="AK146" i="11" s="1"/>
  <c r="AL127" i="11"/>
  <c r="AM127" i="11" s="1"/>
  <c r="AO127" i="11"/>
  <c r="AP127" i="11" s="1"/>
  <c r="AK127" i="11"/>
  <c r="AO186" i="11"/>
  <c r="AP186" i="11" s="1"/>
  <c r="AL186" i="11"/>
  <c r="AJ188" i="11"/>
  <c r="AO188" i="11" s="1"/>
  <c r="AP188" i="11" s="1"/>
  <c r="AL165" i="11"/>
  <c r="AJ169" i="11"/>
  <c r="AO169" i="11" s="1"/>
  <c r="AP169" i="11" s="1"/>
  <c r="AO165" i="11"/>
  <c r="AP165" i="11" s="1"/>
  <c r="BP188" i="11"/>
  <c r="BS188" i="11" s="1"/>
  <c r="BV188" i="11" s="1"/>
  <c r="BV189" i="11" s="1"/>
  <c r="BQ188" i="11"/>
  <c r="BT188" i="11" s="1"/>
  <c r="BW188" i="11" s="1"/>
  <c r="BW189" i="11" s="1"/>
  <c r="AL131" i="11"/>
  <c r="AM131" i="11" s="1"/>
  <c r="AO131" i="11"/>
  <c r="AP131" i="11" s="1"/>
  <c r="AL166" i="11"/>
  <c r="AM166" i="11" s="1"/>
  <c r="AO166" i="11"/>
  <c r="AP166" i="11" s="1"/>
  <c r="AK166" i="11"/>
  <c r="BP133" i="11"/>
  <c r="BS133" i="11" s="1"/>
  <c r="BV133" i="11" s="1"/>
  <c r="BV134" i="11" s="1"/>
  <c r="BQ133" i="11"/>
  <c r="BT133" i="11" s="1"/>
  <c r="BW133" i="11" s="1"/>
  <c r="BW134" i="11" s="1"/>
  <c r="AG43" i="11"/>
  <c r="AG40" i="11"/>
  <c r="AG42" i="11"/>
  <c r="AG41" i="11"/>
  <c r="BN133" i="11"/>
  <c r="BN188" i="11"/>
  <c r="BQ158" i="11"/>
  <c r="BT158" i="11" s="1"/>
  <c r="BW158" i="11" s="1"/>
  <c r="BW159" i="11" s="1"/>
  <c r="BP158" i="11"/>
  <c r="BS158" i="11" s="1"/>
  <c r="BV158" i="11" s="1"/>
  <c r="BV159" i="11" s="1"/>
  <c r="AG177" i="11"/>
  <c r="AG178" i="11"/>
  <c r="AG176" i="11"/>
  <c r="BE179" i="11"/>
  <c r="BC179" i="11"/>
  <c r="BD179" i="11" s="1"/>
  <c r="AZ179" i="11"/>
  <c r="AX181" i="11"/>
  <c r="AY181" i="11" s="1"/>
  <c r="BG179" i="11"/>
  <c r="AC119" i="11"/>
  <c r="AG119" i="11" s="1"/>
  <c r="AH119" i="11"/>
  <c r="AX119" i="11"/>
  <c r="AA77" i="11"/>
  <c r="AO155" i="11"/>
  <c r="AP155" i="11" s="1"/>
  <c r="AL155" i="11"/>
  <c r="AM155" i="11" s="1"/>
  <c r="AX88" i="11"/>
  <c r="AC88" i="11"/>
  <c r="AG88" i="11" s="1"/>
  <c r="AH88" i="11" s="1"/>
  <c r="AH42" i="11"/>
  <c r="AJ42" i="11" s="1"/>
  <c r="AH43" i="11"/>
  <c r="AJ43" i="11" s="1"/>
  <c r="AH40" i="11"/>
  <c r="AJ40" i="11" s="1"/>
  <c r="AH41" i="11"/>
  <c r="AJ41" i="11" s="1"/>
  <c r="AL157" i="11"/>
  <c r="AM157" i="11" s="1"/>
  <c r="AO157" i="11"/>
  <c r="AP157" i="11" s="1"/>
  <c r="AO130" i="11"/>
  <c r="AP130" i="11" s="1"/>
  <c r="AL130" i="11"/>
  <c r="AM130" i="11" s="1"/>
  <c r="AA108" i="11"/>
  <c r="AO145" i="11"/>
  <c r="AP145" i="11" s="1"/>
  <c r="AL145" i="11"/>
  <c r="AM145" i="11" s="1"/>
  <c r="AO128" i="11"/>
  <c r="AP128" i="11" s="1"/>
  <c r="AK128" i="11"/>
  <c r="AL128" i="11"/>
  <c r="AM128" i="11" s="1"/>
  <c r="AO156" i="11"/>
  <c r="AP156" i="11" s="1"/>
  <c r="AL156" i="11"/>
  <c r="AM156" i="11" s="1"/>
  <c r="AH63" i="11"/>
  <c r="AJ63" i="11" s="1"/>
  <c r="AH65" i="11"/>
  <c r="AJ65" i="11" s="1"/>
  <c r="AH64" i="11"/>
  <c r="AJ64" i="11" s="1"/>
  <c r="AH62" i="11"/>
  <c r="AJ62" i="11" s="1"/>
  <c r="AG8" i="11"/>
  <c r="AG9" i="11"/>
  <c r="AG10" i="11"/>
  <c r="AG11" i="11"/>
  <c r="BE44" i="11"/>
  <c r="BC44" i="11"/>
  <c r="BD44" i="11" s="1"/>
  <c r="AZ44" i="11"/>
  <c r="BA44" i="11" s="1"/>
  <c r="BU44" i="11" s="1"/>
  <c r="BU45" i="11" s="1"/>
  <c r="BG44" i="11"/>
  <c r="AX46" i="11"/>
  <c r="AY46" i="11" s="1"/>
  <c r="AX55" i="11"/>
  <c r="AC55" i="11"/>
  <c r="AG55" i="11" s="1"/>
  <c r="AH55" i="11"/>
  <c r="AA22" i="11"/>
  <c r="AL132" i="11"/>
  <c r="AM132" i="11" s="1"/>
  <c r="AO132" i="11"/>
  <c r="AP132" i="11" s="1"/>
  <c r="AG155" i="11"/>
  <c r="AG154" i="11"/>
  <c r="AG156" i="11"/>
  <c r="AG157" i="11"/>
  <c r="AG153" i="11"/>
  <c r="AO141" i="11"/>
  <c r="AP141" i="11" s="1"/>
  <c r="AL141" i="11"/>
  <c r="AM141" i="11" s="1"/>
  <c r="BQ169" i="11"/>
  <c r="BT169" i="11" s="1"/>
  <c r="BW169" i="11" s="1"/>
  <c r="BW170" i="11" s="1"/>
  <c r="BP169" i="11"/>
  <c r="BS169" i="11" s="1"/>
  <c r="BV169" i="11" s="1"/>
  <c r="BV170" i="11" s="1"/>
  <c r="AO129" i="11"/>
  <c r="AP129" i="11" s="1"/>
  <c r="AL129" i="11"/>
  <c r="AM129" i="11" s="1"/>
  <c r="AO154" i="11"/>
  <c r="AP154" i="11" s="1"/>
  <c r="AL154" i="11"/>
  <c r="AM154" i="11" s="1"/>
  <c r="AG64" i="11"/>
  <c r="AG63" i="11"/>
  <c r="AG62" i="11"/>
  <c r="AG65" i="11"/>
  <c r="AO143" i="11"/>
  <c r="AP143" i="11" s="1"/>
  <c r="AL143" i="11"/>
  <c r="AM143" i="11" s="1"/>
  <c r="AC33" i="11"/>
  <c r="AG33" i="11" s="1"/>
  <c r="AX33" i="11"/>
  <c r="AO142" i="11"/>
  <c r="AP142" i="11" s="1"/>
  <c r="AL142" i="11"/>
  <c r="AM142" i="11" s="1"/>
  <c r="AO153" i="11"/>
  <c r="AP153" i="11" s="1"/>
  <c r="AJ158" i="11"/>
  <c r="AO158" i="11" s="1"/>
  <c r="AP158" i="11" s="1"/>
  <c r="AK153" i="11"/>
  <c r="AK158" i="11" s="1"/>
  <c r="AL153" i="11"/>
  <c r="AC99" i="11"/>
  <c r="AG99" i="11" s="1"/>
  <c r="AX99" i="11"/>
  <c r="AH99" i="11"/>
  <c r="AL144" i="11"/>
  <c r="AM144" i="11" s="1"/>
  <c r="AK144" i="11"/>
  <c r="AO144" i="11"/>
  <c r="AP144" i="11" s="1"/>
  <c r="BN169" i="11"/>
  <c r="AL126" i="11"/>
  <c r="AJ133" i="11"/>
  <c r="AO133" i="11" s="1"/>
  <c r="AP133" i="11" s="1"/>
  <c r="AO126" i="11"/>
  <c r="AP126" i="11" s="1"/>
  <c r="BG66" i="11"/>
  <c r="BE66" i="11"/>
  <c r="BN66" i="11" s="1"/>
  <c r="BO66" i="11" s="1"/>
  <c r="BC66" i="11"/>
  <c r="BD66" i="11" s="1"/>
  <c r="AZ66" i="11"/>
  <c r="BA66" i="11" s="1"/>
  <c r="BU66" i="11" s="1"/>
  <c r="BU67" i="11" s="1"/>
  <c r="AX68" i="11"/>
  <c r="AY68" i="11" s="1"/>
  <c r="E54" i="10"/>
  <c r="K26" i="10"/>
  <c r="K31" i="10"/>
  <c r="J34" i="10"/>
  <c r="I30" i="10"/>
  <c r="I35" i="10"/>
  <c r="I28" i="10"/>
  <c r="F53" i="10"/>
  <c r="I33" i="10"/>
  <c r="I31" i="10"/>
  <c r="I29" i="10"/>
  <c r="I34" i="10"/>
  <c r="I36" i="10"/>
  <c r="N25" i="10"/>
  <c r="G55" i="10"/>
  <c r="G57" i="10" s="1"/>
  <c r="G61" i="10" s="1"/>
  <c r="E57" i="10"/>
  <c r="E61" i="10" s="1"/>
  <c r="J26" i="10"/>
  <c r="E55" i="10"/>
  <c r="J31" i="10"/>
  <c r="K34" i="10"/>
  <c r="AK165" i="11" l="1"/>
  <c r="AK169" i="11" s="1"/>
  <c r="AK142" i="11"/>
  <c r="AK145" i="11"/>
  <c r="AK141" i="11"/>
  <c r="BN12" i="11"/>
  <c r="AK143" i="11"/>
  <c r="AK186" i="11"/>
  <c r="AK188" i="11" s="1"/>
  <c r="AH86" i="11"/>
  <c r="AJ86" i="11" s="1"/>
  <c r="AH85" i="11"/>
  <c r="AJ85" i="11" s="1"/>
  <c r="AH84" i="11"/>
  <c r="AJ84" i="11" s="1"/>
  <c r="AH87" i="11"/>
  <c r="AJ87" i="11" s="1"/>
  <c r="AL42" i="11"/>
  <c r="AM42" i="11" s="1"/>
  <c r="AO42" i="11"/>
  <c r="AP42" i="11" s="1"/>
  <c r="BQ179" i="11"/>
  <c r="BT179" i="11" s="1"/>
  <c r="BW179" i="11" s="1"/>
  <c r="BW180" i="11" s="1"/>
  <c r="BP179" i="11"/>
  <c r="BS179" i="11" s="1"/>
  <c r="BV179" i="11" s="1"/>
  <c r="BV180" i="11" s="1"/>
  <c r="BQ44" i="11"/>
  <c r="BT44" i="11" s="1"/>
  <c r="BW44" i="11" s="1"/>
  <c r="BW45" i="11" s="1"/>
  <c r="AS145" i="11"/>
  <c r="AU145" i="11" s="1"/>
  <c r="AR145" i="11"/>
  <c r="AT145" i="11" s="1"/>
  <c r="AN145" i="11"/>
  <c r="BN179" i="11"/>
  <c r="AN166" i="11"/>
  <c r="AS166" i="11"/>
  <c r="AU166" i="11" s="1"/>
  <c r="AR166" i="11"/>
  <c r="AT166" i="11" s="1"/>
  <c r="AR127" i="11"/>
  <c r="AT127" i="11" s="1"/>
  <c r="AN127" i="11"/>
  <c r="AS127" i="11"/>
  <c r="AU127" i="11" s="1"/>
  <c r="BC88" i="11"/>
  <c r="BD88" i="11" s="1"/>
  <c r="AZ88" i="11"/>
  <c r="BA88" i="11" s="1"/>
  <c r="BU88" i="11" s="1"/>
  <c r="BU89" i="11" s="1"/>
  <c r="AX90" i="11"/>
  <c r="AY90" i="11" s="1"/>
  <c r="BG88" i="11"/>
  <c r="BE88" i="11"/>
  <c r="BN88" i="11" s="1"/>
  <c r="BO88" i="11" s="1"/>
  <c r="AO177" i="11"/>
  <c r="AP177" i="11" s="1"/>
  <c r="AL177" i="11"/>
  <c r="AM177" i="11" s="1"/>
  <c r="AG96" i="11"/>
  <c r="AG95" i="11"/>
  <c r="AG98" i="11"/>
  <c r="AG97" i="11"/>
  <c r="BQ66" i="11"/>
  <c r="BT66" i="11" s="1"/>
  <c r="BW66" i="11" s="1"/>
  <c r="BW67" i="11" s="1"/>
  <c r="BP66" i="11"/>
  <c r="BS66" i="11" s="1"/>
  <c r="BV66" i="11" s="1"/>
  <c r="BV67" i="11" s="1"/>
  <c r="AM153" i="11"/>
  <c r="AL158" i="11"/>
  <c r="AM158" i="11" s="1"/>
  <c r="BN44" i="11"/>
  <c r="BO44" i="11" s="1"/>
  <c r="BP44" i="11" s="1"/>
  <c r="BS44" i="11" s="1"/>
  <c r="BV44" i="11" s="1"/>
  <c r="BV45" i="11" s="1"/>
  <c r="AK131" i="11"/>
  <c r="AS187" i="11"/>
  <c r="AU187" i="11" s="1"/>
  <c r="AR187" i="11"/>
  <c r="AT187" i="11" s="1"/>
  <c r="AN187" i="11"/>
  <c r="AK154" i="11"/>
  <c r="AK130" i="11"/>
  <c r="AR155" i="11"/>
  <c r="AT155" i="11" s="1"/>
  <c r="AS155" i="11"/>
  <c r="AU155" i="11" s="1"/>
  <c r="AN155" i="11"/>
  <c r="AN128" i="11"/>
  <c r="AR128" i="11"/>
  <c r="AT128" i="11" s="1"/>
  <c r="AS128" i="11"/>
  <c r="AU128" i="11" s="1"/>
  <c r="AR143" i="11"/>
  <c r="AT143" i="11" s="1"/>
  <c r="AS143" i="11"/>
  <c r="AU143" i="11" s="1"/>
  <c r="AN143" i="11"/>
  <c r="AS154" i="11"/>
  <c r="AU154" i="11" s="1"/>
  <c r="AR154" i="11"/>
  <c r="AT154" i="11" s="1"/>
  <c r="AN154" i="11"/>
  <c r="AK132" i="11"/>
  <c r="AN130" i="11"/>
  <c r="AS130" i="11"/>
  <c r="AU130" i="11" s="1"/>
  <c r="AR130" i="11"/>
  <c r="AT130" i="11" s="1"/>
  <c r="AS168" i="11"/>
  <c r="AU168" i="11" s="1"/>
  <c r="AR168" i="11"/>
  <c r="AT168" i="11" s="1"/>
  <c r="AN168" i="11"/>
  <c r="AS141" i="11"/>
  <c r="AU141" i="11" s="1"/>
  <c r="AN141" i="11"/>
  <c r="AR141" i="11"/>
  <c r="AT141" i="11" s="1"/>
  <c r="AO178" i="11"/>
  <c r="AP178" i="11" s="1"/>
  <c r="AL178" i="11"/>
  <c r="AM178" i="11" s="1"/>
  <c r="AN131" i="11"/>
  <c r="AS131" i="11"/>
  <c r="AU131" i="11" s="1"/>
  <c r="AR131" i="11"/>
  <c r="AT131" i="11" s="1"/>
  <c r="AK126" i="11"/>
  <c r="AK133" i="11" s="1"/>
  <c r="AS142" i="11"/>
  <c r="AU142" i="11" s="1"/>
  <c r="AR142" i="11"/>
  <c r="AT142" i="11" s="1"/>
  <c r="AN142" i="11"/>
  <c r="AS132" i="11"/>
  <c r="AU132" i="11" s="1"/>
  <c r="AR132" i="11"/>
  <c r="AT132" i="11" s="1"/>
  <c r="AN132" i="11"/>
  <c r="AL62" i="11"/>
  <c r="AO62" i="11"/>
  <c r="AP62" i="11" s="1"/>
  <c r="AJ66" i="11"/>
  <c r="AO66" i="11" s="1"/>
  <c r="AP66" i="11" s="1"/>
  <c r="AC77" i="11"/>
  <c r="AG77" i="11" s="1"/>
  <c r="AX77" i="11"/>
  <c r="AH77" i="11"/>
  <c r="AK167" i="11"/>
  <c r="AO43" i="11"/>
  <c r="AP43" i="11" s="1"/>
  <c r="AK43" i="11"/>
  <c r="AL43" i="11"/>
  <c r="AM43" i="11" s="1"/>
  <c r="AJ179" i="11"/>
  <c r="AO179" i="11" s="1"/>
  <c r="AP179" i="11" s="1"/>
  <c r="AO176" i="11"/>
  <c r="AP176" i="11" s="1"/>
  <c r="AL176" i="11"/>
  <c r="AZ99" i="11"/>
  <c r="BA99" i="11" s="1"/>
  <c r="BU99" i="11" s="1"/>
  <c r="BU100" i="11" s="1"/>
  <c r="BE99" i="11"/>
  <c r="BC99" i="11"/>
  <c r="BD99" i="11" s="1"/>
  <c r="AX101" i="11"/>
  <c r="AY101" i="11" s="1"/>
  <c r="BG99" i="11"/>
  <c r="AM126" i="11"/>
  <c r="AL133" i="11"/>
  <c r="AM133" i="11" s="1"/>
  <c r="AK129" i="11"/>
  <c r="AC22" i="11"/>
  <c r="AG22" i="11" s="1"/>
  <c r="AX22" i="11"/>
  <c r="AO64" i="11"/>
  <c r="AP64" i="11" s="1"/>
  <c r="AL64" i="11"/>
  <c r="AM64" i="11" s="1"/>
  <c r="AK64" i="11"/>
  <c r="AS167" i="11"/>
  <c r="AU167" i="11" s="1"/>
  <c r="AR167" i="11"/>
  <c r="AT167" i="11" s="1"/>
  <c r="AN167" i="11"/>
  <c r="AK168" i="11"/>
  <c r="AH54" i="11"/>
  <c r="AJ54" i="11" s="1"/>
  <c r="AH53" i="11"/>
  <c r="AJ53" i="11" s="1"/>
  <c r="AH52" i="11"/>
  <c r="AJ52" i="11" s="1"/>
  <c r="AH51" i="11"/>
  <c r="AJ51" i="11" s="1"/>
  <c r="AO11" i="11"/>
  <c r="AP11" i="11" s="1"/>
  <c r="AL11" i="11"/>
  <c r="AM11" i="11" s="1"/>
  <c r="AM140" i="11"/>
  <c r="AL146" i="11"/>
  <c r="AM146" i="11" s="1"/>
  <c r="AN129" i="11"/>
  <c r="AS129" i="11"/>
  <c r="AU129" i="11" s="1"/>
  <c r="AR129" i="11"/>
  <c r="AT129" i="11" s="1"/>
  <c r="AK157" i="11"/>
  <c r="AZ33" i="11"/>
  <c r="BA33" i="11" s="1"/>
  <c r="BU33" i="11" s="1"/>
  <c r="BU34" i="11" s="1"/>
  <c r="AX35" i="11"/>
  <c r="AY35" i="11" s="1"/>
  <c r="BG33" i="11"/>
  <c r="BE33" i="11"/>
  <c r="BC33" i="11"/>
  <c r="BD33" i="11" s="1"/>
  <c r="AO63" i="11"/>
  <c r="AP63" i="11" s="1"/>
  <c r="AK63" i="11"/>
  <c r="AL63" i="11"/>
  <c r="AM63" i="11" s="1"/>
  <c r="AN157" i="11"/>
  <c r="AS157" i="11"/>
  <c r="AU157" i="11" s="1"/>
  <c r="AR157" i="11"/>
  <c r="AT157" i="11" s="1"/>
  <c r="BE119" i="11"/>
  <c r="BC119" i="11"/>
  <c r="BD119" i="11" s="1"/>
  <c r="AX121" i="11"/>
  <c r="AY121" i="11" s="1"/>
  <c r="AZ119" i="11"/>
  <c r="BA119" i="11" s="1"/>
  <c r="BU119" i="11" s="1"/>
  <c r="BU120" i="11" s="1"/>
  <c r="BG119" i="11"/>
  <c r="AM165" i="11"/>
  <c r="AL169" i="11"/>
  <c r="AM169" i="11" s="1"/>
  <c r="AL10" i="11"/>
  <c r="AM10" i="11" s="1"/>
  <c r="AO10" i="11"/>
  <c r="AP10" i="11" s="1"/>
  <c r="AZ55" i="11"/>
  <c r="BA55" i="11" s="1"/>
  <c r="BU55" i="11" s="1"/>
  <c r="BU56" i="11" s="1"/>
  <c r="BE55" i="11"/>
  <c r="BC55" i="11"/>
  <c r="BD55" i="11" s="1"/>
  <c r="AX57" i="11"/>
  <c r="AY57" i="11" s="1"/>
  <c r="BG55" i="11"/>
  <c r="AH95" i="11"/>
  <c r="AJ95" i="11" s="1"/>
  <c r="AH98" i="11"/>
  <c r="AJ98" i="11" s="1"/>
  <c r="AH96" i="11"/>
  <c r="AJ96" i="11" s="1"/>
  <c r="AH97" i="11"/>
  <c r="AJ97" i="11" s="1"/>
  <c r="AG84" i="11"/>
  <c r="AG86" i="11"/>
  <c r="AG87" i="11"/>
  <c r="AG85" i="11"/>
  <c r="AC108" i="11"/>
  <c r="AG108" i="11" s="1"/>
  <c r="AX108" i="11"/>
  <c r="BO108" i="11"/>
  <c r="AH108" i="11"/>
  <c r="BA108" i="11"/>
  <c r="BU108" i="11" s="1"/>
  <c r="BU109" i="11" s="1"/>
  <c r="AG29" i="11"/>
  <c r="AG31" i="11"/>
  <c r="AG30" i="11"/>
  <c r="AG32" i="11"/>
  <c r="AK156" i="11"/>
  <c r="AO41" i="11"/>
  <c r="AP41" i="11" s="1"/>
  <c r="AK41" i="11"/>
  <c r="AL41" i="11"/>
  <c r="AM41" i="11" s="1"/>
  <c r="AH118" i="11"/>
  <c r="AJ118" i="11" s="1"/>
  <c r="AH117" i="11"/>
  <c r="AJ117" i="11" s="1"/>
  <c r="AH115" i="11"/>
  <c r="AJ115" i="11" s="1"/>
  <c r="AH116" i="11"/>
  <c r="AJ116" i="11" s="1"/>
  <c r="AO9" i="11"/>
  <c r="AP9" i="11" s="1"/>
  <c r="AL9" i="11"/>
  <c r="AM9" i="11" s="1"/>
  <c r="AK155" i="11"/>
  <c r="AO65" i="11"/>
  <c r="AP65" i="11" s="1"/>
  <c r="AL65" i="11"/>
  <c r="AM65" i="11" s="1"/>
  <c r="AK65" i="11"/>
  <c r="AN144" i="11"/>
  <c r="AS144" i="11"/>
  <c r="AU144" i="11" s="1"/>
  <c r="AR144" i="11"/>
  <c r="AT144" i="11" s="1"/>
  <c r="AH33" i="11"/>
  <c r="AG52" i="11"/>
  <c r="AG53" i="11"/>
  <c r="AG51" i="11"/>
  <c r="AG54" i="11"/>
  <c r="AS156" i="11"/>
  <c r="AU156" i="11" s="1"/>
  <c r="AR156" i="11"/>
  <c r="AT156" i="11" s="1"/>
  <c r="AN156" i="11"/>
  <c r="AJ44" i="11"/>
  <c r="AO44" i="11" s="1"/>
  <c r="AP44" i="11" s="1"/>
  <c r="AK40" i="11"/>
  <c r="AO40" i="11"/>
  <c r="AP40" i="11" s="1"/>
  <c r="AL40" i="11"/>
  <c r="AG117" i="11"/>
  <c r="AG118" i="11"/>
  <c r="AG115" i="11"/>
  <c r="AG116" i="11"/>
  <c r="AM186" i="11"/>
  <c r="AL188" i="11"/>
  <c r="AM188" i="11" s="1"/>
  <c r="BQ12" i="11"/>
  <c r="BT12" i="11" s="1"/>
  <c r="BW12" i="11" s="1"/>
  <c r="BW13" i="11" s="1"/>
  <c r="BP12" i="11"/>
  <c r="BS12" i="11" s="1"/>
  <c r="BV12" i="11" s="1"/>
  <c r="BV13" i="11" s="1"/>
  <c r="AJ12" i="11"/>
  <c r="AO12" i="11" s="1"/>
  <c r="AP12" i="11" s="1"/>
  <c r="AO8" i="11"/>
  <c r="AP8" i="11" s="1"/>
  <c r="AL8" i="11"/>
  <c r="J35" i="10"/>
  <c r="K28" i="10"/>
  <c r="J33" i="10"/>
  <c r="F55" i="10"/>
  <c r="K30" i="10"/>
  <c r="K29" i="10"/>
  <c r="J36" i="10"/>
  <c r="K35" i="10"/>
  <c r="F54" i="10"/>
  <c r="F57" i="10" s="1"/>
  <c r="F61" i="10" s="1"/>
  <c r="J28" i="10"/>
  <c r="K33" i="10"/>
  <c r="J30" i="10"/>
  <c r="K36" i="10"/>
  <c r="J29" i="10"/>
  <c r="AK11" i="11" l="1"/>
  <c r="BN119" i="11"/>
  <c r="BO119" i="11" s="1"/>
  <c r="BN33" i="11"/>
  <c r="BO33" i="11" s="1"/>
  <c r="AK8" i="11"/>
  <c r="AK177" i="11"/>
  <c r="AK176" i="11"/>
  <c r="AK179" i="11" s="1"/>
  <c r="AL96" i="11"/>
  <c r="AM96" i="11" s="1"/>
  <c r="AO96" i="11"/>
  <c r="AP96" i="11" s="1"/>
  <c r="AO95" i="11"/>
  <c r="AP95" i="11" s="1"/>
  <c r="AL95" i="11"/>
  <c r="AJ99" i="11"/>
  <c r="AO99" i="11" s="1"/>
  <c r="AP99" i="11" s="1"/>
  <c r="AG21" i="11"/>
  <c r="AG20" i="11"/>
  <c r="AG19" i="11"/>
  <c r="AL44" i="11"/>
  <c r="AM44" i="11" s="1"/>
  <c r="AM40" i="11"/>
  <c r="AN63" i="11"/>
  <c r="AS63" i="11"/>
  <c r="AU63" i="11" s="1"/>
  <c r="AR63" i="11"/>
  <c r="AT63" i="11" s="1"/>
  <c r="AH22" i="11"/>
  <c r="AM62" i="11"/>
  <c r="AL66" i="11"/>
  <c r="AM66" i="11" s="1"/>
  <c r="AS186" i="11"/>
  <c r="AU186" i="11" s="1"/>
  <c r="AR186" i="11"/>
  <c r="AT186" i="11" s="1"/>
  <c r="AN186" i="11"/>
  <c r="BG22" i="11"/>
  <c r="AX24" i="11"/>
  <c r="AY24" i="11" s="1"/>
  <c r="BE22" i="11"/>
  <c r="BN22" i="11" s="1"/>
  <c r="BO22" i="11" s="1"/>
  <c r="AZ22" i="11"/>
  <c r="BA22" i="11" s="1"/>
  <c r="BU22" i="11" s="1"/>
  <c r="BU23" i="11" s="1"/>
  <c r="BC22" i="11"/>
  <c r="BD22" i="11" s="1"/>
  <c r="AH107" i="11"/>
  <c r="AJ107" i="11" s="1"/>
  <c r="AH106" i="11"/>
  <c r="AJ106" i="11" s="1"/>
  <c r="AO52" i="11"/>
  <c r="AP52" i="11" s="1"/>
  <c r="AL52" i="11"/>
  <c r="AM52" i="11" s="1"/>
  <c r="AR133" i="11"/>
  <c r="AT133" i="11" s="1"/>
  <c r="AS133" i="11"/>
  <c r="AU133" i="11" s="1"/>
  <c r="AU135" i="11"/>
  <c r="AN133" i="11"/>
  <c r="AT135" i="11"/>
  <c r="AS177" i="11"/>
  <c r="AU177" i="11" s="1"/>
  <c r="AR177" i="11"/>
  <c r="AT177" i="11" s="1"/>
  <c r="AN177" i="11"/>
  <c r="BQ33" i="11"/>
  <c r="BT33" i="11" s="1"/>
  <c r="BW33" i="11" s="1"/>
  <c r="BW34" i="11" s="1"/>
  <c r="BP33" i="11"/>
  <c r="BS33" i="11" s="1"/>
  <c r="BV33" i="11" s="1"/>
  <c r="BV34" i="11" s="1"/>
  <c r="AO53" i="11"/>
  <c r="AP53" i="11" s="1"/>
  <c r="AL53" i="11"/>
  <c r="AM53" i="11" s="1"/>
  <c r="AR126" i="11"/>
  <c r="AT126" i="11" s="1"/>
  <c r="AN126" i="11"/>
  <c r="AS126" i="11"/>
  <c r="AU126" i="11" s="1"/>
  <c r="BQ88" i="11"/>
  <c r="BT88" i="11" s="1"/>
  <c r="BW88" i="11" s="1"/>
  <c r="BW89" i="11" s="1"/>
  <c r="BP88" i="11"/>
  <c r="BS88" i="11" s="1"/>
  <c r="BV88" i="11" s="1"/>
  <c r="BV89" i="11" s="1"/>
  <c r="AS42" i="11"/>
  <c r="AU42" i="11" s="1"/>
  <c r="AR42" i="11"/>
  <c r="AT42" i="11" s="1"/>
  <c r="AN42" i="11"/>
  <c r="AR41" i="11"/>
  <c r="AT41" i="11" s="1"/>
  <c r="AS41" i="11"/>
  <c r="AU41" i="11" s="1"/>
  <c r="AN41" i="11"/>
  <c r="AO98" i="11"/>
  <c r="AP98" i="11" s="1"/>
  <c r="AL98" i="11"/>
  <c r="AM98" i="11" s="1"/>
  <c r="AK98" i="11"/>
  <c r="AS11" i="11"/>
  <c r="AU11" i="11" s="1"/>
  <c r="AR11" i="11"/>
  <c r="AT11" i="11" s="1"/>
  <c r="AN11" i="11"/>
  <c r="BN55" i="11"/>
  <c r="BO55" i="11" s="1"/>
  <c r="BQ55" i="11" s="1"/>
  <c r="BT55" i="11" s="1"/>
  <c r="BW55" i="11" s="1"/>
  <c r="BW56" i="11" s="1"/>
  <c r="AL12" i="11"/>
  <c r="AM12" i="11" s="1"/>
  <c r="AM8" i="11"/>
  <c r="AK9" i="11"/>
  <c r="AZ108" i="11"/>
  <c r="BG108" i="11"/>
  <c r="BE108" i="11"/>
  <c r="AX110" i="11"/>
  <c r="AY110" i="11" s="1"/>
  <c r="BC108" i="11"/>
  <c r="BD108" i="11" s="1"/>
  <c r="AK10" i="11"/>
  <c r="AK12" i="11" s="1"/>
  <c r="AL54" i="11"/>
  <c r="AM54" i="11" s="1"/>
  <c r="AO54" i="11"/>
  <c r="AP54" i="11" s="1"/>
  <c r="AK54" i="11"/>
  <c r="BG77" i="11"/>
  <c r="AX79" i="11"/>
  <c r="AY79" i="11" s="1"/>
  <c r="BC77" i="11"/>
  <c r="BD77" i="11" s="1"/>
  <c r="AZ77" i="11"/>
  <c r="BA77" i="11" s="1"/>
  <c r="BU77" i="11" s="1"/>
  <c r="BU78" i="11" s="1"/>
  <c r="BE77" i="11"/>
  <c r="AK178" i="11"/>
  <c r="AR158" i="11"/>
  <c r="AT158" i="11" s="1"/>
  <c r="AN158" i="11"/>
  <c r="AT160" i="11"/>
  <c r="AU160" i="11"/>
  <c r="AS158" i="11"/>
  <c r="AU158" i="11" s="1"/>
  <c r="AK42" i="11"/>
  <c r="AK44" i="11" s="1"/>
  <c r="AU190" i="11"/>
  <c r="AT190" i="11"/>
  <c r="AR188" i="11"/>
  <c r="AT188" i="11" s="1"/>
  <c r="AS188" i="11"/>
  <c r="AU188" i="11" s="1"/>
  <c r="AN188" i="11"/>
  <c r="AH29" i="11"/>
  <c r="AJ29" i="11" s="1"/>
  <c r="AH31" i="11"/>
  <c r="AJ31" i="11" s="1"/>
  <c r="AH30" i="11"/>
  <c r="AJ30" i="11" s="1"/>
  <c r="AH32" i="11"/>
  <c r="AJ32" i="11" s="1"/>
  <c r="AL179" i="11"/>
  <c r="AM179" i="11" s="1"/>
  <c r="AM176" i="11"/>
  <c r="AR43" i="11"/>
  <c r="AT43" i="11" s="1"/>
  <c r="AS43" i="11"/>
  <c r="AU43" i="11" s="1"/>
  <c r="AN43" i="11"/>
  <c r="AO116" i="11"/>
  <c r="AP116" i="11" s="1"/>
  <c r="AL116" i="11"/>
  <c r="AM116" i="11" s="1"/>
  <c r="AG106" i="11"/>
  <c r="AG107" i="11"/>
  <c r="AR10" i="11"/>
  <c r="AT10" i="11" s="1"/>
  <c r="AN10" i="11"/>
  <c r="AS10" i="11"/>
  <c r="AU10" i="11" s="1"/>
  <c r="AG73" i="11"/>
  <c r="AG76" i="11"/>
  <c r="AG75" i="11"/>
  <c r="AG74" i="11"/>
  <c r="AR178" i="11"/>
  <c r="AT178" i="11" s="1"/>
  <c r="AS178" i="11"/>
  <c r="AU178" i="11" s="1"/>
  <c r="AN178" i="11"/>
  <c r="AN153" i="11"/>
  <c r="AS153" i="11"/>
  <c r="AU153" i="11" s="1"/>
  <c r="AR153" i="11"/>
  <c r="AT153" i="11" s="1"/>
  <c r="AO87" i="11"/>
  <c r="AP87" i="11" s="1"/>
  <c r="AL87" i="11"/>
  <c r="AM87" i="11" s="1"/>
  <c r="BQ99" i="11"/>
  <c r="BT99" i="11" s="1"/>
  <c r="BW99" i="11" s="1"/>
  <c r="BW100" i="11" s="1"/>
  <c r="BP99" i="11"/>
  <c r="BS99" i="11" s="1"/>
  <c r="BV99" i="11" s="1"/>
  <c r="BV100" i="11" s="1"/>
  <c r="AJ88" i="11"/>
  <c r="AO88" i="11" s="1"/>
  <c r="AP88" i="11" s="1"/>
  <c r="AL84" i="11"/>
  <c r="AO84" i="11"/>
  <c r="AP84" i="11" s="1"/>
  <c r="AS64" i="11"/>
  <c r="AU64" i="11" s="1"/>
  <c r="AR64" i="11"/>
  <c r="AT64" i="11" s="1"/>
  <c r="AN64" i="11"/>
  <c r="BQ119" i="11"/>
  <c r="BT119" i="11" s="1"/>
  <c r="BW119" i="11" s="1"/>
  <c r="BW120" i="11" s="1"/>
  <c r="BP119" i="11"/>
  <c r="BS119" i="11" s="1"/>
  <c r="BV119" i="11" s="1"/>
  <c r="BV120" i="11" s="1"/>
  <c r="AS65" i="11"/>
  <c r="AU65" i="11" s="1"/>
  <c r="AR65" i="11"/>
  <c r="AT65" i="11" s="1"/>
  <c r="AN65" i="11"/>
  <c r="AS9" i="11"/>
  <c r="AU9" i="11" s="1"/>
  <c r="AR9" i="11"/>
  <c r="AT9" i="11" s="1"/>
  <c r="AN9" i="11"/>
  <c r="AO117" i="11"/>
  <c r="AP117" i="11" s="1"/>
  <c r="AL117" i="11"/>
  <c r="AM117" i="11" s="1"/>
  <c r="AN165" i="11"/>
  <c r="AR165" i="11"/>
  <c r="AT165" i="11" s="1"/>
  <c r="AS165" i="11"/>
  <c r="AU165" i="11" s="1"/>
  <c r="BN99" i="11"/>
  <c r="BO99" i="11" s="1"/>
  <c r="AK62" i="11"/>
  <c r="AK66" i="11" s="1"/>
  <c r="AO85" i="11"/>
  <c r="AP85" i="11" s="1"/>
  <c r="AL85" i="11"/>
  <c r="AM85" i="11" s="1"/>
  <c r="AO97" i="11"/>
  <c r="AP97" i="11" s="1"/>
  <c r="AL97" i="11"/>
  <c r="AM97" i="11" s="1"/>
  <c r="AS146" i="11"/>
  <c r="AU146" i="11" s="1"/>
  <c r="AU148" i="11"/>
  <c r="AR146" i="11"/>
  <c r="AT146" i="11" s="1"/>
  <c r="AT148" i="11"/>
  <c r="AN146" i="11"/>
  <c r="AS140" i="11"/>
  <c r="AU140" i="11" s="1"/>
  <c r="AR140" i="11"/>
  <c r="AT140" i="11" s="1"/>
  <c r="AN140" i="11"/>
  <c r="AJ55" i="11"/>
  <c r="AO55" i="11" s="1"/>
  <c r="AP55" i="11" s="1"/>
  <c r="AO51" i="11"/>
  <c r="AP51" i="11" s="1"/>
  <c r="AL51" i="11"/>
  <c r="AH76" i="11"/>
  <c r="AJ76" i="11" s="1"/>
  <c r="AH73" i="11"/>
  <c r="AJ73" i="11" s="1"/>
  <c r="AH75" i="11"/>
  <c r="AJ75" i="11" s="1"/>
  <c r="AH74" i="11"/>
  <c r="AJ74" i="11" s="1"/>
  <c r="AL115" i="11"/>
  <c r="AO115" i="11"/>
  <c r="AP115" i="11" s="1"/>
  <c r="AJ119" i="11"/>
  <c r="AO119" i="11" s="1"/>
  <c r="AP119" i="11" s="1"/>
  <c r="AS169" i="11"/>
  <c r="AU169" i="11" s="1"/>
  <c r="AR169" i="11"/>
  <c r="AT169" i="11" s="1"/>
  <c r="AN169" i="11"/>
  <c r="AT171" i="11"/>
  <c r="AU171" i="11"/>
  <c r="AL118" i="11"/>
  <c r="AM118" i="11" s="1"/>
  <c r="AO118" i="11"/>
  <c r="AP118" i="11" s="1"/>
  <c r="AO86" i="11"/>
  <c r="AP86" i="11" s="1"/>
  <c r="AL86" i="11"/>
  <c r="AM86" i="11" s="1"/>
  <c r="AK97" i="11" l="1"/>
  <c r="AK51" i="11"/>
  <c r="BP55" i="11"/>
  <c r="BS55" i="11" s="1"/>
  <c r="BV55" i="11" s="1"/>
  <c r="BV56" i="11" s="1"/>
  <c r="AK53" i="11"/>
  <c r="AL88" i="11"/>
  <c r="AM88" i="11" s="1"/>
  <c r="AM84" i="11"/>
  <c r="AO29" i="11"/>
  <c r="AP29" i="11" s="1"/>
  <c r="AL29" i="11"/>
  <c r="AJ33" i="11"/>
  <c r="AO33" i="11" s="1"/>
  <c r="AP33" i="11" s="1"/>
  <c r="AK115" i="11"/>
  <c r="AN53" i="11"/>
  <c r="AS53" i="11"/>
  <c r="AU53" i="11" s="1"/>
  <c r="AR53" i="11"/>
  <c r="AT53" i="11" s="1"/>
  <c r="AN85" i="11"/>
  <c r="AR85" i="11"/>
  <c r="AT85" i="11" s="1"/>
  <c r="AS85" i="11"/>
  <c r="AU85" i="11" s="1"/>
  <c r="AO31" i="11"/>
  <c r="AP31" i="11" s="1"/>
  <c r="AL31" i="11"/>
  <c r="AM31" i="11" s="1"/>
  <c r="AK87" i="11"/>
  <c r="AS97" i="11"/>
  <c r="AU97" i="11" s="1"/>
  <c r="AR97" i="11"/>
  <c r="AT97" i="11" s="1"/>
  <c r="AN97" i="11"/>
  <c r="AR44" i="11"/>
  <c r="AT44" i="11" s="1"/>
  <c r="AN44" i="11"/>
  <c r="AU46" i="11"/>
  <c r="AT46" i="11"/>
  <c r="AS44" i="11"/>
  <c r="AU44" i="11" s="1"/>
  <c r="AK85" i="11"/>
  <c r="AK118" i="11"/>
  <c r="AK55" i="11"/>
  <c r="BN108" i="11"/>
  <c r="AN52" i="11"/>
  <c r="AS52" i="11"/>
  <c r="AU52" i="11" s="1"/>
  <c r="AR52" i="11"/>
  <c r="AT52" i="11" s="1"/>
  <c r="AM115" i="11"/>
  <c r="AL119" i="11"/>
  <c r="AM119" i="11" s="1"/>
  <c r="AS98" i="11"/>
  <c r="AU98" i="11" s="1"/>
  <c r="AR98" i="11"/>
  <c r="AT98" i="11" s="1"/>
  <c r="AN98" i="11"/>
  <c r="AK86" i="11"/>
  <c r="AR116" i="11"/>
  <c r="AT116" i="11" s="1"/>
  <c r="AN116" i="11"/>
  <c r="AS116" i="11"/>
  <c r="AU116" i="11" s="1"/>
  <c r="AK95" i="11"/>
  <c r="BQ77" i="11"/>
  <c r="BT77" i="11" s="1"/>
  <c r="BW77" i="11" s="1"/>
  <c r="BW78" i="11" s="1"/>
  <c r="BP77" i="11"/>
  <c r="BS77" i="11" s="1"/>
  <c r="BV77" i="11" s="1"/>
  <c r="BV78" i="11" s="1"/>
  <c r="AK74" i="11"/>
  <c r="AO74" i="11"/>
  <c r="AP74" i="11" s="1"/>
  <c r="AL74" i="11"/>
  <c r="AM74" i="11" s="1"/>
  <c r="AO75" i="11"/>
  <c r="AP75" i="11" s="1"/>
  <c r="AL75" i="11"/>
  <c r="AM75" i="11" s="1"/>
  <c r="AS54" i="11"/>
  <c r="AU54" i="11" s="1"/>
  <c r="AR54" i="11"/>
  <c r="AT54" i="11" s="1"/>
  <c r="AN54" i="11"/>
  <c r="AM95" i="11"/>
  <c r="AL99" i="11"/>
  <c r="AM99" i="11" s="1"/>
  <c r="AN87" i="11"/>
  <c r="AS87" i="11"/>
  <c r="AU87" i="11" s="1"/>
  <c r="AR87" i="11"/>
  <c r="AT87" i="11" s="1"/>
  <c r="AK116" i="11"/>
  <c r="AS176" i="11"/>
  <c r="AU176" i="11" s="1"/>
  <c r="AR176" i="11"/>
  <c r="AT176" i="11" s="1"/>
  <c r="AN176" i="11"/>
  <c r="AN66" i="11"/>
  <c r="AR66" i="11"/>
  <c r="AT66" i="11" s="1"/>
  <c r="AU68" i="11"/>
  <c r="AT68" i="11"/>
  <c r="AS66" i="11"/>
  <c r="AU66" i="11" s="1"/>
  <c r="AO106" i="11"/>
  <c r="AP106" i="11" s="1"/>
  <c r="AL106" i="11"/>
  <c r="AJ108" i="11"/>
  <c r="AO108" i="11" s="1"/>
  <c r="AP108" i="11" s="1"/>
  <c r="AK106" i="11"/>
  <c r="AN86" i="11"/>
  <c r="AS86" i="11"/>
  <c r="AU86" i="11" s="1"/>
  <c r="AR86" i="11"/>
  <c r="AT86" i="11" s="1"/>
  <c r="AK76" i="11"/>
  <c r="AO76" i="11"/>
  <c r="AP76" i="11" s="1"/>
  <c r="AL76" i="11"/>
  <c r="AM76" i="11" s="1"/>
  <c r="AR118" i="11"/>
  <c r="AT118" i="11" s="1"/>
  <c r="AN118" i="11"/>
  <c r="AS118" i="11"/>
  <c r="AU118" i="11" s="1"/>
  <c r="AS179" i="11"/>
  <c r="AU179" i="11" s="1"/>
  <c r="AR179" i="11"/>
  <c r="AT179" i="11" s="1"/>
  <c r="AU181" i="11"/>
  <c r="AN179" i="11"/>
  <c r="AT181" i="11"/>
  <c r="AS8" i="11"/>
  <c r="AU8" i="11" s="1"/>
  <c r="AR8" i="11"/>
  <c r="AT8" i="11" s="1"/>
  <c r="AN8" i="11"/>
  <c r="AN62" i="11"/>
  <c r="AS62" i="11"/>
  <c r="AU62" i="11" s="1"/>
  <c r="AR62" i="11"/>
  <c r="AT62" i="11" s="1"/>
  <c r="AK117" i="11"/>
  <c r="AS40" i="11"/>
  <c r="AU40" i="11" s="1"/>
  <c r="AR40" i="11"/>
  <c r="AT40" i="11" s="1"/>
  <c r="AN40" i="11"/>
  <c r="AL73" i="11"/>
  <c r="AO73" i="11"/>
  <c r="AP73" i="11" s="1"/>
  <c r="AJ77" i="11"/>
  <c r="AO77" i="11" s="1"/>
  <c r="AP77" i="11" s="1"/>
  <c r="AL32" i="11"/>
  <c r="AM32" i="11" s="1"/>
  <c r="AO32" i="11"/>
  <c r="AP32" i="11" s="1"/>
  <c r="AK32" i="11"/>
  <c r="BN77" i="11"/>
  <c r="BO77" i="11" s="1"/>
  <c r="AT14" i="11"/>
  <c r="AS12" i="11"/>
  <c r="AU12" i="11" s="1"/>
  <c r="AR12" i="11"/>
  <c r="AT12" i="11" s="1"/>
  <c r="AN12" i="11"/>
  <c r="AU14" i="11"/>
  <c r="AH21" i="11"/>
  <c r="AJ21" i="11" s="1"/>
  <c r="AH20" i="11"/>
  <c r="AJ20" i="11" s="1"/>
  <c r="AH19" i="11"/>
  <c r="AJ19" i="11" s="1"/>
  <c r="AK96" i="11"/>
  <c r="AL107" i="11"/>
  <c r="AM107" i="11" s="1"/>
  <c r="AO107" i="11"/>
  <c r="AP107" i="11" s="1"/>
  <c r="BQ22" i="11"/>
  <c r="BT22" i="11" s="1"/>
  <c r="BW22" i="11" s="1"/>
  <c r="BW23" i="11" s="1"/>
  <c r="BP22" i="11"/>
  <c r="BS22" i="11" s="1"/>
  <c r="BV22" i="11" s="1"/>
  <c r="BV23" i="11" s="1"/>
  <c r="BQ108" i="11"/>
  <c r="BT108" i="11" s="1"/>
  <c r="BW108" i="11" s="1"/>
  <c r="BW109" i="11" s="1"/>
  <c r="BP108" i="11"/>
  <c r="BS108" i="11" s="1"/>
  <c r="BV108" i="11" s="1"/>
  <c r="BV109" i="11" s="1"/>
  <c r="AL55" i="11"/>
  <c r="AM55" i="11" s="1"/>
  <c r="AM51" i="11"/>
  <c r="AS117" i="11"/>
  <c r="AU117" i="11" s="1"/>
  <c r="AR117" i="11"/>
  <c r="AT117" i="11" s="1"/>
  <c r="AN117" i="11"/>
  <c r="AK84" i="11"/>
  <c r="AK88" i="11" s="1"/>
  <c r="AO30" i="11"/>
  <c r="AP30" i="11" s="1"/>
  <c r="AL30" i="11"/>
  <c r="AM30" i="11" s="1"/>
  <c r="AK52" i="11"/>
  <c r="AS96" i="11"/>
  <c r="AU96" i="11" s="1"/>
  <c r="AR96" i="11"/>
  <c r="AT96" i="11" s="1"/>
  <c r="AN96" i="11"/>
  <c r="AK107" i="11" l="1"/>
  <c r="AK108" i="11" s="1"/>
  <c r="AK31" i="11"/>
  <c r="AK30" i="11"/>
  <c r="AK99" i="11"/>
  <c r="AS51" i="11"/>
  <c r="AU51" i="11" s="1"/>
  <c r="AR51" i="11"/>
  <c r="AT51" i="11" s="1"/>
  <c r="AN51" i="11"/>
  <c r="AM73" i="11"/>
  <c r="AL77" i="11"/>
  <c r="AM77" i="11" s="1"/>
  <c r="AN74" i="11"/>
  <c r="AS74" i="11"/>
  <c r="AU74" i="11" s="1"/>
  <c r="AR74" i="11"/>
  <c r="AT74" i="11" s="1"/>
  <c r="AR76" i="11"/>
  <c r="AT76" i="11" s="1"/>
  <c r="AS76" i="11"/>
  <c r="AU76" i="11" s="1"/>
  <c r="AN76" i="11"/>
  <c r="AS55" i="11"/>
  <c r="AU55" i="11" s="1"/>
  <c r="AR55" i="11"/>
  <c r="AT55" i="11" s="1"/>
  <c r="AU57" i="11"/>
  <c r="AT57" i="11"/>
  <c r="AN55" i="11"/>
  <c r="AO20" i="11"/>
  <c r="AP20" i="11" s="1"/>
  <c r="AL20" i="11"/>
  <c r="AM20" i="11" s="1"/>
  <c r="AO21" i="11"/>
  <c r="AP21" i="11" s="1"/>
  <c r="AL21" i="11"/>
  <c r="AM21" i="11" s="1"/>
  <c r="AK119" i="11"/>
  <c r="AR95" i="11"/>
  <c r="AT95" i="11" s="1"/>
  <c r="AN95" i="11"/>
  <c r="AS95" i="11"/>
  <c r="AU95" i="11" s="1"/>
  <c r="AK29" i="11"/>
  <c r="AK33" i="11" s="1"/>
  <c r="AN30" i="11"/>
  <c r="AR30" i="11"/>
  <c r="AT30" i="11" s="1"/>
  <c r="AS30" i="11"/>
  <c r="AU30" i="11" s="1"/>
  <c r="AM106" i="11"/>
  <c r="AL108" i="11"/>
  <c r="AM108" i="11" s="1"/>
  <c r="AN31" i="11"/>
  <c r="AS31" i="11"/>
  <c r="AU31" i="11" s="1"/>
  <c r="AR31" i="11"/>
  <c r="AT31" i="11" s="1"/>
  <c r="AN32" i="11"/>
  <c r="AR32" i="11"/>
  <c r="AT32" i="11" s="1"/>
  <c r="AS32" i="11"/>
  <c r="AU32" i="11" s="1"/>
  <c r="AM29" i="11"/>
  <c r="AL33" i="11"/>
  <c r="AM33" i="11" s="1"/>
  <c r="AJ22" i="11"/>
  <c r="AO22" i="11" s="1"/>
  <c r="AP22" i="11" s="1"/>
  <c r="AO19" i="11"/>
  <c r="AP19" i="11" s="1"/>
  <c r="AL19" i="11"/>
  <c r="AK19" i="11"/>
  <c r="AR99" i="11"/>
  <c r="AT99" i="11" s="1"/>
  <c r="AU101" i="11"/>
  <c r="AN99" i="11"/>
  <c r="AS99" i="11"/>
  <c r="AU99" i="11" s="1"/>
  <c r="AT101" i="11"/>
  <c r="AK75" i="11"/>
  <c r="AU121" i="11"/>
  <c r="AT121" i="11"/>
  <c r="AS119" i="11"/>
  <c r="AU119" i="11" s="1"/>
  <c r="AN119" i="11"/>
  <c r="AR119" i="11"/>
  <c r="AT119" i="11" s="1"/>
  <c r="AR84" i="11"/>
  <c r="AT84" i="11" s="1"/>
  <c r="AN84" i="11"/>
  <c r="AS84" i="11"/>
  <c r="AU84" i="11" s="1"/>
  <c r="AS107" i="11"/>
  <c r="AU107" i="11" s="1"/>
  <c r="AR107" i="11"/>
  <c r="AT107" i="11" s="1"/>
  <c r="AN107" i="11"/>
  <c r="AK73" i="11"/>
  <c r="AS75" i="11"/>
  <c r="AU75" i="11" s="1"/>
  <c r="AR75" i="11"/>
  <c r="AT75" i="11" s="1"/>
  <c r="AN75" i="11"/>
  <c r="AS115" i="11"/>
  <c r="AU115" i="11" s="1"/>
  <c r="AR115" i="11"/>
  <c r="AT115" i="11" s="1"/>
  <c r="AN115" i="11"/>
  <c r="AU90" i="11"/>
  <c r="AN88" i="11"/>
  <c r="AS88" i="11"/>
  <c r="AU88" i="11" s="1"/>
  <c r="AR88" i="11"/>
  <c r="AT88" i="11" s="1"/>
  <c r="AT90" i="11"/>
  <c r="AK77" i="11" l="1"/>
  <c r="AN106" i="11"/>
  <c r="AR106" i="11"/>
  <c r="AT106" i="11" s="1"/>
  <c r="AS106" i="11"/>
  <c r="AU106" i="11" s="1"/>
  <c r="AM19" i="11"/>
  <c r="AL22" i="11"/>
  <c r="AM22" i="11" s="1"/>
  <c r="AK21" i="11"/>
  <c r="AS21" i="11"/>
  <c r="AU21" i="11" s="1"/>
  <c r="AR21" i="11"/>
  <c r="AT21" i="11" s="1"/>
  <c r="AN21" i="11"/>
  <c r="AU79" i="11"/>
  <c r="AT79" i="11"/>
  <c r="AS77" i="11"/>
  <c r="AU77" i="11" s="1"/>
  <c r="AR77" i="11"/>
  <c r="AT77" i="11" s="1"/>
  <c r="AN77" i="11"/>
  <c r="AS73" i="11"/>
  <c r="AU73" i="11" s="1"/>
  <c r="AR73" i="11"/>
  <c r="AT73" i="11" s="1"/>
  <c r="AN73" i="11"/>
  <c r="AK20" i="11"/>
  <c r="AS29" i="11"/>
  <c r="AU29" i="11" s="1"/>
  <c r="AR29" i="11"/>
  <c r="AT29" i="11" s="1"/>
  <c r="AN29" i="11"/>
  <c r="AN20" i="11"/>
  <c r="AS20" i="11"/>
  <c r="AU20" i="11" s="1"/>
  <c r="AR20" i="11"/>
  <c r="AT20" i="11" s="1"/>
  <c r="AU35" i="11"/>
  <c r="AT35" i="11"/>
  <c r="AR33" i="11"/>
  <c r="AT33" i="11" s="1"/>
  <c r="AS33" i="11"/>
  <c r="AU33" i="11" s="1"/>
  <c r="AN33" i="11"/>
  <c r="AT110" i="11"/>
  <c r="AS108" i="11"/>
  <c r="AU108" i="11" s="1"/>
  <c r="AR108" i="11"/>
  <c r="AT108" i="11" s="1"/>
  <c r="AN108" i="11"/>
  <c r="AU110" i="11"/>
  <c r="AK22" i="11" l="1"/>
  <c r="AT24" i="11"/>
  <c r="AS22" i="11"/>
  <c r="AU22" i="11" s="1"/>
  <c r="AR22" i="11"/>
  <c r="AT22" i="11" s="1"/>
  <c r="AN22" i="11"/>
  <c r="AU24" i="11"/>
  <c r="AS19" i="11"/>
  <c r="AU19" i="11" s="1"/>
  <c r="AR19" i="11"/>
  <c r="AT19" i="11" s="1"/>
  <c r="AN19" i="11"/>
</calcChain>
</file>

<file path=xl/sharedStrings.xml><?xml version="1.0" encoding="utf-8"?>
<sst xmlns="http://schemas.openxmlformats.org/spreadsheetml/2006/main" count="2546" uniqueCount="458">
  <si>
    <t xml:space="preserve">Si nº eventos = </t>
  </si>
  <si>
    <t>sustituir por</t>
  </si>
  <si>
    <t>IC</t>
  </si>
  <si>
    <t>METAANÁLISIS POR EL MÉTODO DE INVERSO DE LA VARIANZA</t>
  </si>
  <si>
    <t>MODELO DE EFECTOS FIJOS, CON CADA PESO SEGÚN SU RESPECTIVO INVERSO DE LA VARIANZA</t>
  </si>
  <si>
    <t>MODELO DE EFECTOS ALEATORIOS, CON LOS PESOS SEGÚN DerSimonian-Laird</t>
  </si>
  <si>
    <t>ÍNDICE DE HETEROGENEIDAD</t>
  </si>
  <si>
    <t>MA 1</t>
  </si>
  <si>
    <t>Variable buscada</t>
  </si>
  <si>
    <t>Nº pacientes grupo intervención</t>
  </si>
  <si>
    <t>Nº pacientes grupo control</t>
  </si>
  <si>
    <t>Mortalidad por cualquier causa</t>
  </si>
  <si>
    <t>Si evento</t>
  </si>
  <si>
    <t>No evento</t>
  </si>
  <si>
    <t>Total</t>
  </si>
  <si>
    <t>suma (wi * ln RRi)</t>
  </si>
  <si>
    <t>límite inferior IC elegido</t>
  </si>
  <si>
    <t>k</t>
  </si>
  <si>
    <t xml:space="preserve"> [Q – (k-1)]</t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</si>
  <si>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</si>
  <si>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</si>
  <si>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t>Q</t>
  </si>
  <si>
    <r>
      <rPr>
        <i/>
        <sz val="12"/>
        <rFont val="Calibri"/>
        <family val="2"/>
      </rPr>
      <t>I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teórica</t>
    </r>
  </si>
  <si>
    <r>
      <rPr>
        <i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 </t>
    </r>
  </si>
  <si>
    <t>ln Q</t>
  </si>
  <si>
    <t>ln k-1</t>
  </si>
  <si>
    <t>Raíz 2Q</t>
  </si>
  <si>
    <t>Raíz(2k-3)</t>
  </si>
  <si>
    <t>2(k-2)</t>
  </si>
  <si>
    <t>A</t>
  </si>
  <si>
    <t>B</t>
  </si>
  <si>
    <t>20090917-ECA RELY 24m, FA Chads 2,2 [Dabig vs Warf TRT 64]</t>
  </si>
  <si>
    <t>20110908-ECA ROCKET 19m, FA Chads 3,5 [Riva vs Warf TRT 55]</t>
  </si>
  <si>
    <t>20110915-ECA ARISTOTLE 22m, AF Chads 2,1 [Apix vs Warf TRT 62]</t>
  </si>
  <si>
    <t>20131119-ECA ENGAGE 32m, FA Chads 2,8 [Edox vs Warf TRT 65]</t>
  </si>
  <si>
    <t>p =</t>
  </si>
  <si>
    <t xml:space="preserve">Como Q =&lt; k, Utilizar 1ª EE </t>
  </si>
  <si>
    <t xml:space="preserve">Interpretación </t>
  </si>
  <si>
    <t xml:space="preserve">Intervalo de predicción al </t>
  </si>
  <si>
    <t>Mortalidad por causa cardiovascular</t>
  </si>
  <si>
    <t>*</t>
  </si>
  <si>
    <t>Mortalidad vascular</t>
  </si>
  <si>
    <t>Sin datos en ARISTOTLE</t>
  </si>
  <si>
    <t>MA 2</t>
  </si>
  <si>
    <t>Ictus</t>
  </si>
  <si>
    <t>MA 3</t>
  </si>
  <si>
    <t>Ictus hemorrágico</t>
  </si>
  <si>
    <t>MA 4</t>
  </si>
  <si>
    <t>Ictus isquémico</t>
  </si>
  <si>
    <t>I2 teórica</t>
  </si>
  <si>
    <t xml:space="preserve">I2 a utilizar: 1) si Q &lt; k-1 =  0; 2) si no, =&gt; I2 teórica </t>
  </si>
  <si>
    <t>H2</t>
  </si>
  <si>
    <t>ln H2</t>
  </si>
  <si>
    <t>3(k-2)2</t>
  </si>
  <si>
    <t>1º EE[ln(H2)] si Q =&lt; K</t>
  </si>
  <si>
    <t>2º EE[ln(H2)]  sí Q  &gt; K</t>
  </si>
  <si>
    <t>EE[ln(H2)] que utilizo</t>
  </si>
  <si>
    <t>ln(H2) - 1,96 * EE[ln(H2)]</t>
  </si>
  <si>
    <t>ln(H2) + 1,96 * EE[ln(H2)]</t>
  </si>
  <si>
    <t>lím inferior IC de H2</t>
  </si>
  <si>
    <t>lím superior IC de H2</t>
  </si>
  <si>
    <t>I2 a utilzar</t>
  </si>
  <si>
    <t>límite inferior IC de I2</t>
  </si>
  <si>
    <t>límite superior IC de I2</t>
  </si>
  <si>
    <t>MA 5</t>
  </si>
  <si>
    <t>Embolismo sistémico</t>
  </si>
  <si>
    <t>**</t>
  </si>
  <si>
    <t xml:space="preserve">** </t>
  </si>
  <si>
    <t>Embolismo pulmonar</t>
  </si>
  <si>
    <t>MA 6</t>
  </si>
  <si>
    <t>Infarto de miocardio</t>
  </si>
  <si>
    <t>MA 7</t>
  </si>
  <si>
    <t>Hemorragia mayor</t>
  </si>
  <si>
    <t>MA 8</t>
  </si>
  <si>
    <t>Hemorragia intracraneal</t>
  </si>
  <si>
    <t>Hemorragia fatal</t>
  </si>
  <si>
    <t>VARIABLE NO EXPERIENCIAL</t>
  </si>
  <si>
    <t>[Ictus o Embolismo sistémico]</t>
  </si>
  <si>
    <t>ECA 1</t>
  </si>
  <si>
    <t>ECA 2</t>
  </si>
  <si>
    <t>ECA 3</t>
  </si>
  <si>
    <t>ECA 4</t>
  </si>
  <si>
    <t>ECA 5</t>
  </si>
  <si>
    <t>ECA 6</t>
  </si>
  <si>
    <t>ECA 7</t>
  </si>
  <si>
    <t xml:space="preserve">ECAs que informan de: </t>
  </si>
  <si>
    <t>Grupo de Intervención</t>
  </si>
  <si>
    <t>Grupo de Control</t>
  </si>
  <si>
    <t>Años de seguimiento</t>
  </si>
  <si>
    <t>Nº personas-año</t>
  </si>
  <si>
    <t>Eventos / 100 personas-año</t>
  </si>
  <si>
    <t>Media de edad (años)</t>
  </si>
  <si>
    <t>Ambos grupos combinados</t>
  </si>
  <si>
    <t>Intervención</t>
  </si>
  <si>
    <t>Control</t>
  </si>
  <si>
    <t>control</t>
  </si>
  <si>
    <t>/</t>
  </si>
  <si>
    <t xml:space="preserve">% RA control = </t>
  </si>
  <si>
    <t>RR (IC 95%) obtenido en el metaanálisis</t>
  </si>
  <si>
    <t>Riesgo basal control en 1 año</t>
  </si>
  <si>
    <t>Estimación puntual</t>
  </si>
  <si>
    <t>LI IC 95%</t>
  </si>
  <si>
    <t>LS IC 95%</t>
  </si>
  <si>
    <t>nº de años</t>
  </si>
  <si>
    <t>RAR (IC 95%)</t>
  </si>
  <si>
    <t>NNT (IC 95%)</t>
  </si>
  <si>
    <t>(</t>
  </si>
  <si>
    <t>-</t>
  </si>
  <si>
    <t>)</t>
  </si>
  <si>
    <t>%</t>
  </si>
  <si>
    <t>% RA Vit D + Caerv</t>
  </si>
  <si>
    <t>% RA control</t>
  </si>
  <si>
    <t>RR (IC 95%)</t>
  </si>
  <si>
    <t>RAR (IC95%)</t>
  </si>
  <si>
    <t>a</t>
  </si>
  <si>
    <t>%Ev en nº de años</t>
  </si>
  <si>
    <t>% RA Interv</t>
  </si>
  <si>
    <r>
      <rPr>
        <b/>
        <sz val="13"/>
        <color rgb="FF993300"/>
        <rFont val="Calibri"/>
        <family val="2"/>
      </rPr>
      <t>Tabla MA 1 [-&gt; nnt 1]:</t>
    </r>
    <r>
      <rPr>
        <b/>
        <sz val="13"/>
        <rFont val="Calibri"/>
        <family val="2"/>
      </rPr>
      <t xml:space="preserve">  </t>
    </r>
  </si>
  <si>
    <t>Puntuación ordinal de importancia o aversión al riesgo</t>
  </si>
  <si>
    <t>Estudios individuales</t>
  </si>
  <si>
    <t>Diseño</t>
  </si>
  <si>
    <t>Heterogeneidad</t>
  </si>
  <si>
    <t xml:space="preserve">Años de seguimiento (media o mediana) </t>
  </si>
  <si>
    <t>Nº Eventos / total pacientes; Grupo Intervención</t>
  </si>
  <si>
    <t xml:space="preserve"> % Eventos/ año, Grupo Intervención</t>
  </si>
  <si>
    <t>Nº Eventos / total pacientes; Grupo control</t>
  </si>
  <si>
    <t xml:space="preserve"> % Eventos/ año, Grupo control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</si>
  <si>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</si>
  <si>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</si>
  <si>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</si>
  <si>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</si>
  <si>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</si>
  <si>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</si>
  <si>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0,89 (0,79-1,01)</t>
  </si>
  <si>
    <t>0,88% (-0,07% a 1,83%)</t>
  </si>
  <si>
    <t>114 (55 a -1411)</t>
  </si>
  <si>
    <t>Moderada</t>
  </si>
  <si>
    <t>0,83 (0,7-1)</t>
  </si>
  <si>
    <t>0,58% (0% a 1,17%)</t>
  </si>
  <si>
    <t>171 (86 a -43432)</t>
  </si>
  <si>
    <t>Alta-Moderada</t>
  </si>
  <si>
    <t>0,9 (0,81-1)</t>
  </si>
  <si>
    <t>0,76% (0,01% a 1,5%)</t>
  </si>
  <si>
    <t>132 (67 a 7593)</t>
  </si>
  <si>
    <t>0,92 (0,84-1,01)</t>
  </si>
  <si>
    <t>0,94% (-0,12% a 1,99%)</t>
  </si>
  <si>
    <t>107 (50 a -858)</t>
  </si>
  <si>
    <t>Total estudios:</t>
  </si>
  <si>
    <r>
      <rPr>
        <b/>
        <i/>
        <sz val="14"/>
        <color rgb="FF008000"/>
        <rFont val="Calibri"/>
        <family val="2"/>
      </rPr>
      <t>I</t>
    </r>
    <r>
      <rPr>
        <b/>
        <i/>
        <vertAlign val="superscript"/>
        <sz val="14"/>
        <color rgb="FF008000"/>
        <rFont val="Calibri"/>
        <family val="2"/>
      </rPr>
      <t xml:space="preserve">2 </t>
    </r>
    <r>
      <rPr>
        <b/>
        <sz val="14"/>
        <color rgb="FF008000"/>
        <rFont val="Calibri"/>
        <family val="2"/>
      </rPr>
      <t>= 0%</t>
    </r>
  </si>
  <si>
    <t>0,9 (0,85-0,95)</t>
  </si>
  <si>
    <t>Rebaja por su intervalo de predicción:</t>
  </si>
  <si>
    <t>Si aplicamos el Modelo de efectos aleatorios</t>
  </si>
  <si>
    <t xml:space="preserve"> % Eventos, Grupo Intervención</t>
  </si>
  <si>
    <t xml:space="preserve"> % Eventos, Grupo control</t>
  </si>
  <si>
    <t>METAANÁLISIS</t>
  </si>
  <si>
    <t xml:space="preserve">Aplicando al </t>
  </si>
  <si>
    <t xml:space="preserve">  de eventos/año en el control, para una edad media de </t>
  </si>
  <si>
    <t>años de edad</t>
  </si>
  <si>
    <t>0,39% (0,18% a 0,58%)</t>
  </si>
  <si>
    <t>258 (173 a 545)</t>
  </si>
  <si>
    <t xml:space="preserve"> por año</t>
  </si>
  <si>
    <t xml:space="preserve">de eventos estimados en el control en </t>
  </si>
  <si>
    <t>años de seguimiento</t>
  </si>
  <si>
    <t>6,91%</t>
  </si>
  <si>
    <t>7,68%</t>
  </si>
  <si>
    <t>0,78% (0,37% a 1,16%)</t>
  </si>
  <si>
    <t>129 (86 a 271)</t>
  </si>
  <si>
    <t>en 24,1 meses</t>
  </si>
  <si>
    <t xml:space="preserve">Intervalo de predicción al 95%: </t>
  </si>
  <si>
    <t>0,90 (0,79-1,02)</t>
  </si>
  <si>
    <t>En años</t>
  </si>
  <si>
    <t>Ambos</t>
  </si>
  <si>
    <t>Pob MA /1000</t>
  </si>
  <si>
    <r>
      <rPr>
        <b/>
        <sz val="13"/>
        <color rgb="FF993300"/>
        <rFont val="Calibri"/>
        <family val="2"/>
      </rPr>
      <t>Tabla MA 2 [-&gt; nnt 2]:</t>
    </r>
    <r>
      <rPr>
        <b/>
        <sz val="13"/>
        <rFont val="Calibri"/>
        <family val="2"/>
      </rPr>
      <t xml:space="preserve">  </t>
    </r>
  </si>
  <si>
    <t>0,65 (0,52-0,82)</t>
  </si>
  <si>
    <t>1,06% (0,5% a 1,62%)</t>
  </si>
  <si>
    <t>94 (62 a 201)</t>
  </si>
  <si>
    <t>0,84 (0,69-1,01)</t>
  </si>
  <si>
    <t>0,51% (-0,04% a 1,07%)</t>
  </si>
  <si>
    <t>194 (94 a -2604)</t>
  </si>
  <si>
    <t>0,79 (0,66-0,95)</t>
  </si>
  <si>
    <t>0,57% (0,12% a 1,02%)</t>
  </si>
  <si>
    <t>175 (98 a 854)</t>
  </si>
  <si>
    <t>0,89 (0,76-1,04)</t>
  </si>
  <si>
    <t>0,51% (-0,16% a 1,18%)</t>
  </si>
  <si>
    <t>196 (85 a -633)</t>
  </si>
  <si>
    <r>
      <rPr>
        <b/>
        <i/>
        <sz val="14"/>
        <color rgb="FFFF00FF"/>
        <rFont val="Calibri"/>
        <family val="2"/>
      </rPr>
      <t>I</t>
    </r>
    <r>
      <rPr>
        <b/>
        <i/>
        <vertAlign val="superscript"/>
        <sz val="14"/>
        <color rgb="FFFF00FF"/>
        <rFont val="Calibri"/>
        <family val="2"/>
      </rPr>
      <t xml:space="preserve">2 </t>
    </r>
    <r>
      <rPr>
        <b/>
        <sz val="14"/>
        <color rgb="FFFF00FF"/>
        <rFont val="Calibri"/>
        <family val="2"/>
      </rPr>
      <t>= 73%</t>
    </r>
  </si>
  <si>
    <t>0,34% (0,08% a 0,56%)</t>
  </si>
  <si>
    <t>291 (179 a 1185)</t>
  </si>
  <si>
    <t>2,64%</t>
  </si>
  <si>
    <t>3,33%</t>
  </si>
  <si>
    <t>0,69% (0,17% a 1,12%)</t>
  </si>
  <si>
    <t>145 (89 a 590)</t>
  </si>
  <si>
    <t>0,79 (0,39-1,60)</t>
  </si>
  <si>
    <r>
      <rPr>
        <b/>
        <sz val="13"/>
        <color rgb="FF993300"/>
        <rFont val="Calibri"/>
        <family val="2"/>
      </rPr>
      <t>Tabla MA 3 [-&gt; nnt 3]:</t>
    </r>
    <r>
      <rPr>
        <b/>
        <sz val="13"/>
        <rFont val="Calibri"/>
        <family val="2"/>
      </rPr>
      <t xml:space="preserve">  </t>
    </r>
  </si>
  <si>
    <t>0,26 (0,14-0,5)</t>
  </si>
  <si>
    <t>0,55% (0,28% a 0,79%)</t>
  </si>
  <si>
    <t>182 (127 a 351)</t>
  </si>
  <si>
    <t>0,58 (0,37-0,92)</t>
  </si>
  <si>
    <t>0,3% (0,04% a 0,54%)</t>
  </si>
  <si>
    <t>339 (185 a 2536)</t>
  </si>
  <si>
    <t>0,51 (0,35-0,75)</t>
  </si>
  <si>
    <t>0,42% (0,18% a 0,65%)</t>
  </si>
  <si>
    <t>238 (153 a 559)</t>
  </si>
  <si>
    <t>0,54 (0,39-0,77)</t>
  </si>
  <si>
    <t>0,58% (0,25% a 0,91%)</t>
  </si>
  <si>
    <t>172 (110 a 406)</t>
  </si>
  <si>
    <r>
      <rPr>
        <b/>
        <i/>
        <sz val="14"/>
        <color rgb="FFFF00FF"/>
        <rFont val="Calibri"/>
        <family val="2"/>
      </rPr>
      <t>I</t>
    </r>
    <r>
      <rPr>
        <b/>
        <i/>
        <vertAlign val="superscript"/>
        <sz val="14"/>
        <color rgb="FFFF00FF"/>
        <rFont val="Calibri"/>
        <family val="2"/>
      </rPr>
      <t xml:space="preserve">2 </t>
    </r>
    <r>
      <rPr>
        <b/>
        <sz val="14"/>
        <color rgb="FFFF00FF"/>
        <rFont val="Calibri"/>
        <family val="2"/>
      </rPr>
      <t>= 69%</t>
    </r>
  </si>
  <si>
    <t>0,47 (0,32-0,7)</t>
  </si>
  <si>
    <t>0,24% (0,13% a 0,3%)</t>
  </si>
  <si>
    <t>425 (329 a 747)</t>
  </si>
  <si>
    <t>0,43%</t>
  </si>
  <si>
    <t>0,9%</t>
  </si>
  <si>
    <t>0,47% (0,27% a 0,61%)</t>
  </si>
  <si>
    <t>212 (164 a 372)</t>
  </si>
  <si>
    <t>0,47 (0,11-2,08)</t>
  </si>
  <si>
    <r>
      <rPr>
        <b/>
        <sz val="13"/>
        <color rgb="FF993300"/>
        <rFont val="Calibri"/>
        <family val="2"/>
      </rPr>
      <t>Tabla MA 4 [-&gt; nnt 4]:</t>
    </r>
    <r>
      <rPr>
        <b/>
        <sz val="13"/>
        <rFont val="Calibri"/>
        <family val="2"/>
      </rPr>
      <t xml:space="preserve">  </t>
    </r>
  </si>
  <si>
    <t>0,77 (0,61-0,99)</t>
  </si>
  <si>
    <t>0,53% (0,01% a 1,04%)</t>
  </si>
  <si>
    <t>188 (96 a 6728)</t>
  </si>
  <si>
    <t>0,93 (0,74-1,16)</t>
  </si>
  <si>
    <t>0,16% (-0,32% a 0,65%)</t>
  </si>
  <si>
    <t>613 (154 a -310)</t>
  </si>
  <si>
    <t>0,92 (0,75-1,14)</t>
  </si>
  <si>
    <t>0,15% (-0,24% a 0,54%)</t>
  </si>
  <si>
    <t>663 (184 a -411)</t>
  </si>
  <si>
    <t>1 (0,84-1,2)</t>
  </si>
  <si>
    <t>-0,01% (-0,61% a 0,58%)</t>
  </si>
  <si>
    <t>-6808 (172 a -164)</t>
  </si>
  <si>
    <r>
      <rPr>
        <b/>
        <i/>
        <sz val="14"/>
        <color rgb="FFFF9900"/>
        <rFont val="Calibri"/>
        <family val="2"/>
      </rPr>
      <t>I</t>
    </r>
    <r>
      <rPr>
        <b/>
        <i/>
        <vertAlign val="superscript"/>
        <sz val="14"/>
        <color rgb="FFFF9900"/>
        <rFont val="Calibri"/>
        <family val="2"/>
      </rPr>
      <t xml:space="preserve">2 </t>
    </r>
    <r>
      <rPr>
        <b/>
        <sz val="14"/>
        <color rgb="FFFF9900"/>
        <rFont val="Calibri"/>
        <family val="2"/>
      </rPr>
      <t>= 41%</t>
    </r>
  </si>
  <si>
    <t>0,91 (0,8-1,05)</t>
  </si>
  <si>
    <t>0,1% (-0,06% a 0,25%)</t>
  </si>
  <si>
    <t>958 (405 a -1688)</t>
  </si>
  <si>
    <t>2,23%</t>
  </si>
  <si>
    <t>2,44%</t>
  </si>
  <si>
    <t>0,21% (-0,12% a 0,5%)</t>
  </si>
  <si>
    <t>477 (202 a -841)</t>
  </si>
  <si>
    <t>0,91 (0,59-1,43)</t>
  </si>
  <si>
    <r>
      <rPr>
        <b/>
        <sz val="13"/>
        <color rgb="FF993300"/>
        <rFont val="Calibri"/>
        <family val="2"/>
      </rPr>
      <t>Tabla MA 5 [-&gt; nnt 5]:</t>
    </r>
    <r>
      <rPr>
        <b/>
        <sz val="13"/>
        <rFont val="Calibri"/>
        <family val="2"/>
      </rPr>
      <t xml:space="preserve">  </t>
    </r>
  </si>
  <si>
    <t>1,62 (0,77-3,43)</t>
  </si>
  <si>
    <t>-0,11% (-0,29% a 0,08%)</t>
  </si>
  <si>
    <t>-880 (1316 a -340)</t>
  </si>
  <si>
    <t>0,23 (0,09-0,6)</t>
  </si>
  <si>
    <t>0,24% (0,08% a 0,38%)</t>
  </si>
  <si>
    <t>417 (262 a 1325)</t>
  </si>
  <si>
    <t>0,88 (0,44-1,76)</t>
  </si>
  <si>
    <t>0,02% (-0,11% a 0,15%)</t>
  </si>
  <si>
    <t>4399 (664 a -935)</t>
  </si>
  <si>
    <t>0,65 (0,34-1,25)</t>
  </si>
  <si>
    <t>0,11% (-0,07% a 0,29%)</t>
  </si>
  <si>
    <t>880 (345 a -1432)</t>
  </si>
  <si>
    <r>
      <rPr>
        <b/>
        <i/>
        <sz val="14"/>
        <color rgb="FFFF00FF"/>
        <rFont val="Calibri"/>
        <family val="2"/>
      </rPr>
      <t>I</t>
    </r>
    <r>
      <rPr>
        <b/>
        <i/>
        <vertAlign val="superscript"/>
        <sz val="14"/>
        <color rgb="FFFF00FF"/>
        <rFont val="Calibri"/>
        <family val="2"/>
      </rPr>
      <t xml:space="preserve">2 </t>
    </r>
    <r>
      <rPr>
        <b/>
        <sz val="14"/>
        <color rgb="FFFF00FF"/>
        <rFont val="Calibri"/>
        <family val="2"/>
      </rPr>
      <t>= 71%</t>
    </r>
  </si>
  <si>
    <t>0,71 (0,35-1,43)</t>
  </si>
  <si>
    <t>0,04% (-0,05% a 0,08%)</t>
  </si>
  <si>
    <t>2787 (1246 a -1882)</t>
  </si>
  <si>
    <t>0,18%</t>
  </si>
  <si>
    <t>0,25%</t>
  </si>
  <si>
    <t>0,07% (-0,11% a 0,16%)</t>
  </si>
  <si>
    <t>1388 (620 a -938)</t>
  </si>
  <si>
    <t>0,90 (0,059-10,38)</t>
  </si>
  <si>
    <r>
      <rPr>
        <b/>
        <sz val="13"/>
        <color rgb="FF993300"/>
        <rFont val="Calibri"/>
        <family val="2"/>
      </rPr>
      <t>Tabla MA 6 [-&gt; nnt 6]:</t>
    </r>
    <r>
      <rPr>
        <b/>
        <sz val="13"/>
        <rFont val="Calibri"/>
        <family val="2"/>
      </rPr>
      <t xml:space="preserve">  </t>
    </r>
  </si>
  <si>
    <t>0,94 (0,82-1,07)</t>
  </si>
  <si>
    <t>0,42% (-0,45% a 1,29%)</t>
  </si>
  <si>
    <t>238 (77 a -221)</t>
  </si>
  <si>
    <t>1,03 (0,89-1,18)</t>
  </si>
  <si>
    <t>-0,14% (-0,89% a 0,61%)</t>
  </si>
  <si>
    <t>-729 (163 a -113)</t>
  </si>
  <si>
    <t>0,7 (0,61-0,81)</t>
  </si>
  <si>
    <t>1,51% (0,91% a 2,1%)</t>
  </si>
  <si>
    <t>66 (48 a 110)</t>
  </si>
  <si>
    <t>0,8 (0,7-0,9)</t>
  </si>
  <si>
    <t>1,51% (0,68% a 2,34%)</t>
  </si>
  <si>
    <t>66 (43 a 147)</t>
  </si>
  <si>
    <r>
      <rPr>
        <b/>
        <i/>
        <sz val="14"/>
        <color rgb="FFFF0000"/>
        <rFont val="Calibri"/>
        <family val="2"/>
      </rPr>
      <t>I</t>
    </r>
    <r>
      <rPr>
        <b/>
        <i/>
        <vertAlign val="superscript"/>
        <sz val="14"/>
        <color rgb="FFFF0000"/>
        <rFont val="Calibri"/>
        <family val="2"/>
      </rPr>
      <t xml:space="preserve">2 </t>
    </r>
    <r>
      <rPr>
        <b/>
        <sz val="14"/>
        <color rgb="FFFF0000"/>
        <rFont val="Calibri"/>
        <family val="2"/>
      </rPr>
      <t>= 83%</t>
    </r>
  </si>
  <si>
    <t>0,86 (0,73-1,01)</t>
  </si>
  <si>
    <t>0,43% (-0,02% a 0,81%)</t>
  </si>
  <si>
    <t>232 (123 a -5991)</t>
  </si>
  <si>
    <t>5,19%</t>
  </si>
  <si>
    <t>6,06%</t>
  </si>
  <si>
    <t>0,87% (-0,03% a 1,63%)</t>
  </si>
  <si>
    <t>115 (61 a -2983)</t>
  </si>
  <si>
    <t>0,86 (0,45-1,65)</t>
  </si>
  <si>
    <r>
      <rPr>
        <b/>
        <sz val="13"/>
        <color rgb="FF993300"/>
        <rFont val="Calibri"/>
        <family val="2"/>
      </rPr>
      <t>Tabla MA 7 [-&gt; nnt 7]:</t>
    </r>
    <r>
      <rPr>
        <b/>
        <sz val="13"/>
        <rFont val="Calibri"/>
        <family val="2"/>
      </rPr>
      <t xml:space="preserve">  </t>
    </r>
  </si>
  <si>
    <t>1,28 (0,95-1,73)</t>
  </si>
  <si>
    <t>-0,35% (-0,77% a 0,08%)</t>
  </si>
  <si>
    <t>-285 (1296 a -129)</t>
  </si>
  <si>
    <t>0,8 (0,62-1,04)</t>
  </si>
  <si>
    <t>0,35% (-0,07% a 0,76%)</t>
  </si>
  <si>
    <t>287 (131 a -1422)</t>
  </si>
  <si>
    <t>0,88 (0,66-1,16)</t>
  </si>
  <si>
    <t>0,14% (-0,16% a 0,44%)</t>
  </si>
  <si>
    <t>733 (230 a -609)</t>
  </si>
  <si>
    <t>0,94 (0,75-1,19)</t>
  </si>
  <si>
    <t>0,11% (-0,35% a 0,57%)</t>
  </si>
  <si>
    <t>882 (175 a -289)</t>
  </si>
  <si>
    <t>0,95 (0,79-1,15)</t>
  </si>
  <si>
    <t>0,04% (-0,11% a 0,16%)</t>
  </si>
  <si>
    <t>2786 (635 a -906)</t>
  </si>
  <si>
    <t>0,07% (-0,22% a 0,32%)</t>
  </si>
  <si>
    <t>1388 (316 a -451)</t>
  </si>
  <si>
    <t>0,95 (0,51-1,79)</t>
  </si>
  <si>
    <r>
      <rPr>
        <b/>
        <sz val="13"/>
        <color rgb="FF993300"/>
        <rFont val="Calibri"/>
        <family val="2"/>
      </rPr>
      <t>Tabla MA 8 [-&gt; nnt 8]:</t>
    </r>
    <r>
      <rPr>
        <b/>
        <sz val="13"/>
        <rFont val="Calibri"/>
        <family val="2"/>
      </rPr>
      <t xml:space="preserve">  </t>
    </r>
  </si>
  <si>
    <t>0,41 (0,28-0,6)</t>
  </si>
  <si>
    <t>0,85% (0,48% a 1,21%)</t>
  </si>
  <si>
    <t>117 (83 a 208)</t>
  </si>
  <si>
    <t>0,7 (0,51-0,98)</t>
  </si>
  <si>
    <t>0,35% (0,01% a 0,68%)</t>
  </si>
  <si>
    <t>286 (148 a 6840)</t>
  </si>
  <si>
    <t>0,42 (0,31-0,59)</t>
  </si>
  <si>
    <t>0,78% (0,48% a 1,06%)</t>
  </si>
  <si>
    <t>129 (95 a 207)</t>
  </si>
  <si>
    <t>0,46 (0,34-0,62)</t>
  </si>
  <si>
    <t>1,01% (0,62% a 1,39%)</t>
  </si>
  <si>
    <t>99 (72 a 162)</t>
  </si>
  <si>
    <r>
      <rPr>
        <b/>
        <i/>
        <sz val="14"/>
        <color rgb="FFFF00FF"/>
        <rFont val="Calibri"/>
        <family val="2"/>
      </rPr>
      <t>I</t>
    </r>
    <r>
      <rPr>
        <b/>
        <i/>
        <vertAlign val="superscript"/>
        <sz val="14"/>
        <color rgb="FFFF00FF"/>
        <rFont val="Calibri"/>
        <family val="2"/>
      </rPr>
      <t xml:space="preserve">2 </t>
    </r>
    <r>
      <rPr>
        <b/>
        <sz val="14"/>
        <color rgb="FFFF00FF"/>
        <rFont val="Calibri"/>
        <family val="2"/>
      </rPr>
      <t>= 52%</t>
    </r>
  </si>
  <si>
    <t>0,49 (0,38-0,62)</t>
  </si>
  <si>
    <t>0,35%</t>
  </si>
  <si>
    <t>0,72%</t>
  </si>
  <si>
    <t>0,37% (0,27% a 0,45%)</t>
  </si>
  <si>
    <t>271 (224 a 367)</t>
  </si>
  <si>
    <t>0,74% (0,55% a 0,9%)</t>
  </si>
  <si>
    <t>135 (112 a 183)</t>
  </si>
  <si>
    <t>0,49 (0,21-1,15)</t>
  </si>
  <si>
    <r>
      <rPr>
        <b/>
        <sz val="14"/>
        <rFont val="Calibri"/>
        <family val="2"/>
      </rPr>
      <t xml:space="preserve">Cálculo por incidencias acumuladas de RR, RAR, NNT con sus IC 95%, potencia estadística y valor de </t>
    </r>
    <r>
      <rPr>
        <b/>
        <i/>
        <sz val="14"/>
        <rFont val="Calibri"/>
        <family val="2"/>
      </rPr>
      <t>p</t>
    </r>
  </si>
  <si>
    <r>
      <rPr>
        <sz val="10"/>
        <color rgb="FF0000FF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</si>
  <si>
    <t>Nº de personas con evento</t>
  </si>
  <si>
    <t>Nº personas sin evento</t>
  </si>
  <si>
    <t>Los límites del intervalos de confianza son los exponentes neperianos o antilogaritmos de la ecuación [ ln RR +- Z α/2 x EE (ln RR) ]</t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</si>
  <si>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</si>
  <si>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</si>
  <si>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</si>
  <si>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t>Z α/2 (0,05)</t>
  </si>
  <si>
    <t>ln del LI IC</t>
  </si>
  <si>
    <t>ln del LS IC</t>
  </si>
  <si>
    <t>RR</t>
  </si>
  <si>
    <t>Límite inferior del IC</t>
  </si>
  <si>
    <t>Límite superior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</si>
  <si>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</si>
  <si>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</si>
  <si>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</si>
  <si>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</si>
  <si>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</si>
  <si>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rPr>
        <i/>
        <sz val="10"/>
        <color rgb="FF0000FF"/>
        <rFont val="Calibri"/>
        <family val="2"/>
      </rPr>
      <t>p</t>
    </r>
    <r>
      <rPr>
        <sz val="10"/>
        <color rgb="FF0000FF"/>
        <rFont val="Calibri"/>
        <family val="2"/>
      </rPr>
      <t xml:space="preserve"> = eventos / n</t>
    </r>
  </si>
  <si>
    <t>A= 2*eventos + z^2</t>
  </si>
  <si>
    <r>
      <rPr>
        <sz val="10"/>
        <color rgb="FF0000FF"/>
        <rFont val="Calibri"/>
        <family val="2"/>
      </rPr>
      <t xml:space="preserve">B= z * Raíz [z^2 + 4*eventos (1 - </t>
    </r>
    <r>
      <rPr>
        <i/>
        <sz val="10"/>
        <color rgb="FF0000FF"/>
        <rFont val="Calibri"/>
        <family val="2"/>
      </rPr>
      <t>p</t>
    </r>
    <r>
      <rPr>
        <sz val="10"/>
        <color rgb="FF0000FF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</si>
  <si>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</si>
  <si>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</si>
  <si>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</si>
  <si>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</si>
  <si>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</si>
  <si>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</si>
  <si>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r>
      <rPr>
        <b/>
        <sz val="10"/>
        <color rgb="FF0000FF"/>
        <rFont val="Calibri"/>
        <family val="2"/>
      </rPr>
      <t xml:space="preserve">B= z * Raíz [z^2 + 4*eventos (1 - </t>
    </r>
    <r>
      <rPr>
        <i/>
        <sz val="10"/>
        <color rgb="FF0000FF"/>
        <rFont val="Calibri"/>
        <family val="2"/>
      </rPr>
      <t>p</t>
    </r>
    <r>
      <rPr>
        <sz val="10"/>
        <color rgb="FF0000FF"/>
        <rFont val="Calibri"/>
        <family val="2"/>
      </rPr>
      <t xml:space="preserve">)] </t>
    </r>
  </si>
  <si>
    <t>Estimación puntual de la proporción</t>
  </si>
  <si>
    <t>Mét.Wilson</t>
  </si>
  <si>
    <r>
      <rPr>
        <b/>
        <sz val="10"/>
        <rFont val="Calibri"/>
        <family val="2"/>
      </rPr>
      <t>Cálculo de la potencia estadística</t>
    </r>
    <r>
      <rPr>
        <sz val="10"/>
        <rFont val="Calibri"/>
        <family val="2"/>
      </rPr>
      <t>: Zβ = [Raíz (nd^2 /2pm*qm)] - Z α/2 (0,05)</t>
    </r>
  </si>
  <si>
    <r>
      <rPr>
        <b/>
        <sz val="10"/>
        <rFont val="Calibri"/>
        <family val="2"/>
      </rPr>
      <t xml:space="preserve">Cálculo de la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Z α/2 = Dif Proporc / EE (Difer Proporc)</t>
    </r>
  </si>
  <si>
    <t>Operar</t>
  </si>
  <si>
    <t>n = nº de los que hay en cada grupo (ojo, no de la suma de ambos)</t>
  </si>
  <si>
    <t>Dif Proporc de ambos grupos =  RAR</t>
  </si>
  <si>
    <t>d = diferencia de proporciones de ambos grupos o RAR</t>
  </si>
  <si>
    <t xml:space="preserve">EE (Dif Proporc) = Raíz[ pm(1-pm)/n1] + [ pm(1-pm)/n2] = </t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</si>
  <si>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</si>
  <si>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</si>
  <si>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</si>
  <si>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rPr>
        <sz val="10"/>
        <rFont val="Calibri"/>
        <family val="2"/>
      </rP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</si>
  <si>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α = probab de que la diferencia detectada entre ambos sea debida al azar, en caso de que no exista (error alfa)</t>
  </si>
  <si>
    <r>
      <rPr>
        <b/>
        <sz val="10"/>
        <color rgb="FF0000FF"/>
        <rFont val="Calibri"/>
        <family val="2"/>
      </rPr>
      <t>Ls1:</t>
    </r>
    <r>
      <rPr>
        <sz val="10"/>
        <color rgb="FF0000FF"/>
        <rFont val="Calibri"/>
        <family val="2"/>
      </rPr>
      <t xml:space="preserve"> límite superior del grupo 1; </t>
    </r>
    <r>
      <rPr>
        <b/>
        <sz val="10"/>
        <color rgb="FF0000FF"/>
        <rFont val="Calibri"/>
        <family val="2"/>
      </rPr>
      <t xml:space="preserve">Li2: </t>
    </r>
    <r>
      <rPr>
        <sz val="10"/>
        <color rgb="FF0000FF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</si>
  <si>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</si>
  <si>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probabilidad dar por buena una diferencia que no existe.</t>
  </si>
  <si>
    <t>Cálculo del IC del RAR y del NNT</t>
  </si>
  <si>
    <t>---------------------------------------------&gt;</t>
  </si>
  <si>
    <t>RAR =</t>
  </si>
  <si>
    <t>probabliidad o riesgo de cometer un error β =&gt; probabilidad de no detectar una diferencia que sí exista.</t>
  </si>
  <si>
    <t>NNT =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</si>
  <si>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</si>
  <si>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</si>
  <si>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</si>
  <si>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</si>
  <si>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</si>
  <si>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</si>
  <si>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</si>
  <si>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</si>
  <si>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Chi cuadrado de Pearson (un ejemplo de variable cualitativa)</t>
  </si>
  <si>
    <t>Enfermarán incluso sin tomar el Mto de Intervención</t>
  </si>
  <si>
    <t>Enferman</t>
  </si>
  <si>
    <t>No enferman</t>
  </si>
  <si>
    <t>Esperadas</t>
  </si>
  <si>
    <t>Con eventos</t>
  </si>
  <si>
    <t>Sin eventos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</si>
  <si>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</si>
  <si>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</si>
  <si>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</si>
  <si>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</si>
  <si>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</si>
  <si>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</si>
  <si>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</si>
  <si>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</si>
  <si>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</si>
  <si>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cal= Sumat (observado i - esperado i)^2 / esperado i)</t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</si>
  <si>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</si>
  <si>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</si>
  <si>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</si>
  <si>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</si>
  <si>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</si>
  <si>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rPr>
        <sz val="10"/>
        <rFont val="Calibri"/>
        <family val="2"/>
      </rP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</si>
  <si>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 xml:space="preserve">CÁLCULOS POR INCIDENCIAS ACUMULADAS EN </t>
  </si>
  <si>
    <t>AÑOS</t>
  </si>
  <si>
    <t>Nº event Interv (%)</t>
  </si>
  <si>
    <t>Nº event Control (%)</t>
  </si>
  <si>
    <t>RAR</t>
  </si>
  <si>
    <t>NNT</t>
  </si>
  <si>
    <t>potencia</t>
  </si>
  <si>
    <t>Potencia</t>
  </si>
  <si>
    <r>
      <rPr>
        <b/>
        <sz val="10"/>
        <rFont val="Calibri"/>
        <family val="2"/>
      </rP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</si>
  <si>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BASTIDOR</t>
  </si>
  <si>
    <r>
      <t>Z</t>
    </r>
    <r>
      <rPr>
        <vertAlign val="subscript"/>
        <sz val="10"/>
        <rFont val="Calibri"/>
        <family val="2"/>
      </rPr>
      <t xml:space="preserve"> α/2</t>
    </r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</si>
  <si>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</si>
  <si>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</si>
  <si>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</si>
  <si>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</si>
  <si>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</si>
  <si>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</si>
  <si>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</si>
  <si>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</si>
  <si>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</si>
  <si>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</si>
  <si>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</si>
  <si>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</si>
  <si>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</si>
  <si>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</si>
  <si>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</si>
  <si>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</si>
  <si>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</si>
  <si>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</si>
  <si>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</si>
  <si>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</si>
  <si>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</si>
  <si>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</si>
  <si>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</si>
  <si>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</si>
  <si>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r>
      <t>H</t>
    </r>
    <r>
      <rPr>
        <vertAlign val="superscript"/>
        <sz val="10"/>
        <rFont val="Calibri"/>
        <family val="2"/>
      </rPr>
      <t>2</t>
    </r>
  </si>
  <si>
    <r>
      <t>ln H</t>
    </r>
    <r>
      <rPr>
        <vertAlign val="superscript"/>
        <sz val="10"/>
        <rFont val="Calibri"/>
        <family val="2"/>
      </rPr>
      <t>2</t>
    </r>
  </si>
  <si>
    <r>
      <t>3(k-2)</t>
    </r>
    <r>
      <rPr>
        <vertAlign val="superscript"/>
        <sz val="10"/>
        <rFont val="Calibri"/>
        <family val="2"/>
      </rPr>
      <t>2</t>
    </r>
  </si>
  <si>
    <r>
      <t>1º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si Q =&lt; K</t>
    </r>
  </si>
  <si>
    <r>
      <t>2º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 sí Q  &gt; K</t>
    </r>
  </si>
  <si>
    <r>
      <t>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que utilizo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</si>
  <si>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- 1,96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</si>
  <si>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+ 1,96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</si>
  <si>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lím inferior IC de H</t>
    </r>
    <r>
      <rPr>
        <vertAlign val="superscript"/>
        <sz val="10"/>
        <rFont val="Calibri"/>
        <family val="2"/>
      </rPr>
      <t>2</t>
    </r>
  </si>
  <si>
    <r>
      <t>lím superior IC de H</t>
    </r>
    <r>
      <rPr>
        <vertAlign val="superscript"/>
        <sz val="10"/>
        <rFont val="Calibri"/>
        <family val="2"/>
      </rPr>
      <t>2</t>
    </r>
  </si>
  <si>
    <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</si>
  <si>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>límite inferior IC de I</t>
    </r>
    <r>
      <rPr>
        <vertAlign val="superscript"/>
        <sz val="10"/>
        <rFont val="Calibri"/>
        <family val="2"/>
      </rPr>
      <t>2</t>
    </r>
  </si>
  <si>
    <r>
      <t>límite superior IC de I</t>
    </r>
    <r>
      <rPr>
        <vertAlign val="superscript"/>
        <sz val="10"/>
        <rFont val="Calibri"/>
        <family val="2"/>
      </rPr>
      <t>2</t>
    </r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</si>
  <si>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</si>
  <si>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>3,44%</t>
  </si>
  <si>
    <t>3,83%</t>
  </si>
  <si>
    <r>
      <t>I</t>
    </r>
    <r>
      <rPr>
        <b/>
        <i/>
        <vertAlign val="superscript"/>
        <sz val="14"/>
        <color rgb="FFFFC000"/>
        <rFont val="Calibri"/>
        <family val="2"/>
      </rPr>
      <t xml:space="preserve">2 </t>
    </r>
    <r>
      <rPr>
        <b/>
        <sz val="14"/>
        <color rgb="FFFFC000"/>
        <rFont val="Calibri"/>
        <family val="2"/>
      </rPr>
      <t>= 48%</t>
    </r>
  </si>
  <si>
    <r>
      <rPr>
        <i/>
        <sz val="10"/>
        <rFont val="Calibri"/>
        <family val="2"/>
      </rPr>
      <t>I</t>
    </r>
    <r>
      <rPr>
        <i/>
        <vertAlign val="superscript"/>
        <sz val="10"/>
        <rFont val="Calibri"/>
        <family val="2"/>
      </rPr>
      <t>2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 </t>
    </r>
    <r>
      <rPr>
        <sz val="10"/>
        <color rgb="FF99CC00"/>
        <rFont val="Calibri"/>
        <family val="2"/>
      </rPr>
      <t>0%-25%: heterogeneidad baja</t>
    </r>
    <r>
      <rPr>
        <sz val="10"/>
        <color rgb="FF00000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color rgb="FF000000"/>
        <rFont val="Calibri"/>
        <family val="2"/>
      </rPr>
      <t xml:space="preserve">, </t>
    </r>
    <r>
      <rPr>
        <sz val="10"/>
        <color rgb="FFFF00FF"/>
        <rFont val="Calibri"/>
        <family val="2"/>
      </rPr>
      <t>50%-75%: alta</t>
    </r>
    <r>
      <rPr>
        <sz val="10"/>
        <color rgb="FF000000"/>
        <rFont val="Calibri"/>
        <family val="2"/>
      </rPr>
      <t xml:space="preserve">; y </t>
    </r>
    <r>
      <rPr>
        <sz val="10"/>
        <color rgb="FFFF0000"/>
        <rFont val="Calibri"/>
        <family val="2"/>
      </rPr>
      <t>75%-100%: muy alta</t>
    </r>
    <r>
      <rPr>
        <sz val="10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</si>
</sst>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_-* #,##0.00\ _€_-;\-* #,##0.00\ _€_-;_-* \-??\ _€_-;_-@_-"/>
    <numFmt numFmtId="165" formatCode="#,##0.00_ ;\-#,##0.00\ "/>
    <numFmt numFmtId="166" formatCode="_-* #,##0.0000\ _€_-;\-* #,##0.0000\ _€_-;_-* \-??\ _€_-;_-@_-"/>
    <numFmt numFmtId="167" formatCode="_-* #,##0.000\ _€_-;\-* #,##0.000\ _€_-;_-* \-??\ _€_-;_-@_-"/>
    <numFmt numFmtId="168" formatCode="_-* #,##0\ _€_-;\-* #,##0\ _€_-;_-* \-??\ _€_-;_-@_-"/>
    <numFmt numFmtId="169" formatCode="0.000"/>
    <numFmt numFmtId="170" formatCode="0.0%"/>
    <numFmt numFmtId="171" formatCode="_-* #,##0.000\ _€_-;\-* #,##0.000\ _€_-;_-* \-???\ _€_-;_-@_-"/>
    <numFmt numFmtId="172" formatCode="0.0000"/>
    <numFmt numFmtId="173" formatCode="0.00000000000000000000000000000000000000000000000000000000000000000000000000000000000000000"/>
    <numFmt numFmtId="174" formatCode="_-* #,##0.00000\ _€_-;\-* #,##0.00000\ _€_-;_-* \-??\ _€_-;_-@_-"/>
    <numFmt numFmtId="175" formatCode="_-* #,##0.000000\ _€_-;\-* #,##0.000000\ _€_-;_-* \-??\ _€_-;_-@_-"/>
    <numFmt numFmtId="176" formatCode="#,##0.0"/>
    <numFmt numFmtId="177" formatCode="#,##0_ ;\-#,##0\ "/>
    <numFmt numFmtId="178" formatCode="0.0"/>
    <numFmt numFmtId="179" formatCode="0.000%"/>
    <numFmt numFmtId="180" formatCode="0.0000%"/>
    <numFmt numFmtId="181" formatCode="[$-409]h:mm\ AM/PM"/>
    <numFmt numFmtId="182" formatCode="_-* #,##0.0\ _€_-;\-* #,##0.0\ _€_-;_-* \-??\ _€_-;_-@_-"/>
    <numFmt numFmtId="183" formatCode="_-* #,##0.0\ _€_-;\-* #,##0.0\ _€_-;_-* \-?\ _€_-;_-@_-"/>
    <numFmt numFmtId="184" formatCode="_-* #,##0.0000\ _€_-;\-* #,##0.0000\ _€_-;_-* \-?\ _€_-;_-@_-"/>
    <numFmt numFmtId="185" formatCode="_-* #,##0.00\ _€_-;\-* #,##0.00\ _€_-;_-* &quot;-&quot;??\ _€_-;_-@_-"/>
    <numFmt numFmtId="186" formatCode="_-* #,##0.0000\ _€_-;\-* #,##0.0000\ _€_-;_-* &quot;-&quot;??\ _€_-;_-@_-"/>
    <numFmt numFmtId="187" formatCode="_-* #,##0.000\ _€_-;\-* #,##0.000\ _€_-;_-* &quot;-&quot;??\ _€_-;_-@_-"/>
    <numFmt numFmtId="188" formatCode="_-* #,##0\ _€_-;\-* #,##0\ _€_-;_-* &quot;-&quot;??\ _€_-;_-@_-"/>
    <numFmt numFmtId="189" formatCode="_-* #,##0.000\ _€_-;\-* #,##0.000\ _€_-;_-* &quot;-&quot;???\ _€_-;_-@_-"/>
    <numFmt numFmtId="190" formatCode="_-* #,##0.00000000\ _€_-;\-* #,##0.00000000\ _€_-;_-* &quot;-&quot;????????\ _€_-;_-@_-"/>
    <numFmt numFmtId="191" formatCode="_-* #,##0.00000\ _€_-;\-* #,##0.00000\ _€_-;_-* &quot;-&quot;??\ _€_-;_-@_-"/>
    <numFmt numFmtId="192" formatCode="_-* #,##0.000000\ _€_-;\-* #,##0.000000\ _€_-;_-* &quot;-&quot;??\ _€_-;_-@_-"/>
  </numFmts>
  <fonts count="8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i/>
      <sz val="10"/>
      <name val="Symbol"/>
      <family val="1"/>
      <charset val="2"/>
    </font>
    <font>
      <i/>
      <vertAlign val="superscript"/>
      <sz val="10"/>
      <name val="Calibri"/>
      <family val="2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Symbol"/>
      <family val="1"/>
      <charset val="2"/>
    </font>
    <font>
      <b/>
      <sz val="10"/>
      <color rgb="FF800080"/>
      <name val="Calibri"/>
      <family val="2"/>
    </font>
    <font>
      <u/>
      <sz val="10"/>
      <color rgb="FF0000FF"/>
      <name val="Arial"/>
      <family val="2"/>
    </font>
    <font>
      <sz val="10"/>
      <color rgb="FF800080"/>
      <name val="Calibri"/>
      <family val="2"/>
    </font>
    <font>
      <b/>
      <sz val="13"/>
      <color rgb="FF99330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b/>
      <i/>
      <sz val="14"/>
      <color rgb="FF008000"/>
      <name val="Calibri"/>
      <family val="2"/>
    </font>
    <font>
      <b/>
      <i/>
      <vertAlign val="superscript"/>
      <sz val="14"/>
      <color rgb="FF008000"/>
      <name val="Calibri"/>
      <family val="2"/>
    </font>
    <font>
      <b/>
      <sz val="14"/>
      <color rgb="FF008000"/>
      <name val="Calibri"/>
      <family val="2"/>
    </font>
    <font>
      <b/>
      <i/>
      <sz val="11"/>
      <name val="Calibri"/>
      <family val="2"/>
    </font>
    <font>
      <sz val="10"/>
      <color rgb="FF99CC00"/>
      <name val="Calibri"/>
      <family val="2"/>
    </font>
    <font>
      <sz val="10"/>
      <color rgb="FFFF9900"/>
      <name val="Calibri"/>
      <family val="2"/>
    </font>
    <font>
      <sz val="10"/>
      <color rgb="FFFF00FF"/>
      <name val="Calibri"/>
      <family val="2"/>
    </font>
    <font>
      <sz val="10"/>
      <color rgb="FFFF0000"/>
      <name val="Calibri"/>
      <family val="2"/>
    </font>
    <font>
      <b/>
      <sz val="14"/>
      <color rgb="FF0000FF"/>
      <name val="Calibri"/>
      <family val="2"/>
    </font>
    <font>
      <sz val="14"/>
      <name val="Calibri"/>
      <family val="2"/>
    </font>
    <font>
      <b/>
      <sz val="14"/>
      <color rgb="FFFFCC00"/>
      <name val="Calibri"/>
      <family val="2"/>
    </font>
    <font>
      <sz val="10"/>
      <color rgb="FF008000"/>
      <name val="Calibri"/>
      <family val="2"/>
    </font>
    <font>
      <sz val="11"/>
      <color rgb="FF000000"/>
      <name val="Calibri"/>
      <family val="2"/>
    </font>
    <font>
      <b/>
      <i/>
      <sz val="14"/>
      <color rgb="FFFF00FF"/>
      <name val="Calibri"/>
      <family val="2"/>
    </font>
    <font>
      <b/>
      <i/>
      <vertAlign val="superscript"/>
      <sz val="14"/>
      <color rgb="FFFF00FF"/>
      <name val="Calibri"/>
      <family val="2"/>
    </font>
    <font>
      <b/>
      <sz val="14"/>
      <color rgb="FFFF00FF"/>
      <name val="Calibri"/>
      <family val="2"/>
    </font>
    <font>
      <b/>
      <i/>
      <sz val="14"/>
      <color rgb="FFFF9900"/>
      <name val="Calibri"/>
      <family val="2"/>
    </font>
    <font>
      <b/>
      <i/>
      <vertAlign val="superscript"/>
      <sz val="14"/>
      <color rgb="FFFF9900"/>
      <name val="Calibri"/>
      <family val="2"/>
    </font>
    <font>
      <b/>
      <sz val="14"/>
      <color rgb="FFFF9900"/>
      <name val="Calibri"/>
      <family val="2"/>
    </font>
    <font>
      <sz val="10"/>
      <color rgb="FFC0C0C0"/>
      <name val="Calibri"/>
      <family val="2"/>
    </font>
    <font>
      <b/>
      <sz val="10"/>
      <color rgb="FFFFCC00"/>
      <name val="Calibri"/>
      <family val="2"/>
    </font>
    <font>
      <b/>
      <i/>
      <sz val="14"/>
      <color rgb="FFFF0000"/>
      <name val="Calibri"/>
      <family val="2"/>
    </font>
    <font>
      <b/>
      <i/>
      <vertAlign val="superscript"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4"/>
      <name val="Calibri"/>
      <family val="2"/>
    </font>
    <font>
      <b/>
      <sz val="11"/>
      <color rgb="FF00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FF9900"/>
      <name val="Calibri"/>
      <family val="2"/>
    </font>
    <font>
      <sz val="10"/>
      <color rgb="FF0000FF"/>
      <name val="Calibri"/>
      <family val="2"/>
    </font>
    <font>
      <b/>
      <sz val="11"/>
      <color rgb="FF339966"/>
      <name val="Calibri"/>
      <family val="2"/>
    </font>
    <font>
      <b/>
      <sz val="10"/>
      <color rgb="FF339966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b/>
      <u/>
      <sz val="10"/>
      <name val="Calibri"/>
      <family val="2"/>
    </font>
    <font>
      <b/>
      <sz val="10"/>
      <color rgb="FF0000FF"/>
      <name val="Calibri"/>
      <family val="2"/>
    </font>
    <font>
      <i/>
      <sz val="10"/>
      <color rgb="FF0000FF"/>
      <name val="Calibri"/>
      <family val="2"/>
    </font>
    <font>
      <i/>
      <sz val="10"/>
      <color rgb="FF800080"/>
      <name val="Calibri"/>
      <family val="2"/>
    </font>
    <font>
      <b/>
      <sz val="10"/>
      <color rgb="FFFF00FF"/>
      <name val="Calibri"/>
      <family val="2"/>
    </font>
    <font>
      <b/>
      <i/>
      <sz val="10"/>
      <color rgb="FF0000FF"/>
      <name val="Calibri"/>
      <family val="2"/>
    </font>
    <font>
      <sz val="10"/>
      <color rgb="FF99336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1"/>
      <charset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FF6600"/>
      <name val="Calibri"/>
      <family val="2"/>
      <scheme val="minor"/>
    </font>
    <font>
      <b/>
      <i/>
      <sz val="14"/>
      <color rgb="FFFFC000"/>
      <name val="Calibri"/>
      <family val="2"/>
    </font>
    <font>
      <b/>
      <i/>
      <vertAlign val="superscript"/>
      <sz val="14"/>
      <color rgb="FFFFC000"/>
      <name val="Calibri"/>
      <family val="2"/>
    </font>
    <font>
      <b/>
      <sz val="14"/>
      <color rgb="FFFFC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99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0000"/>
        <bgColor rgb="FF993300"/>
      </patternFill>
    </fill>
    <fill>
      <patternFill patternType="solid">
        <fgColor rgb="FF00FFFF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164" fontId="1" fillId="0" borderId="0" applyBorder="0" applyAlignment="0" applyProtection="0"/>
    <xf numFmtId="9" fontId="1" fillId="0" borderId="0" applyBorder="0" applyAlignment="0" applyProtection="0"/>
    <xf numFmtId="0" fontId="19" fillId="0" borderId="0" applyBorder="0" applyAlignment="0" applyProtection="0"/>
    <xf numFmtId="164" fontId="1" fillId="0" borderId="0" applyBorder="0" applyAlignment="0" applyProtection="0"/>
    <xf numFmtId="164" fontId="1" fillId="0" borderId="0" applyBorder="0" applyAlignment="0" applyProtection="0"/>
    <xf numFmtId="164" fontId="1" fillId="0" borderId="0" applyBorder="0" applyAlignment="0" applyProtection="0"/>
    <xf numFmtId="164" fontId="1" fillId="0" borderId="0" applyBorder="0" applyAlignment="0" applyProtection="0"/>
    <xf numFmtId="0" fontId="2" fillId="0" borderId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</cellStyleXfs>
  <cellXfs count="6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Border="1"/>
    <xf numFmtId="164" fontId="4" fillId="0" borderId="0" xfId="1" applyFont="1" applyBorder="1" applyAlignment="1" applyProtection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 applyProtection="1">
      <alignment horizontal="center"/>
    </xf>
    <xf numFmtId="2" fontId="4" fillId="0" borderId="4" xfId="1" applyNumberFormat="1" applyFont="1" applyBorder="1" applyAlignment="1" applyProtection="1">
      <alignment horizontal="center"/>
    </xf>
    <xf numFmtId="164" fontId="4" fillId="0" borderId="4" xfId="1" applyFont="1" applyBorder="1" applyAlignment="1" applyProtection="1"/>
    <xf numFmtId="164" fontId="4" fillId="0" borderId="0" xfId="1" applyFont="1" applyBorder="1" applyAlignment="1" applyProtection="1"/>
    <xf numFmtId="2" fontId="3" fillId="0" borderId="4" xfId="0" applyNumberFormat="1" applyFont="1" applyBorder="1" applyAlignment="1">
      <alignment horizontal="center"/>
    </xf>
    <xf numFmtId="164" fontId="3" fillId="0" borderId="0" xfId="1" applyFont="1" applyBorder="1" applyAlignment="1" applyProtection="1"/>
    <xf numFmtId="164" fontId="4" fillId="0" borderId="0" xfId="0" applyNumberFormat="1" applyFont="1" applyBorder="1"/>
    <xf numFmtId="164" fontId="4" fillId="0" borderId="0" xfId="0" applyNumberFormat="1" applyFont="1"/>
    <xf numFmtId="0" fontId="4" fillId="0" borderId="0" xfId="0" applyFont="1" applyBorder="1" applyAlignment="1">
      <alignment horizontal="right"/>
    </xf>
    <xf numFmtId="164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8" fillId="0" borderId="4" xfId="3" applyFont="1" applyBorder="1" applyAlignment="1" applyProtection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</xf>
    <xf numFmtId="0" fontId="18" fillId="0" borderId="6" xfId="3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3" applyFont="1" applyBorder="1" applyAlignment="1" applyProtection="1">
      <alignment horizontal="center" vertical="center" wrapText="1"/>
    </xf>
    <xf numFmtId="176" fontId="20" fillId="8" borderId="4" xfId="3" applyNumberFormat="1" applyFont="1" applyFill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center" vertical="center"/>
    </xf>
    <xf numFmtId="10" fontId="4" fillId="0" borderId="4" xfId="2" applyNumberFormat="1" applyFont="1" applyBorder="1" applyAlignment="1" applyProtection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7" fontId="4" fillId="0" borderId="0" xfId="1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3" fontId="3" fillId="0" borderId="4" xfId="1" applyNumberFormat="1" applyFont="1" applyBorder="1" applyAlignment="1" applyProtection="1">
      <alignment horizontal="center" vertical="distributed" wrapText="1"/>
    </xf>
    <xf numFmtId="3" fontId="4" fillId="0" borderId="4" xfId="1" applyNumberFormat="1" applyFont="1" applyBorder="1" applyAlignment="1" applyProtection="1">
      <alignment horizontal="center" vertical="distributed" wrapText="1"/>
    </xf>
    <xf numFmtId="4" fontId="18" fillId="7" borderId="4" xfId="3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Border="1" applyAlignment="1" applyProtection="1">
      <alignment horizontal="center" vertical="center"/>
    </xf>
    <xf numFmtId="10" fontId="3" fillId="0" borderId="4" xfId="2" applyNumberFormat="1" applyFont="1" applyBorder="1" applyAlignment="1" applyProtection="1">
      <alignment horizontal="center" vertical="center"/>
    </xf>
    <xf numFmtId="178" fontId="3" fillId="7" borderId="4" xfId="0" applyNumberFormat="1" applyFont="1" applyFill="1" applyBorder="1" applyAlignment="1">
      <alignment horizontal="center" vertical="center"/>
    </xf>
    <xf numFmtId="177" fontId="3" fillId="0" borderId="0" xfId="1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10" fontId="4" fillId="0" borderId="0" xfId="2" applyNumberFormat="1" applyFont="1" applyBorder="1" applyAlignment="1" applyProtection="1"/>
    <xf numFmtId="0" fontId="4" fillId="0" borderId="7" xfId="0" applyFont="1" applyBorder="1" applyAlignment="1">
      <alignment horizontal="right" vertical="distributed" wrapText="1"/>
    </xf>
    <xf numFmtId="10" fontId="4" fillId="2" borderId="10" xfId="2" applyNumberFormat="1" applyFont="1" applyFill="1" applyBorder="1" applyAlignment="1" applyProtection="1">
      <alignment horizontal="center" vertical="distributed" wrapText="1"/>
    </xf>
    <xf numFmtId="2" fontId="4" fillId="0" borderId="0" xfId="0" applyNumberFormat="1" applyFont="1"/>
    <xf numFmtId="10" fontId="3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179" fontId="4" fillId="0" borderId="0" xfId="2" applyNumberFormat="1" applyFont="1" applyBorder="1" applyAlignment="1" applyProtection="1">
      <alignment horizontal="left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49" fontId="4" fillId="0" borderId="8" xfId="0" applyNumberFormat="1" applyFont="1" applyBorder="1"/>
    <xf numFmtId="167" fontId="4" fillId="0" borderId="9" xfId="1" applyNumberFormat="1" applyFont="1" applyBorder="1" applyAlignment="1" applyProtection="1">
      <alignment horizontal="center"/>
    </xf>
    <xf numFmtId="166" fontId="4" fillId="0" borderId="9" xfId="1" applyNumberFormat="1" applyFont="1" applyBorder="1" applyAlignment="1" applyProtection="1">
      <alignment horizontal="center"/>
    </xf>
    <xf numFmtId="10" fontId="4" fillId="0" borderId="10" xfId="2" applyNumberFormat="1" applyFont="1" applyBorder="1" applyAlignment="1" applyProtection="1">
      <alignment horizontal="center"/>
    </xf>
    <xf numFmtId="0" fontId="4" fillId="7" borderId="7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right" vertical="center"/>
    </xf>
    <xf numFmtId="10" fontId="3" fillId="4" borderId="9" xfId="0" applyNumberFormat="1" applyFont="1" applyFill="1" applyBorder="1" applyAlignment="1">
      <alignment horizontal="center" vertical="center"/>
    </xf>
    <xf numFmtId="10" fontId="3" fillId="5" borderId="9" xfId="0" applyNumberFormat="1" applyFont="1" applyFill="1" applyBorder="1" applyAlignment="1">
      <alignment horizontal="center" vertical="center"/>
    </xf>
    <xf numFmtId="10" fontId="3" fillId="6" borderId="9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right" vertical="center"/>
    </xf>
    <xf numFmtId="1" fontId="3" fillId="4" borderId="7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center"/>
    </xf>
    <xf numFmtId="2" fontId="4" fillId="7" borderId="14" xfId="0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 applyProtection="1">
      <alignment horizontal="center"/>
    </xf>
    <xf numFmtId="1" fontId="4" fillId="7" borderId="15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left"/>
    </xf>
    <xf numFmtId="167" fontId="4" fillId="7" borderId="0" xfId="0" applyNumberFormat="1" applyFont="1" applyFill="1" applyBorder="1" applyAlignment="1">
      <alignment horizontal="center"/>
    </xf>
    <xf numFmtId="10" fontId="4" fillId="7" borderId="0" xfId="0" applyNumberFormat="1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10" fontId="4" fillId="7" borderId="0" xfId="2" applyNumberFormat="1" applyFont="1" applyFill="1" applyBorder="1" applyAlignment="1" applyProtection="1">
      <alignment horizontal="center"/>
    </xf>
    <xf numFmtId="1" fontId="4" fillId="7" borderId="17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distributed" wrapText="1"/>
    </xf>
    <xf numFmtId="0" fontId="4" fillId="7" borderId="18" xfId="0" applyFont="1" applyFill="1" applyBorder="1" applyAlignment="1">
      <alignment horizontal="left"/>
    </xf>
    <xf numFmtId="164" fontId="3" fillId="0" borderId="0" xfId="1" applyFont="1" applyBorder="1" applyAlignment="1" applyProtection="1">
      <alignment horizontal="right"/>
    </xf>
    <xf numFmtId="180" fontId="3" fillId="0" borderId="0" xfId="2" applyNumberFormat="1" applyFont="1" applyBorder="1" applyAlignment="1" applyProtection="1"/>
    <xf numFmtId="0" fontId="3" fillId="0" borderId="19" xfId="0" applyFont="1" applyBorder="1" applyAlignment="1">
      <alignment horizontal="center" vertical="distributed" wrapText="1"/>
    </xf>
    <xf numFmtId="0" fontId="3" fillId="0" borderId="20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10" fontId="18" fillId="0" borderId="0" xfId="2" applyNumberFormat="1" applyFont="1" applyBorder="1" applyAlignment="1" applyProtection="1">
      <alignment horizontal="right" vertical="center"/>
    </xf>
    <xf numFmtId="0" fontId="20" fillId="0" borderId="0" xfId="0" applyFont="1" applyAlignment="1">
      <alignment vertical="center"/>
    </xf>
    <xf numFmtId="0" fontId="4" fillId="0" borderId="22" xfId="0" applyFont="1" applyBorder="1" applyAlignment="1">
      <alignment horizontal="center" vertical="distributed" wrapText="1"/>
    </xf>
    <xf numFmtId="0" fontId="4" fillId="0" borderId="23" xfId="0" applyFont="1" applyBorder="1" applyAlignment="1">
      <alignment horizontal="center" vertical="distributed" wrapText="1"/>
    </xf>
    <xf numFmtId="0" fontId="4" fillId="0" borderId="24" xfId="0" applyFont="1" applyBorder="1" applyAlignment="1">
      <alignment horizontal="center" vertical="distributed" wrapText="1"/>
    </xf>
    <xf numFmtId="0" fontId="21" fillId="3" borderId="7" xfId="0" applyFont="1" applyFill="1" applyBorder="1" applyAlignment="1">
      <alignment horizontal="left" vertical="distributed" wrapText="1"/>
    </xf>
    <xf numFmtId="164" fontId="23" fillId="0" borderId="8" xfId="0" applyNumberFormat="1" applyFont="1" applyBorder="1" applyAlignment="1">
      <alignment horizontal="left" vertical="center"/>
    </xf>
    <xf numFmtId="0" fontId="23" fillId="3" borderId="8" xfId="0" applyFont="1" applyFill="1" applyBorder="1" applyAlignment="1">
      <alignment vertical="distributed" wrapText="1"/>
    </xf>
    <xf numFmtId="0" fontId="23" fillId="3" borderId="10" xfId="0" applyFont="1" applyFill="1" applyBorder="1" applyAlignment="1">
      <alignment vertical="distributed" wrapText="1"/>
    </xf>
    <xf numFmtId="0" fontId="8" fillId="2" borderId="22" xfId="0" applyFont="1" applyFill="1" applyBorder="1" applyAlignment="1">
      <alignment horizontal="center" vertical="distributed" wrapText="1"/>
    </xf>
    <xf numFmtId="0" fontId="8" fillId="2" borderId="23" xfId="0" applyFont="1" applyFill="1" applyBorder="1" applyAlignment="1">
      <alignment horizontal="center" vertical="distributed" wrapText="1"/>
    </xf>
    <xf numFmtId="0" fontId="8" fillId="2" borderId="25" xfId="0" applyFont="1" applyFill="1" applyBorder="1" applyAlignment="1">
      <alignment horizontal="center" vertical="center" wrapText="1"/>
    </xf>
    <xf numFmtId="1" fontId="24" fillId="3" borderId="26" xfId="1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center" vertical="distributed" wrapText="1"/>
    </xf>
    <xf numFmtId="0" fontId="15" fillId="3" borderId="0" xfId="0" applyFont="1" applyFill="1" applyBorder="1" applyAlignment="1">
      <alignment horizontal="center"/>
    </xf>
    <xf numFmtId="178" fontId="15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distributed" wrapText="1"/>
    </xf>
    <xf numFmtId="10" fontId="15" fillId="3" borderId="4" xfId="2" applyNumberFormat="1" applyFont="1" applyFill="1" applyBorder="1" applyAlignment="1" applyProtection="1">
      <alignment horizontal="center" vertical="distributed" wrapText="1"/>
    </xf>
    <xf numFmtId="170" fontId="15" fillId="3" borderId="4" xfId="2" applyNumberFormat="1" applyFont="1" applyFill="1" applyBorder="1" applyAlignment="1" applyProtection="1">
      <alignment horizontal="center" vertical="distributed" wrapText="1"/>
    </xf>
    <xf numFmtId="0" fontId="15" fillId="3" borderId="4" xfId="0" applyFont="1" applyFill="1" applyBorder="1" applyAlignment="1">
      <alignment horizontal="center" vertical="center"/>
    </xf>
    <xf numFmtId="170" fontId="16" fillId="3" borderId="4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distributed" wrapText="1"/>
    </xf>
    <xf numFmtId="2" fontId="4" fillId="3" borderId="6" xfId="0" applyNumberFormat="1" applyFont="1" applyFill="1" applyBorder="1" applyAlignment="1">
      <alignment horizontal="center" vertical="distributed" wrapText="1"/>
    </xf>
    <xf numFmtId="11" fontId="4" fillId="3" borderId="6" xfId="0" applyNumberFormat="1" applyFont="1" applyFill="1" applyBorder="1" applyAlignment="1">
      <alignment horizontal="center" vertical="distributed" wrapText="1"/>
    </xf>
    <xf numFmtId="0" fontId="4" fillId="0" borderId="4" xfId="0" applyFont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" fontId="24" fillId="3" borderId="28" xfId="1" applyNumberFormat="1" applyFont="1" applyFill="1" applyBorder="1" applyAlignment="1" applyProtection="1">
      <alignment vertical="center" wrapText="1"/>
    </xf>
    <xf numFmtId="0" fontId="25" fillId="3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distributed" wrapText="1"/>
    </xf>
    <xf numFmtId="0" fontId="25" fillId="3" borderId="5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right" vertical="distributed" wrapText="1"/>
    </xf>
    <xf numFmtId="0" fontId="26" fillId="3" borderId="4" xfId="0" applyFont="1" applyFill="1" applyBorder="1" applyAlignment="1">
      <alignment horizontal="center" vertical="distributed" wrapText="1"/>
    </xf>
    <xf numFmtId="0" fontId="15" fillId="3" borderId="3" xfId="0" applyFont="1" applyFill="1" applyBorder="1" applyAlignment="1">
      <alignment horizontal="left" vertical="distributed" wrapText="1"/>
    </xf>
    <xf numFmtId="0" fontId="27" fillId="2" borderId="4" xfId="0" applyFont="1" applyFill="1" applyBorder="1" applyAlignment="1">
      <alignment horizontal="center" vertical="center" wrapText="1"/>
    </xf>
    <xf numFmtId="178" fontId="23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distributed" wrapText="1"/>
    </xf>
    <xf numFmtId="10" fontId="23" fillId="3" borderId="4" xfId="2" applyNumberFormat="1" applyFont="1" applyFill="1" applyBorder="1" applyAlignment="1" applyProtection="1">
      <alignment horizontal="center" vertical="distributed" wrapText="1"/>
    </xf>
    <xf numFmtId="170" fontId="30" fillId="3" borderId="1" xfId="0" applyNumberFormat="1" applyFont="1" applyFill="1" applyBorder="1" applyAlignment="1">
      <alignment horizontal="center" vertical="distributed" wrapText="1"/>
    </xf>
    <xf numFmtId="164" fontId="29" fillId="2" borderId="9" xfId="1" applyFont="1" applyFill="1" applyBorder="1" applyAlignment="1" applyProtection="1">
      <alignment horizontal="center" vertical="distributed" wrapText="1"/>
    </xf>
    <xf numFmtId="10" fontId="4" fillId="3" borderId="0" xfId="2" applyNumberFormat="1" applyFont="1" applyFill="1" applyBorder="1" applyAlignment="1" applyProtection="1"/>
    <xf numFmtId="164" fontId="3" fillId="3" borderId="0" xfId="1" applyFont="1" applyFill="1" applyBorder="1" applyAlignment="1" applyProtection="1">
      <alignment horizontal="center" vertical="distributed" wrapText="1"/>
    </xf>
    <xf numFmtId="10" fontId="6" fillId="3" borderId="9" xfId="0" applyNumberFormat="1" applyFont="1" applyFill="1" applyBorder="1" applyAlignment="1">
      <alignment horizontal="center" vertical="distributed" wrapText="1"/>
    </xf>
    <xf numFmtId="178" fontId="4" fillId="7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distributed" wrapText="1"/>
    </xf>
    <xf numFmtId="0" fontId="4" fillId="3" borderId="0" xfId="0" applyFont="1" applyFill="1" applyBorder="1" applyAlignment="1">
      <alignment horizontal="center" vertical="distributed" wrapText="1"/>
    </xf>
    <xf numFmtId="0" fontId="31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10" fontId="3" fillId="3" borderId="0" xfId="2" applyNumberFormat="1" applyFont="1" applyFill="1" applyBorder="1" applyAlignment="1" applyProtection="1">
      <alignment horizontal="center" vertical="distributed" wrapText="1"/>
    </xf>
    <xf numFmtId="10" fontId="4" fillId="3" borderId="0" xfId="2" applyNumberFormat="1" applyFont="1" applyFill="1" applyBorder="1" applyAlignment="1" applyProtection="1">
      <alignment horizontal="center" vertical="distributed" wrapText="1"/>
    </xf>
    <xf numFmtId="170" fontId="7" fillId="3" borderId="0" xfId="0" applyNumberFormat="1" applyFont="1" applyFill="1" applyBorder="1" applyAlignment="1">
      <alignment horizontal="center" vertical="distributed" wrapText="1"/>
    </xf>
    <xf numFmtId="0" fontId="4" fillId="3" borderId="0" xfId="0" applyFont="1" applyFill="1"/>
    <xf numFmtId="10" fontId="3" fillId="3" borderId="0" xfId="2" applyNumberFormat="1" applyFont="1" applyFill="1" applyBorder="1" applyAlignment="1" applyProtection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distributed" wrapText="1"/>
    </xf>
    <xf numFmtId="0" fontId="26" fillId="3" borderId="9" xfId="0" applyFont="1" applyFill="1" applyBorder="1" applyAlignment="1">
      <alignment horizontal="center" vertical="distributed" wrapText="1"/>
    </xf>
    <xf numFmtId="0" fontId="4" fillId="3" borderId="31" xfId="0" applyFont="1" applyFill="1" applyBorder="1" applyAlignment="1">
      <alignment horizontal="right" vertical="center"/>
    </xf>
    <xf numFmtId="10" fontId="22" fillId="3" borderId="32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178" fontId="22" fillId="3" borderId="32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/>
    </xf>
    <xf numFmtId="10" fontId="36" fillId="3" borderId="34" xfId="0" applyNumberFormat="1" applyFont="1" applyFill="1" applyBorder="1" applyAlignment="1">
      <alignment horizontal="center" vertical="center"/>
    </xf>
    <xf numFmtId="10" fontId="36" fillId="3" borderId="35" xfId="0" applyNumberFormat="1" applyFont="1" applyFill="1" applyBorder="1" applyAlignment="1">
      <alignment horizontal="center" vertical="center"/>
    </xf>
    <xf numFmtId="164" fontId="29" fillId="2" borderId="35" xfId="1" applyFont="1" applyFill="1" applyBorder="1" applyAlignment="1" applyProtection="1">
      <alignment horizontal="center" vertical="distributed" wrapText="1"/>
    </xf>
    <xf numFmtId="0" fontId="14" fillId="3" borderId="35" xfId="0" applyFont="1" applyFill="1" applyBorder="1" applyAlignment="1">
      <alignment horizontal="center" vertical="distributed" wrapText="1"/>
    </xf>
    <xf numFmtId="0" fontId="22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right" vertical="center"/>
    </xf>
    <xf numFmtId="10" fontId="22" fillId="3" borderId="38" xfId="0" applyNumberFormat="1" applyFont="1" applyFill="1" applyBorder="1" applyAlignment="1">
      <alignment horizontal="center" vertical="center"/>
    </xf>
    <xf numFmtId="170" fontId="4" fillId="3" borderId="38" xfId="2" applyNumberFormat="1" applyFont="1" applyFill="1" applyBorder="1" applyAlignment="1" applyProtection="1">
      <alignment horizontal="left" vertical="center"/>
    </xf>
    <xf numFmtId="2" fontId="4" fillId="3" borderId="38" xfId="0" applyNumberFormat="1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178" fontId="22" fillId="3" borderId="3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vertical="center"/>
    </xf>
    <xf numFmtId="10" fontId="36" fillId="3" borderId="39" xfId="0" applyNumberFormat="1" applyFont="1" applyFill="1" applyBorder="1" applyAlignment="1">
      <alignment horizontal="center" vertical="center"/>
    </xf>
    <xf numFmtId="10" fontId="36" fillId="3" borderId="40" xfId="0" applyNumberFormat="1" applyFont="1" applyFill="1" applyBorder="1" applyAlignment="1">
      <alignment horizontal="center" vertical="center"/>
    </xf>
    <xf numFmtId="167" fontId="29" fillId="2" borderId="40" xfId="1" applyNumberFormat="1" applyFont="1" applyFill="1" applyBorder="1" applyAlignment="1" applyProtection="1">
      <alignment horizontal="center" vertical="distributed" wrapText="1"/>
    </xf>
    <xf numFmtId="164" fontId="14" fillId="3" borderId="40" xfId="1" applyFont="1" applyFill="1" applyBorder="1" applyAlignment="1" applyProtection="1">
      <alignment horizontal="center" vertical="distributed" wrapText="1"/>
    </xf>
    <xf numFmtId="164" fontId="22" fillId="2" borderId="41" xfId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10" fontId="22" fillId="3" borderId="0" xfId="0" applyNumberFormat="1" applyFont="1" applyFill="1" applyBorder="1" applyAlignment="1">
      <alignment horizontal="center" vertical="center"/>
    </xf>
    <xf numFmtId="170" fontId="4" fillId="3" borderId="0" xfId="2" applyNumberFormat="1" applyFont="1" applyFill="1" applyBorder="1" applyAlignment="1" applyProtection="1">
      <alignment horizontal="left" vertical="center"/>
    </xf>
    <xf numFmtId="2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78" fontId="22" fillId="3" borderId="0" xfId="0" applyNumberFormat="1" applyFont="1" applyFill="1" applyBorder="1" applyAlignment="1">
      <alignment horizontal="center" vertical="center"/>
    </xf>
    <xf numFmtId="10" fontId="36" fillId="3" borderId="0" xfId="0" applyNumberFormat="1" applyFont="1" applyFill="1" applyBorder="1" applyAlignment="1">
      <alignment horizontal="center" vertical="center"/>
    </xf>
    <xf numFmtId="164" fontId="23" fillId="3" borderId="0" xfId="1" applyFont="1" applyFill="1" applyBorder="1" applyAlignment="1" applyProtection="1">
      <alignment horizontal="center" vertical="distributed" wrapText="1"/>
    </xf>
    <xf numFmtId="164" fontId="14" fillId="3" borderId="0" xfId="1" applyFont="1" applyFill="1" applyBorder="1" applyAlignment="1" applyProtection="1">
      <alignment horizontal="center" vertical="distributed" wrapText="1"/>
    </xf>
    <xf numFmtId="164" fontId="22" fillId="3" borderId="0" xfId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7" xfId="0" applyFont="1" applyFill="1" applyBorder="1" applyAlignment="1">
      <alignment vertical="center"/>
    </xf>
    <xf numFmtId="10" fontId="36" fillId="2" borderId="8" xfId="2" applyNumberFormat="1" applyFont="1" applyFill="1" applyBorder="1" applyAlignment="1" applyProtection="1">
      <alignment horizontal="center" vertical="center"/>
    </xf>
    <xf numFmtId="10" fontId="23" fillId="2" borderId="8" xfId="2" applyNumberFormat="1" applyFont="1" applyFill="1" applyBorder="1" applyAlignment="1" applyProtection="1">
      <alignment horizontal="right" vertical="center"/>
    </xf>
    <xf numFmtId="164" fontId="37" fillId="3" borderId="10" xfId="1" applyFont="1" applyFill="1" applyBorder="1" applyAlignment="1" applyProtection="1">
      <alignment horizontal="center" vertical="center"/>
    </xf>
    <xf numFmtId="164" fontId="14" fillId="3" borderId="0" xfId="1" applyFont="1" applyFill="1" applyBorder="1" applyAlignment="1" applyProtection="1"/>
    <xf numFmtId="164" fontId="4" fillId="3" borderId="0" xfId="1" applyFont="1" applyFill="1" applyBorder="1" applyAlignment="1" applyProtection="1"/>
    <xf numFmtId="0" fontId="23" fillId="3" borderId="0" xfId="0" applyFont="1" applyFill="1"/>
    <xf numFmtId="0" fontId="4" fillId="0" borderId="0" xfId="0" applyFont="1" applyAlignment="1">
      <alignment horizontal="right"/>
    </xf>
    <xf numFmtId="178" fontId="4" fillId="2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38" fillId="0" borderId="4" xfId="0" applyNumberFormat="1" applyFont="1" applyBorder="1" applyAlignment="1">
      <alignment horizontal="center" vertical="center"/>
    </xf>
    <xf numFmtId="1" fontId="3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distributed" wrapText="1"/>
    </xf>
    <xf numFmtId="2" fontId="23" fillId="3" borderId="4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Alignment="1">
      <alignment horizontal="center" vertical="center"/>
    </xf>
    <xf numFmtId="0" fontId="26" fillId="3" borderId="42" xfId="0" applyFont="1" applyFill="1" applyBorder="1" applyAlignment="1">
      <alignment horizontal="center" vertical="distributed" wrapText="1"/>
    </xf>
    <xf numFmtId="10" fontId="4" fillId="2" borderId="10" xfId="2" applyNumberFormat="1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164" fontId="23" fillId="3" borderId="9" xfId="1" applyFont="1" applyFill="1" applyBorder="1" applyAlignment="1" applyProtection="1">
      <alignment horizontal="center" vertical="distributed" wrapText="1"/>
    </xf>
    <xf numFmtId="164" fontId="23" fillId="3" borderId="35" xfId="1" applyFont="1" applyFill="1" applyBorder="1" applyAlignment="1" applyProtection="1">
      <alignment horizontal="center" vertical="distributed" wrapText="1"/>
    </xf>
    <xf numFmtId="167" fontId="23" fillId="3" borderId="40" xfId="1" applyNumberFormat="1" applyFont="1" applyFill="1" applyBorder="1" applyAlignment="1" applyProtection="1">
      <alignment horizontal="center" vertical="distributed" wrapText="1"/>
    </xf>
    <xf numFmtId="1" fontId="46" fillId="0" borderId="4" xfId="0" applyNumberFormat="1" applyFont="1" applyBorder="1" applyAlignment="1">
      <alignment horizontal="center" vertical="center"/>
    </xf>
    <xf numFmtId="1" fontId="47" fillId="0" borderId="4" xfId="0" applyNumberFormat="1" applyFont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distributed" wrapText="1"/>
    </xf>
    <xf numFmtId="2" fontId="4" fillId="2" borderId="0" xfId="0" applyNumberFormat="1" applyFont="1" applyFill="1" applyAlignment="1">
      <alignment horizontal="center"/>
    </xf>
    <xf numFmtId="179" fontId="15" fillId="3" borderId="4" xfId="2" applyNumberFormat="1" applyFont="1" applyFill="1" applyBorder="1" applyAlignment="1" applyProtection="1">
      <alignment horizontal="center" vertical="distributed" wrapText="1"/>
    </xf>
    <xf numFmtId="0" fontId="15" fillId="0" borderId="0" xfId="0" applyFont="1"/>
    <xf numFmtId="164" fontId="52" fillId="0" borderId="0" xfId="1" applyFont="1" applyBorder="1" applyAlignment="1" applyProtection="1">
      <alignment horizontal="center" vertical="distributed" wrapText="1"/>
    </xf>
    <xf numFmtId="164" fontId="8" fillId="0" borderId="0" xfId="1" applyFont="1" applyBorder="1" applyAlignment="1" applyProtection="1">
      <alignment horizontal="right" vertical="distributed" wrapText="1"/>
    </xf>
    <xf numFmtId="164" fontId="8" fillId="0" borderId="0" xfId="0" applyNumberFormat="1" applyFont="1" applyBorder="1" applyAlignment="1">
      <alignment horizontal="right" vertical="distributed" wrapText="1"/>
    </xf>
    <xf numFmtId="10" fontId="15" fillId="0" borderId="0" xfId="2" applyNumberFormat="1" applyFont="1" applyBorder="1" applyAlignment="1" applyProtection="1">
      <alignment horizontal="center"/>
    </xf>
    <xf numFmtId="10" fontId="53" fillId="0" borderId="0" xfId="2" applyNumberFormat="1" applyFont="1" applyBorder="1" applyAlignment="1" applyProtection="1">
      <alignment horizontal="center"/>
    </xf>
    <xf numFmtId="10" fontId="54" fillId="0" borderId="0" xfId="0" applyNumberFormat="1" applyFont="1"/>
    <xf numFmtId="0" fontId="55" fillId="0" borderId="0" xfId="0" applyFont="1" applyBorder="1" applyAlignment="1">
      <alignment horizontal="right"/>
    </xf>
    <xf numFmtId="10" fontId="5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/>
    <xf numFmtId="0" fontId="15" fillId="0" borderId="0" xfId="0" applyFont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181" fontId="15" fillId="0" borderId="0" xfId="1" applyNumberFormat="1" applyFont="1" applyBorder="1" applyAlignment="1" applyProtection="1">
      <alignment horizontal="center"/>
    </xf>
    <xf numFmtId="168" fontId="15" fillId="0" borderId="0" xfId="0" applyNumberFormat="1" applyFont="1" applyBorder="1"/>
    <xf numFmtId="164" fontId="4" fillId="0" borderId="0" xfId="1" applyFont="1" applyBorder="1" applyAlignment="1" applyProtection="1">
      <alignment horizontal="center" vertical="center"/>
    </xf>
    <xf numFmtId="164" fontId="15" fillId="0" borderId="0" xfId="0" applyNumberFormat="1" applyFont="1" applyBorder="1"/>
    <xf numFmtId="164" fontId="15" fillId="0" borderId="0" xfId="1" applyFont="1" applyBorder="1" applyAlignment="1" applyProtection="1"/>
    <xf numFmtId="0" fontId="57" fillId="0" borderId="0" xfId="0" applyFont="1"/>
    <xf numFmtId="167" fontId="4" fillId="0" borderId="0" xfId="0" applyNumberFormat="1" applyFont="1" applyBorder="1" applyAlignment="1">
      <alignment horizontal="center"/>
    </xf>
    <xf numFmtId="182" fontId="3" fillId="0" borderId="4" xfId="1" applyNumberFormat="1" applyFont="1" applyBorder="1" applyAlignment="1" applyProtection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4" fillId="0" borderId="0" xfId="1" applyFont="1" applyBorder="1" applyAlignment="1" applyProtection="1">
      <alignment vertical="center"/>
    </xf>
    <xf numFmtId="0" fontId="58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168" fontId="4" fillId="2" borderId="4" xfId="0" applyNumberFormat="1" applyFont="1" applyFill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2" borderId="4" xfId="1" applyNumberFormat="1" applyFont="1" applyFill="1" applyBorder="1" applyAlignment="1" applyProtection="1">
      <alignment vertical="center"/>
    </xf>
    <xf numFmtId="168" fontId="4" fillId="0" borderId="0" xfId="0" applyNumberFormat="1" applyFont="1"/>
    <xf numFmtId="0" fontId="59" fillId="0" borderId="4" xfId="0" applyFont="1" applyBorder="1" applyAlignment="1">
      <alignment horizontal="right" vertical="center"/>
    </xf>
    <xf numFmtId="168" fontId="3" fillId="0" borderId="4" xfId="1" applyNumberFormat="1" applyFont="1" applyBorder="1" applyAlignment="1" applyProtection="1">
      <alignment vertical="center"/>
    </xf>
    <xf numFmtId="0" fontId="60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0" fontId="4" fillId="0" borderId="0" xfId="0" applyNumberFormat="1" applyFont="1"/>
    <xf numFmtId="164" fontId="4" fillId="0" borderId="0" xfId="0" applyNumberFormat="1" applyFont="1" applyBorder="1" applyAlignment="1">
      <alignment horizontal="center"/>
    </xf>
    <xf numFmtId="10" fontId="4" fillId="0" borderId="0" xfId="2" applyNumberFormat="1" applyFont="1" applyBorder="1" applyAlignment="1" applyProtection="1">
      <alignment horizontal="center"/>
    </xf>
    <xf numFmtId="10" fontId="4" fillId="0" borderId="0" xfId="0" applyNumberFormat="1" applyFont="1" applyBorder="1" applyAlignment="1">
      <alignment horizontal="center"/>
    </xf>
    <xf numFmtId="164" fontId="3" fillId="0" borderId="5" xfId="1" applyFont="1" applyBorder="1" applyAlignment="1" applyProtection="1">
      <alignment horizontal="center" vertical="center" wrapText="1"/>
    </xf>
    <xf numFmtId="2" fontId="4" fillId="0" borderId="1" xfId="1" applyNumberFormat="1" applyFont="1" applyBorder="1" applyAlignment="1" applyProtection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/>
    <xf numFmtId="167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20" fillId="0" borderId="0" xfId="0" applyFont="1" applyBorder="1"/>
    <xf numFmtId="166" fontId="20" fillId="0" borderId="0" xfId="0" applyNumberFormat="1" applyFont="1" applyBorder="1"/>
    <xf numFmtId="182" fontId="20" fillId="0" borderId="0" xfId="0" applyNumberFormat="1" applyFont="1" applyBorder="1" applyAlignment="1">
      <alignment horizontal="right"/>
    </xf>
    <xf numFmtId="174" fontId="20" fillId="0" borderId="0" xfId="1" applyNumberFormat="1" applyFont="1" applyBorder="1" applyAlignment="1" applyProtection="1"/>
    <xf numFmtId="182" fontId="20" fillId="0" borderId="0" xfId="0" applyNumberFormat="1" applyFont="1" applyBorder="1" applyAlignment="1">
      <alignment horizontal="left"/>
    </xf>
    <xf numFmtId="182" fontId="4" fillId="0" borderId="0" xfId="0" applyNumberFormat="1" applyFont="1" applyBorder="1"/>
    <xf numFmtId="183" fontId="4" fillId="0" borderId="0" xfId="0" applyNumberFormat="1" applyFont="1"/>
    <xf numFmtId="0" fontId="61" fillId="0" borderId="0" xfId="0" applyFont="1"/>
    <xf numFmtId="168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5" fontId="4" fillId="0" borderId="0" xfId="1" applyNumberFormat="1" applyFont="1" applyBorder="1" applyAlignment="1" applyProtection="1">
      <alignment horizontal="center"/>
    </xf>
    <xf numFmtId="0" fontId="62" fillId="0" borderId="0" xfId="0" applyFont="1"/>
    <xf numFmtId="0" fontId="62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62" fillId="0" borderId="0" xfId="0" applyFont="1" applyBorder="1"/>
    <xf numFmtId="182" fontId="56" fillId="0" borderId="0" xfId="0" applyNumberFormat="1" applyFont="1" applyBorder="1"/>
    <xf numFmtId="182" fontId="56" fillId="0" borderId="0" xfId="0" applyNumberFormat="1" applyFont="1" applyBorder="1" applyAlignment="1">
      <alignment horizontal="center"/>
    </xf>
    <xf numFmtId="0" fontId="56" fillId="0" borderId="0" xfId="0" applyFont="1"/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63" fillId="0" borderId="0" xfId="0" applyFont="1"/>
    <xf numFmtId="0" fontId="56" fillId="0" borderId="0" xfId="0" applyFont="1"/>
    <xf numFmtId="0" fontId="56" fillId="0" borderId="0" xfId="0" applyFont="1" applyBorder="1"/>
    <xf numFmtId="164" fontId="62" fillId="0" borderId="0" xfId="1" applyFont="1" applyBorder="1" applyAlignment="1" applyProtection="1"/>
    <xf numFmtId="0" fontId="32" fillId="0" borderId="0" xfId="0" applyFont="1"/>
    <xf numFmtId="0" fontId="62" fillId="0" borderId="4" xfId="0" applyFont="1" applyBorder="1" applyAlignment="1">
      <alignment horizontal="center" vertical="distributed" wrapText="1"/>
    </xf>
    <xf numFmtId="0" fontId="62" fillId="0" borderId="4" xfId="0" applyFont="1" applyBorder="1" applyAlignment="1">
      <alignment horizontal="center" vertical="distributed" wrapText="1"/>
    </xf>
    <xf numFmtId="0" fontId="62" fillId="0" borderId="5" xfId="0" applyFont="1" applyBorder="1" applyAlignment="1">
      <alignment horizontal="center" vertical="distributed" wrapText="1"/>
    </xf>
    <xf numFmtId="0" fontId="62" fillId="0" borderId="5" xfId="0" applyFont="1" applyBorder="1" applyAlignment="1">
      <alignment horizontal="center" vertical="distributed" wrapText="1"/>
    </xf>
    <xf numFmtId="0" fontId="62" fillId="0" borderId="13" xfId="0" applyFont="1" applyBorder="1" applyAlignment="1">
      <alignment horizontal="center" vertical="distributed" wrapText="1"/>
    </xf>
    <xf numFmtId="164" fontId="3" fillId="0" borderId="30" xfId="1" applyFont="1" applyBorder="1" applyAlignment="1" applyProtection="1"/>
    <xf numFmtId="164" fontId="4" fillId="0" borderId="32" xfId="1" applyFont="1" applyBorder="1" applyAlignment="1" applyProtection="1"/>
    <xf numFmtId="164" fontId="4" fillId="0" borderId="42" xfId="1" applyFont="1" applyBorder="1" applyAlignment="1" applyProtection="1"/>
    <xf numFmtId="0" fontId="3" fillId="0" borderId="30" xfId="0" applyFont="1" applyBorder="1"/>
    <xf numFmtId="164" fontId="3" fillId="0" borderId="32" xfId="1" applyFont="1" applyBorder="1" applyAlignment="1" applyProtection="1">
      <alignment horizontal="right"/>
    </xf>
    <xf numFmtId="0" fontId="3" fillId="0" borderId="32" xfId="0" applyFont="1" applyBorder="1" applyAlignment="1">
      <alignment horizontal="left"/>
    </xf>
    <xf numFmtId="0" fontId="4" fillId="0" borderId="32" xfId="0" applyFont="1" applyBorder="1"/>
    <xf numFmtId="0" fontId="4" fillId="0" borderId="42" xfId="0" applyFont="1" applyBorder="1"/>
    <xf numFmtId="168" fontId="56" fillId="0" borderId="4" xfId="0" applyNumberFormat="1" applyFont="1" applyBorder="1" applyAlignment="1">
      <alignment horizontal="center"/>
    </xf>
    <xf numFmtId="10" fontId="56" fillId="4" borderId="4" xfId="2" applyNumberFormat="1" applyFont="1" applyFill="1" applyBorder="1" applyAlignment="1" applyProtection="1">
      <alignment horizontal="center"/>
    </xf>
    <xf numFmtId="164" fontId="56" fillId="0" borderId="4" xfId="1" applyFont="1" applyBorder="1" applyAlignment="1" applyProtection="1">
      <alignment horizontal="center"/>
    </xf>
    <xf numFmtId="168" fontId="56" fillId="0" borderId="4" xfId="0" applyNumberFormat="1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164" fontId="56" fillId="0" borderId="1" xfId="1" applyFont="1" applyBorder="1" applyAlignment="1" applyProtection="1">
      <alignment horizontal="center"/>
    </xf>
    <xf numFmtId="10" fontId="62" fillId="4" borderId="4" xfId="2" applyNumberFormat="1" applyFont="1" applyFill="1" applyBorder="1" applyAlignment="1" applyProtection="1">
      <alignment horizontal="center"/>
    </xf>
    <xf numFmtId="10" fontId="62" fillId="5" borderId="4" xfId="2" applyNumberFormat="1" applyFont="1" applyFill="1" applyBorder="1" applyAlignment="1" applyProtection="1">
      <alignment horizontal="center"/>
    </xf>
    <xf numFmtId="10" fontId="62" fillId="6" borderId="1" xfId="2" applyNumberFormat="1" applyFont="1" applyFill="1" applyBorder="1" applyAlignment="1" applyProtection="1">
      <alignment horizontal="center"/>
    </xf>
    <xf numFmtId="168" fontId="4" fillId="0" borderId="43" xfId="0" applyNumberFormat="1" applyFont="1" applyBorder="1"/>
    <xf numFmtId="164" fontId="3" fillId="0" borderId="44" xfId="1" applyFont="1" applyBorder="1" applyAlignment="1" applyProtection="1"/>
    <xf numFmtId="166" fontId="4" fillId="0" borderId="43" xfId="1" applyNumberFormat="1" applyFont="1" applyBorder="1" applyAlignment="1" applyProtection="1"/>
    <xf numFmtId="0" fontId="4" fillId="0" borderId="44" xfId="0" applyFont="1" applyBorder="1"/>
    <xf numFmtId="170" fontId="4" fillId="0" borderId="43" xfId="2" applyNumberFormat="1" applyFont="1" applyBorder="1" applyAlignment="1" applyProtection="1"/>
    <xf numFmtId="0" fontId="4" fillId="0" borderId="44" xfId="0" applyFont="1" applyBorder="1"/>
    <xf numFmtId="184" fontId="4" fillId="0" borderId="43" xfId="0" applyNumberFormat="1" applyFont="1" applyBorder="1"/>
    <xf numFmtId="168" fontId="64" fillId="0" borderId="4" xfId="0" applyNumberFormat="1" applyFont="1" applyBorder="1" applyAlignment="1">
      <alignment horizontal="center"/>
    </xf>
    <xf numFmtId="180" fontId="64" fillId="0" borderId="4" xfId="2" applyNumberFormat="1" applyFont="1" applyBorder="1" applyAlignment="1" applyProtection="1">
      <alignment horizontal="center"/>
    </xf>
    <xf numFmtId="164" fontId="56" fillId="0" borderId="0" xfId="1" applyFont="1" applyBorder="1" applyAlignment="1" applyProtection="1">
      <alignment horizontal="center"/>
    </xf>
    <xf numFmtId="164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0" fontId="62" fillId="0" borderId="0" xfId="2" applyNumberFormat="1" applyFont="1" applyBorder="1" applyAlignment="1" applyProtection="1"/>
    <xf numFmtId="170" fontId="3" fillId="0" borderId="43" xfId="2" applyNumberFormat="1" applyFont="1" applyBorder="1" applyAlignment="1" applyProtection="1"/>
    <xf numFmtId="167" fontId="3" fillId="0" borderId="43" xfId="1" applyNumberFormat="1" applyFont="1" applyBorder="1" applyAlignment="1" applyProtection="1"/>
    <xf numFmtId="164" fontId="4" fillId="0" borderId="45" xfId="0" applyNumberFormat="1" applyFont="1" applyBorder="1"/>
    <xf numFmtId="166" fontId="4" fillId="4" borderId="43" xfId="1" applyNumberFormat="1" applyFont="1" applyFill="1" applyBorder="1" applyAlignment="1" applyProtection="1"/>
    <xf numFmtId="170" fontId="4" fillId="0" borderId="0" xfId="2" applyNumberFormat="1" applyFont="1" applyBorder="1" applyAlignment="1" applyProtection="1"/>
    <xf numFmtId="10" fontId="3" fillId="4" borderId="45" xfId="2" applyNumberFormat="1" applyFont="1" applyFill="1" applyBorder="1" applyAlignment="1" applyProtection="1"/>
    <xf numFmtId="175" fontId="4" fillId="0" borderId="0" xfId="0" applyNumberFormat="1" applyFont="1" applyBorder="1"/>
    <xf numFmtId="10" fontId="65" fillId="0" borderId="43" xfId="0" applyNumberFormat="1" applyFont="1" applyBorder="1"/>
    <xf numFmtId="0" fontId="33" fillId="0" borderId="0" xfId="0" applyFont="1" applyBorder="1"/>
    <xf numFmtId="0" fontId="62" fillId="0" borderId="0" xfId="0" applyFont="1" applyAlignment="1">
      <alignment horizontal="center"/>
    </xf>
    <xf numFmtId="49" fontId="3" fillId="0" borderId="0" xfId="0" applyNumberFormat="1" applyFont="1"/>
    <xf numFmtId="0" fontId="3" fillId="0" borderId="7" xfId="0" applyFont="1" applyBorder="1"/>
    <xf numFmtId="179" fontId="3" fillId="4" borderId="7" xfId="2" applyNumberFormat="1" applyFont="1" applyFill="1" applyBorder="1" applyAlignment="1" applyProtection="1">
      <alignment horizontal="center"/>
    </xf>
    <xf numFmtId="180" fontId="3" fillId="6" borderId="7" xfId="2" applyNumberFormat="1" applyFont="1" applyFill="1" applyBorder="1" applyAlignment="1" applyProtection="1">
      <alignment horizontal="center"/>
    </xf>
    <xf numFmtId="180" fontId="3" fillId="5" borderId="7" xfId="2" applyNumberFormat="1" applyFont="1" applyFill="1" applyBorder="1" applyAlignment="1" applyProtection="1">
      <alignment horizontal="center"/>
    </xf>
    <xf numFmtId="10" fontId="65" fillId="0" borderId="46" xfId="0" applyNumberFormat="1" applyFont="1" applyBorder="1"/>
    <xf numFmtId="0" fontId="33" fillId="0" borderId="47" xfId="0" applyFont="1" applyBorder="1"/>
    <xf numFmtId="0" fontId="4" fillId="0" borderId="47" xfId="0" applyFont="1" applyBorder="1"/>
    <xf numFmtId="171" fontId="4" fillId="0" borderId="47" xfId="0" applyNumberFormat="1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47" xfId="0" applyFont="1" applyBorder="1"/>
    <xf numFmtId="0" fontId="4" fillId="0" borderId="12" xfId="0" applyFont="1" applyBorder="1"/>
    <xf numFmtId="10" fontId="4" fillId="0" borderId="0" xfId="0" applyNumberFormat="1" applyFont="1"/>
    <xf numFmtId="0" fontId="3" fillId="0" borderId="9" xfId="0" applyFont="1" applyBorder="1"/>
    <xf numFmtId="1" fontId="3" fillId="4" borderId="7" xfId="0" applyNumberFormat="1" applyFont="1" applyFill="1" applyBorder="1" applyAlignment="1">
      <alignment horizontal="center"/>
    </xf>
    <xf numFmtId="1" fontId="3" fillId="6" borderId="7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0" fontId="4" fillId="0" borderId="0" xfId="0" applyNumberFormat="1" applyFont="1" applyBorder="1"/>
    <xf numFmtId="10" fontId="4" fillId="0" borderId="0" xfId="1" applyNumberFormat="1" applyFont="1" applyBorder="1" applyAlignment="1" applyProtection="1"/>
    <xf numFmtId="168" fontId="4" fillId="0" borderId="0" xfId="1" applyNumberFormat="1" applyFont="1" applyBorder="1" applyAlignment="1" applyProtection="1"/>
    <xf numFmtId="1" fontId="4" fillId="0" borderId="0" xfId="0" applyNumberFormat="1" applyFont="1"/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49" fontId="3" fillId="0" borderId="4" xfId="1" applyNumberFormat="1" applyFont="1" applyBorder="1" applyAlignment="1" applyProtection="1">
      <alignment horizontal="right"/>
    </xf>
    <xf numFmtId="1" fontId="3" fillId="0" borderId="4" xfId="0" applyNumberFormat="1" applyFont="1" applyBorder="1" applyAlignment="1">
      <alignment horizontal="center"/>
    </xf>
    <xf numFmtId="167" fontId="4" fillId="0" borderId="0" xfId="1" applyNumberFormat="1" applyFont="1" applyBorder="1" applyAlignment="1" applyProtection="1"/>
    <xf numFmtId="1" fontId="3" fillId="9" borderId="4" xfId="0" applyNumberFormat="1" applyFont="1" applyFill="1" applyBorder="1" applyAlignment="1">
      <alignment horizontal="center" vertical="distributed" wrapText="1"/>
    </xf>
    <xf numFmtId="1" fontId="3" fillId="10" borderId="4" xfId="0" applyNumberFormat="1" applyFont="1" applyFill="1" applyBorder="1" applyAlignment="1">
      <alignment horizontal="center" vertical="distributed" wrapText="1"/>
    </xf>
    <xf numFmtId="167" fontId="4" fillId="0" borderId="0" xfId="0" applyNumberFormat="1" applyFont="1" applyBorder="1"/>
    <xf numFmtId="1" fontId="3" fillId="11" borderId="4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Border="1"/>
    <xf numFmtId="1" fontId="4" fillId="0" borderId="0" xfId="0" applyNumberFormat="1" applyFont="1" applyAlignment="1">
      <alignment horizontal="center"/>
    </xf>
    <xf numFmtId="168" fontId="3" fillId="0" borderId="0" xfId="0" applyNumberFormat="1" applyFont="1" applyBorder="1"/>
    <xf numFmtId="168" fontId="7" fillId="0" borderId="0" xfId="0" applyNumberFormat="1" applyFont="1" applyBorder="1"/>
    <xf numFmtId="0" fontId="4" fillId="0" borderId="1" xfId="0" applyFont="1" applyBorder="1"/>
    <xf numFmtId="168" fontId="3" fillId="0" borderId="0" xfId="0" applyNumberFormat="1" applyFont="1" applyBorder="1" applyAlignment="1">
      <alignment horizontal="center"/>
    </xf>
    <xf numFmtId="1" fontId="3" fillId="5" borderId="4" xfId="0" applyNumberFormat="1" applyFont="1" applyFill="1" applyBorder="1" applyAlignment="1">
      <alignment horizontal="center" vertical="distributed" wrapText="1"/>
    </xf>
    <xf numFmtId="0" fontId="61" fillId="0" borderId="0" xfId="0" applyFont="1"/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6" fillId="0" borderId="4" xfId="0" applyFont="1" applyBorder="1" applyAlignment="1">
      <alignment horizontal="right"/>
    </xf>
    <xf numFmtId="168" fontId="56" fillId="0" borderId="4" xfId="1" applyNumberFormat="1" applyFont="1" applyBorder="1" applyAlignment="1" applyProtection="1"/>
    <xf numFmtId="0" fontId="56" fillId="0" borderId="4" xfId="0" applyFont="1" applyBorder="1"/>
    <xf numFmtId="0" fontId="66" fillId="0" borderId="4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56" fillId="0" borderId="1" xfId="0" applyFont="1" applyBorder="1"/>
    <xf numFmtId="0" fontId="4" fillId="0" borderId="2" xfId="0" applyFont="1" applyBorder="1"/>
    <xf numFmtId="0" fontId="56" fillId="0" borderId="3" xfId="0" applyFont="1" applyBorder="1" applyAlignment="1">
      <alignment horizontal="right"/>
    </xf>
    <xf numFmtId="168" fontId="62" fillId="0" borderId="4" xfId="0" applyNumberFormat="1" applyFont="1" applyBorder="1" applyAlignment="1">
      <alignment horizontal="center"/>
    </xf>
    <xf numFmtId="168" fontId="62" fillId="0" borderId="4" xfId="1" applyNumberFormat="1" applyFont="1" applyBorder="1" applyAlignment="1" applyProtection="1"/>
    <xf numFmtId="0" fontId="3" fillId="0" borderId="0" xfId="0" applyFont="1" applyBorder="1" applyAlignment="1">
      <alignment horizontal="right"/>
    </xf>
    <xf numFmtId="168" fontId="56" fillId="0" borderId="0" xfId="1" applyNumberFormat="1" applyFont="1" applyBorder="1" applyAlignment="1" applyProtection="1"/>
    <xf numFmtId="168" fontId="62" fillId="0" borderId="0" xfId="1" applyNumberFormat="1" applyFont="1" applyBorder="1" applyAlignment="1" applyProtection="1"/>
    <xf numFmtId="0" fontId="67" fillId="0" borderId="43" xfId="0" applyFont="1" applyBorder="1"/>
    <xf numFmtId="164" fontId="67" fillId="0" borderId="4" xfId="1" applyFont="1" applyBorder="1" applyAlignment="1" applyProtection="1"/>
    <xf numFmtId="0" fontId="62" fillId="0" borderId="0" xfId="0" applyFont="1" applyBorder="1" applyAlignment="1">
      <alignment horizontal="right"/>
    </xf>
    <xf numFmtId="164" fontId="56" fillId="12" borderId="0" xfId="0" applyNumberFormat="1" applyFont="1" applyFill="1"/>
    <xf numFmtId="0" fontId="3" fillId="0" borderId="47" xfId="0" applyFont="1" applyBorder="1" applyAlignment="1">
      <alignment horizontal="right"/>
    </xf>
    <xf numFmtId="164" fontId="3" fillId="0" borderId="9" xfId="0" applyNumberFormat="1" applyFont="1" applyBorder="1"/>
    <xf numFmtId="164" fontId="56" fillId="0" borderId="0" xfId="0" applyNumberFormat="1" applyFont="1"/>
    <xf numFmtId="182" fontId="4" fillId="0" borderId="0" xfId="0" applyNumberFormat="1" applyFont="1"/>
    <xf numFmtId="0" fontId="4" fillId="0" borderId="11" xfId="0" applyFont="1" applyBorder="1" applyAlignment="1">
      <alignment horizontal="right"/>
    </xf>
    <xf numFmtId="167" fontId="3" fillId="12" borderId="48" xfId="1" applyNumberFormat="1" applyFont="1" applyFill="1" applyBorder="1" applyAlignment="1" applyProtection="1"/>
    <xf numFmtId="175" fontId="56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4" fillId="0" borderId="0" xfId="2" applyFont="1" applyBorder="1" applyAlignment="1" applyProtection="1"/>
    <xf numFmtId="49" fontId="4" fillId="7" borderId="1" xfId="0" applyNumberFormat="1" applyFont="1" applyFill="1" applyBorder="1"/>
    <xf numFmtId="49" fontId="4" fillId="7" borderId="4" xfId="0" applyNumberFormat="1" applyFont="1" applyFill="1" applyBorder="1"/>
    <xf numFmtId="49" fontId="4" fillId="7" borderId="4" xfId="0" applyNumberFormat="1" applyFont="1" applyFill="1" applyBorder="1" applyAlignment="1">
      <alignment horizontal="left"/>
    </xf>
    <xf numFmtId="49" fontId="4" fillId="7" borderId="14" xfId="0" applyNumberFormat="1" applyFont="1" applyFill="1" applyBorder="1" applyAlignment="1">
      <alignment horizontal="left"/>
    </xf>
    <xf numFmtId="49" fontId="4" fillId="7" borderId="15" xfId="0" applyNumberFormat="1" applyFont="1" applyFill="1" applyBorder="1" applyAlignment="1">
      <alignment horizontal="left"/>
    </xf>
    <xf numFmtId="49" fontId="4" fillId="7" borderId="16" xfId="0" applyNumberFormat="1" applyFont="1" applyFill="1" applyBorder="1"/>
    <xf numFmtId="168" fontId="4" fillId="7" borderId="0" xfId="0" applyNumberFormat="1" applyFont="1" applyFill="1" applyBorder="1"/>
    <xf numFmtId="2" fontId="4" fillId="7" borderId="0" xfId="0" applyNumberFormat="1" applyFont="1" applyFill="1" applyBorder="1"/>
    <xf numFmtId="10" fontId="4" fillId="7" borderId="0" xfId="0" applyNumberFormat="1" applyFont="1" applyFill="1" applyBorder="1"/>
    <xf numFmtId="1" fontId="4" fillId="7" borderId="0" xfId="0" applyNumberFormat="1" applyFont="1" applyFill="1" applyBorder="1" applyAlignment="1">
      <alignment horizontal="center"/>
    </xf>
    <xf numFmtId="49" fontId="4" fillId="7" borderId="17" xfId="0" applyNumberFormat="1" applyFont="1" applyFill="1" applyBorder="1" applyAlignment="1">
      <alignment horizontal="left"/>
    </xf>
    <xf numFmtId="10" fontId="4" fillId="7" borderId="17" xfId="0" applyNumberFormat="1" applyFont="1" applyFill="1" applyBorder="1" applyAlignment="1">
      <alignment horizontal="center"/>
    </xf>
    <xf numFmtId="0" fontId="34" fillId="0" borderId="0" xfId="0" applyFont="1" applyBorder="1"/>
    <xf numFmtId="49" fontId="4" fillId="7" borderId="4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7" borderId="16" xfId="0" applyFont="1" applyFill="1" applyBorder="1"/>
    <xf numFmtId="49" fontId="4" fillId="7" borderId="18" xfId="0" applyNumberFormat="1" applyFont="1" applyFill="1" applyBorder="1"/>
    <xf numFmtId="0" fontId="4" fillId="7" borderId="49" xfId="0" applyFont="1" applyFill="1" applyBorder="1"/>
    <xf numFmtId="0" fontId="4" fillId="7" borderId="27" xfId="0" applyFont="1" applyFill="1" applyBorder="1"/>
    <xf numFmtId="49" fontId="3" fillId="7" borderId="4" xfId="0" applyNumberFormat="1" applyFont="1" applyFill="1" applyBorder="1" applyAlignment="1">
      <alignment horizontal="center" vertical="distributed" wrapText="1"/>
    </xf>
    <xf numFmtId="0" fontId="3" fillId="7" borderId="4" xfId="0" applyFont="1" applyFill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169" fontId="4" fillId="0" borderId="4" xfId="0" applyNumberFormat="1" applyFont="1" applyBorder="1" applyAlignment="1">
      <alignment horizontal="center" vertical="distributed" wrapText="1"/>
    </xf>
    <xf numFmtId="0" fontId="8" fillId="0" borderId="0" xfId="0" applyFont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2" borderId="20" xfId="1" applyNumberFormat="1" applyFont="1" applyFill="1" applyBorder="1" applyAlignment="1" applyProtection="1">
      <alignment horizontal="center" vertical="center"/>
    </xf>
    <xf numFmtId="1" fontId="4" fillId="2" borderId="21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distributed" wrapText="1"/>
    </xf>
    <xf numFmtId="1" fontId="4" fillId="2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2" borderId="4" xfId="1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68" fillId="0" borderId="0" xfId="0" applyFont="1"/>
    <xf numFmtId="0" fontId="69" fillId="13" borderId="1" xfId="0" applyFont="1" applyFill="1" applyBorder="1" applyAlignment="1">
      <alignment horizontal="right" vertical="center"/>
    </xf>
    <xf numFmtId="0" fontId="69" fillId="13" borderId="2" xfId="0" applyFont="1" applyFill="1" applyBorder="1" applyAlignment="1">
      <alignment horizontal="center" vertical="center"/>
    </xf>
    <xf numFmtId="0" fontId="69" fillId="13" borderId="3" xfId="0" applyFont="1" applyFill="1" applyBorder="1" applyAlignment="1">
      <alignment horizontal="center" vertical="center"/>
    </xf>
    <xf numFmtId="0" fontId="69" fillId="0" borderId="0" xfId="0" applyFont="1"/>
    <xf numFmtId="0" fontId="69" fillId="0" borderId="4" xfId="0" applyFont="1" applyBorder="1" applyAlignment="1">
      <alignment horizontal="center"/>
    </xf>
    <xf numFmtId="9" fontId="69" fillId="14" borderId="4" xfId="0" applyNumberFormat="1" applyFont="1" applyFill="1" applyBorder="1" applyAlignment="1">
      <alignment horizontal="center"/>
    </xf>
    <xf numFmtId="0" fontId="69" fillId="0" borderId="4" xfId="0" applyFont="1" applyBorder="1" applyAlignment="1">
      <alignment horizontal="center" vertical="center"/>
    </xf>
    <xf numFmtId="165" fontId="69" fillId="0" borderId="4" xfId="1" applyNumberFormat="1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164" fontId="71" fillId="0" borderId="0" xfId="1" applyFont="1" applyBorder="1" applyAlignment="1">
      <alignment horizontal="center"/>
    </xf>
    <xf numFmtId="0" fontId="72" fillId="0" borderId="0" xfId="0" applyFont="1" applyAlignment="1">
      <alignment horizontal="center"/>
    </xf>
    <xf numFmtId="186" fontId="69" fillId="0" borderId="0" xfId="1" applyNumberFormat="1" applyFont="1" applyBorder="1"/>
    <xf numFmtId="0" fontId="73" fillId="0" borderId="0" xfId="0" applyFont="1" applyAlignment="1">
      <alignment horizontal="left"/>
    </xf>
    <xf numFmtId="185" fontId="69" fillId="0" borderId="0" xfId="0" applyNumberFormat="1" applyFont="1"/>
    <xf numFmtId="0" fontId="68" fillId="0" borderId="0" xfId="0" applyFont="1" applyAlignment="1">
      <alignment horizontal="left" vertical="center" wrapText="1"/>
    </xf>
    <xf numFmtId="0" fontId="68" fillId="15" borderId="0" xfId="0" applyFont="1" applyFill="1" applyAlignment="1">
      <alignment vertical="center"/>
    </xf>
    <xf numFmtId="0" fontId="69" fillId="16" borderId="5" xfId="0" applyFont="1" applyFill="1" applyBorder="1" applyAlignment="1">
      <alignment horizontal="center" vertical="center" wrapText="1"/>
    </xf>
    <xf numFmtId="2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16" borderId="6" xfId="0" applyFont="1" applyFill="1" applyBorder="1" applyAlignment="1">
      <alignment horizontal="center" vertical="center" wrapText="1"/>
    </xf>
    <xf numFmtId="3" fontId="69" fillId="16" borderId="4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0" fontId="69" fillId="16" borderId="4" xfId="0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17" borderId="4" xfId="0" applyFont="1" applyFill="1" applyBorder="1" applyAlignment="1">
      <alignment horizontal="center" vertical="center" wrapText="1"/>
    </xf>
    <xf numFmtId="0" fontId="69" fillId="18" borderId="4" xfId="0" applyFont="1" applyFill="1" applyBorder="1" applyAlignment="1">
      <alignment horizontal="center" vertical="center" wrapText="1"/>
    </xf>
    <xf numFmtId="0" fontId="69" fillId="19" borderId="4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20" borderId="4" xfId="0" applyFont="1" applyFill="1" applyBorder="1" applyAlignment="1">
      <alignment horizontal="center" vertical="center"/>
    </xf>
    <xf numFmtId="0" fontId="74" fillId="20" borderId="4" xfId="0" applyFont="1" applyFill="1" applyBorder="1" applyAlignment="1">
      <alignment horizontal="center" vertical="center" wrapText="1"/>
    </xf>
    <xf numFmtId="0" fontId="69" fillId="17" borderId="4" xfId="0" applyFont="1" applyFill="1" applyBorder="1" applyAlignment="1">
      <alignment horizontal="center" vertical="center"/>
    </xf>
    <xf numFmtId="0" fontId="69" fillId="16" borderId="4" xfId="0" applyFont="1" applyFill="1" applyBorder="1" applyAlignment="1">
      <alignment horizontal="center" vertical="center"/>
    </xf>
    <xf numFmtId="0" fontId="75" fillId="20" borderId="4" xfId="0" applyFont="1" applyFill="1" applyBorder="1" applyAlignment="1">
      <alignment horizontal="center" vertical="center"/>
    </xf>
    <xf numFmtId="0" fontId="69" fillId="20" borderId="4" xfId="0" applyFont="1" applyFill="1" applyBorder="1" applyAlignment="1">
      <alignment horizontal="center" vertical="center" wrapText="1"/>
    </xf>
    <xf numFmtId="0" fontId="69" fillId="0" borderId="4" xfId="0" applyFont="1" applyBorder="1" applyAlignment="1">
      <alignment vertical="center"/>
    </xf>
    <xf numFmtId="0" fontId="69" fillId="0" borderId="4" xfId="0" applyFont="1" applyBorder="1"/>
    <xf numFmtId="0" fontId="69" fillId="16" borderId="4" xfId="0" applyFont="1" applyFill="1" applyBorder="1" applyAlignment="1">
      <alignment horizontal="left"/>
    </xf>
    <xf numFmtId="3" fontId="4" fillId="21" borderId="4" xfId="0" applyNumberFormat="1" applyFont="1" applyFill="1" applyBorder="1" applyAlignment="1">
      <alignment horizontal="center"/>
    </xf>
    <xf numFmtId="3" fontId="69" fillId="16" borderId="4" xfId="0" applyNumberFormat="1" applyFont="1" applyFill="1" applyBorder="1" applyAlignment="1">
      <alignment horizontal="center"/>
    </xf>
    <xf numFmtId="3" fontId="69" fillId="21" borderId="4" xfId="1" applyNumberFormat="1" applyFont="1" applyFill="1" applyBorder="1" applyAlignment="1">
      <alignment horizontal="center"/>
    </xf>
    <xf numFmtId="2" fontId="69" fillId="0" borderId="0" xfId="1" applyNumberFormat="1" applyFont="1" applyBorder="1" applyAlignment="1">
      <alignment horizontal="center"/>
    </xf>
    <xf numFmtId="164" fontId="69" fillId="16" borderId="4" xfId="1" applyFont="1" applyFill="1" applyBorder="1"/>
    <xf numFmtId="187" fontId="69" fillId="0" borderId="4" xfId="1" applyNumberFormat="1" applyFont="1" applyBorder="1" applyAlignment="1">
      <alignment vertical="center"/>
    </xf>
    <xf numFmtId="188" fontId="69" fillId="0" borderId="4" xfId="0" applyNumberFormat="1" applyFont="1" applyBorder="1"/>
    <xf numFmtId="2" fontId="69" fillId="0" borderId="4" xfId="1" applyNumberFormat="1" applyFont="1" applyBorder="1" applyAlignment="1">
      <alignment horizontal="center"/>
    </xf>
    <xf numFmtId="2" fontId="69" fillId="0" borderId="4" xfId="0" applyNumberFormat="1" applyFont="1" applyBorder="1" applyAlignment="1">
      <alignment horizontal="center"/>
    </xf>
    <xf numFmtId="2" fontId="69" fillId="16" borderId="4" xfId="1" applyNumberFormat="1" applyFont="1" applyFill="1" applyBorder="1" applyAlignment="1">
      <alignment horizontal="center"/>
    </xf>
    <xf numFmtId="164" fontId="69" fillId="0" borderId="1" xfId="1" applyFont="1" applyBorder="1" applyAlignment="1">
      <alignment horizontal="center"/>
    </xf>
    <xf numFmtId="2" fontId="69" fillId="0" borderId="4" xfId="0" applyNumberFormat="1" applyFont="1" applyBorder="1" applyAlignment="1">
      <alignment horizontal="center" vertical="center"/>
    </xf>
    <xf numFmtId="185" fontId="69" fillId="0" borderId="4" xfId="1" applyNumberFormat="1" applyFont="1" applyBorder="1"/>
    <xf numFmtId="164" fontId="69" fillId="0" borderId="4" xfId="1" applyFont="1" applyBorder="1"/>
    <xf numFmtId="164" fontId="69" fillId="0" borderId="0" xfId="1" applyFont="1" applyBorder="1"/>
    <xf numFmtId="187" fontId="69" fillId="20" borderId="4" xfId="1" applyNumberFormat="1" applyFont="1" applyFill="1" applyBorder="1"/>
    <xf numFmtId="164" fontId="69" fillId="0" borderId="4" xfId="1" applyFont="1" applyBorder="1" applyAlignment="1">
      <alignment horizontal="center"/>
    </xf>
    <xf numFmtId="169" fontId="69" fillId="20" borderId="4" xfId="0" applyNumberFormat="1" applyFont="1" applyFill="1" applyBorder="1" applyAlignment="1">
      <alignment horizontal="center"/>
    </xf>
    <xf numFmtId="188" fontId="69" fillId="0" borderId="4" xfId="1" applyNumberFormat="1" applyFont="1" applyBorder="1"/>
    <xf numFmtId="170" fontId="72" fillId="0" borderId="4" xfId="2" applyNumberFormat="1" applyFont="1" applyBorder="1" applyAlignment="1">
      <alignment horizontal="center" vertical="center"/>
    </xf>
    <xf numFmtId="2" fontId="69" fillId="0" borderId="4" xfId="0" applyNumberFormat="1" applyFont="1" applyBorder="1"/>
    <xf numFmtId="189" fontId="69" fillId="0" borderId="4" xfId="0" applyNumberFormat="1" applyFont="1" applyBorder="1"/>
    <xf numFmtId="2" fontId="69" fillId="0" borderId="4" xfId="0" applyNumberFormat="1" applyFont="1" applyBorder="1" applyAlignment="1">
      <alignment horizontal="center" vertical="center" wrapText="1"/>
    </xf>
    <xf numFmtId="0" fontId="69" fillId="16" borderId="4" xfId="0" applyFont="1" applyFill="1" applyBorder="1" applyAlignment="1">
      <alignment horizontal="center"/>
    </xf>
    <xf numFmtId="0" fontId="69" fillId="20" borderId="4" xfId="0" applyFont="1" applyFill="1" applyBorder="1"/>
    <xf numFmtId="0" fontId="68" fillId="16" borderId="4" xfId="0" applyFont="1" applyFill="1" applyBorder="1" applyAlignment="1">
      <alignment horizontal="center"/>
    </xf>
    <xf numFmtId="3" fontId="68" fillId="16" borderId="4" xfId="1" applyNumberFormat="1" applyFont="1" applyFill="1" applyBorder="1" applyAlignment="1">
      <alignment horizontal="center"/>
    </xf>
    <xf numFmtId="2" fontId="68" fillId="0" borderId="0" xfId="1" applyNumberFormat="1" applyFont="1" applyBorder="1" applyAlignment="1">
      <alignment horizontal="center"/>
    </xf>
    <xf numFmtId="164" fontId="68" fillId="16" borderId="4" xfId="1" applyFont="1" applyFill="1" applyBorder="1"/>
    <xf numFmtId="187" fontId="76" fillId="0" borderId="4" xfId="0" applyNumberFormat="1" applyFont="1" applyBorder="1"/>
    <xf numFmtId="188" fontId="68" fillId="0" borderId="4" xfId="0" applyNumberFormat="1" applyFont="1" applyBorder="1"/>
    <xf numFmtId="170" fontId="68" fillId="0" borderId="4" xfId="0" applyNumberFormat="1" applyFont="1" applyBorder="1"/>
    <xf numFmtId="2" fontId="68" fillId="0" borderId="4" xfId="1" applyNumberFormat="1" applyFont="1" applyBorder="1" applyAlignment="1">
      <alignment horizontal="center"/>
    </xf>
    <xf numFmtId="2" fontId="68" fillId="0" borderId="4" xfId="0" applyNumberFormat="1" applyFont="1" applyBorder="1" applyAlignment="1">
      <alignment horizontal="center"/>
    </xf>
    <xf numFmtId="2" fontId="68" fillId="17" borderId="4" xfId="1" applyNumberFormat="1" applyFont="1" applyFill="1" applyBorder="1" applyAlignment="1">
      <alignment horizontal="center"/>
    </xf>
    <xf numFmtId="2" fontId="68" fillId="16" borderId="4" xfId="1" applyNumberFormat="1" applyFont="1" applyFill="1" applyBorder="1" applyAlignment="1">
      <alignment horizontal="center"/>
    </xf>
    <xf numFmtId="2" fontId="68" fillId="0" borderId="4" xfId="0" applyNumberFormat="1" applyFont="1" applyBorder="1" applyAlignment="1">
      <alignment horizontal="center" vertical="center"/>
    </xf>
    <xf numFmtId="185" fontId="68" fillId="18" borderId="4" xfId="1" applyNumberFormat="1" applyFont="1" applyFill="1" applyBorder="1"/>
    <xf numFmtId="164" fontId="68" fillId="19" borderId="4" xfId="1" applyFont="1" applyFill="1" applyBorder="1"/>
    <xf numFmtId="164" fontId="68" fillId="0" borderId="0" xfId="1" applyFont="1" applyBorder="1"/>
    <xf numFmtId="0" fontId="68" fillId="0" borderId="4" xfId="0" applyFont="1" applyBorder="1"/>
    <xf numFmtId="185" fontId="68" fillId="0" borderId="4" xfId="0" applyNumberFormat="1" applyFont="1" applyBorder="1"/>
    <xf numFmtId="0" fontId="68" fillId="0" borderId="4" xfId="0" applyFont="1" applyBorder="1" applyAlignment="1">
      <alignment horizontal="center"/>
    </xf>
    <xf numFmtId="2" fontId="68" fillId="0" borderId="4" xfId="0" applyNumberFormat="1" applyFont="1" applyBorder="1"/>
    <xf numFmtId="164" fontId="68" fillId="0" borderId="4" xfId="1" applyFont="1" applyBorder="1" applyAlignment="1">
      <alignment horizontal="center"/>
    </xf>
    <xf numFmtId="169" fontId="68" fillId="20" borderId="4" xfId="1" applyNumberFormat="1" applyFont="1" applyFill="1" applyBorder="1" applyAlignment="1">
      <alignment horizontal="center"/>
    </xf>
    <xf numFmtId="170" fontId="70" fillId="0" borderId="4" xfId="2" applyNumberFormat="1" applyFont="1" applyBorder="1" applyAlignment="1">
      <alignment horizontal="center" vertical="center"/>
    </xf>
    <xf numFmtId="185" fontId="68" fillId="17" borderId="4" xfId="1" applyNumberFormat="1" applyFont="1" applyFill="1" applyBorder="1"/>
    <xf numFmtId="189" fontId="68" fillId="0" borderId="4" xfId="0" applyNumberFormat="1" applyFont="1" applyBorder="1"/>
    <xf numFmtId="164" fontId="68" fillId="0" borderId="4" xfId="1" applyFont="1" applyBorder="1"/>
    <xf numFmtId="2" fontId="68" fillId="18" borderId="4" xfId="0" applyNumberFormat="1" applyFont="1" applyFill="1" applyBorder="1" applyAlignment="1">
      <alignment horizontal="center" vertical="center" wrapText="1"/>
    </xf>
    <xf numFmtId="2" fontId="68" fillId="19" borderId="4" xfId="0" applyNumberFormat="1" applyFont="1" applyFill="1" applyBorder="1" applyAlignment="1">
      <alignment horizontal="center" vertical="center" wrapText="1"/>
    </xf>
    <xf numFmtId="172" fontId="68" fillId="0" borderId="0" xfId="0" applyNumberFormat="1" applyFont="1" applyAlignment="1">
      <alignment horizontal="center" vertical="center" wrapText="1"/>
    </xf>
    <xf numFmtId="185" fontId="68" fillId="16" borderId="4" xfId="0" applyNumberFormat="1" applyFont="1" applyFill="1" applyBorder="1" applyAlignment="1">
      <alignment horizontal="center"/>
    </xf>
    <xf numFmtId="170" fontId="68" fillId="20" borderId="4" xfId="2" applyNumberFormat="1" applyFont="1" applyFill="1" applyBorder="1"/>
    <xf numFmtId="9" fontId="68" fillId="20" borderId="4" xfId="2" applyFont="1" applyFill="1" applyBorder="1" applyAlignment="1">
      <alignment horizontal="center"/>
    </xf>
    <xf numFmtId="2" fontId="68" fillId="0" borderId="4" xfId="1" applyNumberFormat="1" applyFont="1" applyBorder="1"/>
    <xf numFmtId="2" fontId="68" fillId="0" borderId="4" xfId="2" applyNumberFormat="1" applyFont="1" applyBorder="1" applyAlignment="1">
      <alignment horizontal="center"/>
    </xf>
    <xf numFmtId="3" fontId="69" fillId="0" borderId="0" xfId="0" applyNumberFormat="1" applyFont="1" applyAlignment="1">
      <alignment horizontal="center"/>
    </xf>
    <xf numFmtId="2" fontId="69" fillId="0" borderId="0" xfId="0" applyNumberFormat="1" applyFont="1" applyAlignment="1">
      <alignment horizontal="center"/>
    </xf>
    <xf numFmtId="190" fontId="69" fillId="0" borderId="0" xfId="0" applyNumberFormat="1" applyFont="1"/>
    <xf numFmtId="0" fontId="77" fillId="0" borderId="0" xfId="0" applyFont="1" applyAlignment="1">
      <alignment horizontal="center"/>
    </xf>
    <xf numFmtId="0" fontId="77" fillId="0" borderId="0" xfId="0" applyFont="1"/>
    <xf numFmtId="188" fontId="77" fillId="0" borderId="0" xfId="0" applyNumberFormat="1" applyFont="1"/>
    <xf numFmtId="164" fontId="77" fillId="0" borderId="0" xfId="1" applyFont="1" applyBorder="1" applyAlignment="1">
      <alignment horizontal="center"/>
    </xf>
    <xf numFmtId="173" fontId="69" fillId="0" borderId="0" xfId="0" applyNumberFormat="1" applyFont="1"/>
    <xf numFmtId="0" fontId="68" fillId="0" borderId="4" xfId="0" applyFont="1" applyBorder="1" applyAlignment="1">
      <alignment horizontal="right"/>
    </xf>
    <xf numFmtId="9" fontId="68" fillId="17" borderId="4" xfId="0" applyNumberFormat="1" applyFont="1" applyFill="1" applyBorder="1" applyAlignment="1">
      <alignment horizontal="center"/>
    </xf>
    <xf numFmtId="9" fontId="68" fillId="18" borderId="4" xfId="0" applyNumberFormat="1" applyFont="1" applyFill="1" applyBorder="1" applyAlignment="1">
      <alignment horizontal="center"/>
    </xf>
    <xf numFmtId="9" fontId="68" fillId="19" borderId="4" xfId="2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3" fontId="72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186" fontId="69" fillId="0" borderId="0" xfId="0" applyNumberFormat="1" applyFont="1"/>
    <xf numFmtId="2" fontId="69" fillId="0" borderId="0" xfId="0" applyNumberFormat="1" applyFont="1"/>
    <xf numFmtId="188" fontId="69" fillId="0" borderId="0" xfId="0" applyNumberFormat="1" applyFont="1"/>
    <xf numFmtId="189" fontId="69" fillId="0" borderId="0" xfId="0" applyNumberFormat="1" applyFont="1"/>
    <xf numFmtId="0" fontId="78" fillId="22" borderId="7" xfId="0" applyFont="1" applyFill="1" applyBorder="1" applyAlignment="1">
      <alignment vertical="center"/>
    </xf>
    <xf numFmtId="0" fontId="79" fillId="23" borderId="8" xfId="0" applyFont="1" applyFill="1" applyBorder="1" applyAlignment="1">
      <alignment horizontal="right" vertical="center"/>
    </xf>
    <xf numFmtId="2" fontId="69" fillId="23" borderId="9" xfId="0" applyNumberFormat="1" applyFont="1" applyFill="1" applyBorder="1" applyAlignment="1">
      <alignment horizontal="center" vertical="center"/>
    </xf>
    <xf numFmtId="0" fontId="69" fillId="0" borderId="7" xfId="0" applyFont="1" applyBorder="1" applyAlignment="1">
      <alignment wrapText="1"/>
    </xf>
    <xf numFmtId="9" fontId="69" fillId="0" borderId="8" xfId="0" applyNumberFormat="1" applyFont="1" applyBorder="1" applyAlignment="1">
      <alignment horizontal="center" vertical="center" wrapText="1"/>
    </xf>
    <xf numFmtId="2" fontId="69" fillId="18" borderId="4" xfId="0" applyNumberFormat="1" applyFont="1" applyFill="1" applyBorder="1" applyAlignment="1">
      <alignment horizontal="center" vertical="center" wrapText="1"/>
    </xf>
    <xf numFmtId="2" fontId="69" fillId="19" borderId="4" xfId="0" applyNumberFormat="1" applyFont="1" applyFill="1" applyBorder="1" applyAlignment="1">
      <alignment horizontal="center" vertical="center" wrapText="1"/>
    </xf>
    <xf numFmtId="169" fontId="72" fillId="24" borderId="1" xfId="0" applyNumberFormat="1" applyFont="1" applyFill="1" applyBorder="1" applyAlignment="1">
      <alignment horizontal="center" vertical="center"/>
    </xf>
    <xf numFmtId="0" fontId="76" fillId="0" borderId="3" xfId="0" applyFont="1" applyBorder="1" applyAlignment="1">
      <alignment horizontal="center" vertical="center" wrapText="1"/>
    </xf>
    <xf numFmtId="191" fontId="69" fillId="0" borderId="0" xfId="0" applyNumberFormat="1" applyFont="1"/>
    <xf numFmtId="192" fontId="69" fillId="0" borderId="0" xfId="1" applyNumberFormat="1" applyFont="1"/>
    <xf numFmtId="0" fontId="78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0" fontId="69" fillId="0" borderId="0" xfId="0" applyFont="1" applyAlignment="1">
      <alignment horizontal="right"/>
    </xf>
    <xf numFmtId="185" fontId="69" fillId="0" borderId="4" xfId="0" applyNumberFormat="1" applyFont="1" applyBorder="1"/>
    <xf numFmtId="0" fontId="69" fillId="0" borderId="0" xfId="0" applyFont="1" applyAlignment="1">
      <alignment horizontal="left"/>
    </xf>
    <xf numFmtId="3" fontId="69" fillId="0" borderId="0" xfId="0" applyNumberFormat="1" applyFont="1" applyAlignment="1">
      <alignment horizontal="left" vertical="center"/>
    </xf>
    <xf numFmtId="172" fontId="68" fillId="18" borderId="4" xfId="0" applyNumberFormat="1" applyFont="1" applyFill="1" applyBorder="1" applyAlignment="1">
      <alignment horizontal="center" vertical="center" wrapText="1"/>
    </xf>
    <xf numFmtId="172" fontId="68" fillId="19" borderId="4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3" fontId="72" fillId="0" borderId="0" xfId="0" applyNumberFormat="1" applyFont="1" applyAlignment="1">
      <alignment horizontal="left"/>
    </xf>
    <xf numFmtId="186" fontId="68" fillId="16" borderId="4" xfId="1" applyNumberFormat="1" applyFont="1" applyFill="1" applyBorder="1" applyAlignment="1">
      <alignment horizontal="right"/>
    </xf>
    <xf numFmtId="164" fontId="68" fillId="17" borderId="4" xfId="1" applyFont="1" applyFill="1" applyBorder="1"/>
    <xf numFmtId="2" fontId="68" fillId="0" borderId="0" xfId="0" applyNumberFormat="1" applyFont="1" applyAlignment="1">
      <alignment horizontal="center" vertical="center" wrapText="1"/>
    </xf>
    <xf numFmtId="0" fontId="78" fillId="23" borderId="7" xfId="0" applyFont="1" applyFill="1" applyBorder="1" applyAlignment="1">
      <alignment vertical="center"/>
    </xf>
    <xf numFmtId="0" fontId="80" fillId="0" borderId="0" xfId="0" applyFont="1"/>
    <xf numFmtId="0" fontId="68" fillId="22" borderId="0" xfId="0" applyFont="1" applyFill="1"/>
    <xf numFmtId="0" fontId="72" fillId="16" borderId="6" xfId="0" applyFont="1" applyFill="1" applyBorder="1" applyAlignment="1">
      <alignment horizontal="center" vertical="center" wrapText="1"/>
    </xf>
    <xf numFmtId="0" fontId="68" fillId="25" borderId="0" xfId="0" applyFont="1" applyFill="1"/>
    <xf numFmtId="0" fontId="68" fillId="25" borderId="0" xfId="0" applyFont="1" applyFill="1" applyAlignment="1">
      <alignment vertical="center"/>
    </xf>
    <xf numFmtId="186" fontId="68" fillId="17" borderId="4" xfId="1" applyNumberFormat="1" applyFont="1" applyFill="1" applyBorder="1"/>
    <xf numFmtId="164" fontId="69" fillId="0" borderId="0" xfId="1" applyFont="1" applyAlignment="1">
      <alignment horizontal="center"/>
    </xf>
    <xf numFmtId="3" fontId="68" fillId="0" borderId="0" xfId="0" applyNumberFormat="1" applyFont="1" applyAlignment="1">
      <alignment horizontal="center"/>
    </xf>
    <xf numFmtId="170" fontId="69" fillId="0" borderId="0" xfId="2" applyNumberFormat="1" applyFont="1" applyBorder="1" applyAlignment="1">
      <alignment horizontal="center"/>
    </xf>
    <xf numFmtId="176" fontId="69" fillId="0" borderId="0" xfId="0" applyNumberFormat="1" applyFont="1" applyAlignment="1">
      <alignment horizontal="center"/>
    </xf>
    <xf numFmtId="0" fontId="31" fillId="16" borderId="0" xfId="0" applyFont="1" applyFill="1" applyAlignment="1">
      <alignment vertical="center"/>
    </xf>
    <xf numFmtId="0" fontId="81" fillId="2" borderId="4" xfId="0" applyFont="1" applyFill="1" applyBorder="1" applyAlignment="1">
      <alignment horizontal="center" vertical="distributed" wrapText="1"/>
    </xf>
    <xf numFmtId="3" fontId="69" fillId="16" borderId="4" xfId="0" applyNumberFormat="1" applyFont="1" applyFill="1" applyBorder="1" applyAlignment="1">
      <alignment horizontal="center" vertical="center"/>
    </xf>
    <xf numFmtId="0" fontId="68" fillId="0" borderId="1" xfId="0" applyFont="1" applyBorder="1" applyAlignment="1">
      <alignment horizontal="left" vertical="center" wrapText="1"/>
    </xf>
    <xf numFmtId="0" fontId="68" fillId="0" borderId="2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 vertical="center" wrapText="1"/>
    </xf>
    <xf numFmtId="3" fontId="69" fillId="16" borderId="1" xfId="0" applyNumberFormat="1" applyFont="1" applyFill="1" applyBorder="1" applyAlignment="1">
      <alignment horizontal="center" vertical="center"/>
    </xf>
    <xf numFmtId="3" fontId="69" fillId="16" borderId="2" xfId="0" applyNumberFormat="1" applyFont="1" applyFill="1" applyBorder="1" applyAlignment="1">
      <alignment horizontal="center" vertical="center"/>
    </xf>
    <xf numFmtId="3" fontId="69" fillId="16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distributed" wrapText="1"/>
    </xf>
    <xf numFmtId="0" fontId="3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distributed" wrapText="1"/>
    </xf>
    <xf numFmtId="0" fontId="35" fillId="3" borderId="9" xfId="0" applyFont="1" applyFill="1" applyBorder="1" applyAlignment="1">
      <alignment horizontal="left" vertical="center"/>
    </xf>
    <xf numFmtId="0" fontId="22" fillId="3" borderId="1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/>
    </xf>
    <xf numFmtId="0" fontId="56" fillId="0" borderId="6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textRotation="90"/>
    </xf>
    <xf numFmtId="0" fontId="3" fillId="9" borderId="4" xfId="0" applyFont="1" applyFill="1" applyBorder="1" applyAlignment="1">
      <alignment horizontal="left" vertical="center"/>
    </xf>
    <xf numFmtId="0" fontId="3" fillId="10" borderId="4" xfId="0" applyFont="1" applyFill="1" applyBorder="1" applyAlignment="1">
      <alignment horizontal="left"/>
    </xf>
    <xf numFmtId="164" fontId="3" fillId="11" borderId="4" xfId="1" applyFont="1" applyFill="1" applyBorder="1" applyAlignment="1" applyProtection="1">
      <alignment horizontal="left"/>
    </xf>
    <xf numFmtId="0" fontId="3" fillId="5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distributed" wrapText="1"/>
    </xf>
  </cellXfs>
  <cellStyles count="12">
    <cellStyle name="Hipervínculo" xfId="3" builtinId="8"/>
    <cellStyle name="Millares" xfId="1" builtinId="3"/>
    <cellStyle name="Millares 2" xfId="4" xr:uid="{00000000-0005-0000-0000-000006000000}"/>
    <cellStyle name="Millares 3" xfId="5" xr:uid="{00000000-0005-0000-0000-000007000000}"/>
    <cellStyle name="Millares 4" xfId="6" xr:uid="{00000000-0005-0000-0000-000008000000}"/>
    <cellStyle name="Millares 5" xfId="7" xr:uid="{00000000-0005-0000-0000-000009000000}"/>
    <cellStyle name="Normal" xfId="0" builtinId="0"/>
    <cellStyle name="Normal 2" xfId="8" xr:uid="{00000000-0005-0000-0000-00000A000000}"/>
    <cellStyle name="Porcentaje" xfId="2" builtinId="5"/>
    <cellStyle name="Porcentaje 2" xfId="9" xr:uid="{00000000-0005-0000-0000-00000B000000}"/>
    <cellStyle name="Porcentaje 3" xfId="10" xr:uid="{00000000-0005-0000-0000-00000C000000}"/>
    <cellStyle name="Porcentaje 4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" name="Conector recto de flecha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4</xdr:col>
      <xdr:colOff>1031400</xdr:colOff>
      <xdr:row>27</xdr:row>
      <xdr:rowOff>273240</xdr:rowOff>
    </xdr:from>
    <xdr:to>
      <xdr:col>11</xdr:col>
      <xdr:colOff>213480</xdr:colOff>
      <xdr:row>37</xdr:row>
      <xdr:rowOff>82440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531480" y="3489480"/>
          <a:ext cx="6777000" cy="384804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4</xdr:col>
      <xdr:colOff>999720</xdr:colOff>
      <xdr:row>27</xdr:row>
      <xdr:rowOff>273600</xdr:rowOff>
    </xdr:from>
    <xdr:to>
      <xdr:col>11</xdr:col>
      <xdr:colOff>149760</xdr:colOff>
      <xdr:row>37</xdr:row>
      <xdr:rowOff>108360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499800" y="3489840"/>
          <a:ext cx="6744960" cy="387360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8" name="Conector recto de flecha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9" name="Conector recto de flecha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10" name="Conector recto de flecha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4</xdr:col>
      <xdr:colOff>377640</xdr:colOff>
      <xdr:row>27</xdr:row>
      <xdr:rowOff>247320</xdr:rowOff>
    </xdr:from>
    <xdr:to>
      <xdr:col>11</xdr:col>
      <xdr:colOff>232920</xdr:colOff>
      <xdr:row>37</xdr:row>
      <xdr:rowOff>82800</xdr:rowOff>
    </xdr:to>
    <xdr:cxnSp macro="">
      <xdr:nvCxnSpPr>
        <xdr:cNvPr id="11" name="Conector recto de flecha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5877720" y="3463560"/>
          <a:ext cx="7450200" cy="387432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788040</xdr:colOff>
      <xdr:row>27</xdr:row>
      <xdr:rowOff>145800</xdr:rowOff>
    </xdr:from>
    <xdr:to>
      <xdr:col>11</xdr:col>
      <xdr:colOff>155880</xdr:colOff>
      <xdr:row>37</xdr:row>
      <xdr:rowOff>120960</xdr:rowOff>
    </xdr:to>
    <xdr:cxnSp macro="">
      <xdr:nvCxnSpPr>
        <xdr:cNvPr id="12" name="Conector recto de flecha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6288120" y="3362040"/>
          <a:ext cx="6962760" cy="401400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13" name="Conector recto de flecha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14" name="Conector recto de flecha 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15" name="Conector recto de flecha 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16" name="Conector recto de flecha 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17" name="Conector recto de flecha 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788040</xdr:colOff>
      <xdr:row>27</xdr:row>
      <xdr:rowOff>145800</xdr:rowOff>
    </xdr:from>
    <xdr:to>
      <xdr:col>11</xdr:col>
      <xdr:colOff>155880</xdr:colOff>
      <xdr:row>37</xdr:row>
      <xdr:rowOff>120960</xdr:rowOff>
    </xdr:to>
    <xdr:cxnSp macro="">
      <xdr:nvCxnSpPr>
        <xdr:cNvPr id="18" name="Conector recto de flecha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>
          <a:off x="6288120" y="3362040"/>
          <a:ext cx="6962760" cy="401400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19" name="Conector recto de flecha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0" name="Conector recto de flecha 4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1" name="Conector recto de flecha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2" name="Conector recto de flecha 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3" name="Conector recto de flecha 6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4" name="Conector recto de flecha 7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788040</xdr:colOff>
      <xdr:row>27</xdr:row>
      <xdr:rowOff>145800</xdr:rowOff>
    </xdr:from>
    <xdr:to>
      <xdr:col>11</xdr:col>
      <xdr:colOff>155880</xdr:colOff>
      <xdr:row>37</xdr:row>
      <xdr:rowOff>120960</xdr:rowOff>
    </xdr:to>
    <xdr:cxnSp macro="">
      <xdr:nvCxnSpPr>
        <xdr:cNvPr id="25" name="Conector recto de flecha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6288120" y="3362040"/>
          <a:ext cx="6962760" cy="401400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26" name="Conector recto de flecha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7" name="Conector recto de flecha 4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8" name="Conector recto de flecha 4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29" name="Conector recto de flecha 5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0" name="Conector recto de flecha 6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1" name="Conector recto de flecha 7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788040</xdr:colOff>
      <xdr:row>27</xdr:row>
      <xdr:rowOff>145800</xdr:rowOff>
    </xdr:from>
    <xdr:to>
      <xdr:col>11</xdr:col>
      <xdr:colOff>155880</xdr:colOff>
      <xdr:row>37</xdr:row>
      <xdr:rowOff>120960</xdr:rowOff>
    </xdr:to>
    <xdr:cxnSp macro="">
      <xdr:nvCxnSpPr>
        <xdr:cNvPr id="32" name="Conector recto de flecha 2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6288120" y="3362040"/>
          <a:ext cx="6962760" cy="401400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33" name="Conector recto de flecha 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4" name="Conector recto de flecha 4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5" name="Conector recto de flecha 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6" name="Conector recto de flecha 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7" name="Conector recto de flecha 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38" name="Conector recto de flecha 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788040</xdr:colOff>
      <xdr:row>27</xdr:row>
      <xdr:rowOff>145800</xdr:rowOff>
    </xdr:from>
    <xdr:to>
      <xdr:col>11</xdr:col>
      <xdr:colOff>155880</xdr:colOff>
      <xdr:row>37</xdr:row>
      <xdr:rowOff>120960</xdr:rowOff>
    </xdr:to>
    <xdr:cxnSp macro="">
      <xdr:nvCxnSpPr>
        <xdr:cNvPr id="39" name="Conector recto de flecha 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>
          <a:off x="6288120" y="3362040"/>
          <a:ext cx="6962760" cy="4014000"/>
        </a:xfrm>
        <a:prstGeom prst="straightConnector1">
          <a:avLst/>
        </a:prstGeom>
        <a:ln w="9360">
          <a:solidFill>
            <a:srgbClr val="FFFF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108720</xdr:colOff>
      <xdr:row>33</xdr:row>
      <xdr:rowOff>107280</xdr:rowOff>
    </xdr:from>
    <xdr:to>
      <xdr:col>15</xdr:col>
      <xdr:colOff>1077840</xdr:colOff>
      <xdr:row>33</xdr:row>
      <xdr:rowOff>108000</xdr:rowOff>
    </xdr:to>
    <xdr:cxnSp macro="">
      <xdr:nvCxnSpPr>
        <xdr:cNvPr id="40" name="Conector recto de flecha 2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>
          <a:off x="19307160" y="5329800"/>
          <a:ext cx="969480" cy="108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41" name="Conector recto de flecha 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42" name="Conector recto de flecha 4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43" name="Conector recto de flecha 5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44" name="Conector recto de flecha 6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  <xdr:twoCellAnchor editAs="oneCell">
    <xdr:from>
      <xdr:col>15</xdr:col>
      <xdr:colOff>108360</xdr:colOff>
      <xdr:row>37</xdr:row>
      <xdr:rowOff>139680</xdr:rowOff>
    </xdr:from>
    <xdr:to>
      <xdr:col>16</xdr:col>
      <xdr:colOff>749520</xdr:colOff>
      <xdr:row>37</xdr:row>
      <xdr:rowOff>159120</xdr:rowOff>
    </xdr:to>
    <xdr:cxnSp macro="">
      <xdr:nvCxnSpPr>
        <xdr:cNvPr id="45" name="Conector recto de flecha 7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flipH="1">
          <a:off x="19306800" y="7394400"/>
          <a:ext cx="1768680" cy="19800"/>
        </a:xfrm>
        <a:prstGeom prst="straightConnector1">
          <a:avLst/>
        </a:prstGeom>
        <a:ln w="9360">
          <a:solidFill>
            <a:srgbClr val="000000"/>
          </a:solidFill>
          <a:miter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91F2-20D0-402F-9D21-C8E7638122E1}">
  <dimension ref="A1:IV417"/>
  <sheetViews>
    <sheetView tabSelected="1" zoomScale="70" zoomScaleNormal="70" workbookViewId="0"/>
  </sheetViews>
  <sheetFormatPr baseColWidth="10" defaultColWidth="11.453125" defaultRowHeight="13"/>
  <cols>
    <col min="1" max="1" width="6.90625" style="468" customWidth="1"/>
    <col min="2" max="2" width="26.26953125" style="472" customWidth="1"/>
    <col min="3" max="3" width="8.26953125" style="472" customWidth="1"/>
    <col min="4" max="4" width="10.26953125" style="472" customWidth="1"/>
    <col min="5" max="5" width="11.1796875" style="472" customWidth="1"/>
    <col min="6" max="6" width="8.453125" style="472" customWidth="1"/>
    <col min="7" max="7" width="10.1796875" style="472" customWidth="1"/>
    <col min="8" max="8" width="10.54296875" style="472" customWidth="1"/>
    <col min="9" max="9" width="1.453125" style="472" customWidth="1"/>
    <col min="10" max="10" width="1.7265625" style="472" customWidth="1"/>
    <col min="11" max="11" width="9.54296875" style="472" hidden="1" customWidth="1"/>
    <col min="12" max="12" width="10" style="472" hidden="1" customWidth="1"/>
    <col min="13" max="13" width="10.7265625" style="472" hidden="1" customWidth="1"/>
    <col min="14" max="14" width="8.54296875" style="472" hidden="1" customWidth="1"/>
    <col min="15" max="15" width="8.1796875" style="472" hidden="1" customWidth="1"/>
    <col min="16" max="16" width="11.453125" style="472" hidden="1" customWidth="1"/>
    <col min="17" max="17" width="10.1796875" style="472" customWidth="1"/>
    <col min="18" max="18" width="6.54296875" style="472" hidden="1" customWidth="1"/>
    <col min="19" max="19" width="7.1796875" style="472" hidden="1" customWidth="1"/>
    <col min="20" max="21" width="7.7265625" style="472" hidden="1" customWidth="1"/>
    <col min="22" max="22" width="9.1796875" style="472" customWidth="1"/>
    <col min="23" max="23" width="11.90625" style="472" customWidth="1"/>
    <col min="24" max="24" width="1.453125" style="472" customWidth="1"/>
    <col min="25" max="25" width="1.7265625" style="472" customWidth="1"/>
    <col min="26" max="26" width="18.26953125" style="472" hidden="1" customWidth="1"/>
    <col min="27" max="27" width="21.81640625" style="472" hidden="1" customWidth="1"/>
    <col min="28" max="28" width="9.453125" style="472" hidden="1" customWidth="1"/>
    <col min="29" max="29" width="11.7265625" style="472" hidden="1" customWidth="1"/>
    <col min="30" max="30" width="8.81640625" style="472" hidden="1" customWidth="1"/>
    <col min="31" max="31" width="10.54296875" style="472" hidden="1" customWidth="1"/>
    <col min="32" max="32" width="14.7265625" style="617" hidden="1" customWidth="1"/>
    <col min="33" max="34" width="11.7265625" style="472" hidden="1" customWidth="1"/>
    <col min="35" max="35" width="13.81640625" style="472" hidden="1" customWidth="1"/>
    <col min="36" max="36" width="11.1796875" style="472" hidden="1" customWidth="1"/>
    <col min="37" max="37" width="11.1796875" style="472" customWidth="1"/>
    <col min="38" max="38" width="16.7265625" style="472" hidden="1" customWidth="1"/>
    <col min="39" max="39" width="11.453125" style="472" hidden="1" customWidth="1"/>
    <col min="40" max="40" width="13" style="472" customWidth="1"/>
    <col min="41" max="42" width="11.453125" style="472" hidden="1" customWidth="1"/>
    <col min="43" max="43" width="9.1796875" style="472" hidden="1" customWidth="1"/>
    <col min="44" max="44" width="11.453125" style="472"/>
    <col min="45" max="45" width="12.453125" style="472" customWidth="1"/>
    <col min="46" max="47" width="10.7265625" style="472" customWidth="1"/>
    <col min="48" max="48" width="1.81640625" style="472" customWidth="1"/>
    <col min="49" max="49" width="2" style="472" customWidth="1"/>
    <col min="50" max="53" width="11.453125" style="472" hidden="1" customWidth="1"/>
    <col min="54" max="54" width="4.54296875" style="472" hidden="1" customWidth="1"/>
    <col min="55" max="57" width="11.453125" style="472" hidden="1" customWidth="1"/>
    <col min="58" max="58" width="12.54296875" style="472" hidden="1" customWidth="1"/>
    <col min="59" max="64" width="11.453125" style="472" hidden="1" customWidth="1"/>
    <col min="65" max="65" width="21" style="472" hidden="1" customWidth="1"/>
    <col min="66" max="66" width="19.81640625" style="472" hidden="1" customWidth="1"/>
    <col min="67" max="67" width="18.453125" style="472" hidden="1" customWidth="1"/>
    <col min="68" max="68" width="20.1796875" style="472" hidden="1" customWidth="1"/>
    <col min="69" max="69" width="20.54296875" style="472" hidden="1" customWidth="1"/>
    <col min="70" max="70" width="7.1796875" style="472" hidden="1" customWidth="1"/>
    <col min="71" max="71" width="20" style="472" hidden="1" customWidth="1"/>
    <col min="72" max="72" width="19.26953125" style="472" hidden="1" customWidth="1"/>
    <col min="73" max="73" width="13" style="472" customWidth="1"/>
    <col min="74" max="75" width="12.26953125" style="472" customWidth="1"/>
    <col min="76" max="256" width="11.453125" style="472"/>
    <col min="257" max="257" width="6.90625" style="472" customWidth="1"/>
    <col min="258" max="258" width="26.26953125" style="472" customWidth="1"/>
    <col min="259" max="259" width="8.26953125" style="472" customWidth="1"/>
    <col min="260" max="260" width="10.26953125" style="472" customWidth="1"/>
    <col min="261" max="261" width="11.1796875" style="472" customWidth="1"/>
    <col min="262" max="262" width="8.453125" style="472" customWidth="1"/>
    <col min="263" max="263" width="10.1796875" style="472" customWidth="1"/>
    <col min="264" max="264" width="10.54296875" style="472" customWidth="1"/>
    <col min="265" max="265" width="1.453125" style="472" customWidth="1"/>
    <col min="266" max="266" width="1.7265625" style="472" customWidth="1"/>
    <col min="267" max="272" width="0" style="472" hidden="1" customWidth="1"/>
    <col min="273" max="273" width="10.1796875" style="472" customWidth="1"/>
    <col min="274" max="277" width="0" style="472" hidden="1" customWidth="1"/>
    <col min="278" max="278" width="9.1796875" style="472" customWidth="1"/>
    <col min="279" max="279" width="11.90625" style="472" customWidth="1"/>
    <col min="280" max="280" width="1.453125" style="472" customWidth="1"/>
    <col min="281" max="281" width="1.7265625" style="472" customWidth="1"/>
    <col min="282" max="292" width="0" style="472" hidden="1" customWidth="1"/>
    <col min="293" max="293" width="11.1796875" style="472" customWidth="1"/>
    <col min="294" max="295" width="0" style="472" hidden="1" customWidth="1"/>
    <col min="296" max="296" width="13" style="472" customWidth="1"/>
    <col min="297" max="299" width="0" style="472" hidden="1" customWidth="1"/>
    <col min="300" max="300" width="11.453125" style="472"/>
    <col min="301" max="301" width="12.453125" style="472" customWidth="1"/>
    <col min="302" max="303" width="10.7265625" style="472" customWidth="1"/>
    <col min="304" max="304" width="1.81640625" style="472" customWidth="1"/>
    <col min="305" max="305" width="2" style="472" customWidth="1"/>
    <col min="306" max="328" width="0" style="472" hidden="1" customWidth="1"/>
    <col min="329" max="329" width="13" style="472" customWidth="1"/>
    <col min="330" max="331" width="12.26953125" style="472" customWidth="1"/>
    <col min="332" max="512" width="11.453125" style="472"/>
    <col min="513" max="513" width="6.90625" style="472" customWidth="1"/>
    <col min="514" max="514" width="26.26953125" style="472" customWidth="1"/>
    <col min="515" max="515" width="8.26953125" style="472" customWidth="1"/>
    <col min="516" max="516" width="10.26953125" style="472" customWidth="1"/>
    <col min="517" max="517" width="11.1796875" style="472" customWidth="1"/>
    <col min="518" max="518" width="8.453125" style="472" customWidth="1"/>
    <col min="519" max="519" width="10.1796875" style="472" customWidth="1"/>
    <col min="520" max="520" width="10.54296875" style="472" customWidth="1"/>
    <col min="521" max="521" width="1.453125" style="472" customWidth="1"/>
    <col min="522" max="522" width="1.7265625" style="472" customWidth="1"/>
    <col min="523" max="528" width="0" style="472" hidden="1" customWidth="1"/>
    <col min="529" max="529" width="10.1796875" style="472" customWidth="1"/>
    <col min="530" max="533" width="0" style="472" hidden="1" customWidth="1"/>
    <col min="534" max="534" width="9.1796875" style="472" customWidth="1"/>
    <col min="535" max="535" width="11.90625" style="472" customWidth="1"/>
    <col min="536" max="536" width="1.453125" style="472" customWidth="1"/>
    <col min="537" max="537" width="1.7265625" style="472" customWidth="1"/>
    <col min="538" max="548" width="0" style="472" hidden="1" customWidth="1"/>
    <col min="549" max="549" width="11.1796875" style="472" customWidth="1"/>
    <col min="550" max="551" width="0" style="472" hidden="1" customWidth="1"/>
    <col min="552" max="552" width="13" style="472" customWidth="1"/>
    <col min="553" max="555" width="0" style="472" hidden="1" customWidth="1"/>
    <col min="556" max="556" width="11.453125" style="472"/>
    <col min="557" max="557" width="12.453125" style="472" customWidth="1"/>
    <col min="558" max="559" width="10.7265625" style="472" customWidth="1"/>
    <col min="560" max="560" width="1.81640625" style="472" customWidth="1"/>
    <col min="561" max="561" width="2" style="472" customWidth="1"/>
    <col min="562" max="584" width="0" style="472" hidden="1" customWidth="1"/>
    <col min="585" max="585" width="13" style="472" customWidth="1"/>
    <col min="586" max="587" width="12.26953125" style="472" customWidth="1"/>
    <col min="588" max="768" width="11.453125" style="472"/>
    <col min="769" max="769" width="6.90625" style="472" customWidth="1"/>
    <col min="770" max="770" width="26.26953125" style="472" customWidth="1"/>
    <col min="771" max="771" width="8.26953125" style="472" customWidth="1"/>
    <col min="772" max="772" width="10.26953125" style="472" customWidth="1"/>
    <col min="773" max="773" width="11.1796875" style="472" customWidth="1"/>
    <col min="774" max="774" width="8.453125" style="472" customWidth="1"/>
    <col min="775" max="775" width="10.1796875" style="472" customWidth="1"/>
    <col min="776" max="776" width="10.54296875" style="472" customWidth="1"/>
    <col min="777" max="777" width="1.453125" style="472" customWidth="1"/>
    <col min="778" max="778" width="1.7265625" style="472" customWidth="1"/>
    <col min="779" max="784" width="0" style="472" hidden="1" customWidth="1"/>
    <col min="785" max="785" width="10.1796875" style="472" customWidth="1"/>
    <col min="786" max="789" width="0" style="472" hidden="1" customWidth="1"/>
    <col min="790" max="790" width="9.1796875" style="472" customWidth="1"/>
    <col min="791" max="791" width="11.90625" style="472" customWidth="1"/>
    <col min="792" max="792" width="1.453125" style="472" customWidth="1"/>
    <col min="793" max="793" width="1.7265625" style="472" customWidth="1"/>
    <col min="794" max="804" width="0" style="472" hidden="1" customWidth="1"/>
    <col min="805" max="805" width="11.1796875" style="472" customWidth="1"/>
    <col min="806" max="807" width="0" style="472" hidden="1" customWidth="1"/>
    <col min="808" max="808" width="13" style="472" customWidth="1"/>
    <col min="809" max="811" width="0" style="472" hidden="1" customWidth="1"/>
    <col min="812" max="812" width="11.453125" style="472"/>
    <col min="813" max="813" width="12.453125" style="472" customWidth="1"/>
    <col min="814" max="815" width="10.7265625" style="472" customWidth="1"/>
    <col min="816" max="816" width="1.81640625" style="472" customWidth="1"/>
    <col min="817" max="817" width="2" style="472" customWidth="1"/>
    <col min="818" max="840" width="0" style="472" hidden="1" customWidth="1"/>
    <col min="841" max="841" width="13" style="472" customWidth="1"/>
    <col min="842" max="843" width="12.26953125" style="472" customWidth="1"/>
    <col min="844" max="1024" width="11.453125" style="472"/>
    <col min="1025" max="1025" width="6.90625" style="472" customWidth="1"/>
    <col min="1026" max="1026" width="26.26953125" style="472" customWidth="1"/>
    <col min="1027" max="1027" width="8.26953125" style="472" customWidth="1"/>
    <col min="1028" max="1028" width="10.26953125" style="472" customWidth="1"/>
    <col min="1029" max="1029" width="11.1796875" style="472" customWidth="1"/>
    <col min="1030" max="1030" width="8.453125" style="472" customWidth="1"/>
    <col min="1031" max="1031" width="10.1796875" style="472" customWidth="1"/>
    <col min="1032" max="1032" width="10.54296875" style="472" customWidth="1"/>
    <col min="1033" max="1033" width="1.453125" style="472" customWidth="1"/>
    <col min="1034" max="1034" width="1.7265625" style="472" customWidth="1"/>
    <col min="1035" max="1040" width="0" style="472" hidden="1" customWidth="1"/>
    <col min="1041" max="1041" width="10.1796875" style="472" customWidth="1"/>
    <col min="1042" max="1045" width="0" style="472" hidden="1" customWidth="1"/>
    <col min="1046" max="1046" width="9.1796875" style="472" customWidth="1"/>
    <col min="1047" max="1047" width="11.90625" style="472" customWidth="1"/>
    <col min="1048" max="1048" width="1.453125" style="472" customWidth="1"/>
    <col min="1049" max="1049" width="1.7265625" style="472" customWidth="1"/>
    <col min="1050" max="1060" width="0" style="472" hidden="1" customWidth="1"/>
    <col min="1061" max="1061" width="11.1796875" style="472" customWidth="1"/>
    <col min="1062" max="1063" width="0" style="472" hidden="1" customWidth="1"/>
    <col min="1064" max="1064" width="13" style="472" customWidth="1"/>
    <col min="1065" max="1067" width="0" style="472" hidden="1" customWidth="1"/>
    <col min="1068" max="1068" width="11.453125" style="472"/>
    <col min="1069" max="1069" width="12.453125" style="472" customWidth="1"/>
    <col min="1070" max="1071" width="10.7265625" style="472" customWidth="1"/>
    <col min="1072" max="1072" width="1.81640625" style="472" customWidth="1"/>
    <col min="1073" max="1073" width="2" style="472" customWidth="1"/>
    <col min="1074" max="1096" width="0" style="472" hidden="1" customWidth="1"/>
    <col min="1097" max="1097" width="13" style="472" customWidth="1"/>
    <col min="1098" max="1099" width="12.26953125" style="472" customWidth="1"/>
    <col min="1100" max="1280" width="11.453125" style="472"/>
    <col min="1281" max="1281" width="6.90625" style="472" customWidth="1"/>
    <col min="1282" max="1282" width="26.26953125" style="472" customWidth="1"/>
    <col min="1283" max="1283" width="8.26953125" style="472" customWidth="1"/>
    <col min="1284" max="1284" width="10.26953125" style="472" customWidth="1"/>
    <col min="1285" max="1285" width="11.1796875" style="472" customWidth="1"/>
    <col min="1286" max="1286" width="8.453125" style="472" customWidth="1"/>
    <col min="1287" max="1287" width="10.1796875" style="472" customWidth="1"/>
    <col min="1288" max="1288" width="10.54296875" style="472" customWidth="1"/>
    <col min="1289" max="1289" width="1.453125" style="472" customWidth="1"/>
    <col min="1290" max="1290" width="1.7265625" style="472" customWidth="1"/>
    <col min="1291" max="1296" width="0" style="472" hidden="1" customWidth="1"/>
    <col min="1297" max="1297" width="10.1796875" style="472" customWidth="1"/>
    <col min="1298" max="1301" width="0" style="472" hidden="1" customWidth="1"/>
    <col min="1302" max="1302" width="9.1796875" style="472" customWidth="1"/>
    <col min="1303" max="1303" width="11.90625" style="472" customWidth="1"/>
    <col min="1304" max="1304" width="1.453125" style="472" customWidth="1"/>
    <col min="1305" max="1305" width="1.7265625" style="472" customWidth="1"/>
    <col min="1306" max="1316" width="0" style="472" hidden="1" customWidth="1"/>
    <col min="1317" max="1317" width="11.1796875" style="472" customWidth="1"/>
    <col min="1318" max="1319" width="0" style="472" hidden="1" customWidth="1"/>
    <col min="1320" max="1320" width="13" style="472" customWidth="1"/>
    <col min="1321" max="1323" width="0" style="472" hidden="1" customWidth="1"/>
    <col min="1324" max="1324" width="11.453125" style="472"/>
    <col min="1325" max="1325" width="12.453125" style="472" customWidth="1"/>
    <col min="1326" max="1327" width="10.7265625" style="472" customWidth="1"/>
    <col min="1328" max="1328" width="1.81640625" style="472" customWidth="1"/>
    <col min="1329" max="1329" width="2" style="472" customWidth="1"/>
    <col min="1330" max="1352" width="0" style="472" hidden="1" customWidth="1"/>
    <col min="1353" max="1353" width="13" style="472" customWidth="1"/>
    <col min="1354" max="1355" width="12.26953125" style="472" customWidth="1"/>
    <col min="1356" max="1536" width="11.453125" style="472"/>
    <col min="1537" max="1537" width="6.90625" style="472" customWidth="1"/>
    <col min="1538" max="1538" width="26.26953125" style="472" customWidth="1"/>
    <col min="1539" max="1539" width="8.26953125" style="472" customWidth="1"/>
    <col min="1540" max="1540" width="10.26953125" style="472" customWidth="1"/>
    <col min="1541" max="1541" width="11.1796875" style="472" customWidth="1"/>
    <col min="1542" max="1542" width="8.453125" style="472" customWidth="1"/>
    <col min="1543" max="1543" width="10.1796875" style="472" customWidth="1"/>
    <col min="1544" max="1544" width="10.54296875" style="472" customWidth="1"/>
    <col min="1545" max="1545" width="1.453125" style="472" customWidth="1"/>
    <col min="1546" max="1546" width="1.7265625" style="472" customWidth="1"/>
    <col min="1547" max="1552" width="0" style="472" hidden="1" customWidth="1"/>
    <col min="1553" max="1553" width="10.1796875" style="472" customWidth="1"/>
    <col min="1554" max="1557" width="0" style="472" hidden="1" customWidth="1"/>
    <col min="1558" max="1558" width="9.1796875" style="472" customWidth="1"/>
    <col min="1559" max="1559" width="11.90625" style="472" customWidth="1"/>
    <col min="1560" max="1560" width="1.453125" style="472" customWidth="1"/>
    <col min="1561" max="1561" width="1.7265625" style="472" customWidth="1"/>
    <col min="1562" max="1572" width="0" style="472" hidden="1" customWidth="1"/>
    <col min="1573" max="1573" width="11.1796875" style="472" customWidth="1"/>
    <col min="1574" max="1575" width="0" style="472" hidden="1" customWidth="1"/>
    <col min="1576" max="1576" width="13" style="472" customWidth="1"/>
    <col min="1577" max="1579" width="0" style="472" hidden="1" customWidth="1"/>
    <col min="1580" max="1580" width="11.453125" style="472"/>
    <col min="1581" max="1581" width="12.453125" style="472" customWidth="1"/>
    <col min="1582" max="1583" width="10.7265625" style="472" customWidth="1"/>
    <col min="1584" max="1584" width="1.81640625" style="472" customWidth="1"/>
    <col min="1585" max="1585" width="2" style="472" customWidth="1"/>
    <col min="1586" max="1608" width="0" style="472" hidden="1" customWidth="1"/>
    <col min="1609" max="1609" width="13" style="472" customWidth="1"/>
    <col min="1610" max="1611" width="12.26953125" style="472" customWidth="1"/>
    <col min="1612" max="1792" width="11.453125" style="472"/>
    <col min="1793" max="1793" width="6.90625" style="472" customWidth="1"/>
    <col min="1794" max="1794" width="26.26953125" style="472" customWidth="1"/>
    <col min="1795" max="1795" width="8.26953125" style="472" customWidth="1"/>
    <col min="1796" max="1796" width="10.26953125" style="472" customWidth="1"/>
    <col min="1797" max="1797" width="11.1796875" style="472" customWidth="1"/>
    <col min="1798" max="1798" width="8.453125" style="472" customWidth="1"/>
    <col min="1799" max="1799" width="10.1796875" style="472" customWidth="1"/>
    <col min="1800" max="1800" width="10.54296875" style="472" customWidth="1"/>
    <col min="1801" max="1801" width="1.453125" style="472" customWidth="1"/>
    <col min="1802" max="1802" width="1.7265625" style="472" customWidth="1"/>
    <col min="1803" max="1808" width="0" style="472" hidden="1" customWidth="1"/>
    <col min="1809" max="1809" width="10.1796875" style="472" customWidth="1"/>
    <col min="1810" max="1813" width="0" style="472" hidden="1" customWidth="1"/>
    <col min="1814" max="1814" width="9.1796875" style="472" customWidth="1"/>
    <col min="1815" max="1815" width="11.90625" style="472" customWidth="1"/>
    <col min="1816" max="1816" width="1.453125" style="472" customWidth="1"/>
    <col min="1817" max="1817" width="1.7265625" style="472" customWidth="1"/>
    <col min="1818" max="1828" width="0" style="472" hidden="1" customWidth="1"/>
    <col min="1829" max="1829" width="11.1796875" style="472" customWidth="1"/>
    <col min="1830" max="1831" width="0" style="472" hidden="1" customWidth="1"/>
    <col min="1832" max="1832" width="13" style="472" customWidth="1"/>
    <col min="1833" max="1835" width="0" style="472" hidden="1" customWidth="1"/>
    <col min="1836" max="1836" width="11.453125" style="472"/>
    <col min="1837" max="1837" width="12.453125" style="472" customWidth="1"/>
    <col min="1838" max="1839" width="10.7265625" style="472" customWidth="1"/>
    <col min="1840" max="1840" width="1.81640625" style="472" customWidth="1"/>
    <col min="1841" max="1841" width="2" style="472" customWidth="1"/>
    <col min="1842" max="1864" width="0" style="472" hidden="1" customWidth="1"/>
    <col min="1865" max="1865" width="13" style="472" customWidth="1"/>
    <col min="1866" max="1867" width="12.26953125" style="472" customWidth="1"/>
    <col min="1868" max="2048" width="11.453125" style="472"/>
    <col min="2049" max="2049" width="6.90625" style="472" customWidth="1"/>
    <col min="2050" max="2050" width="26.26953125" style="472" customWidth="1"/>
    <col min="2051" max="2051" width="8.26953125" style="472" customWidth="1"/>
    <col min="2052" max="2052" width="10.26953125" style="472" customWidth="1"/>
    <col min="2053" max="2053" width="11.1796875" style="472" customWidth="1"/>
    <col min="2054" max="2054" width="8.453125" style="472" customWidth="1"/>
    <col min="2055" max="2055" width="10.1796875" style="472" customWidth="1"/>
    <col min="2056" max="2056" width="10.54296875" style="472" customWidth="1"/>
    <col min="2057" max="2057" width="1.453125" style="472" customWidth="1"/>
    <col min="2058" max="2058" width="1.7265625" style="472" customWidth="1"/>
    <col min="2059" max="2064" width="0" style="472" hidden="1" customWidth="1"/>
    <col min="2065" max="2065" width="10.1796875" style="472" customWidth="1"/>
    <col min="2066" max="2069" width="0" style="472" hidden="1" customWidth="1"/>
    <col min="2070" max="2070" width="9.1796875" style="472" customWidth="1"/>
    <col min="2071" max="2071" width="11.90625" style="472" customWidth="1"/>
    <col min="2072" max="2072" width="1.453125" style="472" customWidth="1"/>
    <col min="2073" max="2073" width="1.7265625" style="472" customWidth="1"/>
    <col min="2074" max="2084" width="0" style="472" hidden="1" customWidth="1"/>
    <col min="2085" max="2085" width="11.1796875" style="472" customWidth="1"/>
    <col min="2086" max="2087" width="0" style="472" hidden="1" customWidth="1"/>
    <col min="2088" max="2088" width="13" style="472" customWidth="1"/>
    <col min="2089" max="2091" width="0" style="472" hidden="1" customWidth="1"/>
    <col min="2092" max="2092" width="11.453125" style="472"/>
    <col min="2093" max="2093" width="12.453125" style="472" customWidth="1"/>
    <col min="2094" max="2095" width="10.7265625" style="472" customWidth="1"/>
    <col min="2096" max="2096" width="1.81640625" style="472" customWidth="1"/>
    <col min="2097" max="2097" width="2" style="472" customWidth="1"/>
    <col min="2098" max="2120" width="0" style="472" hidden="1" customWidth="1"/>
    <col min="2121" max="2121" width="13" style="472" customWidth="1"/>
    <col min="2122" max="2123" width="12.26953125" style="472" customWidth="1"/>
    <col min="2124" max="2304" width="11.453125" style="472"/>
    <col min="2305" max="2305" width="6.90625" style="472" customWidth="1"/>
    <col min="2306" max="2306" width="26.26953125" style="472" customWidth="1"/>
    <col min="2307" max="2307" width="8.26953125" style="472" customWidth="1"/>
    <col min="2308" max="2308" width="10.26953125" style="472" customWidth="1"/>
    <col min="2309" max="2309" width="11.1796875" style="472" customWidth="1"/>
    <col min="2310" max="2310" width="8.453125" style="472" customWidth="1"/>
    <col min="2311" max="2311" width="10.1796875" style="472" customWidth="1"/>
    <col min="2312" max="2312" width="10.54296875" style="472" customWidth="1"/>
    <col min="2313" max="2313" width="1.453125" style="472" customWidth="1"/>
    <col min="2314" max="2314" width="1.7265625" style="472" customWidth="1"/>
    <col min="2315" max="2320" width="0" style="472" hidden="1" customWidth="1"/>
    <col min="2321" max="2321" width="10.1796875" style="472" customWidth="1"/>
    <col min="2322" max="2325" width="0" style="472" hidden="1" customWidth="1"/>
    <col min="2326" max="2326" width="9.1796875" style="472" customWidth="1"/>
    <col min="2327" max="2327" width="11.90625" style="472" customWidth="1"/>
    <col min="2328" max="2328" width="1.453125" style="472" customWidth="1"/>
    <col min="2329" max="2329" width="1.7265625" style="472" customWidth="1"/>
    <col min="2330" max="2340" width="0" style="472" hidden="1" customWidth="1"/>
    <col min="2341" max="2341" width="11.1796875" style="472" customWidth="1"/>
    <col min="2342" max="2343" width="0" style="472" hidden="1" customWidth="1"/>
    <col min="2344" max="2344" width="13" style="472" customWidth="1"/>
    <col min="2345" max="2347" width="0" style="472" hidden="1" customWidth="1"/>
    <col min="2348" max="2348" width="11.453125" style="472"/>
    <col min="2349" max="2349" width="12.453125" style="472" customWidth="1"/>
    <col min="2350" max="2351" width="10.7265625" style="472" customWidth="1"/>
    <col min="2352" max="2352" width="1.81640625" style="472" customWidth="1"/>
    <col min="2353" max="2353" width="2" style="472" customWidth="1"/>
    <col min="2354" max="2376" width="0" style="472" hidden="1" customWidth="1"/>
    <col min="2377" max="2377" width="13" style="472" customWidth="1"/>
    <col min="2378" max="2379" width="12.26953125" style="472" customWidth="1"/>
    <col min="2380" max="2560" width="11.453125" style="472"/>
    <col min="2561" max="2561" width="6.90625" style="472" customWidth="1"/>
    <col min="2562" max="2562" width="26.26953125" style="472" customWidth="1"/>
    <col min="2563" max="2563" width="8.26953125" style="472" customWidth="1"/>
    <col min="2564" max="2564" width="10.26953125" style="472" customWidth="1"/>
    <col min="2565" max="2565" width="11.1796875" style="472" customWidth="1"/>
    <col min="2566" max="2566" width="8.453125" style="472" customWidth="1"/>
    <col min="2567" max="2567" width="10.1796875" style="472" customWidth="1"/>
    <col min="2568" max="2568" width="10.54296875" style="472" customWidth="1"/>
    <col min="2569" max="2569" width="1.453125" style="472" customWidth="1"/>
    <col min="2570" max="2570" width="1.7265625" style="472" customWidth="1"/>
    <col min="2571" max="2576" width="0" style="472" hidden="1" customWidth="1"/>
    <col min="2577" max="2577" width="10.1796875" style="472" customWidth="1"/>
    <col min="2578" max="2581" width="0" style="472" hidden="1" customWidth="1"/>
    <col min="2582" max="2582" width="9.1796875" style="472" customWidth="1"/>
    <col min="2583" max="2583" width="11.90625" style="472" customWidth="1"/>
    <col min="2584" max="2584" width="1.453125" style="472" customWidth="1"/>
    <col min="2585" max="2585" width="1.7265625" style="472" customWidth="1"/>
    <col min="2586" max="2596" width="0" style="472" hidden="1" customWidth="1"/>
    <col min="2597" max="2597" width="11.1796875" style="472" customWidth="1"/>
    <col min="2598" max="2599" width="0" style="472" hidden="1" customWidth="1"/>
    <col min="2600" max="2600" width="13" style="472" customWidth="1"/>
    <col min="2601" max="2603" width="0" style="472" hidden="1" customWidth="1"/>
    <col min="2604" max="2604" width="11.453125" style="472"/>
    <col min="2605" max="2605" width="12.453125" style="472" customWidth="1"/>
    <col min="2606" max="2607" width="10.7265625" style="472" customWidth="1"/>
    <col min="2608" max="2608" width="1.81640625" style="472" customWidth="1"/>
    <col min="2609" max="2609" width="2" style="472" customWidth="1"/>
    <col min="2610" max="2632" width="0" style="472" hidden="1" customWidth="1"/>
    <col min="2633" max="2633" width="13" style="472" customWidth="1"/>
    <col min="2634" max="2635" width="12.26953125" style="472" customWidth="1"/>
    <col min="2636" max="2816" width="11.453125" style="472"/>
    <col min="2817" max="2817" width="6.90625" style="472" customWidth="1"/>
    <col min="2818" max="2818" width="26.26953125" style="472" customWidth="1"/>
    <col min="2819" max="2819" width="8.26953125" style="472" customWidth="1"/>
    <col min="2820" max="2820" width="10.26953125" style="472" customWidth="1"/>
    <col min="2821" max="2821" width="11.1796875" style="472" customWidth="1"/>
    <col min="2822" max="2822" width="8.453125" style="472" customWidth="1"/>
    <col min="2823" max="2823" width="10.1796875" style="472" customWidth="1"/>
    <col min="2824" max="2824" width="10.54296875" style="472" customWidth="1"/>
    <col min="2825" max="2825" width="1.453125" style="472" customWidth="1"/>
    <col min="2826" max="2826" width="1.7265625" style="472" customWidth="1"/>
    <col min="2827" max="2832" width="0" style="472" hidden="1" customWidth="1"/>
    <col min="2833" max="2833" width="10.1796875" style="472" customWidth="1"/>
    <col min="2834" max="2837" width="0" style="472" hidden="1" customWidth="1"/>
    <col min="2838" max="2838" width="9.1796875" style="472" customWidth="1"/>
    <col min="2839" max="2839" width="11.90625" style="472" customWidth="1"/>
    <col min="2840" max="2840" width="1.453125" style="472" customWidth="1"/>
    <col min="2841" max="2841" width="1.7265625" style="472" customWidth="1"/>
    <col min="2842" max="2852" width="0" style="472" hidden="1" customWidth="1"/>
    <col min="2853" max="2853" width="11.1796875" style="472" customWidth="1"/>
    <col min="2854" max="2855" width="0" style="472" hidden="1" customWidth="1"/>
    <col min="2856" max="2856" width="13" style="472" customWidth="1"/>
    <col min="2857" max="2859" width="0" style="472" hidden="1" customWidth="1"/>
    <col min="2860" max="2860" width="11.453125" style="472"/>
    <col min="2861" max="2861" width="12.453125" style="472" customWidth="1"/>
    <col min="2862" max="2863" width="10.7265625" style="472" customWidth="1"/>
    <col min="2864" max="2864" width="1.81640625" style="472" customWidth="1"/>
    <col min="2865" max="2865" width="2" style="472" customWidth="1"/>
    <col min="2866" max="2888" width="0" style="472" hidden="1" customWidth="1"/>
    <col min="2889" max="2889" width="13" style="472" customWidth="1"/>
    <col min="2890" max="2891" width="12.26953125" style="472" customWidth="1"/>
    <col min="2892" max="3072" width="11.453125" style="472"/>
    <col min="3073" max="3073" width="6.90625" style="472" customWidth="1"/>
    <col min="3074" max="3074" width="26.26953125" style="472" customWidth="1"/>
    <col min="3075" max="3075" width="8.26953125" style="472" customWidth="1"/>
    <col min="3076" max="3076" width="10.26953125" style="472" customWidth="1"/>
    <col min="3077" max="3077" width="11.1796875" style="472" customWidth="1"/>
    <col min="3078" max="3078" width="8.453125" style="472" customWidth="1"/>
    <col min="3079" max="3079" width="10.1796875" style="472" customWidth="1"/>
    <col min="3080" max="3080" width="10.54296875" style="472" customWidth="1"/>
    <col min="3081" max="3081" width="1.453125" style="472" customWidth="1"/>
    <col min="3082" max="3082" width="1.7265625" style="472" customWidth="1"/>
    <col min="3083" max="3088" width="0" style="472" hidden="1" customWidth="1"/>
    <col min="3089" max="3089" width="10.1796875" style="472" customWidth="1"/>
    <col min="3090" max="3093" width="0" style="472" hidden="1" customWidth="1"/>
    <col min="3094" max="3094" width="9.1796875" style="472" customWidth="1"/>
    <col min="3095" max="3095" width="11.90625" style="472" customWidth="1"/>
    <col min="3096" max="3096" width="1.453125" style="472" customWidth="1"/>
    <col min="3097" max="3097" width="1.7265625" style="472" customWidth="1"/>
    <col min="3098" max="3108" width="0" style="472" hidden="1" customWidth="1"/>
    <col min="3109" max="3109" width="11.1796875" style="472" customWidth="1"/>
    <col min="3110" max="3111" width="0" style="472" hidden="1" customWidth="1"/>
    <col min="3112" max="3112" width="13" style="472" customWidth="1"/>
    <col min="3113" max="3115" width="0" style="472" hidden="1" customWidth="1"/>
    <col min="3116" max="3116" width="11.453125" style="472"/>
    <col min="3117" max="3117" width="12.453125" style="472" customWidth="1"/>
    <col min="3118" max="3119" width="10.7265625" style="472" customWidth="1"/>
    <col min="3120" max="3120" width="1.81640625" style="472" customWidth="1"/>
    <col min="3121" max="3121" width="2" style="472" customWidth="1"/>
    <col min="3122" max="3144" width="0" style="472" hidden="1" customWidth="1"/>
    <col min="3145" max="3145" width="13" style="472" customWidth="1"/>
    <col min="3146" max="3147" width="12.26953125" style="472" customWidth="1"/>
    <col min="3148" max="3328" width="11.453125" style="472"/>
    <col min="3329" max="3329" width="6.90625" style="472" customWidth="1"/>
    <col min="3330" max="3330" width="26.26953125" style="472" customWidth="1"/>
    <col min="3331" max="3331" width="8.26953125" style="472" customWidth="1"/>
    <col min="3332" max="3332" width="10.26953125" style="472" customWidth="1"/>
    <col min="3333" max="3333" width="11.1796875" style="472" customWidth="1"/>
    <col min="3334" max="3334" width="8.453125" style="472" customWidth="1"/>
    <col min="3335" max="3335" width="10.1796875" style="472" customWidth="1"/>
    <col min="3336" max="3336" width="10.54296875" style="472" customWidth="1"/>
    <col min="3337" max="3337" width="1.453125" style="472" customWidth="1"/>
    <col min="3338" max="3338" width="1.7265625" style="472" customWidth="1"/>
    <col min="3339" max="3344" width="0" style="472" hidden="1" customWidth="1"/>
    <col min="3345" max="3345" width="10.1796875" style="472" customWidth="1"/>
    <col min="3346" max="3349" width="0" style="472" hidden="1" customWidth="1"/>
    <col min="3350" max="3350" width="9.1796875" style="472" customWidth="1"/>
    <col min="3351" max="3351" width="11.90625" style="472" customWidth="1"/>
    <col min="3352" max="3352" width="1.453125" style="472" customWidth="1"/>
    <col min="3353" max="3353" width="1.7265625" style="472" customWidth="1"/>
    <col min="3354" max="3364" width="0" style="472" hidden="1" customWidth="1"/>
    <col min="3365" max="3365" width="11.1796875" style="472" customWidth="1"/>
    <col min="3366" max="3367" width="0" style="472" hidden="1" customWidth="1"/>
    <col min="3368" max="3368" width="13" style="472" customWidth="1"/>
    <col min="3369" max="3371" width="0" style="472" hidden="1" customWidth="1"/>
    <col min="3372" max="3372" width="11.453125" style="472"/>
    <col min="3373" max="3373" width="12.453125" style="472" customWidth="1"/>
    <col min="3374" max="3375" width="10.7265625" style="472" customWidth="1"/>
    <col min="3376" max="3376" width="1.81640625" style="472" customWidth="1"/>
    <col min="3377" max="3377" width="2" style="472" customWidth="1"/>
    <col min="3378" max="3400" width="0" style="472" hidden="1" customWidth="1"/>
    <col min="3401" max="3401" width="13" style="472" customWidth="1"/>
    <col min="3402" max="3403" width="12.26953125" style="472" customWidth="1"/>
    <col min="3404" max="3584" width="11.453125" style="472"/>
    <col min="3585" max="3585" width="6.90625" style="472" customWidth="1"/>
    <col min="3586" max="3586" width="26.26953125" style="472" customWidth="1"/>
    <col min="3587" max="3587" width="8.26953125" style="472" customWidth="1"/>
    <col min="3588" max="3588" width="10.26953125" style="472" customWidth="1"/>
    <col min="3589" max="3589" width="11.1796875" style="472" customWidth="1"/>
    <col min="3590" max="3590" width="8.453125" style="472" customWidth="1"/>
    <col min="3591" max="3591" width="10.1796875" style="472" customWidth="1"/>
    <col min="3592" max="3592" width="10.54296875" style="472" customWidth="1"/>
    <col min="3593" max="3593" width="1.453125" style="472" customWidth="1"/>
    <col min="3594" max="3594" width="1.7265625" style="472" customWidth="1"/>
    <col min="3595" max="3600" width="0" style="472" hidden="1" customWidth="1"/>
    <col min="3601" max="3601" width="10.1796875" style="472" customWidth="1"/>
    <col min="3602" max="3605" width="0" style="472" hidden="1" customWidth="1"/>
    <col min="3606" max="3606" width="9.1796875" style="472" customWidth="1"/>
    <col min="3607" max="3607" width="11.90625" style="472" customWidth="1"/>
    <col min="3608" max="3608" width="1.453125" style="472" customWidth="1"/>
    <col min="3609" max="3609" width="1.7265625" style="472" customWidth="1"/>
    <col min="3610" max="3620" width="0" style="472" hidden="1" customWidth="1"/>
    <col min="3621" max="3621" width="11.1796875" style="472" customWidth="1"/>
    <col min="3622" max="3623" width="0" style="472" hidden="1" customWidth="1"/>
    <col min="3624" max="3624" width="13" style="472" customWidth="1"/>
    <col min="3625" max="3627" width="0" style="472" hidden="1" customWidth="1"/>
    <col min="3628" max="3628" width="11.453125" style="472"/>
    <col min="3629" max="3629" width="12.453125" style="472" customWidth="1"/>
    <col min="3630" max="3631" width="10.7265625" style="472" customWidth="1"/>
    <col min="3632" max="3632" width="1.81640625" style="472" customWidth="1"/>
    <col min="3633" max="3633" width="2" style="472" customWidth="1"/>
    <col min="3634" max="3656" width="0" style="472" hidden="1" customWidth="1"/>
    <col min="3657" max="3657" width="13" style="472" customWidth="1"/>
    <col min="3658" max="3659" width="12.26953125" style="472" customWidth="1"/>
    <col min="3660" max="3840" width="11.453125" style="472"/>
    <col min="3841" max="3841" width="6.90625" style="472" customWidth="1"/>
    <col min="3842" max="3842" width="26.26953125" style="472" customWidth="1"/>
    <col min="3843" max="3843" width="8.26953125" style="472" customWidth="1"/>
    <col min="3844" max="3844" width="10.26953125" style="472" customWidth="1"/>
    <col min="3845" max="3845" width="11.1796875" style="472" customWidth="1"/>
    <col min="3846" max="3846" width="8.453125" style="472" customWidth="1"/>
    <col min="3847" max="3847" width="10.1796875" style="472" customWidth="1"/>
    <col min="3848" max="3848" width="10.54296875" style="472" customWidth="1"/>
    <col min="3849" max="3849" width="1.453125" style="472" customWidth="1"/>
    <col min="3850" max="3850" width="1.7265625" style="472" customWidth="1"/>
    <col min="3851" max="3856" width="0" style="472" hidden="1" customWidth="1"/>
    <col min="3857" max="3857" width="10.1796875" style="472" customWidth="1"/>
    <col min="3858" max="3861" width="0" style="472" hidden="1" customWidth="1"/>
    <col min="3862" max="3862" width="9.1796875" style="472" customWidth="1"/>
    <col min="3863" max="3863" width="11.90625" style="472" customWidth="1"/>
    <col min="3864" max="3864" width="1.453125" style="472" customWidth="1"/>
    <col min="3865" max="3865" width="1.7265625" style="472" customWidth="1"/>
    <col min="3866" max="3876" width="0" style="472" hidden="1" customWidth="1"/>
    <col min="3877" max="3877" width="11.1796875" style="472" customWidth="1"/>
    <col min="3878" max="3879" width="0" style="472" hidden="1" customWidth="1"/>
    <col min="3880" max="3880" width="13" style="472" customWidth="1"/>
    <col min="3881" max="3883" width="0" style="472" hidden="1" customWidth="1"/>
    <col min="3884" max="3884" width="11.453125" style="472"/>
    <col min="3885" max="3885" width="12.453125" style="472" customWidth="1"/>
    <col min="3886" max="3887" width="10.7265625" style="472" customWidth="1"/>
    <col min="3888" max="3888" width="1.81640625" style="472" customWidth="1"/>
    <col min="3889" max="3889" width="2" style="472" customWidth="1"/>
    <col min="3890" max="3912" width="0" style="472" hidden="1" customWidth="1"/>
    <col min="3913" max="3913" width="13" style="472" customWidth="1"/>
    <col min="3914" max="3915" width="12.26953125" style="472" customWidth="1"/>
    <col min="3916" max="4096" width="11.453125" style="472"/>
    <col min="4097" max="4097" width="6.90625" style="472" customWidth="1"/>
    <col min="4098" max="4098" width="26.26953125" style="472" customWidth="1"/>
    <col min="4099" max="4099" width="8.26953125" style="472" customWidth="1"/>
    <col min="4100" max="4100" width="10.26953125" style="472" customWidth="1"/>
    <col min="4101" max="4101" width="11.1796875" style="472" customWidth="1"/>
    <col min="4102" max="4102" width="8.453125" style="472" customWidth="1"/>
    <col min="4103" max="4103" width="10.1796875" style="472" customWidth="1"/>
    <col min="4104" max="4104" width="10.54296875" style="472" customWidth="1"/>
    <col min="4105" max="4105" width="1.453125" style="472" customWidth="1"/>
    <col min="4106" max="4106" width="1.7265625" style="472" customWidth="1"/>
    <col min="4107" max="4112" width="0" style="472" hidden="1" customWidth="1"/>
    <col min="4113" max="4113" width="10.1796875" style="472" customWidth="1"/>
    <col min="4114" max="4117" width="0" style="472" hidden="1" customWidth="1"/>
    <col min="4118" max="4118" width="9.1796875" style="472" customWidth="1"/>
    <col min="4119" max="4119" width="11.90625" style="472" customWidth="1"/>
    <col min="4120" max="4120" width="1.453125" style="472" customWidth="1"/>
    <col min="4121" max="4121" width="1.7265625" style="472" customWidth="1"/>
    <col min="4122" max="4132" width="0" style="472" hidden="1" customWidth="1"/>
    <col min="4133" max="4133" width="11.1796875" style="472" customWidth="1"/>
    <col min="4134" max="4135" width="0" style="472" hidden="1" customWidth="1"/>
    <col min="4136" max="4136" width="13" style="472" customWidth="1"/>
    <col min="4137" max="4139" width="0" style="472" hidden="1" customWidth="1"/>
    <col min="4140" max="4140" width="11.453125" style="472"/>
    <col min="4141" max="4141" width="12.453125" style="472" customWidth="1"/>
    <col min="4142" max="4143" width="10.7265625" style="472" customWidth="1"/>
    <col min="4144" max="4144" width="1.81640625" style="472" customWidth="1"/>
    <col min="4145" max="4145" width="2" style="472" customWidth="1"/>
    <col min="4146" max="4168" width="0" style="472" hidden="1" customWidth="1"/>
    <col min="4169" max="4169" width="13" style="472" customWidth="1"/>
    <col min="4170" max="4171" width="12.26953125" style="472" customWidth="1"/>
    <col min="4172" max="4352" width="11.453125" style="472"/>
    <col min="4353" max="4353" width="6.90625" style="472" customWidth="1"/>
    <col min="4354" max="4354" width="26.26953125" style="472" customWidth="1"/>
    <col min="4355" max="4355" width="8.26953125" style="472" customWidth="1"/>
    <col min="4356" max="4356" width="10.26953125" style="472" customWidth="1"/>
    <col min="4357" max="4357" width="11.1796875" style="472" customWidth="1"/>
    <col min="4358" max="4358" width="8.453125" style="472" customWidth="1"/>
    <col min="4359" max="4359" width="10.1796875" style="472" customWidth="1"/>
    <col min="4360" max="4360" width="10.54296875" style="472" customWidth="1"/>
    <col min="4361" max="4361" width="1.453125" style="472" customWidth="1"/>
    <col min="4362" max="4362" width="1.7265625" style="472" customWidth="1"/>
    <col min="4363" max="4368" width="0" style="472" hidden="1" customWidth="1"/>
    <col min="4369" max="4369" width="10.1796875" style="472" customWidth="1"/>
    <col min="4370" max="4373" width="0" style="472" hidden="1" customWidth="1"/>
    <col min="4374" max="4374" width="9.1796875" style="472" customWidth="1"/>
    <col min="4375" max="4375" width="11.90625" style="472" customWidth="1"/>
    <col min="4376" max="4376" width="1.453125" style="472" customWidth="1"/>
    <col min="4377" max="4377" width="1.7265625" style="472" customWidth="1"/>
    <col min="4378" max="4388" width="0" style="472" hidden="1" customWidth="1"/>
    <col min="4389" max="4389" width="11.1796875" style="472" customWidth="1"/>
    <col min="4390" max="4391" width="0" style="472" hidden="1" customWidth="1"/>
    <col min="4392" max="4392" width="13" style="472" customWidth="1"/>
    <col min="4393" max="4395" width="0" style="472" hidden="1" customWidth="1"/>
    <col min="4396" max="4396" width="11.453125" style="472"/>
    <col min="4397" max="4397" width="12.453125" style="472" customWidth="1"/>
    <col min="4398" max="4399" width="10.7265625" style="472" customWidth="1"/>
    <col min="4400" max="4400" width="1.81640625" style="472" customWidth="1"/>
    <col min="4401" max="4401" width="2" style="472" customWidth="1"/>
    <col min="4402" max="4424" width="0" style="472" hidden="1" customWidth="1"/>
    <col min="4425" max="4425" width="13" style="472" customWidth="1"/>
    <col min="4426" max="4427" width="12.26953125" style="472" customWidth="1"/>
    <col min="4428" max="4608" width="11.453125" style="472"/>
    <col min="4609" max="4609" width="6.90625" style="472" customWidth="1"/>
    <col min="4610" max="4610" width="26.26953125" style="472" customWidth="1"/>
    <col min="4611" max="4611" width="8.26953125" style="472" customWidth="1"/>
    <col min="4612" max="4612" width="10.26953125" style="472" customWidth="1"/>
    <col min="4613" max="4613" width="11.1796875" style="472" customWidth="1"/>
    <col min="4614" max="4614" width="8.453125" style="472" customWidth="1"/>
    <col min="4615" max="4615" width="10.1796875" style="472" customWidth="1"/>
    <col min="4616" max="4616" width="10.54296875" style="472" customWidth="1"/>
    <col min="4617" max="4617" width="1.453125" style="472" customWidth="1"/>
    <col min="4618" max="4618" width="1.7265625" style="472" customWidth="1"/>
    <col min="4619" max="4624" width="0" style="472" hidden="1" customWidth="1"/>
    <col min="4625" max="4625" width="10.1796875" style="472" customWidth="1"/>
    <col min="4626" max="4629" width="0" style="472" hidden="1" customWidth="1"/>
    <col min="4630" max="4630" width="9.1796875" style="472" customWidth="1"/>
    <col min="4631" max="4631" width="11.90625" style="472" customWidth="1"/>
    <col min="4632" max="4632" width="1.453125" style="472" customWidth="1"/>
    <col min="4633" max="4633" width="1.7265625" style="472" customWidth="1"/>
    <col min="4634" max="4644" width="0" style="472" hidden="1" customWidth="1"/>
    <col min="4645" max="4645" width="11.1796875" style="472" customWidth="1"/>
    <col min="4646" max="4647" width="0" style="472" hidden="1" customWidth="1"/>
    <col min="4648" max="4648" width="13" style="472" customWidth="1"/>
    <col min="4649" max="4651" width="0" style="472" hidden="1" customWidth="1"/>
    <col min="4652" max="4652" width="11.453125" style="472"/>
    <col min="4653" max="4653" width="12.453125" style="472" customWidth="1"/>
    <col min="4654" max="4655" width="10.7265625" style="472" customWidth="1"/>
    <col min="4656" max="4656" width="1.81640625" style="472" customWidth="1"/>
    <col min="4657" max="4657" width="2" style="472" customWidth="1"/>
    <col min="4658" max="4680" width="0" style="472" hidden="1" customWidth="1"/>
    <col min="4681" max="4681" width="13" style="472" customWidth="1"/>
    <col min="4682" max="4683" width="12.26953125" style="472" customWidth="1"/>
    <col min="4684" max="4864" width="11.453125" style="472"/>
    <col min="4865" max="4865" width="6.90625" style="472" customWidth="1"/>
    <col min="4866" max="4866" width="26.26953125" style="472" customWidth="1"/>
    <col min="4867" max="4867" width="8.26953125" style="472" customWidth="1"/>
    <col min="4868" max="4868" width="10.26953125" style="472" customWidth="1"/>
    <col min="4869" max="4869" width="11.1796875" style="472" customWidth="1"/>
    <col min="4870" max="4870" width="8.453125" style="472" customWidth="1"/>
    <col min="4871" max="4871" width="10.1796875" style="472" customWidth="1"/>
    <col min="4872" max="4872" width="10.54296875" style="472" customWidth="1"/>
    <col min="4873" max="4873" width="1.453125" style="472" customWidth="1"/>
    <col min="4874" max="4874" width="1.7265625" style="472" customWidth="1"/>
    <col min="4875" max="4880" width="0" style="472" hidden="1" customWidth="1"/>
    <col min="4881" max="4881" width="10.1796875" style="472" customWidth="1"/>
    <col min="4882" max="4885" width="0" style="472" hidden="1" customWidth="1"/>
    <col min="4886" max="4886" width="9.1796875" style="472" customWidth="1"/>
    <col min="4887" max="4887" width="11.90625" style="472" customWidth="1"/>
    <col min="4888" max="4888" width="1.453125" style="472" customWidth="1"/>
    <col min="4889" max="4889" width="1.7265625" style="472" customWidth="1"/>
    <col min="4890" max="4900" width="0" style="472" hidden="1" customWidth="1"/>
    <col min="4901" max="4901" width="11.1796875" style="472" customWidth="1"/>
    <col min="4902" max="4903" width="0" style="472" hidden="1" customWidth="1"/>
    <col min="4904" max="4904" width="13" style="472" customWidth="1"/>
    <col min="4905" max="4907" width="0" style="472" hidden="1" customWidth="1"/>
    <col min="4908" max="4908" width="11.453125" style="472"/>
    <col min="4909" max="4909" width="12.453125" style="472" customWidth="1"/>
    <col min="4910" max="4911" width="10.7265625" style="472" customWidth="1"/>
    <col min="4912" max="4912" width="1.81640625" style="472" customWidth="1"/>
    <col min="4913" max="4913" width="2" style="472" customWidth="1"/>
    <col min="4914" max="4936" width="0" style="472" hidden="1" customWidth="1"/>
    <col min="4937" max="4937" width="13" style="472" customWidth="1"/>
    <col min="4938" max="4939" width="12.26953125" style="472" customWidth="1"/>
    <col min="4940" max="5120" width="11.453125" style="472"/>
    <col min="5121" max="5121" width="6.90625" style="472" customWidth="1"/>
    <col min="5122" max="5122" width="26.26953125" style="472" customWidth="1"/>
    <col min="5123" max="5123" width="8.26953125" style="472" customWidth="1"/>
    <col min="5124" max="5124" width="10.26953125" style="472" customWidth="1"/>
    <col min="5125" max="5125" width="11.1796875" style="472" customWidth="1"/>
    <col min="5126" max="5126" width="8.453125" style="472" customWidth="1"/>
    <col min="5127" max="5127" width="10.1796875" style="472" customWidth="1"/>
    <col min="5128" max="5128" width="10.54296875" style="472" customWidth="1"/>
    <col min="5129" max="5129" width="1.453125" style="472" customWidth="1"/>
    <col min="5130" max="5130" width="1.7265625" style="472" customWidth="1"/>
    <col min="5131" max="5136" width="0" style="472" hidden="1" customWidth="1"/>
    <col min="5137" max="5137" width="10.1796875" style="472" customWidth="1"/>
    <col min="5138" max="5141" width="0" style="472" hidden="1" customWidth="1"/>
    <col min="5142" max="5142" width="9.1796875" style="472" customWidth="1"/>
    <col min="5143" max="5143" width="11.90625" style="472" customWidth="1"/>
    <col min="5144" max="5144" width="1.453125" style="472" customWidth="1"/>
    <col min="5145" max="5145" width="1.7265625" style="472" customWidth="1"/>
    <col min="5146" max="5156" width="0" style="472" hidden="1" customWidth="1"/>
    <col min="5157" max="5157" width="11.1796875" style="472" customWidth="1"/>
    <col min="5158" max="5159" width="0" style="472" hidden="1" customWidth="1"/>
    <col min="5160" max="5160" width="13" style="472" customWidth="1"/>
    <col min="5161" max="5163" width="0" style="472" hidden="1" customWidth="1"/>
    <col min="5164" max="5164" width="11.453125" style="472"/>
    <col min="5165" max="5165" width="12.453125" style="472" customWidth="1"/>
    <col min="5166" max="5167" width="10.7265625" style="472" customWidth="1"/>
    <col min="5168" max="5168" width="1.81640625" style="472" customWidth="1"/>
    <col min="5169" max="5169" width="2" style="472" customWidth="1"/>
    <col min="5170" max="5192" width="0" style="472" hidden="1" customWidth="1"/>
    <col min="5193" max="5193" width="13" style="472" customWidth="1"/>
    <col min="5194" max="5195" width="12.26953125" style="472" customWidth="1"/>
    <col min="5196" max="5376" width="11.453125" style="472"/>
    <col min="5377" max="5377" width="6.90625" style="472" customWidth="1"/>
    <col min="5378" max="5378" width="26.26953125" style="472" customWidth="1"/>
    <col min="5379" max="5379" width="8.26953125" style="472" customWidth="1"/>
    <col min="5380" max="5380" width="10.26953125" style="472" customWidth="1"/>
    <col min="5381" max="5381" width="11.1796875" style="472" customWidth="1"/>
    <col min="5382" max="5382" width="8.453125" style="472" customWidth="1"/>
    <col min="5383" max="5383" width="10.1796875" style="472" customWidth="1"/>
    <col min="5384" max="5384" width="10.54296875" style="472" customWidth="1"/>
    <col min="5385" max="5385" width="1.453125" style="472" customWidth="1"/>
    <col min="5386" max="5386" width="1.7265625" style="472" customWidth="1"/>
    <col min="5387" max="5392" width="0" style="472" hidden="1" customWidth="1"/>
    <col min="5393" max="5393" width="10.1796875" style="472" customWidth="1"/>
    <col min="5394" max="5397" width="0" style="472" hidden="1" customWidth="1"/>
    <col min="5398" max="5398" width="9.1796875" style="472" customWidth="1"/>
    <col min="5399" max="5399" width="11.90625" style="472" customWidth="1"/>
    <col min="5400" max="5400" width="1.453125" style="472" customWidth="1"/>
    <col min="5401" max="5401" width="1.7265625" style="472" customWidth="1"/>
    <col min="5402" max="5412" width="0" style="472" hidden="1" customWidth="1"/>
    <col min="5413" max="5413" width="11.1796875" style="472" customWidth="1"/>
    <col min="5414" max="5415" width="0" style="472" hidden="1" customWidth="1"/>
    <col min="5416" max="5416" width="13" style="472" customWidth="1"/>
    <col min="5417" max="5419" width="0" style="472" hidden="1" customWidth="1"/>
    <col min="5420" max="5420" width="11.453125" style="472"/>
    <col min="5421" max="5421" width="12.453125" style="472" customWidth="1"/>
    <col min="5422" max="5423" width="10.7265625" style="472" customWidth="1"/>
    <col min="5424" max="5424" width="1.81640625" style="472" customWidth="1"/>
    <col min="5425" max="5425" width="2" style="472" customWidth="1"/>
    <col min="5426" max="5448" width="0" style="472" hidden="1" customWidth="1"/>
    <col min="5449" max="5449" width="13" style="472" customWidth="1"/>
    <col min="5450" max="5451" width="12.26953125" style="472" customWidth="1"/>
    <col min="5452" max="5632" width="11.453125" style="472"/>
    <col min="5633" max="5633" width="6.90625" style="472" customWidth="1"/>
    <col min="5634" max="5634" width="26.26953125" style="472" customWidth="1"/>
    <col min="5635" max="5635" width="8.26953125" style="472" customWidth="1"/>
    <col min="5636" max="5636" width="10.26953125" style="472" customWidth="1"/>
    <col min="5637" max="5637" width="11.1796875" style="472" customWidth="1"/>
    <col min="5638" max="5638" width="8.453125" style="472" customWidth="1"/>
    <col min="5639" max="5639" width="10.1796875" style="472" customWidth="1"/>
    <col min="5640" max="5640" width="10.54296875" style="472" customWidth="1"/>
    <col min="5641" max="5641" width="1.453125" style="472" customWidth="1"/>
    <col min="5642" max="5642" width="1.7265625" style="472" customWidth="1"/>
    <col min="5643" max="5648" width="0" style="472" hidden="1" customWidth="1"/>
    <col min="5649" max="5649" width="10.1796875" style="472" customWidth="1"/>
    <col min="5650" max="5653" width="0" style="472" hidden="1" customWidth="1"/>
    <col min="5654" max="5654" width="9.1796875" style="472" customWidth="1"/>
    <col min="5655" max="5655" width="11.90625" style="472" customWidth="1"/>
    <col min="5656" max="5656" width="1.453125" style="472" customWidth="1"/>
    <col min="5657" max="5657" width="1.7265625" style="472" customWidth="1"/>
    <col min="5658" max="5668" width="0" style="472" hidden="1" customWidth="1"/>
    <col min="5669" max="5669" width="11.1796875" style="472" customWidth="1"/>
    <col min="5670" max="5671" width="0" style="472" hidden="1" customWidth="1"/>
    <col min="5672" max="5672" width="13" style="472" customWidth="1"/>
    <col min="5673" max="5675" width="0" style="472" hidden="1" customWidth="1"/>
    <col min="5676" max="5676" width="11.453125" style="472"/>
    <col min="5677" max="5677" width="12.453125" style="472" customWidth="1"/>
    <col min="5678" max="5679" width="10.7265625" style="472" customWidth="1"/>
    <col min="5680" max="5680" width="1.81640625" style="472" customWidth="1"/>
    <col min="5681" max="5681" width="2" style="472" customWidth="1"/>
    <col min="5682" max="5704" width="0" style="472" hidden="1" customWidth="1"/>
    <col min="5705" max="5705" width="13" style="472" customWidth="1"/>
    <col min="5706" max="5707" width="12.26953125" style="472" customWidth="1"/>
    <col min="5708" max="5888" width="11.453125" style="472"/>
    <col min="5889" max="5889" width="6.90625" style="472" customWidth="1"/>
    <col min="5890" max="5890" width="26.26953125" style="472" customWidth="1"/>
    <col min="5891" max="5891" width="8.26953125" style="472" customWidth="1"/>
    <col min="5892" max="5892" width="10.26953125" style="472" customWidth="1"/>
    <col min="5893" max="5893" width="11.1796875" style="472" customWidth="1"/>
    <col min="5894" max="5894" width="8.453125" style="472" customWidth="1"/>
    <col min="5895" max="5895" width="10.1796875" style="472" customWidth="1"/>
    <col min="5896" max="5896" width="10.54296875" style="472" customWidth="1"/>
    <col min="5897" max="5897" width="1.453125" style="472" customWidth="1"/>
    <col min="5898" max="5898" width="1.7265625" style="472" customWidth="1"/>
    <col min="5899" max="5904" width="0" style="472" hidden="1" customWidth="1"/>
    <col min="5905" max="5905" width="10.1796875" style="472" customWidth="1"/>
    <col min="5906" max="5909" width="0" style="472" hidden="1" customWidth="1"/>
    <col min="5910" max="5910" width="9.1796875" style="472" customWidth="1"/>
    <col min="5911" max="5911" width="11.90625" style="472" customWidth="1"/>
    <col min="5912" max="5912" width="1.453125" style="472" customWidth="1"/>
    <col min="5913" max="5913" width="1.7265625" style="472" customWidth="1"/>
    <col min="5914" max="5924" width="0" style="472" hidden="1" customWidth="1"/>
    <col min="5925" max="5925" width="11.1796875" style="472" customWidth="1"/>
    <col min="5926" max="5927" width="0" style="472" hidden="1" customWidth="1"/>
    <col min="5928" max="5928" width="13" style="472" customWidth="1"/>
    <col min="5929" max="5931" width="0" style="472" hidden="1" customWidth="1"/>
    <col min="5932" max="5932" width="11.453125" style="472"/>
    <col min="5933" max="5933" width="12.453125" style="472" customWidth="1"/>
    <col min="5934" max="5935" width="10.7265625" style="472" customWidth="1"/>
    <col min="5936" max="5936" width="1.81640625" style="472" customWidth="1"/>
    <col min="5937" max="5937" width="2" style="472" customWidth="1"/>
    <col min="5938" max="5960" width="0" style="472" hidden="1" customWidth="1"/>
    <col min="5961" max="5961" width="13" style="472" customWidth="1"/>
    <col min="5962" max="5963" width="12.26953125" style="472" customWidth="1"/>
    <col min="5964" max="6144" width="11.453125" style="472"/>
    <col min="6145" max="6145" width="6.90625" style="472" customWidth="1"/>
    <col min="6146" max="6146" width="26.26953125" style="472" customWidth="1"/>
    <col min="6147" max="6147" width="8.26953125" style="472" customWidth="1"/>
    <col min="6148" max="6148" width="10.26953125" style="472" customWidth="1"/>
    <col min="6149" max="6149" width="11.1796875" style="472" customWidth="1"/>
    <col min="6150" max="6150" width="8.453125" style="472" customWidth="1"/>
    <col min="6151" max="6151" width="10.1796875" style="472" customWidth="1"/>
    <col min="6152" max="6152" width="10.54296875" style="472" customWidth="1"/>
    <col min="6153" max="6153" width="1.453125" style="472" customWidth="1"/>
    <col min="6154" max="6154" width="1.7265625" style="472" customWidth="1"/>
    <col min="6155" max="6160" width="0" style="472" hidden="1" customWidth="1"/>
    <col min="6161" max="6161" width="10.1796875" style="472" customWidth="1"/>
    <col min="6162" max="6165" width="0" style="472" hidden="1" customWidth="1"/>
    <col min="6166" max="6166" width="9.1796875" style="472" customWidth="1"/>
    <col min="6167" max="6167" width="11.90625" style="472" customWidth="1"/>
    <col min="6168" max="6168" width="1.453125" style="472" customWidth="1"/>
    <col min="6169" max="6169" width="1.7265625" style="472" customWidth="1"/>
    <col min="6170" max="6180" width="0" style="472" hidden="1" customWidth="1"/>
    <col min="6181" max="6181" width="11.1796875" style="472" customWidth="1"/>
    <col min="6182" max="6183" width="0" style="472" hidden="1" customWidth="1"/>
    <col min="6184" max="6184" width="13" style="472" customWidth="1"/>
    <col min="6185" max="6187" width="0" style="472" hidden="1" customWidth="1"/>
    <col min="6188" max="6188" width="11.453125" style="472"/>
    <col min="6189" max="6189" width="12.453125" style="472" customWidth="1"/>
    <col min="6190" max="6191" width="10.7265625" style="472" customWidth="1"/>
    <col min="6192" max="6192" width="1.81640625" style="472" customWidth="1"/>
    <col min="6193" max="6193" width="2" style="472" customWidth="1"/>
    <col min="6194" max="6216" width="0" style="472" hidden="1" customWidth="1"/>
    <col min="6217" max="6217" width="13" style="472" customWidth="1"/>
    <col min="6218" max="6219" width="12.26953125" style="472" customWidth="1"/>
    <col min="6220" max="6400" width="11.453125" style="472"/>
    <col min="6401" max="6401" width="6.90625" style="472" customWidth="1"/>
    <col min="6402" max="6402" width="26.26953125" style="472" customWidth="1"/>
    <col min="6403" max="6403" width="8.26953125" style="472" customWidth="1"/>
    <col min="6404" max="6404" width="10.26953125" style="472" customWidth="1"/>
    <col min="6405" max="6405" width="11.1796875" style="472" customWidth="1"/>
    <col min="6406" max="6406" width="8.453125" style="472" customWidth="1"/>
    <col min="6407" max="6407" width="10.1796875" style="472" customWidth="1"/>
    <col min="6408" max="6408" width="10.54296875" style="472" customWidth="1"/>
    <col min="6409" max="6409" width="1.453125" style="472" customWidth="1"/>
    <col min="6410" max="6410" width="1.7265625" style="472" customWidth="1"/>
    <col min="6411" max="6416" width="0" style="472" hidden="1" customWidth="1"/>
    <col min="6417" max="6417" width="10.1796875" style="472" customWidth="1"/>
    <col min="6418" max="6421" width="0" style="472" hidden="1" customWidth="1"/>
    <col min="6422" max="6422" width="9.1796875" style="472" customWidth="1"/>
    <col min="6423" max="6423" width="11.90625" style="472" customWidth="1"/>
    <col min="6424" max="6424" width="1.453125" style="472" customWidth="1"/>
    <col min="6425" max="6425" width="1.7265625" style="472" customWidth="1"/>
    <col min="6426" max="6436" width="0" style="472" hidden="1" customWidth="1"/>
    <col min="6437" max="6437" width="11.1796875" style="472" customWidth="1"/>
    <col min="6438" max="6439" width="0" style="472" hidden="1" customWidth="1"/>
    <col min="6440" max="6440" width="13" style="472" customWidth="1"/>
    <col min="6441" max="6443" width="0" style="472" hidden="1" customWidth="1"/>
    <col min="6444" max="6444" width="11.453125" style="472"/>
    <col min="6445" max="6445" width="12.453125" style="472" customWidth="1"/>
    <col min="6446" max="6447" width="10.7265625" style="472" customWidth="1"/>
    <col min="6448" max="6448" width="1.81640625" style="472" customWidth="1"/>
    <col min="6449" max="6449" width="2" style="472" customWidth="1"/>
    <col min="6450" max="6472" width="0" style="472" hidden="1" customWidth="1"/>
    <col min="6473" max="6473" width="13" style="472" customWidth="1"/>
    <col min="6474" max="6475" width="12.26953125" style="472" customWidth="1"/>
    <col min="6476" max="6656" width="11.453125" style="472"/>
    <col min="6657" max="6657" width="6.90625" style="472" customWidth="1"/>
    <col min="6658" max="6658" width="26.26953125" style="472" customWidth="1"/>
    <col min="6659" max="6659" width="8.26953125" style="472" customWidth="1"/>
    <col min="6660" max="6660" width="10.26953125" style="472" customWidth="1"/>
    <col min="6661" max="6661" width="11.1796875" style="472" customWidth="1"/>
    <col min="6662" max="6662" width="8.453125" style="472" customWidth="1"/>
    <col min="6663" max="6663" width="10.1796875" style="472" customWidth="1"/>
    <col min="6664" max="6664" width="10.54296875" style="472" customWidth="1"/>
    <col min="6665" max="6665" width="1.453125" style="472" customWidth="1"/>
    <col min="6666" max="6666" width="1.7265625" style="472" customWidth="1"/>
    <col min="6667" max="6672" width="0" style="472" hidden="1" customWidth="1"/>
    <col min="6673" max="6673" width="10.1796875" style="472" customWidth="1"/>
    <col min="6674" max="6677" width="0" style="472" hidden="1" customWidth="1"/>
    <col min="6678" max="6678" width="9.1796875" style="472" customWidth="1"/>
    <col min="6679" max="6679" width="11.90625" style="472" customWidth="1"/>
    <col min="6680" max="6680" width="1.453125" style="472" customWidth="1"/>
    <col min="6681" max="6681" width="1.7265625" style="472" customWidth="1"/>
    <col min="6682" max="6692" width="0" style="472" hidden="1" customWidth="1"/>
    <col min="6693" max="6693" width="11.1796875" style="472" customWidth="1"/>
    <col min="6694" max="6695" width="0" style="472" hidden="1" customWidth="1"/>
    <col min="6696" max="6696" width="13" style="472" customWidth="1"/>
    <col min="6697" max="6699" width="0" style="472" hidden="1" customWidth="1"/>
    <col min="6700" max="6700" width="11.453125" style="472"/>
    <col min="6701" max="6701" width="12.453125" style="472" customWidth="1"/>
    <col min="6702" max="6703" width="10.7265625" style="472" customWidth="1"/>
    <col min="6704" max="6704" width="1.81640625" style="472" customWidth="1"/>
    <col min="6705" max="6705" width="2" style="472" customWidth="1"/>
    <col min="6706" max="6728" width="0" style="472" hidden="1" customWidth="1"/>
    <col min="6729" max="6729" width="13" style="472" customWidth="1"/>
    <col min="6730" max="6731" width="12.26953125" style="472" customWidth="1"/>
    <col min="6732" max="6912" width="11.453125" style="472"/>
    <col min="6913" max="6913" width="6.90625" style="472" customWidth="1"/>
    <col min="6914" max="6914" width="26.26953125" style="472" customWidth="1"/>
    <col min="6915" max="6915" width="8.26953125" style="472" customWidth="1"/>
    <col min="6916" max="6916" width="10.26953125" style="472" customWidth="1"/>
    <col min="6917" max="6917" width="11.1796875" style="472" customWidth="1"/>
    <col min="6918" max="6918" width="8.453125" style="472" customWidth="1"/>
    <col min="6919" max="6919" width="10.1796875" style="472" customWidth="1"/>
    <col min="6920" max="6920" width="10.54296875" style="472" customWidth="1"/>
    <col min="6921" max="6921" width="1.453125" style="472" customWidth="1"/>
    <col min="6922" max="6922" width="1.7265625" style="472" customWidth="1"/>
    <col min="6923" max="6928" width="0" style="472" hidden="1" customWidth="1"/>
    <col min="6929" max="6929" width="10.1796875" style="472" customWidth="1"/>
    <col min="6930" max="6933" width="0" style="472" hidden="1" customWidth="1"/>
    <col min="6934" max="6934" width="9.1796875" style="472" customWidth="1"/>
    <col min="6935" max="6935" width="11.90625" style="472" customWidth="1"/>
    <col min="6936" max="6936" width="1.453125" style="472" customWidth="1"/>
    <col min="6937" max="6937" width="1.7265625" style="472" customWidth="1"/>
    <col min="6938" max="6948" width="0" style="472" hidden="1" customWidth="1"/>
    <col min="6949" max="6949" width="11.1796875" style="472" customWidth="1"/>
    <col min="6950" max="6951" width="0" style="472" hidden="1" customWidth="1"/>
    <col min="6952" max="6952" width="13" style="472" customWidth="1"/>
    <col min="6953" max="6955" width="0" style="472" hidden="1" customWidth="1"/>
    <col min="6956" max="6956" width="11.453125" style="472"/>
    <col min="6957" max="6957" width="12.453125" style="472" customWidth="1"/>
    <col min="6958" max="6959" width="10.7265625" style="472" customWidth="1"/>
    <col min="6960" max="6960" width="1.81640625" style="472" customWidth="1"/>
    <col min="6961" max="6961" width="2" style="472" customWidth="1"/>
    <col min="6962" max="6984" width="0" style="472" hidden="1" customWidth="1"/>
    <col min="6985" max="6985" width="13" style="472" customWidth="1"/>
    <col min="6986" max="6987" width="12.26953125" style="472" customWidth="1"/>
    <col min="6988" max="7168" width="11.453125" style="472"/>
    <col min="7169" max="7169" width="6.90625" style="472" customWidth="1"/>
    <col min="7170" max="7170" width="26.26953125" style="472" customWidth="1"/>
    <col min="7171" max="7171" width="8.26953125" style="472" customWidth="1"/>
    <col min="7172" max="7172" width="10.26953125" style="472" customWidth="1"/>
    <col min="7173" max="7173" width="11.1796875" style="472" customWidth="1"/>
    <col min="7174" max="7174" width="8.453125" style="472" customWidth="1"/>
    <col min="7175" max="7175" width="10.1796875" style="472" customWidth="1"/>
    <col min="7176" max="7176" width="10.54296875" style="472" customWidth="1"/>
    <col min="7177" max="7177" width="1.453125" style="472" customWidth="1"/>
    <col min="7178" max="7178" width="1.7265625" style="472" customWidth="1"/>
    <col min="7179" max="7184" width="0" style="472" hidden="1" customWidth="1"/>
    <col min="7185" max="7185" width="10.1796875" style="472" customWidth="1"/>
    <col min="7186" max="7189" width="0" style="472" hidden="1" customWidth="1"/>
    <col min="7190" max="7190" width="9.1796875" style="472" customWidth="1"/>
    <col min="7191" max="7191" width="11.90625" style="472" customWidth="1"/>
    <col min="7192" max="7192" width="1.453125" style="472" customWidth="1"/>
    <col min="7193" max="7193" width="1.7265625" style="472" customWidth="1"/>
    <col min="7194" max="7204" width="0" style="472" hidden="1" customWidth="1"/>
    <col min="7205" max="7205" width="11.1796875" style="472" customWidth="1"/>
    <col min="7206" max="7207" width="0" style="472" hidden="1" customWidth="1"/>
    <col min="7208" max="7208" width="13" style="472" customWidth="1"/>
    <col min="7209" max="7211" width="0" style="472" hidden="1" customWidth="1"/>
    <col min="7212" max="7212" width="11.453125" style="472"/>
    <col min="7213" max="7213" width="12.453125" style="472" customWidth="1"/>
    <col min="7214" max="7215" width="10.7265625" style="472" customWidth="1"/>
    <col min="7216" max="7216" width="1.81640625" style="472" customWidth="1"/>
    <col min="7217" max="7217" width="2" style="472" customWidth="1"/>
    <col min="7218" max="7240" width="0" style="472" hidden="1" customWidth="1"/>
    <col min="7241" max="7241" width="13" style="472" customWidth="1"/>
    <col min="7242" max="7243" width="12.26953125" style="472" customWidth="1"/>
    <col min="7244" max="7424" width="11.453125" style="472"/>
    <col min="7425" max="7425" width="6.90625" style="472" customWidth="1"/>
    <col min="7426" max="7426" width="26.26953125" style="472" customWidth="1"/>
    <col min="7427" max="7427" width="8.26953125" style="472" customWidth="1"/>
    <col min="7428" max="7428" width="10.26953125" style="472" customWidth="1"/>
    <col min="7429" max="7429" width="11.1796875" style="472" customWidth="1"/>
    <col min="7430" max="7430" width="8.453125" style="472" customWidth="1"/>
    <col min="7431" max="7431" width="10.1796875" style="472" customWidth="1"/>
    <col min="7432" max="7432" width="10.54296875" style="472" customWidth="1"/>
    <col min="7433" max="7433" width="1.453125" style="472" customWidth="1"/>
    <col min="7434" max="7434" width="1.7265625" style="472" customWidth="1"/>
    <col min="7435" max="7440" width="0" style="472" hidden="1" customWidth="1"/>
    <col min="7441" max="7441" width="10.1796875" style="472" customWidth="1"/>
    <col min="7442" max="7445" width="0" style="472" hidden="1" customWidth="1"/>
    <col min="7446" max="7446" width="9.1796875" style="472" customWidth="1"/>
    <col min="7447" max="7447" width="11.90625" style="472" customWidth="1"/>
    <col min="7448" max="7448" width="1.453125" style="472" customWidth="1"/>
    <col min="7449" max="7449" width="1.7265625" style="472" customWidth="1"/>
    <col min="7450" max="7460" width="0" style="472" hidden="1" customWidth="1"/>
    <col min="7461" max="7461" width="11.1796875" style="472" customWidth="1"/>
    <col min="7462" max="7463" width="0" style="472" hidden="1" customWidth="1"/>
    <col min="7464" max="7464" width="13" style="472" customWidth="1"/>
    <col min="7465" max="7467" width="0" style="472" hidden="1" customWidth="1"/>
    <col min="7468" max="7468" width="11.453125" style="472"/>
    <col min="7469" max="7469" width="12.453125" style="472" customWidth="1"/>
    <col min="7470" max="7471" width="10.7265625" style="472" customWidth="1"/>
    <col min="7472" max="7472" width="1.81640625" style="472" customWidth="1"/>
    <col min="7473" max="7473" width="2" style="472" customWidth="1"/>
    <col min="7474" max="7496" width="0" style="472" hidden="1" customWidth="1"/>
    <col min="7497" max="7497" width="13" style="472" customWidth="1"/>
    <col min="7498" max="7499" width="12.26953125" style="472" customWidth="1"/>
    <col min="7500" max="7680" width="11.453125" style="472"/>
    <col min="7681" max="7681" width="6.90625" style="472" customWidth="1"/>
    <col min="7682" max="7682" width="26.26953125" style="472" customWidth="1"/>
    <col min="7683" max="7683" width="8.26953125" style="472" customWidth="1"/>
    <col min="7684" max="7684" width="10.26953125" style="472" customWidth="1"/>
    <col min="7685" max="7685" width="11.1796875" style="472" customWidth="1"/>
    <col min="7686" max="7686" width="8.453125" style="472" customWidth="1"/>
    <col min="7687" max="7687" width="10.1796875" style="472" customWidth="1"/>
    <col min="7688" max="7688" width="10.54296875" style="472" customWidth="1"/>
    <col min="7689" max="7689" width="1.453125" style="472" customWidth="1"/>
    <col min="7690" max="7690" width="1.7265625" style="472" customWidth="1"/>
    <col min="7691" max="7696" width="0" style="472" hidden="1" customWidth="1"/>
    <col min="7697" max="7697" width="10.1796875" style="472" customWidth="1"/>
    <col min="7698" max="7701" width="0" style="472" hidden="1" customWidth="1"/>
    <col min="7702" max="7702" width="9.1796875" style="472" customWidth="1"/>
    <col min="7703" max="7703" width="11.90625" style="472" customWidth="1"/>
    <col min="7704" max="7704" width="1.453125" style="472" customWidth="1"/>
    <col min="7705" max="7705" width="1.7265625" style="472" customWidth="1"/>
    <col min="7706" max="7716" width="0" style="472" hidden="1" customWidth="1"/>
    <col min="7717" max="7717" width="11.1796875" style="472" customWidth="1"/>
    <col min="7718" max="7719" width="0" style="472" hidden="1" customWidth="1"/>
    <col min="7720" max="7720" width="13" style="472" customWidth="1"/>
    <col min="7721" max="7723" width="0" style="472" hidden="1" customWidth="1"/>
    <col min="7724" max="7724" width="11.453125" style="472"/>
    <col min="7725" max="7725" width="12.453125" style="472" customWidth="1"/>
    <col min="7726" max="7727" width="10.7265625" style="472" customWidth="1"/>
    <col min="7728" max="7728" width="1.81640625" style="472" customWidth="1"/>
    <col min="7729" max="7729" width="2" style="472" customWidth="1"/>
    <col min="7730" max="7752" width="0" style="472" hidden="1" customWidth="1"/>
    <col min="7753" max="7753" width="13" style="472" customWidth="1"/>
    <col min="7754" max="7755" width="12.26953125" style="472" customWidth="1"/>
    <col min="7756" max="7936" width="11.453125" style="472"/>
    <col min="7937" max="7937" width="6.90625" style="472" customWidth="1"/>
    <col min="7938" max="7938" width="26.26953125" style="472" customWidth="1"/>
    <col min="7939" max="7939" width="8.26953125" style="472" customWidth="1"/>
    <col min="7940" max="7940" width="10.26953125" style="472" customWidth="1"/>
    <col min="7941" max="7941" width="11.1796875" style="472" customWidth="1"/>
    <col min="7942" max="7942" width="8.453125" style="472" customWidth="1"/>
    <col min="7943" max="7943" width="10.1796875" style="472" customWidth="1"/>
    <col min="7944" max="7944" width="10.54296875" style="472" customWidth="1"/>
    <col min="7945" max="7945" width="1.453125" style="472" customWidth="1"/>
    <col min="7946" max="7946" width="1.7265625" style="472" customWidth="1"/>
    <col min="7947" max="7952" width="0" style="472" hidden="1" customWidth="1"/>
    <col min="7953" max="7953" width="10.1796875" style="472" customWidth="1"/>
    <col min="7954" max="7957" width="0" style="472" hidden="1" customWidth="1"/>
    <col min="7958" max="7958" width="9.1796875" style="472" customWidth="1"/>
    <col min="7959" max="7959" width="11.90625" style="472" customWidth="1"/>
    <col min="7960" max="7960" width="1.453125" style="472" customWidth="1"/>
    <col min="7961" max="7961" width="1.7265625" style="472" customWidth="1"/>
    <col min="7962" max="7972" width="0" style="472" hidden="1" customWidth="1"/>
    <col min="7973" max="7973" width="11.1796875" style="472" customWidth="1"/>
    <col min="7974" max="7975" width="0" style="472" hidden="1" customWidth="1"/>
    <col min="7976" max="7976" width="13" style="472" customWidth="1"/>
    <col min="7977" max="7979" width="0" style="472" hidden="1" customWidth="1"/>
    <col min="7980" max="7980" width="11.453125" style="472"/>
    <col min="7981" max="7981" width="12.453125" style="472" customWidth="1"/>
    <col min="7982" max="7983" width="10.7265625" style="472" customWidth="1"/>
    <col min="7984" max="7984" width="1.81640625" style="472" customWidth="1"/>
    <col min="7985" max="7985" width="2" style="472" customWidth="1"/>
    <col min="7986" max="8008" width="0" style="472" hidden="1" customWidth="1"/>
    <col min="8009" max="8009" width="13" style="472" customWidth="1"/>
    <col min="8010" max="8011" width="12.26953125" style="472" customWidth="1"/>
    <col min="8012" max="8192" width="11.453125" style="472"/>
    <col min="8193" max="8193" width="6.90625" style="472" customWidth="1"/>
    <col min="8194" max="8194" width="26.26953125" style="472" customWidth="1"/>
    <col min="8195" max="8195" width="8.26953125" style="472" customWidth="1"/>
    <col min="8196" max="8196" width="10.26953125" style="472" customWidth="1"/>
    <col min="8197" max="8197" width="11.1796875" style="472" customWidth="1"/>
    <col min="8198" max="8198" width="8.453125" style="472" customWidth="1"/>
    <col min="8199" max="8199" width="10.1796875" style="472" customWidth="1"/>
    <col min="8200" max="8200" width="10.54296875" style="472" customWidth="1"/>
    <col min="8201" max="8201" width="1.453125" style="472" customWidth="1"/>
    <col min="8202" max="8202" width="1.7265625" style="472" customWidth="1"/>
    <col min="8203" max="8208" width="0" style="472" hidden="1" customWidth="1"/>
    <col min="8209" max="8209" width="10.1796875" style="472" customWidth="1"/>
    <col min="8210" max="8213" width="0" style="472" hidden="1" customWidth="1"/>
    <col min="8214" max="8214" width="9.1796875" style="472" customWidth="1"/>
    <col min="8215" max="8215" width="11.90625" style="472" customWidth="1"/>
    <col min="8216" max="8216" width="1.453125" style="472" customWidth="1"/>
    <col min="8217" max="8217" width="1.7265625" style="472" customWidth="1"/>
    <col min="8218" max="8228" width="0" style="472" hidden="1" customWidth="1"/>
    <col min="8229" max="8229" width="11.1796875" style="472" customWidth="1"/>
    <col min="8230" max="8231" width="0" style="472" hidden="1" customWidth="1"/>
    <col min="8232" max="8232" width="13" style="472" customWidth="1"/>
    <col min="8233" max="8235" width="0" style="472" hidden="1" customWidth="1"/>
    <col min="8236" max="8236" width="11.453125" style="472"/>
    <col min="8237" max="8237" width="12.453125" style="472" customWidth="1"/>
    <col min="8238" max="8239" width="10.7265625" style="472" customWidth="1"/>
    <col min="8240" max="8240" width="1.81640625" style="472" customWidth="1"/>
    <col min="8241" max="8241" width="2" style="472" customWidth="1"/>
    <col min="8242" max="8264" width="0" style="472" hidden="1" customWidth="1"/>
    <col min="8265" max="8265" width="13" style="472" customWidth="1"/>
    <col min="8266" max="8267" width="12.26953125" style="472" customWidth="1"/>
    <col min="8268" max="8448" width="11.453125" style="472"/>
    <col min="8449" max="8449" width="6.90625" style="472" customWidth="1"/>
    <col min="8450" max="8450" width="26.26953125" style="472" customWidth="1"/>
    <col min="8451" max="8451" width="8.26953125" style="472" customWidth="1"/>
    <col min="8452" max="8452" width="10.26953125" style="472" customWidth="1"/>
    <col min="8453" max="8453" width="11.1796875" style="472" customWidth="1"/>
    <col min="8454" max="8454" width="8.453125" style="472" customWidth="1"/>
    <col min="8455" max="8455" width="10.1796875" style="472" customWidth="1"/>
    <col min="8456" max="8456" width="10.54296875" style="472" customWidth="1"/>
    <col min="8457" max="8457" width="1.453125" style="472" customWidth="1"/>
    <col min="8458" max="8458" width="1.7265625" style="472" customWidth="1"/>
    <col min="8459" max="8464" width="0" style="472" hidden="1" customWidth="1"/>
    <col min="8465" max="8465" width="10.1796875" style="472" customWidth="1"/>
    <col min="8466" max="8469" width="0" style="472" hidden="1" customWidth="1"/>
    <col min="8470" max="8470" width="9.1796875" style="472" customWidth="1"/>
    <col min="8471" max="8471" width="11.90625" style="472" customWidth="1"/>
    <col min="8472" max="8472" width="1.453125" style="472" customWidth="1"/>
    <col min="8473" max="8473" width="1.7265625" style="472" customWidth="1"/>
    <col min="8474" max="8484" width="0" style="472" hidden="1" customWidth="1"/>
    <col min="8485" max="8485" width="11.1796875" style="472" customWidth="1"/>
    <col min="8486" max="8487" width="0" style="472" hidden="1" customWidth="1"/>
    <col min="8488" max="8488" width="13" style="472" customWidth="1"/>
    <col min="8489" max="8491" width="0" style="472" hidden="1" customWidth="1"/>
    <col min="8492" max="8492" width="11.453125" style="472"/>
    <col min="8493" max="8493" width="12.453125" style="472" customWidth="1"/>
    <col min="8494" max="8495" width="10.7265625" style="472" customWidth="1"/>
    <col min="8496" max="8496" width="1.81640625" style="472" customWidth="1"/>
    <col min="8497" max="8497" width="2" style="472" customWidth="1"/>
    <col min="8498" max="8520" width="0" style="472" hidden="1" customWidth="1"/>
    <col min="8521" max="8521" width="13" style="472" customWidth="1"/>
    <col min="8522" max="8523" width="12.26953125" style="472" customWidth="1"/>
    <col min="8524" max="8704" width="11.453125" style="472"/>
    <col min="8705" max="8705" width="6.90625" style="472" customWidth="1"/>
    <col min="8706" max="8706" width="26.26953125" style="472" customWidth="1"/>
    <col min="8707" max="8707" width="8.26953125" style="472" customWidth="1"/>
    <col min="8708" max="8708" width="10.26953125" style="472" customWidth="1"/>
    <col min="8709" max="8709" width="11.1796875" style="472" customWidth="1"/>
    <col min="8710" max="8710" width="8.453125" style="472" customWidth="1"/>
    <col min="8711" max="8711" width="10.1796875" style="472" customWidth="1"/>
    <col min="8712" max="8712" width="10.54296875" style="472" customWidth="1"/>
    <col min="8713" max="8713" width="1.453125" style="472" customWidth="1"/>
    <col min="8714" max="8714" width="1.7265625" style="472" customWidth="1"/>
    <col min="8715" max="8720" width="0" style="472" hidden="1" customWidth="1"/>
    <col min="8721" max="8721" width="10.1796875" style="472" customWidth="1"/>
    <col min="8722" max="8725" width="0" style="472" hidden="1" customWidth="1"/>
    <col min="8726" max="8726" width="9.1796875" style="472" customWidth="1"/>
    <col min="8727" max="8727" width="11.90625" style="472" customWidth="1"/>
    <col min="8728" max="8728" width="1.453125" style="472" customWidth="1"/>
    <col min="8729" max="8729" width="1.7265625" style="472" customWidth="1"/>
    <col min="8730" max="8740" width="0" style="472" hidden="1" customWidth="1"/>
    <col min="8741" max="8741" width="11.1796875" style="472" customWidth="1"/>
    <col min="8742" max="8743" width="0" style="472" hidden="1" customWidth="1"/>
    <col min="8744" max="8744" width="13" style="472" customWidth="1"/>
    <col min="8745" max="8747" width="0" style="472" hidden="1" customWidth="1"/>
    <col min="8748" max="8748" width="11.453125" style="472"/>
    <col min="8749" max="8749" width="12.453125" style="472" customWidth="1"/>
    <col min="8750" max="8751" width="10.7265625" style="472" customWidth="1"/>
    <col min="8752" max="8752" width="1.81640625" style="472" customWidth="1"/>
    <col min="8753" max="8753" width="2" style="472" customWidth="1"/>
    <col min="8754" max="8776" width="0" style="472" hidden="1" customWidth="1"/>
    <col min="8777" max="8777" width="13" style="472" customWidth="1"/>
    <col min="8778" max="8779" width="12.26953125" style="472" customWidth="1"/>
    <col min="8780" max="8960" width="11.453125" style="472"/>
    <col min="8961" max="8961" width="6.90625" style="472" customWidth="1"/>
    <col min="8962" max="8962" width="26.26953125" style="472" customWidth="1"/>
    <col min="8963" max="8963" width="8.26953125" style="472" customWidth="1"/>
    <col min="8964" max="8964" width="10.26953125" style="472" customWidth="1"/>
    <col min="8965" max="8965" width="11.1796875" style="472" customWidth="1"/>
    <col min="8966" max="8966" width="8.453125" style="472" customWidth="1"/>
    <col min="8967" max="8967" width="10.1796875" style="472" customWidth="1"/>
    <col min="8968" max="8968" width="10.54296875" style="472" customWidth="1"/>
    <col min="8969" max="8969" width="1.453125" style="472" customWidth="1"/>
    <col min="8970" max="8970" width="1.7265625" style="472" customWidth="1"/>
    <col min="8971" max="8976" width="0" style="472" hidden="1" customWidth="1"/>
    <col min="8977" max="8977" width="10.1796875" style="472" customWidth="1"/>
    <col min="8978" max="8981" width="0" style="472" hidden="1" customWidth="1"/>
    <col min="8982" max="8982" width="9.1796875" style="472" customWidth="1"/>
    <col min="8983" max="8983" width="11.90625" style="472" customWidth="1"/>
    <col min="8984" max="8984" width="1.453125" style="472" customWidth="1"/>
    <col min="8985" max="8985" width="1.7265625" style="472" customWidth="1"/>
    <col min="8986" max="8996" width="0" style="472" hidden="1" customWidth="1"/>
    <col min="8997" max="8997" width="11.1796875" style="472" customWidth="1"/>
    <col min="8998" max="8999" width="0" style="472" hidden="1" customWidth="1"/>
    <col min="9000" max="9000" width="13" style="472" customWidth="1"/>
    <col min="9001" max="9003" width="0" style="472" hidden="1" customWidth="1"/>
    <col min="9004" max="9004" width="11.453125" style="472"/>
    <col min="9005" max="9005" width="12.453125" style="472" customWidth="1"/>
    <col min="9006" max="9007" width="10.7265625" style="472" customWidth="1"/>
    <col min="9008" max="9008" width="1.81640625" style="472" customWidth="1"/>
    <col min="9009" max="9009" width="2" style="472" customWidth="1"/>
    <col min="9010" max="9032" width="0" style="472" hidden="1" customWidth="1"/>
    <col min="9033" max="9033" width="13" style="472" customWidth="1"/>
    <col min="9034" max="9035" width="12.26953125" style="472" customWidth="1"/>
    <col min="9036" max="9216" width="11.453125" style="472"/>
    <col min="9217" max="9217" width="6.90625" style="472" customWidth="1"/>
    <col min="9218" max="9218" width="26.26953125" style="472" customWidth="1"/>
    <col min="9219" max="9219" width="8.26953125" style="472" customWidth="1"/>
    <col min="9220" max="9220" width="10.26953125" style="472" customWidth="1"/>
    <col min="9221" max="9221" width="11.1796875" style="472" customWidth="1"/>
    <col min="9222" max="9222" width="8.453125" style="472" customWidth="1"/>
    <col min="9223" max="9223" width="10.1796875" style="472" customWidth="1"/>
    <col min="9224" max="9224" width="10.54296875" style="472" customWidth="1"/>
    <col min="9225" max="9225" width="1.453125" style="472" customWidth="1"/>
    <col min="9226" max="9226" width="1.7265625" style="472" customWidth="1"/>
    <col min="9227" max="9232" width="0" style="472" hidden="1" customWidth="1"/>
    <col min="9233" max="9233" width="10.1796875" style="472" customWidth="1"/>
    <col min="9234" max="9237" width="0" style="472" hidden="1" customWidth="1"/>
    <col min="9238" max="9238" width="9.1796875" style="472" customWidth="1"/>
    <col min="9239" max="9239" width="11.90625" style="472" customWidth="1"/>
    <col min="9240" max="9240" width="1.453125" style="472" customWidth="1"/>
    <col min="9241" max="9241" width="1.7265625" style="472" customWidth="1"/>
    <col min="9242" max="9252" width="0" style="472" hidden="1" customWidth="1"/>
    <col min="9253" max="9253" width="11.1796875" style="472" customWidth="1"/>
    <col min="9254" max="9255" width="0" style="472" hidden="1" customWidth="1"/>
    <col min="9256" max="9256" width="13" style="472" customWidth="1"/>
    <col min="9257" max="9259" width="0" style="472" hidden="1" customWidth="1"/>
    <col min="9260" max="9260" width="11.453125" style="472"/>
    <col min="9261" max="9261" width="12.453125" style="472" customWidth="1"/>
    <col min="9262" max="9263" width="10.7265625" style="472" customWidth="1"/>
    <col min="9264" max="9264" width="1.81640625" style="472" customWidth="1"/>
    <col min="9265" max="9265" width="2" style="472" customWidth="1"/>
    <col min="9266" max="9288" width="0" style="472" hidden="1" customWidth="1"/>
    <col min="9289" max="9289" width="13" style="472" customWidth="1"/>
    <col min="9290" max="9291" width="12.26953125" style="472" customWidth="1"/>
    <col min="9292" max="9472" width="11.453125" style="472"/>
    <col min="9473" max="9473" width="6.90625" style="472" customWidth="1"/>
    <col min="9474" max="9474" width="26.26953125" style="472" customWidth="1"/>
    <col min="9475" max="9475" width="8.26953125" style="472" customWidth="1"/>
    <col min="9476" max="9476" width="10.26953125" style="472" customWidth="1"/>
    <col min="9477" max="9477" width="11.1796875" style="472" customWidth="1"/>
    <col min="9478" max="9478" width="8.453125" style="472" customWidth="1"/>
    <col min="9479" max="9479" width="10.1796875" style="472" customWidth="1"/>
    <col min="9480" max="9480" width="10.54296875" style="472" customWidth="1"/>
    <col min="9481" max="9481" width="1.453125" style="472" customWidth="1"/>
    <col min="9482" max="9482" width="1.7265625" style="472" customWidth="1"/>
    <col min="9483" max="9488" width="0" style="472" hidden="1" customWidth="1"/>
    <col min="9489" max="9489" width="10.1796875" style="472" customWidth="1"/>
    <col min="9490" max="9493" width="0" style="472" hidden="1" customWidth="1"/>
    <col min="9494" max="9494" width="9.1796875" style="472" customWidth="1"/>
    <col min="9495" max="9495" width="11.90625" style="472" customWidth="1"/>
    <col min="9496" max="9496" width="1.453125" style="472" customWidth="1"/>
    <col min="9497" max="9497" width="1.7265625" style="472" customWidth="1"/>
    <col min="9498" max="9508" width="0" style="472" hidden="1" customWidth="1"/>
    <col min="9509" max="9509" width="11.1796875" style="472" customWidth="1"/>
    <col min="9510" max="9511" width="0" style="472" hidden="1" customWidth="1"/>
    <col min="9512" max="9512" width="13" style="472" customWidth="1"/>
    <col min="9513" max="9515" width="0" style="472" hidden="1" customWidth="1"/>
    <col min="9516" max="9516" width="11.453125" style="472"/>
    <col min="9517" max="9517" width="12.453125" style="472" customWidth="1"/>
    <col min="9518" max="9519" width="10.7265625" style="472" customWidth="1"/>
    <col min="9520" max="9520" width="1.81640625" style="472" customWidth="1"/>
    <col min="9521" max="9521" width="2" style="472" customWidth="1"/>
    <col min="9522" max="9544" width="0" style="472" hidden="1" customWidth="1"/>
    <col min="9545" max="9545" width="13" style="472" customWidth="1"/>
    <col min="9546" max="9547" width="12.26953125" style="472" customWidth="1"/>
    <col min="9548" max="9728" width="11.453125" style="472"/>
    <col min="9729" max="9729" width="6.90625" style="472" customWidth="1"/>
    <col min="9730" max="9730" width="26.26953125" style="472" customWidth="1"/>
    <col min="9731" max="9731" width="8.26953125" style="472" customWidth="1"/>
    <col min="9732" max="9732" width="10.26953125" style="472" customWidth="1"/>
    <col min="9733" max="9733" width="11.1796875" style="472" customWidth="1"/>
    <col min="9734" max="9734" width="8.453125" style="472" customWidth="1"/>
    <col min="9735" max="9735" width="10.1796875" style="472" customWidth="1"/>
    <col min="9736" max="9736" width="10.54296875" style="472" customWidth="1"/>
    <col min="9737" max="9737" width="1.453125" style="472" customWidth="1"/>
    <col min="9738" max="9738" width="1.7265625" style="472" customWidth="1"/>
    <col min="9739" max="9744" width="0" style="472" hidden="1" customWidth="1"/>
    <col min="9745" max="9745" width="10.1796875" style="472" customWidth="1"/>
    <col min="9746" max="9749" width="0" style="472" hidden="1" customWidth="1"/>
    <col min="9750" max="9750" width="9.1796875" style="472" customWidth="1"/>
    <col min="9751" max="9751" width="11.90625" style="472" customWidth="1"/>
    <col min="9752" max="9752" width="1.453125" style="472" customWidth="1"/>
    <col min="9753" max="9753" width="1.7265625" style="472" customWidth="1"/>
    <col min="9754" max="9764" width="0" style="472" hidden="1" customWidth="1"/>
    <col min="9765" max="9765" width="11.1796875" style="472" customWidth="1"/>
    <col min="9766" max="9767" width="0" style="472" hidden="1" customWidth="1"/>
    <col min="9768" max="9768" width="13" style="472" customWidth="1"/>
    <col min="9769" max="9771" width="0" style="472" hidden="1" customWidth="1"/>
    <col min="9772" max="9772" width="11.453125" style="472"/>
    <col min="9773" max="9773" width="12.453125" style="472" customWidth="1"/>
    <col min="9774" max="9775" width="10.7265625" style="472" customWidth="1"/>
    <col min="9776" max="9776" width="1.81640625" style="472" customWidth="1"/>
    <col min="9777" max="9777" width="2" style="472" customWidth="1"/>
    <col min="9778" max="9800" width="0" style="472" hidden="1" customWidth="1"/>
    <col min="9801" max="9801" width="13" style="472" customWidth="1"/>
    <col min="9802" max="9803" width="12.26953125" style="472" customWidth="1"/>
    <col min="9804" max="9984" width="11.453125" style="472"/>
    <col min="9985" max="9985" width="6.90625" style="472" customWidth="1"/>
    <col min="9986" max="9986" width="26.26953125" style="472" customWidth="1"/>
    <col min="9987" max="9987" width="8.26953125" style="472" customWidth="1"/>
    <col min="9988" max="9988" width="10.26953125" style="472" customWidth="1"/>
    <col min="9989" max="9989" width="11.1796875" style="472" customWidth="1"/>
    <col min="9990" max="9990" width="8.453125" style="472" customWidth="1"/>
    <col min="9991" max="9991" width="10.1796875" style="472" customWidth="1"/>
    <col min="9992" max="9992" width="10.54296875" style="472" customWidth="1"/>
    <col min="9993" max="9993" width="1.453125" style="472" customWidth="1"/>
    <col min="9994" max="9994" width="1.7265625" style="472" customWidth="1"/>
    <col min="9995" max="10000" width="0" style="472" hidden="1" customWidth="1"/>
    <col min="10001" max="10001" width="10.1796875" style="472" customWidth="1"/>
    <col min="10002" max="10005" width="0" style="472" hidden="1" customWidth="1"/>
    <col min="10006" max="10006" width="9.1796875" style="472" customWidth="1"/>
    <col min="10007" max="10007" width="11.90625" style="472" customWidth="1"/>
    <col min="10008" max="10008" width="1.453125" style="472" customWidth="1"/>
    <col min="10009" max="10009" width="1.7265625" style="472" customWidth="1"/>
    <col min="10010" max="10020" width="0" style="472" hidden="1" customWidth="1"/>
    <col min="10021" max="10021" width="11.1796875" style="472" customWidth="1"/>
    <col min="10022" max="10023" width="0" style="472" hidden="1" customWidth="1"/>
    <col min="10024" max="10024" width="13" style="472" customWidth="1"/>
    <col min="10025" max="10027" width="0" style="472" hidden="1" customWidth="1"/>
    <col min="10028" max="10028" width="11.453125" style="472"/>
    <col min="10029" max="10029" width="12.453125" style="472" customWidth="1"/>
    <col min="10030" max="10031" width="10.7265625" style="472" customWidth="1"/>
    <col min="10032" max="10032" width="1.81640625" style="472" customWidth="1"/>
    <col min="10033" max="10033" width="2" style="472" customWidth="1"/>
    <col min="10034" max="10056" width="0" style="472" hidden="1" customWidth="1"/>
    <col min="10057" max="10057" width="13" style="472" customWidth="1"/>
    <col min="10058" max="10059" width="12.26953125" style="472" customWidth="1"/>
    <col min="10060" max="10240" width="11.453125" style="472"/>
    <col min="10241" max="10241" width="6.90625" style="472" customWidth="1"/>
    <col min="10242" max="10242" width="26.26953125" style="472" customWidth="1"/>
    <col min="10243" max="10243" width="8.26953125" style="472" customWidth="1"/>
    <col min="10244" max="10244" width="10.26953125" style="472" customWidth="1"/>
    <col min="10245" max="10245" width="11.1796875" style="472" customWidth="1"/>
    <col min="10246" max="10246" width="8.453125" style="472" customWidth="1"/>
    <col min="10247" max="10247" width="10.1796875" style="472" customWidth="1"/>
    <col min="10248" max="10248" width="10.54296875" style="472" customWidth="1"/>
    <col min="10249" max="10249" width="1.453125" style="472" customWidth="1"/>
    <col min="10250" max="10250" width="1.7265625" style="472" customWidth="1"/>
    <col min="10251" max="10256" width="0" style="472" hidden="1" customWidth="1"/>
    <col min="10257" max="10257" width="10.1796875" style="472" customWidth="1"/>
    <col min="10258" max="10261" width="0" style="472" hidden="1" customWidth="1"/>
    <col min="10262" max="10262" width="9.1796875" style="472" customWidth="1"/>
    <col min="10263" max="10263" width="11.90625" style="472" customWidth="1"/>
    <col min="10264" max="10264" width="1.453125" style="472" customWidth="1"/>
    <col min="10265" max="10265" width="1.7265625" style="472" customWidth="1"/>
    <col min="10266" max="10276" width="0" style="472" hidden="1" customWidth="1"/>
    <col min="10277" max="10277" width="11.1796875" style="472" customWidth="1"/>
    <col min="10278" max="10279" width="0" style="472" hidden="1" customWidth="1"/>
    <col min="10280" max="10280" width="13" style="472" customWidth="1"/>
    <col min="10281" max="10283" width="0" style="472" hidden="1" customWidth="1"/>
    <col min="10284" max="10284" width="11.453125" style="472"/>
    <col min="10285" max="10285" width="12.453125" style="472" customWidth="1"/>
    <col min="10286" max="10287" width="10.7265625" style="472" customWidth="1"/>
    <col min="10288" max="10288" width="1.81640625" style="472" customWidth="1"/>
    <col min="10289" max="10289" width="2" style="472" customWidth="1"/>
    <col min="10290" max="10312" width="0" style="472" hidden="1" customWidth="1"/>
    <col min="10313" max="10313" width="13" style="472" customWidth="1"/>
    <col min="10314" max="10315" width="12.26953125" style="472" customWidth="1"/>
    <col min="10316" max="10496" width="11.453125" style="472"/>
    <col min="10497" max="10497" width="6.90625" style="472" customWidth="1"/>
    <col min="10498" max="10498" width="26.26953125" style="472" customWidth="1"/>
    <col min="10499" max="10499" width="8.26953125" style="472" customWidth="1"/>
    <col min="10500" max="10500" width="10.26953125" style="472" customWidth="1"/>
    <col min="10501" max="10501" width="11.1796875" style="472" customWidth="1"/>
    <col min="10502" max="10502" width="8.453125" style="472" customWidth="1"/>
    <col min="10503" max="10503" width="10.1796875" style="472" customWidth="1"/>
    <col min="10504" max="10504" width="10.54296875" style="472" customWidth="1"/>
    <col min="10505" max="10505" width="1.453125" style="472" customWidth="1"/>
    <col min="10506" max="10506" width="1.7265625" style="472" customWidth="1"/>
    <col min="10507" max="10512" width="0" style="472" hidden="1" customWidth="1"/>
    <col min="10513" max="10513" width="10.1796875" style="472" customWidth="1"/>
    <col min="10514" max="10517" width="0" style="472" hidden="1" customWidth="1"/>
    <col min="10518" max="10518" width="9.1796875" style="472" customWidth="1"/>
    <col min="10519" max="10519" width="11.90625" style="472" customWidth="1"/>
    <col min="10520" max="10520" width="1.453125" style="472" customWidth="1"/>
    <col min="10521" max="10521" width="1.7265625" style="472" customWidth="1"/>
    <col min="10522" max="10532" width="0" style="472" hidden="1" customWidth="1"/>
    <col min="10533" max="10533" width="11.1796875" style="472" customWidth="1"/>
    <col min="10534" max="10535" width="0" style="472" hidden="1" customWidth="1"/>
    <col min="10536" max="10536" width="13" style="472" customWidth="1"/>
    <col min="10537" max="10539" width="0" style="472" hidden="1" customWidth="1"/>
    <col min="10540" max="10540" width="11.453125" style="472"/>
    <col min="10541" max="10541" width="12.453125" style="472" customWidth="1"/>
    <col min="10542" max="10543" width="10.7265625" style="472" customWidth="1"/>
    <col min="10544" max="10544" width="1.81640625" style="472" customWidth="1"/>
    <col min="10545" max="10545" width="2" style="472" customWidth="1"/>
    <col min="10546" max="10568" width="0" style="472" hidden="1" customWidth="1"/>
    <col min="10569" max="10569" width="13" style="472" customWidth="1"/>
    <col min="10570" max="10571" width="12.26953125" style="472" customWidth="1"/>
    <col min="10572" max="10752" width="11.453125" style="472"/>
    <col min="10753" max="10753" width="6.90625" style="472" customWidth="1"/>
    <col min="10754" max="10754" width="26.26953125" style="472" customWidth="1"/>
    <col min="10755" max="10755" width="8.26953125" style="472" customWidth="1"/>
    <col min="10756" max="10756" width="10.26953125" style="472" customWidth="1"/>
    <col min="10757" max="10757" width="11.1796875" style="472" customWidth="1"/>
    <col min="10758" max="10758" width="8.453125" style="472" customWidth="1"/>
    <col min="10759" max="10759" width="10.1796875" style="472" customWidth="1"/>
    <col min="10760" max="10760" width="10.54296875" style="472" customWidth="1"/>
    <col min="10761" max="10761" width="1.453125" style="472" customWidth="1"/>
    <col min="10762" max="10762" width="1.7265625" style="472" customWidth="1"/>
    <col min="10763" max="10768" width="0" style="472" hidden="1" customWidth="1"/>
    <col min="10769" max="10769" width="10.1796875" style="472" customWidth="1"/>
    <col min="10770" max="10773" width="0" style="472" hidden="1" customWidth="1"/>
    <col min="10774" max="10774" width="9.1796875" style="472" customWidth="1"/>
    <col min="10775" max="10775" width="11.90625" style="472" customWidth="1"/>
    <col min="10776" max="10776" width="1.453125" style="472" customWidth="1"/>
    <col min="10777" max="10777" width="1.7265625" style="472" customWidth="1"/>
    <col min="10778" max="10788" width="0" style="472" hidden="1" customWidth="1"/>
    <col min="10789" max="10789" width="11.1796875" style="472" customWidth="1"/>
    <col min="10790" max="10791" width="0" style="472" hidden="1" customWidth="1"/>
    <col min="10792" max="10792" width="13" style="472" customWidth="1"/>
    <col min="10793" max="10795" width="0" style="472" hidden="1" customWidth="1"/>
    <col min="10796" max="10796" width="11.453125" style="472"/>
    <col min="10797" max="10797" width="12.453125" style="472" customWidth="1"/>
    <col min="10798" max="10799" width="10.7265625" style="472" customWidth="1"/>
    <col min="10800" max="10800" width="1.81640625" style="472" customWidth="1"/>
    <col min="10801" max="10801" width="2" style="472" customWidth="1"/>
    <col min="10802" max="10824" width="0" style="472" hidden="1" customWidth="1"/>
    <col min="10825" max="10825" width="13" style="472" customWidth="1"/>
    <col min="10826" max="10827" width="12.26953125" style="472" customWidth="1"/>
    <col min="10828" max="11008" width="11.453125" style="472"/>
    <col min="11009" max="11009" width="6.90625" style="472" customWidth="1"/>
    <col min="11010" max="11010" width="26.26953125" style="472" customWidth="1"/>
    <col min="11011" max="11011" width="8.26953125" style="472" customWidth="1"/>
    <col min="11012" max="11012" width="10.26953125" style="472" customWidth="1"/>
    <col min="11013" max="11013" width="11.1796875" style="472" customWidth="1"/>
    <col min="11014" max="11014" width="8.453125" style="472" customWidth="1"/>
    <col min="11015" max="11015" width="10.1796875" style="472" customWidth="1"/>
    <col min="11016" max="11016" width="10.54296875" style="472" customWidth="1"/>
    <col min="11017" max="11017" width="1.453125" style="472" customWidth="1"/>
    <col min="11018" max="11018" width="1.7265625" style="472" customWidth="1"/>
    <col min="11019" max="11024" width="0" style="472" hidden="1" customWidth="1"/>
    <col min="11025" max="11025" width="10.1796875" style="472" customWidth="1"/>
    <col min="11026" max="11029" width="0" style="472" hidden="1" customWidth="1"/>
    <col min="11030" max="11030" width="9.1796875" style="472" customWidth="1"/>
    <col min="11031" max="11031" width="11.90625" style="472" customWidth="1"/>
    <col min="11032" max="11032" width="1.453125" style="472" customWidth="1"/>
    <col min="11033" max="11033" width="1.7265625" style="472" customWidth="1"/>
    <col min="11034" max="11044" width="0" style="472" hidden="1" customWidth="1"/>
    <col min="11045" max="11045" width="11.1796875" style="472" customWidth="1"/>
    <col min="11046" max="11047" width="0" style="472" hidden="1" customWidth="1"/>
    <col min="11048" max="11048" width="13" style="472" customWidth="1"/>
    <col min="11049" max="11051" width="0" style="472" hidden="1" customWidth="1"/>
    <col min="11052" max="11052" width="11.453125" style="472"/>
    <col min="11053" max="11053" width="12.453125" style="472" customWidth="1"/>
    <col min="11054" max="11055" width="10.7265625" style="472" customWidth="1"/>
    <col min="11056" max="11056" width="1.81640625" style="472" customWidth="1"/>
    <col min="11057" max="11057" width="2" style="472" customWidth="1"/>
    <col min="11058" max="11080" width="0" style="472" hidden="1" customWidth="1"/>
    <col min="11081" max="11081" width="13" style="472" customWidth="1"/>
    <col min="11082" max="11083" width="12.26953125" style="472" customWidth="1"/>
    <col min="11084" max="11264" width="11.453125" style="472"/>
    <col min="11265" max="11265" width="6.90625" style="472" customWidth="1"/>
    <col min="11266" max="11266" width="26.26953125" style="472" customWidth="1"/>
    <col min="11267" max="11267" width="8.26953125" style="472" customWidth="1"/>
    <col min="11268" max="11268" width="10.26953125" style="472" customWidth="1"/>
    <col min="11269" max="11269" width="11.1796875" style="472" customWidth="1"/>
    <col min="11270" max="11270" width="8.453125" style="472" customWidth="1"/>
    <col min="11271" max="11271" width="10.1796875" style="472" customWidth="1"/>
    <col min="11272" max="11272" width="10.54296875" style="472" customWidth="1"/>
    <col min="11273" max="11273" width="1.453125" style="472" customWidth="1"/>
    <col min="11274" max="11274" width="1.7265625" style="472" customWidth="1"/>
    <col min="11275" max="11280" width="0" style="472" hidden="1" customWidth="1"/>
    <col min="11281" max="11281" width="10.1796875" style="472" customWidth="1"/>
    <col min="11282" max="11285" width="0" style="472" hidden="1" customWidth="1"/>
    <col min="11286" max="11286" width="9.1796875" style="472" customWidth="1"/>
    <col min="11287" max="11287" width="11.90625" style="472" customWidth="1"/>
    <col min="11288" max="11288" width="1.453125" style="472" customWidth="1"/>
    <col min="11289" max="11289" width="1.7265625" style="472" customWidth="1"/>
    <col min="11290" max="11300" width="0" style="472" hidden="1" customWidth="1"/>
    <col min="11301" max="11301" width="11.1796875" style="472" customWidth="1"/>
    <col min="11302" max="11303" width="0" style="472" hidden="1" customWidth="1"/>
    <col min="11304" max="11304" width="13" style="472" customWidth="1"/>
    <col min="11305" max="11307" width="0" style="472" hidden="1" customWidth="1"/>
    <col min="11308" max="11308" width="11.453125" style="472"/>
    <col min="11309" max="11309" width="12.453125" style="472" customWidth="1"/>
    <col min="11310" max="11311" width="10.7265625" style="472" customWidth="1"/>
    <col min="11312" max="11312" width="1.81640625" style="472" customWidth="1"/>
    <col min="11313" max="11313" width="2" style="472" customWidth="1"/>
    <col min="11314" max="11336" width="0" style="472" hidden="1" customWidth="1"/>
    <col min="11337" max="11337" width="13" style="472" customWidth="1"/>
    <col min="11338" max="11339" width="12.26953125" style="472" customWidth="1"/>
    <col min="11340" max="11520" width="11.453125" style="472"/>
    <col min="11521" max="11521" width="6.90625" style="472" customWidth="1"/>
    <col min="11522" max="11522" width="26.26953125" style="472" customWidth="1"/>
    <col min="11523" max="11523" width="8.26953125" style="472" customWidth="1"/>
    <col min="11524" max="11524" width="10.26953125" style="472" customWidth="1"/>
    <col min="11525" max="11525" width="11.1796875" style="472" customWidth="1"/>
    <col min="11526" max="11526" width="8.453125" style="472" customWidth="1"/>
    <col min="11527" max="11527" width="10.1796875" style="472" customWidth="1"/>
    <col min="11528" max="11528" width="10.54296875" style="472" customWidth="1"/>
    <col min="11529" max="11529" width="1.453125" style="472" customWidth="1"/>
    <col min="11530" max="11530" width="1.7265625" style="472" customWidth="1"/>
    <col min="11531" max="11536" width="0" style="472" hidden="1" customWidth="1"/>
    <col min="11537" max="11537" width="10.1796875" style="472" customWidth="1"/>
    <col min="11538" max="11541" width="0" style="472" hidden="1" customWidth="1"/>
    <col min="11542" max="11542" width="9.1796875" style="472" customWidth="1"/>
    <col min="11543" max="11543" width="11.90625" style="472" customWidth="1"/>
    <col min="11544" max="11544" width="1.453125" style="472" customWidth="1"/>
    <col min="11545" max="11545" width="1.7265625" style="472" customWidth="1"/>
    <col min="11546" max="11556" width="0" style="472" hidden="1" customWidth="1"/>
    <col min="11557" max="11557" width="11.1796875" style="472" customWidth="1"/>
    <col min="11558" max="11559" width="0" style="472" hidden="1" customWidth="1"/>
    <col min="11560" max="11560" width="13" style="472" customWidth="1"/>
    <col min="11561" max="11563" width="0" style="472" hidden="1" customWidth="1"/>
    <col min="11564" max="11564" width="11.453125" style="472"/>
    <col min="11565" max="11565" width="12.453125" style="472" customWidth="1"/>
    <col min="11566" max="11567" width="10.7265625" style="472" customWidth="1"/>
    <col min="11568" max="11568" width="1.81640625" style="472" customWidth="1"/>
    <col min="11569" max="11569" width="2" style="472" customWidth="1"/>
    <col min="11570" max="11592" width="0" style="472" hidden="1" customWidth="1"/>
    <col min="11593" max="11593" width="13" style="472" customWidth="1"/>
    <col min="11594" max="11595" width="12.26953125" style="472" customWidth="1"/>
    <col min="11596" max="11776" width="11.453125" style="472"/>
    <col min="11777" max="11777" width="6.90625" style="472" customWidth="1"/>
    <col min="11778" max="11778" width="26.26953125" style="472" customWidth="1"/>
    <col min="11779" max="11779" width="8.26953125" style="472" customWidth="1"/>
    <col min="11780" max="11780" width="10.26953125" style="472" customWidth="1"/>
    <col min="11781" max="11781" width="11.1796875" style="472" customWidth="1"/>
    <col min="11782" max="11782" width="8.453125" style="472" customWidth="1"/>
    <col min="11783" max="11783" width="10.1796875" style="472" customWidth="1"/>
    <col min="11784" max="11784" width="10.54296875" style="472" customWidth="1"/>
    <col min="11785" max="11785" width="1.453125" style="472" customWidth="1"/>
    <col min="11786" max="11786" width="1.7265625" style="472" customWidth="1"/>
    <col min="11787" max="11792" width="0" style="472" hidden="1" customWidth="1"/>
    <col min="11793" max="11793" width="10.1796875" style="472" customWidth="1"/>
    <col min="11794" max="11797" width="0" style="472" hidden="1" customWidth="1"/>
    <col min="11798" max="11798" width="9.1796875" style="472" customWidth="1"/>
    <col min="11799" max="11799" width="11.90625" style="472" customWidth="1"/>
    <col min="11800" max="11800" width="1.453125" style="472" customWidth="1"/>
    <col min="11801" max="11801" width="1.7265625" style="472" customWidth="1"/>
    <col min="11802" max="11812" width="0" style="472" hidden="1" customWidth="1"/>
    <col min="11813" max="11813" width="11.1796875" style="472" customWidth="1"/>
    <col min="11814" max="11815" width="0" style="472" hidden="1" customWidth="1"/>
    <col min="11816" max="11816" width="13" style="472" customWidth="1"/>
    <col min="11817" max="11819" width="0" style="472" hidden="1" customWidth="1"/>
    <col min="11820" max="11820" width="11.453125" style="472"/>
    <col min="11821" max="11821" width="12.453125" style="472" customWidth="1"/>
    <col min="11822" max="11823" width="10.7265625" style="472" customWidth="1"/>
    <col min="11824" max="11824" width="1.81640625" style="472" customWidth="1"/>
    <col min="11825" max="11825" width="2" style="472" customWidth="1"/>
    <col min="11826" max="11848" width="0" style="472" hidden="1" customWidth="1"/>
    <col min="11849" max="11849" width="13" style="472" customWidth="1"/>
    <col min="11850" max="11851" width="12.26953125" style="472" customWidth="1"/>
    <col min="11852" max="12032" width="11.453125" style="472"/>
    <col min="12033" max="12033" width="6.90625" style="472" customWidth="1"/>
    <col min="12034" max="12034" width="26.26953125" style="472" customWidth="1"/>
    <col min="12035" max="12035" width="8.26953125" style="472" customWidth="1"/>
    <col min="12036" max="12036" width="10.26953125" style="472" customWidth="1"/>
    <col min="12037" max="12037" width="11.1796875" style="472" customWidth="1"/>
    <col min="12038" max="12038" width="8.453125" style="472" customWidth="1"/>
    <col min="12039" max="12039" width="10.1796875" style="472" customWidth="1"/>
    <col min="12040" max="12040" width="10.54296875" style="472" customWidth="1"/>
    <col min="12041" max="12041" width="1.453125" style="472" customWidth="1"/>
    <col min="12042" max="12042" width="1.7265625" style="472" customWidth="1"/>
    <col min="12043" max="12048" width="0" style="472" hidden="1" customWidth="1"/>
    <col min="12049" max="12049" width="10.1796875" style="472" customWidth="1"/>
    <col min="12050" max="12053" width="0" style="472" hidden="1" customWidth="1"/>
    <col min="12054" max="12054" width="9.1796875" style="472" customWidth="1"/>
    <col min="12055" max="12055" width="11.90625" style="472" customWidth="1"/>
    <col min="12056" max="12056" width="1.453125" style="472" customWidth="1"/>
    <col min="12057" max="12057" width="1.7265625" style="472" customWidth="1"/>
    <col min="12058" max="12068" width="0" style="472" hidden="1" customWidth="1"/>
    <col min="12069" max="12069" width="11.1796875" style="472" customWidth="1"/>
    <col min="12070" max="12071" width="0" style="472" hidden="1" customWidth="1"/>
    <col min="12072" max="12072" width="13" style="472" customWidth="1"/>
    <col min="12073" max="12075" width="0" style="472" hidden="1" customWidth="1"/>
    <col min="12076" max="12076" width="11.453125" style="472"/>
    <col min="12077" max="12077" width="12.453125" style="472" customWidth="1"/>
    <col min="12078" max="12079" width="10.7265625" style="472" customWidth="1"/>
    <col min="12080" max="12080" width="1.81640625" style="472" customWidth="1"/>
    <col min="12081" max="12081" width="2" style="472" customWidth="1"/>
    <col min="12082" max="12104" width="0" style="472" hidden="1" customWidth="1"/>
    <col min="12105" max="12105" width="13" style="472" customWidth="1"/>
    <col min="12106" max="12107" width="12.26953125" style="472" customWidth="1"/>
    <col min="12108" max="12288" width="11.453125" style="472"/>
    <col min="12289" max="12289" width="6.90625" style="472" customWidth="1"/>
    <col min="12290" max="12290" width="26.26953125" style="472" customWidth="1"/>
    <col min="12291" max="12291" width="8.26953125" style="472" customWidth="1"/>
    <col min="12292" max="12292" width="10.26953125" style="472" customWidth="1"/>
    <col min="12293" max="12293" width="11.1796875" style="472" customWidth="1"/>
    <col min="12294" max="12294" width="8.453125" style="472" customWidth="1"/>
    <col min="12295" max="12295" width="10.1796875" style="472" customWidth="1"/>
    <col min="12296" max="12296" width="10.54296875" style="472" customWidth="1"/>
    <col min="12297" max="12297" width="1.453125" style="472" customWidth="1"/>
    <col min="12298" max="12298" width="1.7265625" style="472" customWidth="1"/>
    <col min="12299" max="12304" width="0" style="472" hidden="1" customWidth="1"/>
    <col min="12305" max="12305" width="10.1796875" style="472" customWidth="1"/>
    <col min="12306" max="12309" width="0" style="472" hidden="1" customWidth="1"/>
    <col min="12310" max="12310" width="9.1796875" style="472" customWidth="1"/>
    <col min="12311" max="12311" width="11.90625" style="472" customWidth="1"/>
    <col min="12312" max="12312" width="1.453125" style="472" customWidth="1"/>
    <col min="12313" max="12313" width="1.7265625" style="472" customWidth="1"/>
    <col min="12314" max="12324" width="0" style="472" hidden="1" customWidth="1"/>
    <col min="12325" max="12325" width="11.1796875" style="472" customWidth="1"/>
    <col min="12326" max="12327" width="0" style="472" hidden="1" customWidth="1"/>
    <col min="12328" max="12328" width="13" style="472" customWidth="1"/>
    <col min="12329" max="12331" width="0" style="472" hidden="1" customWidth="1"/>
    <col min="12332" max="12332" width="11.453125" style="472"/>
    <col min="12333" max="12333" width="12.453125" style="472" customWidth="1"/>
    <col min="12334" max="12335" width="10.7265625" style="472" customWidth="1"/>
    <col min="12336" max="12336" width="1.81640625" style="472" customWidth="1"/>
    <col min="12337" max="12337" width="2" style="472" customWidth="1"/>
    <col min="12338" max="12360" width="0" style="472" hidden="1" customWidth="1"/>
    <col min="12361" max="12361" width="13" style="472" customWidth="1"/>
    <col min="12362" max="12363" width="12.26953125" style="472" customWidth="1"/>
    <col min="12364" max="12544" width="11.453125" style="472"/>
    <col min="12545" max="12545" width="6.90625" style="472" customWidth="1"/>
    <col min="12546" max="12546" width="26.26953125" style="472" customWidth="1"/>
    <col min="12547" max="12547" width="8.26953125" style="472" customWidth="1"/>
    <col min="12548" max="12548" width="10.26953125" style="472" customWidth="1"/>
    <col min="12549" max="12549" width="11.1796875" style="472" customWidth="1"/>
    <col min="12550" max="12550" width="8.453125" style="472" customWidth="1"/>
    <col min="12551" max="12551" width="10.1796875" style="472" customWidth="1"/>
    <col min="12552" max="12552" width="10.54296875" style="472" customWidth="1"/>
    <col min="12553" max="12553" width="1.453125" style="472" customWidth="1"/>
    <col min="12554" max="12554" width="1.7265625" style="472" customWidth="1"/>
    <col min="12555" max="12560" width="0" style="472" hidden="1" customWidth="1"/>
    <col min="12561" max="12561" width="10.1796875" style="472" customWidth="1"/>
    <col min="12562" max="12565" width="0" style="472" hidden="1" customWidth="1"/>
    <col min="12566" max="12566" width="9.1796875" style="472" customWidth="1"/>
    <col min="12567" max="12567" width="11.90625" style="472" customWidth="1"/>
    <col min="12568" max="12568" width="1.453125" style="472" customWidth="1"/>
    <col min="12569" max="12569" width="1.7265625" style="472" customWidth="1"/>
    <col min="12570" max="12580" width="0" style="472" hidden="1" customWidth="1"/>
    <col min="12581" max="12581" width="11.1796875" style="472" customWidth="1"/>
    <col min="12582" max="12583" width="0" style="472" hidden="1" customWidth="1"/>
    <col min="12584" max="12584" width="13" style="472" customWidth="1"/>
    <col min="12585" max="12587" width="0" style="472" hidden="1" customWidth="1"/>
    <col min="12588" max="12588" width="11.453125" style="472"/>
    <col min="12589" max="12589" width="12.453125" style="472" customWidth="1"/>
    <col min="12590" max="12591" width="10.7265625" style="472" customWidth="1"/>
    <col min="12592" max="12592" width="1.81640625" style="472" customWidth="1"/>
    <col min="12593" max="12593" width="2" style="472" customWidth="1"/>
    <col min="12594" max="12616" width="0" style="472" hidden="1" customWidth="1"/>
    <col min="12617" max="12617" width="13" style="472" customWidth="1"/>
    <col min="12618" max="12619" width="12.26953125" style="472" customWidth="1"/>
    <col min="12620" max="12800" width="11.453125" style="472"/>
    <col min="12801" max="12801" width="6.90625" style="472" customWidth="1"/>
    <col min="12802" max="12802" width="26.26953125" style="472" customWidth="1"/>
    <col min="12803" max="12803" width="8.26953125" style="472" customWidth="1"/>
    <col min="12804" max="12804" width="10.26953125" style="472" customWidth="1"/>
    <col min="12805" max="12805" width="11.1796875" style="472" customWidth="1"/>
    <col min="12806" max="12806" width="8.453125" style="472" customWidth="1"/>
    <col min="12807" max="12807" width="10.1796875" style="472" customWidth="1"/>
    <col min="12808" max="12808" width="10.54296875" style="472" customWidth="1"/>
    <col min="12809" max="12809" width="1.453125" style="472" customWidth="1"/>
    <col min="12810" max="12810" width="1.7265625" style="472" customWidth="1"/>
    <col min="12811" max="12816" width="0" style="472" hidden="1" customWidth="1"/>
    <col min="12817" max="12817" width="10.1796875" style="472" customWidth="1"/>
    <col min="12818" max="12821" width="0" style="472" hidden="1" customWidth="1"/>
    <col min="12822" max="12822" width="9.1796875" style="472" customWidth="1"/>
    <col min="12823" max="12823" width="11.90625" style="472" customWidth="1"/>
    <col min="12824" max="12824" width="1.453125" style="472" customWidth="1"/>
    <col min="12825" max="12825" width="1.7265625" style="472" customWidth="1"/>
    <col min="12826" max="12836" width="0" style="472" hidden="1" customWidth="1"/>
    <col min="12837" max="12837" width="11.1796875" style="472" customWidth="1"/>
    <col min="12838" max="12839" width="0" style="472" hidden="1" customWidth="1"/>
    <col min="12840" max="12840" width="13" style="472" customWidth="1"/>
    <col min="12841" max="12843" width="0" style="472" hidden="1" customWidth="1"/>
    <col min="12844" max="12844" width="11.453125" style="472"/>
    <col min="12845" max="12845" width="12.453125" style="472" customWidth="1"/>
    <col min="12846" max="12847" width="10.7265625" style="472" customWidth="1"/>
    <col min="12848" max="12848" width="1.81640625" style="472" customWidth="1"/>
    <col min="12849" max="12849" width="2" style="472" customWidth="1"/>
    <col min="12850" max="12872" width="0" style="472" hidden="1" customWidth="1"/>
    <col min="12873" max="12873" width="13" style="472" customWidth="1"/>
    <col min="12874" max="12875" width="12.26953125" style="472" customWidth="1"/>
    <col min="12876" max="13056" width="11.453125" style="472"/>
    <col min="13057" max="13057" width="6.90625" style="472" customWidth="1"/>
    <col min="13058" max="13058" width="26.26953125" style="472" customWidth="1"/>
    <col min="13059" max="13059" width="8.26953125" style="472" customWidth="1"/>
    <col min="13060" max="13060" width="10.26953125" style="472" customWidth="1"/>
    <col min="13061" max="13061" width="11.1796875" style="472" customWidth="1"/>
    <col min="13062" max="13062" width="8.453125" style="472" customWidth="1"/>
    <col min="13063" max="13063" width="10.1796875" style="472" customWidth="1"/>
    <col min="13064" max="13064" width="10.54296875" style="472" customWidth="1"/>
    <col min="13065" max="13065" width="1.453125" style="472" customWidth="1"/>
    <col min="13066" max="13066" width="1.7265625" style="472" customWidth="1"/>
    <col min="13067" max="13072" width="0" style="472" hidden="1" customWidth="1"/>
    <col min="13073" max="13073" width="10.1796875" style="472" customWidth="1"/>
    <col min="13074" max="13077" width="0" style="472" hidden="1" customWidth="1"/>
    <col min="13078" max="13078" width="9.1796875" style="472" customWidth="1"/>
    <col min="13079" max="13079" width="11.90625" style="472" customWidth="1"/>
    <col min="13080" max="13080" width="1.453125" style="472" customWidth="1"/>
    <col min="13081" max="13081" width="1.7265625" style="472" customWidth="1"/>
    <col min="13082" max="13092" width="0" style="472" hidden="1" customWidth="1"/>
    <col min="13093" max="13093" width="11.1796875" style="472" customWidth="1"/>
    <col min="13094" max="13095" width="0" style="472" hidden="1" customWidth="1"/>
    <col min="13096" max="13096" width="13" style="472" customWidth="1"/>
    <col min="13097" max="13099" width="0" style="472" hidden="1" customWidth="1"/>
    <col min="13100" max="13100" width="11.453125" style="472"/>
    <col min="13101" max="13101" width="12.453125" style="472" customWidth="1"/>
    <col min="13102" max="13103" width="10.7265625" style="472" customWidth="1"/>
    <col min="13104" max="13104" width="1.81640625" style="472" customWidth="1"/>
    <col min="13105" max="13105" width="2" style="472" customWidth="1"/>
    <col min="13106" max="13128" width="0" style="472" hidden="1" customWidth="1"/>
    <col min="13129" max="13129" width="13" style="472" customWidth="1"/>
    <col min="13130" max="13131" width="12.26953125" style="472" customWidth="1"/>
    <col min="13132" max="13312" width="11.453125" style="472"/>
    <col min="13313" max="13313" width="6.90625" style="472" customWidth="1"/>
    <col min="13314" max="13314" width="26.26953125" style="472" customWidth="1"/>
    <col min="13315" max="13315" width="8.26953125" style="472" customWidth="1"/>
    <col min="13316" max="13316" width="10.26953125" style="472" customWidth="1"/>
    <col min="13317" max="13317" width="11.1796875" style="472" customWidth="1"/>
    <col min="13318" max="13318" width="8.453125" style="472" customWidth="1"/>
    <col min="13319" max="13319" width="10.1796875" style="472" customWidth="1"/>
    <col min="13320" max="13320" width="10.54296875" style="472" customWidth="1"/>
    <col min="13321" max="13321" width="1.453125" style="472" customWidth="1"/>
    <col min="13322" max="13322" width="1.7265625" style="472" customWidth="1"/>
    <col min="13323" max="13328" width="0" style="472" hidden="1" customWidth="1"/>
    <col min="13329" max="13329" width="10.1796875" style="472" customWidth="1"/>
    <col min="13330" max="13333" width="0" style="472" hidden="1" customWidth="1"/>
    <col min="13334" max="13334" width="9.1796875" style="472" customWidth="1"/>
    <col min="13335" max="13335" width="11.90625" style="472" customWidth="1"/>
    <col min="13336" max="13336" width="1.453125" style="472" customWidth="1"/>
    <col min="13337" max="13337" width="1.7265625" style="472" customWidth="1"/>
    <col min="13338" max="13348" width="0" style="472" hidden="1" customWidth="1"/>
    <col min="13349" max="13349" width="11.1796875" style="472" customWidth="1"/>
    <col min="13350" max="13351" width="0" style="472" hidden="1" customWidth="1"/>
    <col min="13352" max="13352" width="13" style="472" customWidth="1"/>
    <col min="13353" max="13355" width="0" style="472" hidden="1" customWidth="1"/>
    <col min="13356" max="13356" width="11.453125" style="472"/>
    <col min="13357" max="13357" width="12.453125" style="472" customWidth="1"/>
    <col min="13358" max="13359" width="10.7265625" style="472" customWidth="1"/>
    <col min="13360" max="13360" width="1.81640625" style="472" customWidth="1"/>
    <col min="13361" max="13361" width="2" style="472" customWidth="1"/>
    <col min="13362" max="13384" width="0" style="472" hidden="1" customWidth="1"/>
    <col min="13385" max="13385" width="13" style="472" customWidth="1"/>
    <col min="13386" max="13387" width="12.26953125" style="472" customWidth="1"/>
    <col min="13388" max="13568" width="11.453125" style="472"/>
    <col min="13569" max="13569" width="6.90625" style="472" customWidth="1"/>
    <col min="13570" max="13570" width="26.26953125" style="472" customWidth="1"/>
    <col min="13571" max="13571" width="8.26953125" style="472" customWidth="1"/>
    <col min="13572" max="13572" width="10.26953125" style="472" customWidth="1"/>
    <col min="13573" max="13573" width="11.1796875" style="472" customWidth="1"/>
    <col min="13574" max="13574" width="8.453125" style="472" customWidth="1"/>
    <col min="13575" max="13575" width="10.1796875" style="472" customWidth="1"/>
    <col min="13576" max="13576" width="10.54296875" style="472" customWidth="1"/>
    <col min="13577" max="13577" width="1.453125" style="472" customWidth="1"/>
    <col min="13578" max="13578" width="1.7265625" style="472" customWidth="1"/>
    <col min="13579" max="13584" width="0" style="472" hidden="1" customWidth="1"/>
    <col min="13585" max="13585" width="10.1796875" style="472" customWidth="1"/>
    <col min="13586" max="13589" width="0" style="472" hidden="1" customWidth="1"/>
    <col min="13590" max="13590" width="9.1796875" style="472" customWidth="1"/>
    <col min="13591" max="13591" width="11.90625" style="472" customWidth="1"/>
    <col min="13592" max="13592" width="1.453125" style="472" customWidth="1"/>
    <col min="13593" max="13593" width="1.7265625" style="472" customWidth="1"/>
    <col min="13594" max="13604" width="0" style="472" hidden="1" customWidth="1"/>
    <col min="13605" max="13605" width="11.1796875" style="472" customWidth="1"/>
    <col min="13606" max="13607" width="0" style="472" hidden="1" customWidth="1"/>
    <col min="13608" max="13608" width="13" style="472" customWidth="1"/>
    <col min="13609" max="13611" width="0" style="472" hidden="1" customWidth="1"/>
    <col min="13612" max="13612" width="11.453125" style="472"/>
    <col min="13613" max="13613" width="12.453125" style="472" customWidth="1"/>
    <col min="13614" max="13615" width="10.7265625" style="472" customWidth="1"/>
    <col min="13616" max="13616" width="1.81640625" style="472" customWidth="1"/>
    <col min="13617" max="13617" width="2" style="472" customWidth="1"/>
    <col min="13618" max="13640" width="0" style="472" hidden="1" customWidth="1"/>
    <col min="13641" max="13641" width="13" style="472" customWidth="1"/>
    <col min="13642" max="13643" width="12.26953125" style="472" customWidth="1"/>
    <col min="13644" max="13824" width="11.453125" style="472"/>
    <col min="13825" max="13825" width="6.90625" style="472" customWidth="1"/>
    <col min="13826" max="13826" width="26.26953125" style="472" customWidth="1"/>
    <col min="13827" max="13827" width="8.26953125" style="472" customWidth="1"/>
    <col min="13828" max="13828" width="10.26953125" style="472" customWidth="1"/>
    <col min="13829" max="13829" width="11.1796875" style="472" customWidth="1"/>
    <col min="13830" max="13830" width="8.453125" style="472" customWidth="1"/>
    <col min="13831" max="13831" width="10.1796875" style="472" customWidth="1"/>
    <col min="13832" max="13832" width="10.54296875" style="472" customWidth="1"/>
    <col min="13833" max="13833" width="1.453125" style="472" customWidth="1"/>
    <col min="13834" max="13834" width="1.7265625" style="472" customWidth="1"/>
    <col min="13835" max="13840" width="0" style="472" hidden="1" customWidth="1"/>
    <col min="13841" max="13841" width="10.1796875" style="472" customWidth="1"/>
    <col min="13842" max="13845" width="0" style="472" hidden="1" customWidth="1"/>
    <col min="13846" max="13846" width="9.1796875" style="472" customWidth="1"/>
    <col min="13847" max="13847" width="11.90625" style="472" customWidth="1"/>
    <col min="13848" max="13848" width="1.453125" style="472" customWidth="1"/>
    <col min="13849" max="13849" width="1.7265625" style="472" customWidth="1"/>
    <col min="13850" max="13860" width="0" style="472" hidden="1" customWidth="1"/>
    <col min="13861" max="13861" width="11.1796875" style="472" customWidth="1"/>
    <col min="13862" max="13863" width="0" style="472" hidden="1" customWidth="1"/>
    <col min="13864" max="13864" width="13" style="472" customWidth="1"/>
    <col min="13865" max="13867" width="0" style="472" hidden="1" customWidth="1"/>
    <col min="13868" max="13868" width="11.453125" style="472"/>
    <col min="13869" max="13869" width="12.453125" style="472" customWidth="1"/>
    <col min="13870" max="13871" width="10.7265625" style="472" customWidth="1"/>
    <col min="13872" max="13872" width="1.81640625" style="472" customWidth="1"/>
    <col min="13873" max="13873" width="2" style="472" customWidth="1"/>
    <col min="13874" max="13896" width="0" style="472" hidden="1" customWidth="1"/>
    <col min="13897" max="13897" width="13" style="472" customWidth="1"/>
    <col min="13898" max="13899" width="12.26953125" style="472" customWidth="1"/>
    <col min="13900" max="14080" width="11.453125" style="472"/>
    <col min="14081" max="14081" width="6.90625" style="472" customWidth="1"/>
    <col min="14082" max="14082" width="26.26953125" style="472" customWidth="1"/>
    <col min="14083" max="14083" width="8.26953125" style="472" customWidth="1"/>
    <col min="14084" max="14084" width="10.26953125" style="472" customWidth="1"/>
    <col min="14085" max="14085" width="11.1796875" style="472" customWidth="1"/>
    <col min="14086" max="14086" width="8.453125" style="472" customWidth="1"/>
    <col min="14087" max="14087" width="10.1796875" style="472" customWidth="1"/>
    <col min="14088" max="14088" width="10.54296875" style="472" customWidth="1"/>
    <col min="14089" max="14089" width="1.453125" style="472" customWidth="1"/>
    <col min="14090" max="14090" width="1.7265625" style="472" customWidth="1"/>
    <col min="14091" max="14096" width="0" style="472" hidden="1" customWidth="1"/>
    <col min="14097" max="14097" width="10.1796875" style="472" customWidth="1"/>
    <col min="14098" max="14101" width="0" style="472" hidden="1" customWidth="1"/>
    <col min="14102" max="14102" width="9.1796875" style="472" customWidth="1"/>
    <col min="14103" max="14103" width="11.90625" style="472" customWidth="1"/>
    <col min="14104" max="14104" width="1.453125" style="472" customWidth="1"/>
    <col min="14105" max="14105" width="1.7265625" style="472" customWidth="1"/>
    <col min="14106" max="14116" width="0" style="472" hidden="1" customWidth="1"/>
    <col min="14117" max="14117" width="11.1796875" style="472" customWidth="1"/>
    <col min="14118" max="14119" width="0" style="472" hidden="1" customWidth="1"/>
    <col min="14120" max="14120" width="13" style="472" customWidth="1"/>
    <col min="14121" max="14123" width="0" style="472" hidden="1" customWidth="1"/>
    <col min="14124" max="14124" width="11.453125" style="472"/>
    <col min="14125" max="14125" width="12.453125" style="472" customWidth="1"/>
    <col min="14126" max="14127" width="10.7265625" style="472" customWidth="1"/>
    <col min="14128" max="14128" width="1.81640625" style="472" customWidth="1"/>
    <col min="14129" max="14129" width="2" style="472" customWidth="1"/>
    <col min="14130" max="14152" width="0" style="472" hidden="1" customWidth="1"/>
    <col min="14153" max="14153" width="13" style="472" customWidth="1"/>
    <col min="14154" max="14155" width="12.26953125" style="472" customWidth="1"/>
    <col min="14156" max="14336" width="11.453125" style="472"/>
    <col min="14337" max="14337" width="6.90625" style="472" customWidth="1"/>
    <col min="14338" max="14338" width="26.26953125" style="472" customWidth="1"/>
    <col min="14339" max="14339" width="8.26953125" style="472" customWidth="1"/>
    <col min="14340" max="14340" width="10.26953125" style="472" customWidth="1"/>
    <col min="14341" max="14341" width="11.1796875" style="472" customWidth="1"/>
    <col min="14342" max="14342" width="8.453125" style="472" customWidth="1"/>
    <col min="14343" max="14343" width="10.1796875" style="472" customWidth="1"/>
    <col min="14344" max="14344" width="10.54296875" style="472" customWidth="1"/>
    <col min="14345" max="14345" width="1.453125" style="472" customWidth="1"/>
    <col min="14346" max="14346" width="1.7265625" style="472" customWidth="1"/>
    <col min="14347" max="14352" width="0" style="472" hidden="1" customWidth="1"/>
    <col min="14353" max="14353" width="10.1796875" style="472" customWidth="1"/>
    <col min="14354" max="14357" width="0" style="472" hidden="1" customWidth="1"/>
    <col min="14358" max="14358" width="9.1796875" style="472" customWidth="1"/>
    <col min="14359" max="14359" width="11.90625" style="472" customWidth="1"/>
    <col min="14360" max="14360" width="1.453125" style="472" customWidth="1"/>
    <col min="14361" max="14361" width="1.7265625" style="472" customWidth="1"/>
    <col min="14362" max="14372" width="0" style="472" hidden="1" customWidth="1"/>
    <col min="14373" max="14373" width="11.1796875" style="472" customWidth="1"/>
    <col min="14374" max="14375" width="0" style="472" hidden="1" customWidth="1"/>
    <col min="14376" max="14376" width="13" style="472" customWidth="1"/>
    <col min="14377" max="14379" width="0" style="472" hidden="1" customWidth="1"/>
    <col min="14380" max="14380" width="11.453125" style="472"/>
    <col min="14381" max="14381" width="12.453125" style="472" customWidth="1"/>
    <col min="14382" max="14383" width="10.7265625" style="472" customWidth="1"/>
    <col min="14384" max="14384" width="1.81640625" style="472" customWidth="1"/>
    <col min="14385" max="14385" width="2" style="472" customWidth="1"/>
    <col min="14386" max="14408" width="0" style="472" hidden="1" customWidth="1"/>
    <col min="14409" max="14409" width="13" style="472" customWidth="1"/>
    <col min="14410" max="14411" width="12.26953125" style="472" customWidth="1"/>
    <col min="14412" max="14592" width="11.453125" style="472"/>
    <col min="14593" max="14593" width="6.90625" style="472" customWidth="1"/>
    <col min="14594" max="14594" width="26.26953125" style="472" customWidth="1"/>
    <col min="14595" max="14595" width="8.26953125" style="472" customWidth="1"/>
    <col min="14596" max="14596" width="10.26953125" style="472" customWidth="1"/>
    <col min="14597" max="14597" width="11.1796875" style="472" customWidth="1"/>
    <col min="14598" max="14598" width="8.453125" style="472" customWidth="1"/>
    <col min="14599" max="14599" width="10.1796875" style="472" customWidth="1"/>
    <col min="14600" max="14600" width="10.54296875" style="472" customWidth="1"/>
    <col min="14601" max="14601" width="1.453125" style="472" customWidth="1"/>
    <col min="14602" max="14602" width="1.7265625" style="472" customWidth="1"/>
    <col min="14603" max="14608" width="0" style="472" hidden="1" customWidth="1"/>
    <col min="14609" max="14609" width="10.1796875" style="472" customWidth="1"/>
    <col min="14610" max="14613" width="0" style="472" hidden="1" customWidth="1"/>
    <col min="14614" max="14614" width="9.1796875" style="472" customWidth="1"/>
    <col min="14615" max="14615" width="11.90625" style="472" customWidth="1"/>
    <col min="14616" max="14616" width="1.453125" style="472" customWidth="1"/>
    <col min="14617" max="14617" width="1.7265625" style="472" customWidth="1"/>
    <col min="14618" max="14628" width="0" style="472" hidden="1" customWidth="1"/>
    <col min="14629" max="14629" width="11.1796875" style="472" customWidth="1"/>
    <col min="14630" max="14631" width="0" style="472" hidden="1" customWidth="1"/>
    <col min="14632" max="14632" width="13" style="472" customWidth="1"/>
    <col min="14633" max="14635" width="0" style="472" hidden="1" customWidth="1"/>
    <col min="14636" max="14636" width="11.453125" style="472"/>
    <col min="14637" max="14637" width="12.453125" style="472" customWidth="1"/>
    <col min="14638" max="14639" width="10.7265625" style="472" customWidth="1"/>
    <col min="14640" max="14640" width="1.81640625" style="472" customWidth="1"/>
    <col min="14641" max="14641" width="2" style="472" customWidth="1"/>
    <col min="14642" max="14664" width="0" style="472" hidden="1" customWidth="1"/>
    <col min="14665" max="14665" width="13" style="472" customWidth="1"/>
    <col min="14666" max="14667" width="12.26953125" style="472" customWidth="1"/>
    <col min="14668" max="14848" width="11.453125" style="472"/>
    <col min="14849" max="14849" width="6.90625" style="472" customWidth="1"/>
    <col min="14850" max="14850" width="26.26953125" style="472" customWidth="1"/>
    <col min="14851" max="14851" width="8.26953125" style="472" customWidth="1"/>
    <col min="14852" max="14852" width="10.26953125" style="472" customWidth="1"/>
    <col min="14853" max="14853" width="11.1796875" style="472" customWidth="1"/>
    <col min="14854" max="14854" width="8.453125" style="472" customWidth="1"/>
    <col min="14855" max="14855" width="10.1796875" style="472" customWidth="1"/>
    <col min="14856" max="14856" width="10.54296875" style="472" customWidth="1"/>
    <col min="14857" max="14857" width="1.453125" style="472" customWidth="1"/>
    <col min="14858" max="14858" width="1.7265625" style="472" customWidth="1"/>
    <col min="14859" max="14864" width="0" style="472" hidden="1" customWidth="1"/>
    <col min="14865" max="14865" width="10.1796875" style="472" customWidth="1"/>
    <col min="14866" max="14869" width="0" style="472" hidden="1" customWidth="1"/>
    <col min="14870" max="14870" width="9.1796875" style="472" customWidth="1"/>
    <col min="14871" max="14871" width="11.90625" style="472" customWidth="1"/>
    <col min="14872" max="14872" width="1.453125" style="472" customWidth="1"/>
    <col min="14873" max="14873" width="1.7265625" style="472" customWidth="1"/>
    <col min="14874" max="14884" width="0" style="472" hidden="1" customWidth="1"/>
    <col min="14885" max="14885" width="11.1796875" style="472" customWidth="1"/>
    <col min="14886" max="14887" width="0" style="472" hidden="1" customWidth="1"/>
    <col min="14888" max="14888" width="13" style="472" customWidth="1"/>
    <col min="14889" max="14891" width="0" style="472" hidden="1" customWidth="1"/>
    <col min="14892" max="14892" width="11.453125" style="472"/>
    <col min="14893" max="14893" width="12.453125" style="472" customWidth="1"/>
    <col min="14894" max="14895" width="10.7265625" style="472" customWidth="1"/>
    <col min="14896" max="14896" width="1.81640625" style="472" customWidth="1"/>
    <col min="14897" max="14897" width="2" style="472" customWidth="1"/>
    <col min="14898" max="14920" width="0" style="472" hidden="1" customWidth="1"/>
    <col min="14921" max="14921" width="13" style="472" customWidth="1"/>
    <col min="14922" max="14923" width="12.26953125" style="472" customWidth="1"/>
    <col min="14924" max="15104" width="11.453125" style="472"/>
    <col min="15105" max="15105" width="6.90625" style="472" customWidth="1"/>
    <col min="15106" max="15106" width="26.26953125" style="472" customWidth="1"/>
    <col min="15107" max="15107" width="8.26953125" style="472" customWidth="1"/>
    <col min="15108" max="15108" width="10.26953125" style="472" customWidth="1"/>
    <col min="15109" max="15109" width="11.1796875" style="472" customWidth="1"/>
    <col min="15110" max="15110" width="8.453125" style="472" customWidth="1"/>
    <col min="15111" max="15111" width="10.1796875" style="472" customWidth="1"/>
    <col min="15112" max="15112" width="10.54296875" style="472" customWidth="1"/>
    <col min="15113" max="15113" width="1.453125" style="472" customWidth="1"/>
    <col min="15114" max="15114" width="1.7265625" style="472" customWidth="1"/>
    <col min="15115" max="15120" width="0" style="472" hidden="1" customWidth="1"/>
    <col min="15121" max="15121" width="10.1796875" style="472" customWidth="1"/>
    <col min="15122" max="15125" width="0" style="472" hidden="1" customWidth="1"/>
    <col min="15126" max="15126" width="9.1796875" style="472" customWidth="1"/>
    <col min="15127" max="15127" width="11.90625" style="472" customWidth="1"/>
    <col min="15128" max="15128" width="1.453125" style="472" customWidth="1"/>
    <col min="15129" max="15129" width="1.7265625" style="472" customWidth="1"/>
    <col min="15130" max="15140" width="0" style="472" hidden="1" customWidth="1"/>
    <col min="15141" max="15141" width="11.1796875" style="472" customWidth="1"/>
    <col min="15142" max="15143" width="0" style="472" hidden="1" customWidth="1"/>
    <col min="15144" max="15144" width="13" style="472" customWidth="1"/>
    <col min="15145" max="15147" width="0" style="472" hidden="1" customWidth="1"/>
    <col min="15148" max="15148" width="11.453125" style="472"/>
    <col min="15149" max="15149" width="12.453125" style="472" customWidth="1"/>
    <col min="15150" max="15151" width="10.7265625" style="472" customWidth="1"/>
    <col min="15152" max="15152" width="1.81640625" style="472" customWidth="1"/>
    <col min="15153" max="15153" width="2" style="472" customWidth="1"/>
    <col min="15154" max="15176" width="0" style="472" hidden="1" customWidth="1"/>
    <col min="15177" max="15177" width="13" style="472" customWidth="1"/>
    <col min="15178" max="15179" width="12.26953125" style="472" customWidth="1"/>
    <col min="15180" max="15360" width="11.453125" style="472"/>
    <col min="15361" max="15361" width="6.90625" style="472" customWidth="1"/>
    <col min="15362" max="15362" width="26.26953125" style="472" customWidth="1"/>
    <col min="15363" max="15363" width="8.26953125" style="472" customWidth="1"/>
    <col min="15364" max="15364" width="10.26953125" style="472" customWidth="1"/>
    <col min="15365" max="15365" width="11.1796875" style="472" customWidth="1"/>
    <col min="15366" max="15366" width="8.453125" style="472" customWidth="1"/>
    <col min="15367" max="15367" width="10.1796875" style="472" customWidth="1"/>
    <col min="15368" max="15368" width="10.54296875" style="472" customWidth="1"/>
    <col min="15369" max="15369" width="1.453125" style="472" customWidth="1"/>
    <col min="15370" max="15370" width="1.7265625" style="472" customWidth="1"/>
    <col min="15371" max="15376" width="0" style="472" hidden="1" customWidth="1"/>
    <col min="15377" max="15377" width="10.1796875" style="472" customWidth="1"/>
    <col min="15378" max="15381" width="0" style="472" hidden="1" customWidth="1"/>
    <col min="15382" max="15382" width="9.1796875" style="472" customWidth="1"/>
    <col min="15383" max="15383" width="11.90625" style="472" customWidth="1"/>
    <col min="15384" max="15384" width="1.453125" style="472" customWidth="1"/>
    <col min="15385" max="15385" width="1.7265625" style="472" customWidth="1"/>
    <col min="15386" max="15396" width="0" style="472" hidden="1" customWidth="1"/>
    <col min="15397" max="15397" width="11.1796875" style="472" customWidth="1"/>
    <col min="15398" max="15399" width="0" style="472" hidden="1" customWidth="1"/>
    <col min="15400" max="15400" width="13" style="472" customWidth="1"/>
    <col min="15401" max="15403" width="0" style="472" hidden="1" customWidth="1"/>
    <col min="15404" max="15404" width="11.453125" style="472"/>
    <col min="15405" max="15405" width="12.453125" style="472" customWidth="1"/>
    <col min="15406" max="15407" width="10.7265625" style="472" customWidth="1"/>
    <col min="15408" max="15408" width="1.81640625" style="472" customWidth="1"/>
    <col min="15409" max="15409" width="2" style="472" customWidth="1"/>
    <col min="15410" max="15432" width="0" style="472" hidden="1" customWidth="1"/>
    <col min="15433" max="15433" width="13" style="472" customWidth="1"/>
    <col min="15434" max="15435" width="12.26953125" style="472" customWidth="1"/>
    <col min="15436" max="15616" width="11.453125" style="472"/>
    <col min="15617" max="15617" width="6.90625" style="472" customWidth="1"/>
    <col min="15618" max="15618" width="26.26953125" style="472" customWidth="1"/>
    <col min="15619" max="15619" width="8.26953125" style="472" customWidth="1"/>
    <col min="15620" max="15620" width="10.26953125" style="472" customWidth="1"/>
    <col min="15621" max="15621" width="11.1796875" style="472" customWidth="1"/>
    <col min="15622" max="15622" width="8.453125" style="472" customWidth="1"/>
    <col min="15623" max="15623" width="10.1796875" style="472" customWidth="1"/>
    <col min="15624" max="15624" width="10.54296875" style="472" customWidth="1"/>
    <col min="15625" max="15625" width="1.453125" style="472" customWidth="1"/>
    <col min="15626" max="15626" width="1.7265625" style="472" customWidth="1"/>
    <col min="15627" max="15632" width="0" style="472" hidden="1" customWidth="1"/>
    <col min="15633" max="15633" width="10.1796875" style="472" customWidth="1"/>
    <col min="15634" max="15637" width="0" style="472" hidden="1" customWidth="1"/>
    <col min="15638" max="15638" width="9.1796875" style="472" customWidth="1"/>
    <col min="15639" max="15639" width="11.90625" style="472" customWidth="1"/>
    <col min="15640" max="15640" width="1.453125" style="472" customWidth="1"/>
    <col min="15641" max="15641" width="1.7265625" style="472" customWidth="1"/>
    <col min="15642" max="15652" width="0" style="472" hidden="1" customWidth="1"/>
    <col min="15653" max="15653" width="11.1796875" style="472" customWidth="1"/>
    <col min="15654" max="15655" width="0" style="472" hidden="1" customWidth="1"/>
    <col min="15656" max="15656" width="13" style="472" customWidth="1"/>
    <col min="15657" max="15659" width="0" style="472" hidden="1" customWidth="1"/>
    <col min="15660" max="15660" width="11.453125" style="472"/>
    <col min="15661" max="15661" width="12.453125" style="472" customWidth="1"/>
    <col min="15662" max="15663" width="10.7265625" style="472" customWidth="1"/>
    <col min="15664" max="15664" width="1.81640625" style="472" customWidth="1"/>
    <col min="15665" max="15665" width="2" style="472" customWidth="1"/>
    <col min="15666" max="15688" width="0" style="472" hidden="1" customWidth="1"/>
    <col min="15689" max="15689" width="13" style="472" customWidth="1"/>
    <col min="15690" max="15691" width="12.26953125" style="472" customWidth="1"/>
    <col min="15692" max="15872" width="11.453125" style="472"/>
    <col min="15873" max="15873" width="6.90625" style="472" customWidth="1"/>
    <col min="15874" max="15874" width="26.26953125" style="472" customWidth="1"/>
    <col min="15875" max="15875" width="8.26953125" style="472" customWidth="1"/>
    <col min="15876" max="15876" width="10.26953125" style="472" customWidth="1"/>
    <col min="15877" max="15877" width="11.1796875" style="472" customWidth="1"/>
    <col min="15878" max="15878" width="8.453125" style="472" customWidth="1"/>
    <col min="15879" max="15879" width="10.1796875" style="472" customWidth="1"/>
    <col min="15880" max="15880" width="10.54296875" style="472" customWidth="1"/>
    <col min="15881" max="15881" width="1.453125" style="472" customWidth="1"/>
    <col min="15882" max="15882" width="1.7265625" style="472" customWidth="1"/>
    <col min="15883" max="15888" width="0" style="472" hidden="1" customWidth="1"/>
    <col min="15889" max="15889" width="10.1796875" style="472" customWidth="1"/>
    <col min="15890" max="15893" width="0" style="472" hidden="1" customWidth="1"/>
    <col min="15894" max="15894" width="9.1796875" style="472" customWidth="1"/>
    <col min="15895" max="15895" width="11.90625" style="472" customWidth="1"/>
    <col min="15896" max="15896" width="1.453125" style="472" customWidth="1"/>
    <col min="15897" max="15897" width="1.7265625" style="472" customWidth="1"/>
    <col min="15898" max="15908" width="0" style="472" hidden="1" customWidth="1"/>
    <col min="15909" max="15909" width="11.1796875" style="472" customWidth="1"/>
    <col min="15910" max="15911" width="0" style="472" hidden="1" customWidth="1"/>
    <col min="15912" max="15912" width="13" style="472" customWidth="1"/>
    <col min="15913" max="15915" width="0" style="472" hidden="1" customWidth="1"/>
    <col min="15916" max="15916" width="11.453125" style="472"/>
    <col min="15917" max="15917" width="12.453125" style="472" customWidth="1"/>
    <col min="15918" max="15919" width="10.7265625" style="472" customWidth="1"/>
    <col min="15920" max="15920" width="1.81640625" style="472" customWidth="1"/>
    <col min="15921" max="15921" width="2" style="472" customWidth="1"/>
    <col min="15922" max="15944" width="0" style="472" hidden="1" customWidth="1"/>
    <col min="15945" max="15945" width="13" style="472" customWidth="1"/>
    <col min="15946" max="15947" width="12.26953125" style="472" customWidth="1"/>
    <col min="15948" max="16128" width="11.453125" style="472"/>
    <col min="16129" max="16129" width="6.90625" style="472" customWidth="1"/>
    <col min="16130" max="16130" width="26.26953125" style="472" customWidth="1"/>
    <col min="16131" max="16131" width="8.26953125" style="472" customWidth="1"/>
    <col min="16132" max="16132" width="10.26953125" style="472" customWidth="1"/>
    <col min="16133" max="16133" width="11.1796875" style="472" customWidth="1"/>
    <col min="16134" max="16134" width="8.453125" style="472" customWidth="1"/>
    <col min="16135" max="16135" width="10.1796875" style="472" customWidth="1"/>
    <col min="16136" max="16136" width="10.54296875" style="472" customWidth="1"/>
    <col min="16137" max="16137" width="1.453125" style="472" customWidth="1"/>
    <col min="16138" max="16138" width="1.7265625" style="472" customWidth="1"/>
    <col min="16139" max="16144" width="0" style="472" hidden="1" customWidth="1"/>
    <col min="16145" max="16145" width="10.1796875" style="472" customWidth="1"/>
    <col min="16146" max="16149" width="0" style="472" hidden="1" customWidth="1"/>
    <col min="16150" max="16150" width="9.1796875" style="472" customWidth="1"/>
    <col min="16151" max="16151" width="11.90625" style="472" customWidth="1"/>
    <col min="16152" max="16152" width="1.453125" style="472" customWidth="1"/>
    <col min="16153" max="16153" width="1.7265625" style="472" customWidth="1"/>
    <col min="16154" max="16164" width="0" style="472" hidden="1" customWidth="1"/>
    <col min="16165" max="16165" width="11.1796875" style="472" customWidth="1"/>
    <col min="16166" max="16167" width="0" style="472" hidden="1" customWidth="1"/>
    <col min="16168" max="16168" width="13" style="472" customWidth="1"/>
    <col min="16169" max="16171" width="0" style="472" hidden="1" customWidth="1"/>
    <col min="16172" max="16172" width="11.453125" style="472"/>
    <col min="16173" max="16173" width="12.453125" style="472" customWidth="1"/>
    <col min="16174" max="16175" width="10.7265625" style="472" customWidth="1"/>
    <col min="16176" max="16176" width="1.81640625" style="472" customWidth="1"/>
    <col min="16177" max="16177" width="2" style="472" customWidth="1"/>
    <col min="16178" max="16200" width="0" style="472" hidden="1" customWidth="1"/>
    <col min="16201" max="16201" width="13" style="472" customWidth="1"/>
    <col min="16202" max="16203" width="12.26953125" style="472" customWidth="1"/>
    <col min="16204" max="16384" width="11.453125" style="472"/>
  </cols>
  <sheetData>
    <row r="1" spans="1:256">
      <c r="B1" s="469" t="s">
        <v>0</v>
      </c>
      <c r="C1" s="470">
        <v>0</v>
      </c>
      <c r="D1" s="470" t="s">
        <v>1</v>
      </c>
      <c r="E1" s="471">
        <v>0.01</v>
      </c>
      <c r="G1" s="473" t="s">
        <v>2</v>
      </c>
      <c r="H1" s="474">
        <v>0.95</v>
      </c>
      <c r="AF1" s="472"/>
    </row>
    <row r="2" spans="1:256" ht="15">
      <c r="G2" s="475" t="s">
        <v>415</v>
      </c>
      <c r="H2" s="476">
        <f>-NORMSINV((1-H1)/2)</f>
        <v>1.9599639845400536</v>
      </c>
      <c r="AF2" s="472"/>
    </row>
    <row r="3" spans="1:256">
      <c r="A3" s="477"/>
      <c r="B3" s="478"/>
      <c r="C3" s="479"/>
      <c r="D3" s="479"/>
      <c r="E3" s="478"/>
      <c r="F3" s="480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</row>
    <row r="4" spans="1:256" ht="14.5">
      <c r="A4" s="477"/>
      <c r="B4" s="482" t="s">
        <v>3</v>
      </c>
      <c r="C4" s="479"/>
      <c r="D4" s="479"/>
      <c r="E4" s="478"/>
      <c r="F4" s="480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1"/>
      <c r="CA4" s="481"/>
      <c r="CB4" s="481"/>
      <c r="CC4" s="481"/>
      <c r="CD4" s="481"/>
      <c r="CE4" s="481"/>
      <c r="CF4" s="481"/>
      <c r="CG4" s="481"/>
      <c r="CH4" s="481"/>
      <c r="CI4" s="481"/>
      <c r="CJ4" s="481"/>
      <c r="CK4" s="481"/>
      <c r="CL4" s="481"/>
    </row>
    <row r="5" spans="1:256">
      <c r="E5" s="483"/>
      <c r="J5" s="624" t="s">
        <v>4</v>
      </c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6"/>
      <c r="X5" s="484"/>
      <c r="Y5" s="624" t="s">
        <v>5</v>
      </c>
      <c r="Z5" s="625"/>
      <c r="AA5" s="625"/>
      <c r="AB5" s="625"/>
      <c r="AC5" s="625"/>
      <c r="AD5" s="625"/>
      <c r="AE5" s="625"/>
      <c r="AF5" s="625"/>
      <c r="AG5" s="625"/>
      <c r="AH5" s="625"/>
      <c r="AI5" s="625"/>
      <c r="AJ5" s="625"/>
      <c r="AK5" s="625"/>
      <c r="AL5" s="625"/>
      <c r="AM5" s="625"/>
      <c r="AN5" s="625"/>
      <c r="AO5" s="625"/>
      <c r="AP5" s="625"/>
      <c r="AQ5" s="625"/>
      <c r="AR5" s="625"/>
      <c r="AS5" s="625"/>
      <c r="AT5" s="625"/>
      <c r="AU5" s="626"/>
      <c r="AV5" s="484"/>
      <c r="AW5" s="624" t="s">
        <v>6</v>
      </c>
      <c r="AX5" s="625"/>
      <c r="AY5" s="625"/>
      <c r="AZ5" s="625"/>
      <c r="BA5" s="625"/>
      <c r="BB5" s="625"/>
      <c r="BC5" s="625"/>
      <c r="BD5" s="625"/>
      <c r="BE5" s="625"/>
      <c r="BF5" s="625"/>
      <c r="BG5" s="625"/>
      <c r="BH5" s="625"/>
      <c r="BI5" s="625"/>
      <c r="BJ5" s="625"/>
      <c r="BK5" s="625"/>
      <c r="BL5" s="625"/>
      <c r="BM5" s="625"/>
      <c r="BN5" s="625"/>
      <c r="BO5" s="625"/>
      <c r="BP5" s="625"/>
      <c r="BQ5" s="625"/>
      <c r="BR5" s="625"/>
      <c r="BS5" s="625"/>
      <c r="BT5" s="625"/>
      <c r="BU5" s="625"/>
      <c r="BV5" s="625"/>
      <c r="BW5" s="626"/>
    </row>
    <row r="6" spans="1:256">
      <c r="A6" s="485" t="s">
        <v>7</v>
      </c>
      <c r="B6" s="486" t="s">
        <v>8</v>
      </c>
      <c r="C6" s="627" t="s">
        <v>9</v>
      </c>
      <c r="D6" s="628"/>
      <c r="E6" s="629"/>
      <c r="F6" s="627" t="s">
        <v>10</v>
      </c>
      <c r="G6" s="628"/>
      <c r="H6" s="629"/>
      <c r="I6" s="487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8"/>
      <c r="EB6" s="488"/>
      <c r="EC6" s="488"/>
      <c r="ED6" s="488"/>
      <c r="EE6" s="488"/>
      <c r="EF6" s="488"/>
      <c r="EG6" s="488"/>
      <c r="EH6" s="488"/>
      <c r="EI6" s="488"/>
      <c r="EJ6" s="488"/>
      <c r="EK6" s="488"/>
      <c r="EL6" s="488"/>
      <c r="EM6" s="488"/>
      <c r="EN6" s="488"/>
      <c r="EO6" s="488"/>
      <c r="EP6" s="488"/>
      <c r="EQ6" s="488"/>
      <c r="ER6" s="488"/>
      <c r="ES6" s="488"/>
      <c r="ET6" s="488"/>
      <c r="EU6" s="488"/>
      <c r="EV6" s="488"/>
      <c r="EW6" s="488"/>
      <c r="EX6" s="488"/>
      <c r="EY6" s="488"/>
      <c r="EZ6" s="488"/>
      <c r="FA6" s="488"/>
      <c r="FB6" s="488"/>
      <c r="FC6" s="488"/>
      <c r="FD6" s="488"/>
      <c r="FE6" s="488"/>
      <c r="FF6" s="488"/>
      <c r="FG6" s="488"/>
      <c r="FH6" s="488"/>
      <c r="FI6" s="488"/>
      <c r="FJ6" s="488"/>
      <c r="FK6" s="488"/>
      <c r="FL6" s="488"/>
      <c r="FM6" s="488"/>
      <c r="FN6" s="488"/>
      <c r="FO6" s="488"/>
      <c r="FP6" s="488"/>
      <c r="FQ6" s="488"/>
      <c r="FR6" s="488"/>
      <c r="FS6" s="488"/>
      <c r="FT6" s="488"/>
      <c r="FU6" s="488"/>
      <c r="FV6" s="488"/>
      <c r="FW6" s="488"/>
      <c r="FX6" s="488"/>
      <c r="FY6" s="488"/>
      <c r="FZ6" s="488"/>
      <c r="GA6" s="488"/>
      <c r="GB6" s="488"/>
      <c r="GC6" s="488"/>
      <c r="GD6" s="488"/>
      <c r="GE6" s="488"/>
      <c r="GF6" s="488"/>
      <c r="GG6" s="488"/>
      <c r="GH6" s="488"/>
      <c r="GI6" s="488"/>
      <c r="GJ6" s="488"/>
      <c r="GK6" s="488"/>
      <c r="GL6" s="488"/>
      <c r="GM6" s="488"/>
      <c r="GN6" s="488"/>
      <c r="GO6" s="488"/>
      <c r="GP6" s="488"/>
      <c r="GQ6" s="488"/>
      <c r="GR6" s="488"/>
      <c r="GS6" s="488"/>
      <c r="GT6" s="488"/>
      <c r="GU6" s="488"/>
      <c r="GV6" s="488"/>
      <c r="GW6" s="488"/>
      <c r="GX6" s="488"/>
      <c r="GY6" s="488"/>
      <c r="GZ6" s="488"/>
      <c r="HA6" s="488"/>
      <c r="HB6" s="488"/>
      <c r="HC6" s="488"/>
      <c r="HD6" s="488"/>
      <c r="HE6" s="488"/>
      <c r="HF6" s="488"/>
      <c r="HG6" s="488"/>
      <c r="HH6" s="488"/>
      <c r="HI6" s="488"/>
      <c r="HJ6" s="488"/>
      <c r="HK6" s="488"/>
      <c r="HL6" s="488"/>
      <c r="HM6" s="488"/>
      <c r="HN6" s="488"/>
      <c r="HO6" s="488"/>
      <c r="HP6" s="488"/>
      <c r="HQ6" s="488"/>
      <c r="HR6" s="488"/>
      <c r="HS6" s="488"/>
      <c r="HT6" s="488"/>
      <c r="HU6" s="488"/>
      <c r="HV6" s="488"/>
      <c r="HW6" s="488"/>
      <c r="HX6" s="488"/>
      <c r="HY6" s="488"/>
      <c r="HZ6" s="488"/>
      <c r="IA6" s="488"/>
      <c r="IB6" s="488"/>
      <c r="IC6" s="488"/>
      <c r="ID6" s="488"/>
      <c r="IE6" s="488"/>
      <c r="IF6" s="488"/>
      <c r="IG6" s="488"/>
      <c r="IH6" s="488"/>
      <c r="II6" s="488"/>
      <c r="IJ6" s="488"/>
      <c r="IK6" s="488"/>
      <c r="IL6" s="488"/>
      <c r="IM6" s="488"/>
      <c r="IN6" s="488"/>
      <c r="IO6" s="488"/>
      <c r="IP6" s="488"/>
      <c r="IQ6" s="488"/>
      <c r="IR6" s="488"/>
      <c r="IS6" s="488"/>
      <c r="IT6" s="488"/>
      <c r="IU6" s="488"/>
      <c r="IV6" s="488"/>
    </row>
    <row r="7" spans="1:256" ht="60">
      <c r="B7" s="489" t="s">
        <v>11</v>
      </c>
      <c r="C7" s="490" t="s">
        <v>12</v>
      </c>
      <c r="D7" s="490" t="s">
        <v>13</v>
      </c>
      <c r="E7" s="490" t="s">
        <v>14</v>
      </c>
      <c r="F7" s="490" t="s">
        <v>12</v>
      </c>
      <c r="G7" s="490" t="s">
        <v>13</v>
      </c>
      <c r="H7" s="490" t="s">
        <v>14</v>
      </c>
      <c r="I7" s="491"/>
      <c r="K7" s="492" t="s">
        <v>416</v>
      </c>
      <c r="L7" s="492" t="s">
        <v>417</v>
      </c>
      <c r="M7" s="492" t="s">
        <v>418</v>
      </c>
      <c r="N7" s="493" t="s">
        <v>419</v>
      </c>
      <c r="O7" s="493" t="s">
        <v>15</v>
      </c>
      <c r="P7" s="493" t="s">
        <v>420</v>
      </c>
      <c r="Q7" s="494" t="s">
        <v>421</v>
      </c>
      <c r="R7" s="492" t="s">
        <v>422</v>
      </c>
      <c r="S7" s="475" t="s">
        <v>415</v>
      </c>
      <c r="T7" s="493" t="s">
        <v>423</v>
      </c>
      <c r="U7" s="493" t="s">
        <v>424</v>
      </c>
      <c r="V7" s="495" t="s">
        <v>16</v>
      </c>
      <c r="W7" s="496" t="s">
        <v>16</v>
      </c>
      <c r="X7" s="497"/>
      <c r="Y7" s="498"/>
      <c r="Z7" s="499" t="s">
        <v>425</v>
      </c>
      <c r="AA7" s="493" t="s">
        <v>426</v>
      </c>
      <c r="AB7" s="475" t="s">
        <v>17</v>
      </c>
      <c r="AC7" s="475" t="s">
        <v>18</v>
      </c>
      <c r="AD7" s="475" t="s">
        <v>427</v>
      </c>
      <c r="AE7" s="493" t="s">
        <v>428</v>
      </c>
      <c r="AF7" s="493" t="s">
        <v>429</v>
      </c>
      <c r="AG7" s="500" t="s">
        <v>19</v>
      </c>
      <c r="AH7" s="500" t="s">
        <v>20</v>
      </c>
      <c r="AI7" s="475" t="s">
        <v>430</v>
      </c>
      <c r="AJ7" s="493" t="s">
        <v>431</v>
      </c>
      <c r="AK7" s="493" t="s">
        <v>432</v>
      </c>
      <c r="AL7" s="493" t="s">
        <v>433</v>
      </c>
      <c r="AM7" s="475" t="s">
        <v>434</v>
      </c>
      <c r="AN7" s="501" t="s">
        <v>435</v>
      </c>
      <c r="AO7" s="493" t="s">
        <v>436</v>
      </c>
      <c r="AP7" s="493" t="s">
        <v>437</v>
      </c>
      <c r="AQ7" s="475" t="s">
        <v>415</v>
      </c>
      <c r="AR7" s="493" t="s">
        <v>438</v>
      </c>
      <c r="AS7" s="493" t="s">
        <v>439</v>
      </c>
      <c r="AT7" s="495" t="s">
        <v>16</v>
      </c>
      <c r="AU7" s="496" t="s">
        <v>16</v>
      </c>
      <c r="AV7" s="497"/>
      <c r="AX7" s="502" t="s">
        <v>21</v>
      </c>
      <c r="AY7" s="502" t="s">
        <v>17</v>
      </c>
      <c r="AZ7" s="503" t="s">
        <v>22</v>
      </c>
      <c r="BA7" s="504" t="s">
        <v>23</v>
      </c>
      <c r="BC7" s="475" t="s">
        <v>440</v>
      </c>
      <c r="BD7" s="475" t="s">
        <v>441</v>
      </c>
      <c r="BE7" s="475" t="s">
        <v>24</v>
      </c>
      <c r="BF7" s="475" t="s">
        <v>25</v>
      </c>
      <c r="BG7" s="475" t="s">
        <v>26</v>
      </c>
      <c r="BH7" s="475" t="s">
        <v>27</v>
      </c>
      <c r="BI7" s="475" t="s">
        <v>28</v>
      </c>
      <c r="BJ7" s="475" t="s">
        <v>442</v>
      </c>
      <c r="BK7" s="475" t="s">
        <v>29</v>
      </c>
      <c r="BL7" s="475" t="s">
        <v>30</v>
      </c>
      <c r="BM7" s="505" t="s">
        <v>443</v>
      </c>
      <c r="BN7" s="505" t="s">
        <v>444</v>
      </c>
      <c r="BO7" s="505" t="s">
        <v>445</v>
      </c>
      <c r="BP7" s="505" t="s">
        <v>446</v>
      </c>
      <c r="BQ7" s="505" t="s">
        <v>447</v>
      </c>
      <c r="BR7" s="506"/>
      <c r="BS7" s="493" t="s">
        <v>448</v>
      </c>
      <c r="BT7" s="493" t="s">
        <v>449</v>
      </c>
      <c r="BU7" s="494" t="s">
        <v>450</v>
      </c>
      <c r="BV7" s="495" t="s">
        <v>451</v>
      </c>
      <c r="BW7" s="496" t="s">
        <v>452</v>
      </c>
    </row>
    <row r="8" spans="1:256">
      <c r="A8" s="477"/>
      <c r="B8" s="507" t="s">
        <v>31</v>
      </c>
      <c r="C8" s="508">
        <v>438</v>
      </c>
      <c r="D8" s="509">
        <f>E8-C8</f>
        <v>5638</v>
      </c>
      <c r="E8" s="510">
        <v>6076</v>
      </c>
      <c r="F8" s="508">
        <v>487</v>
      </c>
      <c r="G8" s="509">
        <f>H8-F8</f>
        <v>5535</v>
      </c>
      <c r="H8" s="510">
        <v>6022</v>
      </c>
      <c r="I8" s="511"/>
      <c r="K8" s="512">
        <f>(C8/E8)/(F8/H8)</f>
        <v>0.89139077502896236</v>
      </c>
      <c r="L8" s="513">
        <f>(D8/(C8*E8)+(G8/(F8*H8)))</f>
        <v>4.0058533632528794E-3</v>
      </c>
      <c r="M8" s="514">
        <f>1/L8</f>
        <v>249.63469935603644</v>
      </c>
      <c r="N8" s="515">
        <f>LN(K8)</f>
        <v>-0.114972367380128</v>
      </c>
      <c r="O8" s="515">
        <f>M8*N8</f>
        <v>-28.701092365190025</v>
      </c>
      <c r="P8" s="515">
        <f>LN(K8)</f>
        <v>-0.114972367380128</v>
      </c>
      <c r="Q8" s="516">
        <f>K8</f>
        <v>0.89139077502896236</v>
      </c>
      <c r="R8" s="517">
        <f>SQRT(1/M8)</f>
        <v>6.3291811186383967E-2</v>
      </c>
      <c r="S8" s="518">
        <f>$H$2</f>
        <v>1.9599639845400536</v>
      </c>
      <c r="T8" s="519">
        <f>P8-(R8*S8)</f>
        <v>-0.23902203782174986</v>
      </c>
      <c r="U8" s="519">
        <f>P8+(R8*S8)</f>
        <v>9.0773030614938466E-3</v>
      </c>
      <c r="V8" s="520">
        <f>EXP(T8)</f>
        <v>0.78739752965507581</v>
      </c>
      <c r="W8" s="521">
        <f>EXP(U8)</f>
        <v>1.0091186267180743</v>
      </c>
      <c r="X8" s="522"/>
      <c r="Z8" s="523">
        <f>(N8-P12)^2</f>
        <v>6.9088151239768579E-5</v>
      </c>
      <c r="AA8" s="521">
        <f>M8*Z8</f>
        <v>1.7246799863804004E-2</v>
      </c>
      <c r="AB8" s="473">
        <v>1</v>
      </c>
      <c r="AC8" s="506"/>
      <c r="AD8" s="506"/>
      <c r="AE8" s="514">
        <f>M8^2</f>
        <v>62317.483122578698</v>
      </c>
      <c r="AF8" s="524"/>
      <c r="AG8" s="525">
        <f>AG12</f>
        <v>-2.5071507919076389E-3</v>
      </c>
      <c r="AH8" s="525" t="str">
        <f>AH12</f>
        <v>0</v>
      </c>
      <c r="AI8" s="521">
        <f>1/M8</f>
        <v>4.0058533632528794E-3</v>
      </c>
      <c r="AJ8" s="526">
        <f>1/(AH8+AI8)</f>
        <v>249.63469935603644</v>
      </c>
      <c r="AK8" s="527">
        <f>AJ8/AJ12</f>
        <v>0.21480911989795345</v>
      </c>
      <c r="AL8" s="528">
        <f>AJ8*N8</f>
        <v>-28.701092365190025</v>
      </c>
      <c r="AM8" s="528">
        <f>AL8/AJ8</f>
        <v>-0.114972367380128</v>
      </c>
      <c r="AN8" s="521">
        <f>EXP(AM8)</f>
        <v>0.89139077502896236</v>
      </c>
      <c r="AO8" s="529">
        <f>1/AJ8</f>
        <v>4.0058533632528794E-3</v>
      </c>
      <c r="AP8" s="521">
        <f>SQRT(AO8)</f>
        <v>6.3291811186383967E-2</v>
      </c>
      <c r="AQ8" s="518">
        <f>$H$2</f>
        <v>1.9599639845400536</v>
      </c>
      <c r="AR8" s="519">
        <f>AM8-(AQ8*AP8)</f>
        <v>-0.23902203782174986</v>
      </c>
      <c r="AS8" s="519">
        <f>AM8+(AQ8*AP8)</f>
        <v>9.0773030614938466E-3</v>
      </c>
      <c r="AT8" s="530">
        <f>EXP(AR8)</f>
        <v>0.78739752965507581</v>
      </c>
      <c r="AU8" s="530">
        <f>EXP(AS8)</f>
        <v>1.0091186267180743</v>
      </c>
      <c r="AV8" s="491"/>
      <c r="AX8" s="531"/>
      <c r="AY8" s="531">
        <v>1</v>
      </c>
      <c r="AZ8" s="532"/>
      <c r="BA8" s="532"/>
      <c r="BC8" s="506"/>
      <c r="BD8" s="506"/>
      <c r="BE8" s="473"/>
      <c r="BF8" s="473"/>
      <c r="BG8" s="473"/>
      <c r="BH8" s="473"/>
      <c r="BI8" s="473"/>
      <c r="BJ8" s="473"/>
      <c r="BK8" s="473"/>
      <c r="BL8" s="473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</row>
    <row r="9" spans="1:256">
      <c r="A9" s="477"/>
      <c r="B9" s="507" t="s">
        <v>32</v>
      </c>
      <c r="C9" s="508">
        <v>208</v>
      </c>
      <c r="D9" s="509">
        <f>E9-C9</f>
        <v>6853</v>
      </c>
      <c r="E9" s="510">
        <v>7061</v>
      </c>
      <c r="F9" s="508">
        <v>250</v>
      </c>
      <c r="G9" s="509">
        <f>H9-F9</f>
        <v>6832</v>
      </c>
      <c r="H9" s="510">
        <v>7082</v>
      </c>
      <c r="I9" s="511"/>
      <c r="K9" s="512">
        <f>(C9/E9)/(F9/H9)</f>
        <v>0.8344744370485766</v>
      </c>
      <c r="L9" s="513">
        <f>(D9/(C9*E9)+(G9/(F9*H9)))</f>
        <v>8.5248662581312966E-3</v>
      </c>
      <c r="M9" s="514">
        <f>1/L9</f>
        <v>117.30389307235961</v>
      </c>
      <c r="N9" s="515">
        <f>LN(K9)</f>
        <v>-0.18095316900542638</v>
      </c>
      <c r="O9" s="515">
        <f>M9*N9</f>
        <v>-21.226511188117154</v>
      </c>
      <c r="P9" s="515">
        <f>LN(K9)</f>
        <v>-0.18095316900542638</v>
      </c>
      <c r="Q9" s="516">
        <f>K9</f>
        <v>0.8344744370485766</v>
      </c>
      <c r="R9" s="517">
        <f>SQRT(1/M9)</f>
        <v>9.2330202307431872E-2</v>
      </c>
      <c r="S9" s="518">
        <f>$H$2</f>
        <v>1.9599639845400536</v>
      </c>
      <c r="T9" s="519">
        <f>P9-(R9*S9)</f>
        <v>-0.3619170402132898</v>
      </c>
      <c r="U9" s="519">
        <f>P9+(R9*S9)</f>
        <v>1.0702202437040675E-5</v>
      </c>
      <c r="V9" s="520">
        <f t="shared" ref="V9:W11" si="0">EXP(T9)</f>
        <v>0.69634013367458469</v>
      </c>
      <c r="W9" s="521">
        <f t="shared" si="0"/>
        <v>1.0000107022597058</v>
      </c>
      <c r="X9" s="522"/>
      <c r="Z9" s="523">
        <f>(N9-P12)^2</f>
        <v>5.5194097123832265E-3</v>
      </c>
      <c r="AA9" s="521">
        <f>M9*Z9</f>
        <v>0.64744824672394508</v>
      </c>
      <c r="AB9" s="473">
        <v>1</v>
      </c>
      <c r="AC9" s="506"/>
      <c r="AD9" s="506"/>
      <c r="AE9" s="514">
        <f>M9^2</f>
        <v>13760.203329931577</v>
      </c>
      <c r="AF9" s="524"/>
      <c r="AG9" s="525">
        <f>AG12</f>
        <v>-2.5071507919076389E-3</v>
      </c>
      <c r="AH9" s="525" t="str">
        <f>AH12</f>
        <v>0</v>
      </c>
      <c r="AI9" s="521">
        <f>1/M9</f>
        <v>8.5248662581312966E-3</v>
      </c>
      <c r="AJ9" s="526">
        <f>1/(AH9+AI9)</f>
        <v>117.30389307235961</v>
      </c>
      <c r="AK9" s="527">
        <f>AJ9/AJ12</f>
        <v>0.10093927685725752</v>
      </c>
      <c r="AL9" s="528">
        <f>AJ9*N9</f>
        <v>-21.226511188117154</v>
      </c>
      <c r="AM9" s="528">
        <f>AL9/AJ9</f>
        <v>-0.18095316900542638</v>
      </c>
      <c r="AN9" s="521">
        <f>EXP(AM9)</f>
        <v>0.8344744370485766</v>
      </c>
      <c r="AO9" s="529">
        <f>1/AJ9</f>
        <v>8.5248662581312966E-3</v>
      </c>
      <c r="AP9" s="521">
        <f>SQRT(AO9)</f>
        <v>9.2330202307431872E-2</v>
      </c>
      <c r="AQ9" s="518">
        <f>$H$2</f>
        <v>1.9599639845400536</v>
      </c>
      <c r="AR9" s="519">
        <f>AM9-(AQ9*AP9)</f>
        <v>-0.3619170402132898</v>
      </c>
      <c r="AS9" s="519">
        <f>AM9+(AQ9*AP9)</f>
        <v>1.0702202437040675E-5</v>
      </c>
      <c r="AT9" s="530">
        <f t="shared" ref="AT9:AU11" si="1">EXP(AR9)</f>
        <v>0.69634013367458469</v>
      </c>
      <c r="AU9" s="530">
        <f t="shared" si="1"/>
        <v>1.0000107022597058</v>
      </c>
      <c r="AV9" s="491"/>
      <c r="AX9" s="531"/>
      <c r="AY9" s="531">
        <v>1</v>
      </c>
      <c r="AZ9" s="532"/>
      <c r="BA9" s="532"/>
      <c r="BC9" s="506"/>
      <c r="BD9" s="506"/>
      <c r="BE9" s="473"/>
      <c r="BF9" s="473"/>
      <c r="BG9" s="473"/>
      <c r="BH9" s="473"/>
      <c r="BI9" s="473"/>
      <c r="BJ9" s="473"/>
      <c r="BK9" s="473"/>
      <c r="BL9" s="473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</row>
    <row r="10" spans="1:256">
      <c r="A10" s="477"/>
      <c r="B10" s="507" t="s">
        <v>33</v>
      </c>
      <c r="C10" s="508">
        <v>603</v>
      </c>
      <c r="D10" s="509">
        <f>E10-C10</f>
        <v>8517</v>
      </c>
      <c r="E10" s="510">
        <v>9120</v>
      </c>
      <c r="F10" s="508">
        <v>669</v>
      </c>
      <c r="G10" s="509">
        <f>H10-F10</f>
        <v>8412</v>
      </c>
      <c r="H10" s="510">
        <v>9081</v>
      </c>
      <c r="I10" s="511"/>
      <c r="K10" s="512">
        <f>(C10/E10)/(F10/H10)</f>
        <v>0.89749085437809761</v>
      </c>
      <c r="L10" s="513">
        <f>(D10/(C10*E10)+(G10/(F10*H10)))</f>
        <v>2.9333739499743331E-3</v>
      </c>
      <c r="M10" s="514">
        <f>1/L10</f>
        <v>340.90437054871575</v>
      </c>
      <c r="N10" s="515">
        <f>LN(K10)</f>
        <v>-0.10815234877959184</v>
      </c>
      <c r="O10" s="515">
        <f>M10*N10</f>
        <v>-36.869608384071924</v>
      </c>
      <c r="P10" s="515">
        <f>LN(K10)</f>
        <v>-0.10815234877959184</v>
      </c>
      <c r="Q10" s="516">
        <f>K10</f>
        <v>0.89749085437809761</v>
      </c>
      <c r="R10" s="517">
        <f>SQRT(1/M10)</f>
        <v>5.4160630996825852E-2</v>
      </c>
      <c r="S10" s="518">
        <f>$H$2</f>
        <v>1.9599639845400536</v>
      </c>
      <c r="T10" s="519">
        <f>P10-(R10*S10)</f>
        <v>-0.2143052349133342</v>
      </c>
      <c r="U10" s="519">
        <f>P10+(R10*S10)</f>
        <v>-1.9994626458495063E-3</v>
      </c>
      <c r="V10" s="520">
        <f t="shared" si="0"/>
        <v>0.80710199171418162</v>
      </c>
      <c r="W10" s="521">
        <f t="shared" si="0"/>
        <v>0.99800253494799329</v>
      </c>
      <c r="X10" s="522"/>
      <c r="Z10" s="523">
        <f>(N10-P12)^2</f>
        <v>2.2257944033516369E-6</v>
      </c>
      <c r="AA10" s="521">
        <f>M10*Z10</f>
        <v>7.5878304004544414E-4</v>
      </c>
      <c r="AB10" s="473">
        <v>1</v>
      </c>
      <c r="AC10" s="506"/>
      <c r="AD10" s="506"/>
      <c r="AE10" s="514">
        <f>M10^2</f>
        <v>116215.78985921609</v>
      </c>
      <c r="AF10" s="524"/>
      <c r="AG10" s="525">
        <f>AG12</f>
        <v>-2.5071507919076389E-3</v>
      </c>
      <c r="AH10" s="525" t="str">
        <f>AH12</f>
        <v>0</v>
      </c>
      <c r="AI10" s="521">
        <f>1/M10</f>
        <v>2.9333739499743331E-3</v>
      </c>
      <c r="AJ10" s="526">
        <f>1/(AH10+AI10)</f>
        <v>340.90437054871575</v>
      </c>
      <c r="AK10" s="527">
        <f>AJ10/AJ12</f>
        <v>0.29334610931829447</v>
      </c>
      <c r="AL10" s="528">
        <f>AJ10*N10</f>
        <v>-36.869608384071924</v>
      </c>
      <c r="AM10" s="528">
        <f>AL10/AJ10</f>
        <v>-0.10815234877959184</v>
      </c>
      <c r="AN10" s="521">
        <f>EXP(AM10)</f>
        <v>0.89749085437809761</v>
      </c>
      <c r="AO10" s="529">
        <f>1/AJ10</f>
        <v>2.9333739499743331E-3</v>
      </c>
      <c r="AP10" s="521">
        <f>SQRT(AO10)</f>
        <v>5.4160630996825852E-2</v>
      </c>
      <c r="AQ10" s="518">
        <f>$H$2</f>
        <v>1.9599639845400536</v>
      </c>
      <c r="AR10" s="519">
        <f>AM10-(AQ10*AP10)</f>
        <v>-0.2143052349133342</v>
      </c>
      <c r="AS10" s="519">
        <f>AM10+(AQ10*AP10)</f>
        <v>-1.9994626458495063E-3</v>
      </c>
      <c r="AT10" s="530">
        <f t="shared" si="1"/>
        <v>0.80710199171418162</v>
      </c>
      <c r="AU10" s="530">
        <f t="shared" si="1"/>
        <v>0.99800253494799329</v>
      </c>
      <c r="AV10" s="491"/>
      <c r="AX10" s="531"/>
      <c r="AY10" s="531">
        <v>1</v>
      </c>
      <c r="AZ10" s="532"/>
      <c r="BA10" s="532"/>
      <c r="BC10" s="506"/>
      <c r="BD10" s="506"/>
      <c r="BE10" s="473"/>
      <c r="BF10" s="473"/>
      <c r="BG10" s="473"/>
      <c r="BH10" s="473"/>
      <c r="BI10" s="473"/>
      <c r="BJ10" s="473"/>
      <c r="BK10" s="473"/>
      <c r="BL10" s="473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</row>
    <row r="11" spans="1:256">
      <c r="A11" s="477"/>
      <c r="B11" s="507" t="s">
        <v>34</v>
      </c>
      <c r="C11" s="508">
        <v>773</v>
      </c>
      <c r="D11" s="509">
        <f>E11-C11</f>
        <v>6262</v>
      </c>
      <c r="E11" s="510">
        <v>7035</v>
      </c>
      <c r="F11" s="508">
        <v>839</v>
      </c>
      <c r="G11" s="509">
        <f>H11-F11</f>
        <v>6197</v>
      </c>
      <c r="H11" s="510">
        <v>7036</v>
      </c>
      <c r="I11" s="511"/>
      <c r="K11" s="512">
        <f>(C11/E11)/(F11/H11)</f>
        <v>0.9214658869792024</v>
      </c>
      <c r="L11" s="513">
        <f>(D11/(C11*E11)+(G11/(F11*H11)))</f>
        <v>2.2012835551562097E-3</v>
      </c>
      <c r="M11" s="514">
        <f>1/L11</f>
        <v>454.28041183410238</v>
      </c>
      <c r="N11" s="515">
        <f>LN(K11)</f>
        <v>-8.1789521570824864E-2</v>
      </c>
      <c r="O11" s="515">
        <f>M11*N11</f>
        <v>-37.155377542908518</v>
      </c>
      <c r="P11" s="515">
        <f>LN(K11)</f>
        <v>-8.1789521570824864E-2</v>
      </c>
      <c r="Q11" s="516">
        <f>K11</f>
        <v>0.9214658869792024</v>
      </c>
      <c r="R11" s="517">
        <f>SQRT(1/M11)</f>
        <v>4.6917838347010507E-2</v>
      </c>
      <c r="S11" s="518">
        <f>$H$2</f>
        <v>1.9599639845400536</v>
      </c>
      <c r="T11" s="519">
        <f>P11-(R11*S11)</f>
        <v>-0.1737467949634377</v>
      </c>
      <c r="U11" s="519">
        <f>P11+(R11*S11)</f>
        <v>1.0167751821787974E-2</v>
      </c>
      <c r="V11" s="520">
        <f t="shared" si="0"/>
        <v>0.84050969200428938</v>
      </c>
      <c r="W11" s="521">
        <f t="shared" si="0"/>
        <v>1.0102196190523345</v>
      </c>
      <c r="X11" s="522"/>
      <c r="Z11" s="523">
        <f>(N11-P12)^2</f>
        <v>6.1856254022184341E-4</v>
      </c>
      <c r="AA11" s="521">
        <f>M11*Z11</f>
        <v>0.28100084551712756</v>
      </c>
      <c r="AB11" s="473">
        <v>1</v>
      </c>
      <c r="AC11" s="506"/>
      <c r="AD11" s="506"/>
      <c r="AE11" s="514">
        <f>M11^2</f>
        <v>206370.69257616167</v>
      </c>
      <c r="AF11" s="524"/>
      <c r="AG11" s="525">
        <f>AG12</f>
        <v>-2.5071507919076389E-3</v>
      </c>
      <c r="AH11" s="525" t="str">
        <f>AH12</f>
        <v>0</v>
      </c>
      <c r="AI11" s="521">
        <f>1/M11</f>
        <v>2.2012835551562097E-3</v>
      </c>
      <c r="AJ11" s="526">
        <f>1/(AH11+AI11)</f>
        <v>454.28041183410238</v>
      </c>
      <c r="AK11" s="527">
        <f>AJ11/AJ12</f>
        <v>0.39090549392649449</v>
      </c>
      <c r="AL11" s="528">
        <f>AJ11*N11</f>
        <v>-37.155377542908518</v>
      </c>
      <c r="AM11" s="528">
        <f>AL11/AJ11</f>
        <v>-8.1789521570824864E-2</v>
      </c>
      <c r="AN11" s="521">
        <f>EXP(AM11)</f>
        <v>0.9214658869792024</v>
      </c>
      <c r="AO11" s="529">
        <f>1/AJ11</f>
        <v>2.2012835551562097E-3</v>
      </c>
      <c r="AP11" s="521">
        <f>SQRT(AO11)</f>
        <v>4.6917838347010507E-2</v>
      </c>
      <c r="AQ11" s="518">
        <f>$H$2</f>
        <v>1.9599639845400536</v>
      </c>
      <c r="AR11" s="519">
        <f>AM11-(AQ11*AP11)</f>
        <v>-0.1737467949634377</v>
      </c>
      <c r="AS11" s="519">
        <f>AM11+(AQ11*AP11)</f>
        <v>1.0167751821787974E-2</v>
      </c>
      <c r="AT11" s="530">
        <f t="shared" si="1"/>
        <v>0.84050969200428938</v>
      </c>
      <c r="AU11" s="530">
        <f t="shared" si="1"/>
        <v>1.0102196190523345</v>
      </c>
      <c r="AV11" s="491"/>
      <c r="AX11" s="531"/>
      <c r="AY11" s="531">
        <v>1</v>
      </c>
      <c r="AZ11" s="532"/>
      <c r="BA11" s="532"/>
      <c r="BC11" s="506"/>
      <c r="BD11" s="506"/>
      <c r="BE11" s="473"/>
      <c r="BF11" s="473"/>
      <c r="BG11" s="473"/>
      <c r="BH11" s="473"/>
      <c r="BI11" s="473"/>
      <c r="BJ11" s="473"/>
      <c r="BK11" s="473"/>
      <c r="BL11" s="473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</row>
    <row r="12" spans="1:256">
      <c r="A12" s="477"/>
      <c r="B12" s="533">
        <f>COUNT(D8:D11)</f>
        <v>4</v>
      </c>
      <c r="C12" s="534">
        <f t="shared" ref="C12:H12" si="2">SUM(C8:C11)</f>
        <v>2022</v>
      </c>
      <c r="D12" s="534">
        <f t="shared" si="2"/>
        <v>27270</v>
      </c>
      <c r="E12" s="534">
        <f t="shared" si="2"/>
        <v>29292</v>
      </c>
      <c r="F12" s="534">
        <f t="shared" si="2"/>
        <v>2245</v>
      </c>
      <c r="G12" s="534">
        <f t="shared" si="2"/>
        <v>26976</v>
      </c>
      <c r="H12" s="534">
        <f t="shared" si="2"/>
        <v>29221</v>
      </c>
      <c r="I12" s="535"/>
      <c r="K12" s="536"/>
      <c r="L12" s="537"/>
      <c r="M12" s="538">
        <f>SUM(M8:M11)</f>
        <v>1162.1233748112143</v>
      </c>
      <c r="N12" s="539"/>
      <c r="O12" s="540">
        <f>SUM(O8:O11)</f>
        <v>-123.95258948028763</v>
      </c>
      <c r="P12" s="541">
        <f>O12/M12</f>
        <v>-0.10666043912972975</v>
      </c>
      <c r="Q12" s="542">
        <f>EXP(P12)</f>
        <v>0.8988308289563669</v>
      </c>
      <c r="R12" s="543">
        <f>SQRT(1/M12)</f>
        <v>2.9334175212550426E-2</v>
      </c>
      <c r="S12" s="518">
        <f>$H$2</f>
        <v>1.9599639845400536</v>
      </c>
      <c r="T12" s="544">
        <f>P12-(R12*S12)</f>
        <v>-0.16415436606251615</v>
      </c>
      <c r="U12" s="544">
        <f>P12+(R12*S12)</f>
        <v>-4.9166512196943346E-2</v>
      </c>
      <c r="V12" s="545">
        <f>EXP(T12)</f>
        <v>0.84861101502796321</v>
      </c>
      <c r="W12" s="546">
        <f>EXP(U12)</f>
        <v>0.95202259312621351</v>
      </c>
      <c r="X12" s="547"/>
      <c r="Y12" s="547"/>
      <c r="Z12" s="548"/>
      <c r="AA12" s="549">
        <f>SUM(AA8:AA11)</f>
        <v>0.94645467514492199</v>
      </c>
      <c r="AB12" s="550">
        <f>SUM(AB8:AB11)</f>
        <v>4</v>
      </c>
      <c r="AC12" s="551">
        <f>AA12-(AB12-1)</f>
        <v>-2.0535453248550781</v>
      </c>
      <c r="AD12" s="538">
        <f>M12</f>
        <v>1162.1233748112143</v>
      </c>
      <c r="AE12" s="538">
        <f>SUM(AE8:AE11)</f>
        <v>398664.16888788808</v>
      </c>
      <c r="AF12" s="552">
        <f>AE12/AD12</f>
        <v>343.04805972313454</v>
      </c>
      <c r="AG12" s="553">
        <f>AC12/(AD12-AF12)</f>
        <v>-2.5071507919076389E-3</v>
      </c>
      <c r="AH12" s="553" t="str">
        <f>IF(AA12&lt;AB12-1,"0",AG12)</f>
        <v>0</v>
      </c>
      <c r="AI12" s="548"/>
      <c r="AJ12" s="538">
        <f>SUM(AJ8:AJ11)</f>
        <v>1162.1233748112143</v>
      </c>
      <c r="AK12" s="554">
        <f>SUM(AK8:AK11)</f>
        <v>1</v>
      </c>
      <c r="AL12" s="551">
        <f>SUM(AL8:AL11)</f>
        <v>-123.95258948028763</v>
      </c>
      <c r="AM12" s="551">
        <f>AL12/AJ12</f>
        <v>-0.10666043912972975</v>
      </c>
      <c r="AN12" s="555">
        <f>EXP(AM12)</f>
        <v>0.8988308289563669</v>
      </c>
      <c r="AO12" s="556">
        <f>1/AJ12</f>
        <v>8.6049383540060789E-4</v>
      </c>
      <c r="AP12" s="557">
        <f>SQRT(AO12)</f>
        <v>2.9334175212550426E-2</v>
      </c>
      <c r="AQ12" s="518">
        <f>$H$2</f>
        <v>1.9599639845400536</v>
      </c>
      <c r="AR12" s="544">
        <f>AM12-(AQ12*AP12)</f>
        <v>-0.16415436606251615</v>
      </c>
      <c r="AS12" s="544">
        <f>AM12+(AQ12*AP12)</f>
        <v>-4.9166512196943346E-2</v>
      </c>
      <c r="AT12" s="558">
        <f>EXP(AR12)</f>
        <v>0.84861101502796321</v>
      </c>
      <c r="AU12" s="559">
        <f>EXP(AS12)</f>
        <v>0.95202259312621351</v>
      </c>
      <c r="AV12" s="560"/>
      <c r="AW12" s="468"/>
      <c r="AX12" s="561">
        <f>AA12</f>
        <v>0.94645467514492199</v>
      </c>
      <c r="AY12" s="533">
        <f>SUM(AY8:AY11)</f>
        <v>4</v>
      </c>
      <c r="AZ12" s="562">
        <f>(AX12-(AY12-1))/AX12</f>
        <v>-2.1697238956959426</v>
      </c>
      <c r="BA12" s="563" t="str">
        <f>IF(AA12&lt;AB12-1,"0%",AZ12)</f>
        <v>0%</v>
      </c>
      <c r="BB12" s="468"/>
      <c r="BC12" s="540">
        <f>AX12/(AY12-1)</f>
        <v>0.31548489171497401</v>
      </c>
      <c r="BD12" s="564">
        <f>LN(BC12)</f>
        <v>-1.153644484946293</v>
      </c>
      <c r="BE12" s="540">
        <f>LN(AX12)</f>
        <v>-5.5032196278183461E-2</v>
      </c>
      <c r="BF12" s="540">
        <f>LN(AY12-1)</f>
        <v>1.0986122886681098</v>
      </c>
      <c r="BG12" s="540">
        <f>SQRT(2*AX12)</f>
        <v>1.3758304220687387</v>
      </c>
      <c r="BH12" s="540">
        <f>SQRT(2*AY12-3)</f>
        <v>2.2360679774997898</v>
      </c>
      <c r="BI12" s="540">
        <f>2*(AY12-2)</f>
        <v>4</v>
      </c>
      <c r="BJ12" s="540">
        <f>3*(AY12-2)^2</f>
        <v>12</v>
      </c>
      <c r="BK12" s="540">
        <f>1/BI12</f>
        <v>0.25</v>
      </c>
      <c r="BL12" s="540">
        <f>1/BJ12</f>
        <v>8.3333333333333329E-2</v>
      </c>
      <c r="BM12" s="540">
        <f>SQRT(BK12*(1-BL12))</f>
        <v>0.47871355387816905</v>
      </c>
      <c r="BN12" s="564">
        <f>0.5*(BE12-BF12)/(BG12-BH12)</f>
        <v>0.67053831680728049</v>
      </c>
      <c r="BO12" s="564">
        <f>IF(AA12&lt;=AB12,BM12,BN12)</f>
        <v>0.47871355387816905</v>
      </c>
      <c r="BP12" s="551">
        <f>BD12-(1.96*BO12)</f>
        <v>-2.0919230505475044</v>
      </c>
      <c r="BQ12" s="551">
        <f>BD12+(1.96*BO12)</f>
        <v>-0.21536591934508165</v>
      </c>
      <c r="BR12" s="551"/>
      <c r="BS12" s="564">
        <f>EXP(BP12)</f>
        <v>0.12344950776181454</v>
      </c>
      <c r="BT12" s="564">
        <f>EXP(BQ12)</f>
        <v>0.80624636505189673</v>
      </c>
      <c r="BU12" s="565" t="str">
        <f>BA12</f>
        <v>0%</v>
      </c>
      <c r="BV12" s="565">
        <f>(BS12-1)/BS12</f>
        <v>-7.1004778239328106</v>
      </c>
      <c r="BW12" s="565">
        <f>(BT12-1)/BT12</f>
        <v>-0.24031566943639079</v>
      </c>
    </row>
    <row r="13" spans="1:256" ht="13.5" thickBot="1">
      <c r="C13" s="566"/>
      <c r="D13" s="566"/>
      <c r="E13" s="566"/>
      <c r="F13" s="566"/>
      <c r="G13" s="566"/>
      <c r="H13" s="566"/>
      <c r="I13" s="567"/>
      <c r="R13" s="568"/>
      <c r="S13" s="568"/>
      <c r="T13" s="568"/>
      <c r="U13" s="568"/>
      <c r="V13" s="568"/>
      <c r="W13" s="568"/>
      <c r="X13" s="568"/>
      <c r="AB13" s="569"/>
      <c r="AC13" s="570"/>
      <c r="AD13" s="571"/>
      <c r="AE13" s="570"/>
      <c r="AF13" s="572"/>
      <c r="AG13" s="572"/>
      <c r="AH13" s="572"/>
      <c r="AI13" s="572"/>
      <c r="AT13" s="573"/>
      <c r="AU13" s="573"/>
      <c r="AV13" s="573"/>
      <c r="AX13" s="480" t="s">
        <v>35</v>
      </c>
      <c r="BG13" s="483"/>
      <c r="BN13" s="570" t="s">
        <v>36</v>
      </c>
      <c r="BT13" s="574" t="s">
        <v>37</v>
      </c>
      <c r="BU13" s="575" t="str">
        <f>BU12</f>
        <v>0%</v>
      </c>
      <c r="BV13" s="576" t="str">
        <f>IF(BV12&lt;0,"0%",BV12)</f>
        <v>0%</v>
      </c>
      <c r="BW13" s="577" t="str">
        <f>IF(BW12&lt;0,"0%",BW12)</f>
        <v>0%</v>
      </c>
    </row>
    <row r="14" spans="1:256" ht="26.5" thickBot="1">
      <c r="A14" s="477"/>
      <c r="B14" s="578"/>
      <c r="C14" s="579"/>
      <c r="D14" s="580"/>
      <c r="E14" s="580"/>
      <c r="F14" s="580"/>
      <c r="G14" s="580"/>
      <c r="H14" s="580"/>
      <c r="I14" s="581"/>
      <c r="J14" s="480"/>
      <c r="K14" s="480"/>
      <c r="L14" s="480"/>
      <c r="R14" s="582"/>
      <c r="S14" s="582"/>
      <c r="T14" s="582"/>
      <c r="U14" s="582"/>
      <c r="V14" s="582"/>
      <c r="W14" s="582"/>
      <c r="X14" s="582"/>
      <c r="AF14" s="472"/>
      <c r="AI14" s="483"/>
      <c r="AJ14" s="583"/>
      <c r="AK14" s="583"/>
      <c r="AL14" s="584"/>
      <c r="AM14" s="585"/>
      <c r="AN14" s="586"/>
      <c r="AO14" s="587" t="s">
        <v>453</v>
      </c>
      <c r="AP14" s="588">
        <f>TINV((1-$H$1),(AB12-2))</f>
        <v>4.3026527297494619</v>
      </c>
      <c r="AR14" s="589" t="s">
        <v>38</v>
      </c>
      <c r="AS14" s="590">
        <f>$H$1</f>
        <v>0.95</v>
      </c>
      <c r="AT14" s="591">
        <f>EXP(AM12-AP14*SQRT((1/AD12)+AH12))</f>
        <v>0.79225243397648915</v>
      </c>
      <c r="AU14" s="592">
        <f>EXP(AM12+AP14*SQRT((1/AD12)+AH12))</f>
        <v>1.0197467681195724</v>
      </c>
      <c r="AV14" s="491"/>
      <c r="AX14" s="593">
        <f>_xlfn.CHISQ.DIST.RT(AX12,AY12-1)</f>
        <v>0.81420517740893283</v>
      </c>
      <c r="AY14" s="594" t="str">
        <f>IF(AX14&lt;0.05,"heterogeneidad","homogeneidad")</f>
        <v>homogeneidad</v>
      </c>
      <c r="BF14" s="595"/>
      <c r="BG14" s="483"/>
      <c r="BH14" s="483"/>
      <c r="BJ14" s="522"/>
      <c r="BL14" s="483"/>
      <c r="BM14" s="596"/>
      <c r="BQ14" s="483"/>
    </row>
    <row r="15" spans="1:256" ht="14.5">
      <c r="A15" s="477"/>
      <c r="B15" s="480"/>
      <c r="C15" s="580"/>
      <c r="D15" s="580"/>
      <c r="E15" s="580"/>
      <c r="F15" s="580"/>
      <c r="G15" s="580"/>
      <c r="H15" s="580"/>
      <c r="I15" s="581"/>
      <c r="J15" s="480"/>
      <c r="K15" s="480"/>
      <c r="L15" s="480"/>
      <c r="R15" s="582"/>
      <c r="S15" s="582"/>
      <c r="T15" s="582"/>
      <c r="U15" s="582"/>
      <c r="V15" s="582"/>
      <c r="W15" s="582"/>
      <c r="X15" s="582"/>
      <c r="AF15" s="472"/>
      <c r="AI15" s="483"/>
      <c r="AJ15" s="583"/>
      <c r="AK15" s="583"/>
      <c r="AL15" s="584"/>
      <c r="AM15" s="585"/>
      <c r="AN15" s="597"/>
      <c r="AO15" s="598"/>
      <c r="AP15" s="487"/>
      <c r="AS15" s="599"/>
      <c r="AT15" s="491"/>
      <c r="AU15" s="491"/>
      <c r="AV15" s="491"/>
      <c r="BF15" s="595"/>
      <c r="BG15" s="483"/>
      <c r="BH15" s="483"/>
      <c r="BJ15" s="522"/>
      <c r="BL15" s="483"/>
      <c r="BM15" s="596"/>
      <c r="BQ15" s="483"/>
    </row>
    <row r="16" spans="1:256">
      <c r="C16" s="566"/>
      <c r="D16" s="566"/>
      <c r="E16" s="566"/>
      <c r="F16" s="566"/>
      <c r="G16" s="566"/>
      <c r="H16" s="566"/>
      <c r="I16" s="567"/>
      <c r="J16" s="624" t="s">
        <v>4</v>
      </c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6"/>
      <c r="X16" s="484"/>
      <c r="Y16" s="624" t="s">
        <v>5</v>
      </c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6"/>
      <c r="AV16" s="484"/>
      <c r="AW16" s="624" t="s">
        <v>6</v>
      </c>
      <c r="AX16" s="625"/>
      <c r="AY16" s="625"/>
      <c r="AZ16" s="625"/>
      <c r="BA16" s="625"/>
      <c r="BB16" s="625"/>
      <c r="BC16" s="625"/>
      <c r="BD16" s="625"/>
      <c r="BE16" s="625"/>
      <c r="BF16" s="625"/>
      <c r="BG16" s="625"/>
      <c r="BH16" s="625"/>
      <c r="BI16" s="625"/>
      <c r="BJ16" s="625"/>
      <c r="BK16" s="625"/>
      <c r="BL16" s="625"/>
      <c r="BM16" s="625"/>
      <c r="BN16" s="625"/>
      <c r="BO16" s="625"/>
      <c r="BP16" s="625"/>
      <c r="BQ16" s="625"/>
      <c r="BR16" s="625"/>
      <c r="BS16" s="625"/>
      <c r="BT16" s="625"/>
      <c r="BU16" s="625"/>
      <c r="BV16" s="625"/>
      <c r="BW16" s="626"/>
    </row>
    <row r="17" spans="1:256">
      <c r="A17" s="485"/>
      <c r="B17" s="486" t="s">
        <v>8</v>
      </c>
      <c r="C17" s="623" t="s">
        <v>9</v>
      </c>
      <c r="D17" s="623"/>
      <c r="E17" s="623"/>
      <c r="F17" s="623" t="s">
        <v>10</v>
      </c>
      <c r="G17" s="623"/>
      <c r="H17" s="623"/>
      <c r="I17" s="487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8"/>
      <c r="DJ17" s="488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8"/>
      <c r="DV17" s="488"/>
      <c r="DW17" s="488"/>
      <c r="DX17" s="488"/>
      <c r="DY17" s="488"/>
      <c r="DZ17" s="488"/>
      <c r="EA17" s="488"/>
      <c r="EB17" s="488"/>
      <c r="EC17" s="488"/>
      <c r="ED17" s="488"/>
      <c r="EE17" s="488"/>
      <c r="EF17" s="488"/>
      <c r="EG17" s="488"/>
      <c r="EH17" s="488"/>
      <c r="EI17" s="488"/>
      <c r="EJ17" s="488"/>
      <c r="EK17" s="488"/>
      <c r="EL17" s="488"/>
      <c r="EM17" s="488"/>
      <c r="EN17" s="488"/>
      <c r="EO17" s="488"/>
      <c r="EP17" s="488"/>
      <c r="EQ17" s="488"/>
      <c r="ER17" s="488"/>
      <c r="ES17" s="488"/>
      <c r="ET17" s="488"/>
      <c r="EU17" s="488"/>
      <c r="EV17" s="488"/>
      <c r="EW17" s="488"/>
      <c r="EX17" s="488"/>
      <c r="EY17" s="488"/>
      <c r="EZ17" s="488"/>
      <c r="FA17" s="488"/>
      <c r="FB17" s="488"/>
      <c r="FC17" s="488"/>
      <c r="FD17" s="488"/>
      <c r="FE17" s="488"/>
      <c r="FF17" s="488"/>
      <c r="FG17" s="488"/>
      <c r="FH17" s="488"/>
      <c r="FI17" s="488"/>
      <c r="FJ17" s="488"/>
      <c r="FK17" s="488"/>
      <c r="FL17" s="488"/>
      <c r="FM17" s="488"/>
      <c r="FN17" s="488"/>
      <c r="FO17" s="488"/>
      <c r="FP17" s="488"/>
      <c r="FQ17" s="488"/>
      <c r="FR17" s="488"/>
      <c r="FS17" s="488"/>
      <c r="FT17" s="488"/>
      <c r="FU17" s="488"/>
      <c r="FV17" s="488"/>
      <c r="FW17" s="488"/>
      <c r="FX17" s="488"/>
      <c r="FY17" s="488"/>
      <c r="FZ17" s="488"/>
      <c r="GA17" s="488"/>
      <c r="GB17" s="488"/>
      <c r="GC17" s="488"/>
      <c r="GD17" s="488"/>
      <c r="GE17" s="488"/>
      <c r="GF17" s="488"/>
      <c r="GG17" s="488"/>
      <c r="GH17" s="488"/>
      <c r="GI17" s="488"/>
      <c r="GJ17" s="488"/>
      <c r="GK17" s="488"/>
      <c r="GL17" s="488"/>
      <c r="GM17" s="488"/>
      <c r="GN17" s="488"/>
      <c r="GO17" s="488"/>
      <c r="GP17" s="488"/>
      <c r="GQ17" s="488"/>
      <c r="GR17" s="488"/>
      <c r="GS17" s="488"/>
      <c r="GT17" s="488"/>
      <c r="GU17" s="488"/>
      <c r="GV17" s="488"/>
      <c r="GW17" s="488"/>
      <c r="GX17" s="488"/>
      <c r="GY17" s="488"/>
      <c r="GZ17" s="488"/>
      <c r="HA17" s="488"/>
      <c r="HB17" s="488"/>
      <c r="HC17" s="488"/>
      <c r="HD17" s="488"/>
      <c r="HE17" s="488"/>
      <c r="HF17" s="488"/>
      <c r="HG17" s="488"/>
      <c r="HH17" s="488"/>
      <c r="HI17" s="488"/>
      <c r="HJ17" s="488"/>
      <c r="HK17" s="488"/>
      <c r="HL17" s="488"/>
      <c r="HM17" s="488"/>
      <c r="HN17" s="488"/>
      <c r="HO17" s="488"/>
      <c r="HP17" s="488"/>
      <c r="HQ17" s="488"/>
      <c r="HR17" s="488"/>
      <c r="HS17" s="488"/>
      <c r="HT17" s="488"/>
      <c r="HU17" s="488"/>
      <c r="HV17" s="488"/>
      <c r="HW17" s="488"/>
      <c r="HX17" s="488"/>
      <c r="HY17" s="488"/>
      <c r="HZ17" s="488"/>
      <c r="IA17" s="488"/>
      <c r="IB17" s="488"/>
      <c r="IC17" s="488"/>
      <c r="ID17" s="488"/>
      <c r="IE17" s="488"/>
      <c r="IF17" s="488"/>
      <c r="IG17" s="488"/>
      <c r="IH17" s="488"/>
      <c r="II17" s="488"/>
      <c r="IJ17" s="488"/>
      <c r="IK17" s="488"/>
      <c r="IL17" s="488"/>
      <c r="IM17" s="488"/>
      <c r="IN17" s="488"/>
      <c r="IO17" s="488"/>
      <c r="IP17" s="488"/>
      <c r="IQ17" s="488"/>
      <c r="IR17" s="488"/>
      <c r="IS17" s="488"/>
      <c r="IT17" s="488"/>
      <c r="IU17" s="488"/>
      <c r="IV17" s="488"/>
    </row>
    <row r="18" spans="1:256" ht="60">
      <c r="B18" s="489" t="s">
        <v>39</v>
      </c>
      <c r="C18" s="490" t="s">
        <v>12</v>
      </c>
      <c r="D18" s="490" t="s">
        <v>13</v>
      </c>
      <c r="E18" s="490" t="s">
        <v>14</v>
      </c>
      <c r="F18" s="490" t="s">
        <v>12</v>
      </c>
      <c r="G18" s="490" t="s">
        <v>13</v>
      </c>
      <c r="H18" s="490" t="s">
        <v>14</v>
      </c>
      <c r="I18" s="491"/>
      <c r="K18" s="492" t="s">
        <v>416</v>
      </c>
      <c r="L18" s="492" t="s">
        <v>417</v>
      </c>
      <c r="M18" s="492" t="s">
        <v>418</v>
      </c>
      <c r="N18" s="493" t="s">
        <v>419</v>
      </c>
      <c r="O18" s="493" t="s">
        <v>15</v>
      </c>
      <c r="P18" s="493" t="s">
        <v>420</v>
      </c>
      <c r="Q18" s="494" t="s">
        <v>421</v>
      </c>
      <c r="R18" s="492" t="s">
        <v>422</v>
      </c>
      <c r="S18" s="475" t="s">
        <v>415</v>
      </c>
      <c r="T18" s="493" t="s">
        <v>423</v>
      </c>
      <c r="U18" s="493" t="s">
        <v>424</v>
      </c>
      <c r="V18" s="495" t="s">
        <v>16</v>
      </c>
      <c r="W18" s="496" t="s">
        <v>16</v>
      </c>
      <c r="X18" s="497"/>
      <c r="Y18" s="498"/>
      <c r="Z18" s="499" t="s">
        <v>425</v>
      </c>
      <c r="AA18" s="493" t="s">
        <v>426</v>
      </c>
      <c r="AB18" s="475" t="s">
        <v>17</v>
      </c>
      <c r="AC18" s="475" t="s">
        <v>18</v>
      </c>
      <c r="AD18" s="475" t="s">
        <v>427</v>
      </c>
      <c r="AE18" s="493" t="s">
        <v>428</v>
      </c>
      <c r="AF18" s="493" t="s">
        <v>429</v>
      </c>
      <c r="AG18" s="500" t="s">
        <v>19</v>
      </c>
      <c r="AH18" s="500" t="s">
        <v>20</v>
      </c>
      <c r="AI18" s="475" t="s">
        <v>430</v>
      </c>
      <c r="AJ18" s="493" t="s">
        <v>431</v>
      </c>
      <c r="AK18" s="493" t="s">
        <v>432</v>
      </c>
      <c r="AL18" s="493" t="s">
        <v>433</v>
      </c>
      <c r="AM18" s="475" t="s">
        <v>434</v>
      </c>
      <c r="AN18" s="501" t="s">
        <v>435</v>
      </c>
      <c r="AO18" s="493" t="s">
        <v>436</v>
      </c>
      <c r="AP18" s="493" t="s">
        <v>437</v>
      </c>
      <c r="AQ18" s="475" t="s">
        <v>415</v>
      </c>
      <c r="AR18" s="493" t="s">
        <v>438</v>
      </c>
      <c r="AS18" s="493" t="s">
        <v>439</v>
      </c>
      <c r="AT18" s="495" t="s">
        <v>16</v>
      </c>
      <c r="AU18" s="496" t="s">
        <v>16</v>
      </c>
      <c r="AV18" s="497"/>
      <c r="AX18" s="502" t="s">
        <v>21</v>
      </c>
      <c r="AY18" s="502" t="s">
        <v>17</v>
      </c>
      <c r="AZ18" s="503" t="s">
        <v>22</v>
      </c>
      <c r="BA18" s="504" t="s">
        <v>23</v>
      </c>
      <c r="BC18" s="475" t="s">
        <v>440</v>
      </c>
      <c r="BD18" s="475" t="s">
        <v>441</v>
      </c>
      <c r="BE18" s="475" t="s">
        <v>24</v>
      </c>
      <c r="BF18" s="475" t="s">
        <v>25</v>
      </c>
      <c r="BG18" s="475" t="s">
        <v>26</v>
      </c>
      <c r="BH18" s="475" t="s">
        <v>27</v>
      </c>
      <c r="BI18" s="475" t="s">
        <v>28</v>
      </c>
      <c r="BJ18" s="475" t="s">
        <v>442</v>
      </c>
      <c r="BK18" s="475" t="s">
        <v>29</v>
      </c>
      <c r="BL18" s="475" t="s">
        <v>30</v>
      </c>
      <c r="BM18" s="505" t="s">
        <v>443</v>
      </c>
      <c r="BN18" s="505" t="s">
        <v>444</v>
      </c>
      <c r="BO18" s="505" t="s">
        <v>445</v>
      </c>
      <c r="BP18" s="505" t="s">
        <v>446</v>
      </c>
      <c r="BQ18" s="505" t="s">
        <v>447</v>
      </c>
      <c r="BR18" s="506"/>
      <c r="BS18" s="493" t="s">
        <v>448</v>
      </c>
      <c r="BT18" s="493" t="s">
        <v>449</v>
      </c>
      <c r="BU18" s="494" t="s">
        <v>450</v>
      </c>
      <c r="BV18" s="495" t="s">
        <v>451</v>
      </c>
      <c r="BW18" s="496" t="s">
        <v>452</v>
      </c>
    </row>
    <row r="19" spans="1:256">
      <c r="A19" s="477"/>
      <c r="B19" s="507" t="s">
        <v>31</v>
      </c>
      <c r="C19" s="508">
        <v>274</v>
      </c>
      <c r="D19" s="509">
        <f>E19-C19</f>
        <v>5802</v>
      </c>
      <c r="E19" s="510">
        <v>6076</v>
      </c>
      <c r="F19" s="508">
        <v>317</v>
      </c>
      <c r="G19" s="509">
        <f>H19-F19</f>
        <v>5705</v>
      </c>
      <c r="H19" s="510">
        <v>6022</v>
      </c>
      <c r="I19" s="511"/>
      <c r="K19" s="512">
        <f>(C19/E19)/(F19/H19)</f>
        <v>0.85667143625538134</v>
      </c>
      <c r="L19" s="513">
        <f>(D19/(C19*E19)+(G19/(F19*H19)))</f>
        <v>6.4735694190612165E-3</v>
      </c>
      <c r="M19" s="514">
        <f>1/L19</f>
        <v>154.4742838557554</v>
      </c>
      <c r="N19" s="515">
        <f>LN(K19)</f>
        <v>-0.15470082216319475</v>
      </c>
      <c r="O19" s="515">
        <f>M19*N19</f>
        <v>-23.897298715556083</v>
      </c>
      <c r="P19" s="515">
        <f>LN(K19)</f>
        <v>-0.15470082216319475</v>
      </c>
      <c r="Q19" s="600">
        <f>K19</f>
        <v>0.85667143625538134</v>
      </c>
      <c r="R19" s="517">
        <f>SQRT(1/M19)</f>
        <v>8.0458495008676467E-2</v>
      </c>
      <c r="S19" s="518">
        <f>$H$2</f>
        <v>1.9599639845400536</v>
      </c>
      <c r="T19" s="519">
        <f>P19-(R19*S19)</f>
        <v>-0.3123965746304963</v>
      </c>
      <c r="U19" s="519">
        <f>P19+(R19*S19)</f>
        <v>2.9949303041068021E-3</v>
      </c>
      <c r="V19" s="520">
        <f t="shared" ref="V19:W22" si="3">EXP(T19)</f>
        <v>0.73169130047651076</v>
      </c>
      <c r="W19" s="521">
        <f t="shared" si="3"/>
        <v>1.0029994195884493</v>
      </c>
      <c r="X19" s="522"/>
      <c r="Z19" s="523">
        <f>(N19-P22)^2</f>
        <v>1.4749608415333881E-4</v>
      </c>
      <c r="AA19" s="521">
        <f>M19*Z19</f>
        <v>2.2784351971115245E-2</v>
      </c>
      <c r="AB19" s="473">
        <v>1</v>
      </c>
      <c r="AC19" s="506"/>
      <c r="AD19" s="506"/>
      <c r="AE19" s="514">
        <f>M19^2</f>
        <v>23862.304372748495</v>
      </c>
      <c r="AF19" s="524"/>
      <c r="AG19" s="525">
        <f>AG22</f>
        <v>1.3144945876376284E-2</v>
      </c>
      <c r="AH19" s="525">
        <f>AH22</f>
        <v>1.3144945876376284E-2</v>
      </c>
      <c r="AI19" s="521">
        <f>1/M19</f>
        <v>6.4735694190612165E-3</v>
      </c>
      <c r="AJ19" s="526">
        <f>1/(AH19+AI19)</f>
        <v>50.972256816628772</v>
      </c>
      <c r="AK19" s="527">
        <f>AJ19/AJ22</f>
        <v>0.33141308075339071</v>
      </c>
      <c r="AL19" s="528">
        <f>AJ19*N19</f>
        <v>-7.8854500370459792</v>
      </c>
      <c r="AM19" s="528">
        <f>AL19/AJ19</f>
        <v>-0.15470082216319475</v>
      </c>
      <c r="AN19" s="521">
        <f>EXP(AM19)</f>
        <v>0.85667143625538134</v>
      </c>
      <c r="AO19" s="529">
        <f>1/AJ19</f>
        <v>1.96185152954375E-2</v>
      </c>
      <c r="AP19" s="521">
        <f>SQRT(AO19)</f>
        <v>0.14006611044588016</v>
      </c>
      <c r="AQ19" s="518">
        <f>$H$2</f>
        <v>1.9599639845400536</v>
      </c>
      <c r="AR19" s="519">
        <f>AM19-(AQ19*AP19)</f>
        <v>-0.42922535409172924</v>
      </c>
      <c r="AS19" s="519">
        <f>AM19+(1.96*AP19)</f>
        <v>0.11982875431073037</v>
      </c>
      <c r="AT19" s="530">
        <f t="shared" ref="AT19:AU22" si="4">EXP(AR19)</f>
        <v>0.65101320415978436</v>
      </c>
      <c r="AU19" s="530">
        <f t="shared" si="4"/>
        <v>1.1273037891349051</v>
      </c>
      <c r="AV19" s="491"/>
      <c r="AX19" s="531"/>
      <c r="AY19" s="531">
        <v>1</v>
      </c>
      <c r="AZ19" s="532"/>
      <c r="BA19" s="532"/>
      <c r="BC19" s="506"/>
      <c r="BD19" s="506"/>
      <c r="BE19" s="473"/>
      <c r="BF19" s="473"/>
      <c r="BG19" s="473"/>
      <c r="BH19" s="473"/>
      <c r="BI19" s="473"/>
      <c r="BJ19" s="473"/>
      <c r="BK19" s="473"/>
      <c r="BL19" s="473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</row>
    <row r="20" spans="1:256">
      <c r="A20" s="477" t="s">
        <v>40</v>
      </c>
      <c r="B20" s="507" t="s">
        <v>32</v>
      </c>
      <c r="C20" s="508">
        <v>170</v>
      </c>
      <c r="D20" s="509">
        <f>E20-C20</f>
        <v>6891</v>
      </c>
      <c r="E20" s="510">
        <v>7061</v>
      </c>
      <c r="F20" s="508">
        <v>193</v>
      </c>
      <c r="G20" s="509">
        <f>H20-F20</f>
        <v>6889</v>
      </c>
      <c r="H20" s="510">
        <v>7082</v>
      </c>
      <c r="I20" s="511"/>
      <c r="K20" s="512">
        <f>(C20/E20)/(F20/H20)</f>
        <v>0.88344867413721873</v>
      </c>
      <c r="L20" s="513">
        <f>(D20/(C20*E20)+(G20/(F20*H20)))</f>
        <v>1.0780874041874527E-2</v>
      </c>
      <c r="M20" s="514">
        <f>1/L20</f>
        <v>92.756857757158684</v>
      </c>
      <c r="N20" s="515">
        <f>LN(K20)</f>
        <v>-0.12392208269912161</v>
      </c>
      <c r="O20" s="515">
        <f>M20*N20</f>
        <v>-11.494622997893279</v>
      </c>
      <c r="P20" s="515">
        <f>LN(K20)</f>
        <v>-0.12392208269912161</v>
      </c>
      <c r="Q20" s="600">
        <f>K20</f>
        <v>0.88344867413721873</v>
      </c>
      <c r="R20" s="517">
        <f>SQRT(1/M20)</f>
        <v>0.10383098786910644</v>
      </c>
      <c r="S20" s="518">
        <f>$H$2</f>
        <v>1.9599639845400536</v>
      </c>
      <c r="T20" s="519">
        <f>P20-(R20*S20)</f>
        <v>-0.32742707940178545</v>
      </c>
      <c r="U20" s="519">
        <f>P20+(R20*S20)</f>
        <v>7.9582914003542227E-2</v>
      </c>
      <c r="V20" s="520">
        <f t="shared" si="3"/>
        <v>0.72077584876532641</v>
      </c>
      <c r="W20" s="521">
        <f t="shared" si="3"/>
        <v>1.0828353380204927</v>
      </c>
      <c r="X20" s="522"/>
      <c r="Z20" s="523">
        <f>(N20-P22)^2</f>
        <v>3.4722382712495568E-4</v>
      </c>
      <c r="AA20" s="521">
        <f>M20*Z20</f>
        <v>3.2207391142525771E-2</v>
      </c>
      <c r="AB20" s="473">
        <v>1</v>
      </c>
      <c r="AC20" s="506"/>
      <c r="AD20" s="506"/>
      <c r="AE20" s="514">
        <f>M20^2</f>
        <v>8603.834660981769</v>
      </c>
      <c r="AF20" s="524"/>
      <c r="AG20" s="525">
        <f>AG22</f>
        <v>1.3144945876376284E-2</v>
      </c>
      <c r="AH20" s="525">
        <f>AH22</f>
        <v>1.3144945876376284E-2</v>
      </c>
      <c r="AI20" s="521">
        <f>1/M20</f>
        <v>1.0780874041874527E-2</v>
      </c>
      <c r="AJ20" s="526">
        <f>1/(AH20+AI20)</f>
        <v>41.795850817935474</v>
      </c>
      <c r="AK20" s="527">
        <f>AJ20/AJ22</f>
        <v>0.27174962513651657</v>
      </c>
      <c r="AL20" s="528">
        <f>AJ20*N20</f>
        <v>-5.1794288815403497</v>
      </c>
      <c r="AM20" s="528">
        <f>AL20/AJ20</f>
        <v>-0.12392208269912162</v>
      </c>
      <c r="AN20" s="521">
        <f>EXP(AM20)</f>
        <v>0.88344867413721873</v>
      </c>
      <c r="AO20" s="529">
        <f>1/AJ20</f>
        <v>2.392581991825081E-2</v>
      </c>
      <c r="AP20" s="521">
        <f>SQRT(AO20)</f>
        <v>0.15467973337916902</v>
      </c>
      <c r="AQ20" s="518">
        <f>$H$2</f>
        <v>1.9599639845400536</v>
      </c>
      <c r="AR20" s="519">
        <f>AM20-(AQ20*AP20)</f>
        <v>-0.42708878926055088</v>
      </c>
      <c r="AS20" s="519">
        <f>AM20+(1.96*AP20)</f>
        <v>0.17925019472404963</v>
      </c>
      <c r="AT20" s="530">
        <f t="shared" si="4"/>
        <v>0.65240562304334448</v>
      </c>
      <c r="AU20" s="530">
        <f t="shared" si="4"/>
        <v>1.1963200196849448</v>
      </c>
      <c r="AV20" s="491"/>
      <c r="AX20" s="531"/>
      <c r="AY20" s="531">
        <v>1</v>
      </c>
      <c r="AZ20" s="532"/>
      <c r="BA20" s="532"/>
      <c r="BC20" s="506"/>
      <c r="BD20" s="506"/>
      <c r="BE20" s="473"/>
      <c r="BF20" s="473"/>
      <c r="BG20" s="473"/>
      <c r="BH20" s="473"/>
      <c r="BI20" s="473"/>
      <c r="BJ20" s="473"/>
      <c r="BK20" s="473"/>
      <c r="BL20" s="473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</row>
    <row r="21" spans="1:256">
      <c r="A21" s="477"/>
      <c r="B21" s="507" t="s">
        <v>34</v>
      </c>
      <c r="C21" s="508">
        <v>530</v>
      </c>
      <c r="D21" s="509">
        <f>E21-C21</f>
        <v>6505</v>
      </c>
      <c r="E21" s="510">
        <v>7035</v>
      </c>
      <c r="F21" s="508">
        <v>611</v>
      </c>
      <c r="G21" s="509">
        <f>H21-F21</f>
        <v>6425</v>
      </c>
      <c r="H21" s="510">
        <v>7036</v>
      </c>
      <c r="I21" s="511"/>
      <c r="K21" s="512">
        <f>(C21/E21)/(F21/H21)</f>
        <v>0.86755374402246432</v>
      </c>
      <c r="L21" s="513">
        <f>(D21/(C21*E21)+(G21/(F21*H21)))</f>
        <v>3.239181045083589E-3</v>
      </c>
      <c r="M21" s="514">
        <f>1/L21</f>
        <v>308.72000857062142</v>
      </c>
      <c r="N21" s="515">
        <f>LN(K21)</f>
        <v>-0.14207781631646837</v>
      </c>
      <c r="O21" s="515">
        <f>M21*N21</f>
        <v>-43.862264670915295</v>
      </c>
      <c r="P21" s="515">
        <f>LN(K21)</f>
        <v>-0.14207781631646837</v>
      </c>
      <c r="Q21" s="600">
        <f>K21</f>
        <v>0.86755374402246432</v>
      </c>
      <c r="R21" s="517">
        <f>SQRT(1/M21)</f>
        <v>5.6913803642733185E-2</v>
      </c>
      <c r="S21" s="518">
        <f>$H$2</f>
        <v>1.9599639845400536</v>
      </c>
      <c r="T21" s="519">
        <f>P21-(R21*S21)</f>
        <v>-0.25362682167940992</v>
      </c>
      <c r="U21" s="519">
        <f>P21+(R21*S21)</f>
        <v>-3.052881095352683E-2</v>
      </c>
      <c r="V21" s="520">
        <f t="shared" si="3"/>
        <v>0.77598132742939729</v>
      </c>
      <c r="W21" s="521">
        <f t="shared" si="3"/>
        <v>0.96993248698484358</v>
      </c>
      <c r="X21" s="522"/>
      <c r="Z21" s="523">
        <f>(N21-P248)^2</f>
        <v>2.0186105889256126E-2</v>
      </c>
      <c r="AA21" s="521">
        <f>M21*Z21</f>
        <v>6.2318547831386226</v>
      </c>
      <c r="AB21" s="473">
        <v>1</v>
      </c>
      <c r="AC21" s="506"/>
      <c r="AD21" s="506"/>
      <c r="AE21" s="514">
        <f>M21^2</f>
        <v>95308.043691844563</v>
      </c>
      <c r="AF21" s="524"/>
      <c r="AG21" s="525">
        <f>AG22</f>
        <v>1.3144945876376284E-2</v>
      </c>
      <c r="AH21" s="525">
        <f>AH22</f>
        <v>1.3144945876376284E-2</v>
      </c>
      <c r="AI21" s="521">
        <f>1/M21</f>
        <v>3.239181045083589E-3</v>
      </c>
      <c r="AJ21" s="526">
        <f>1/(AH21+AI21)</f>
        <v>61.034683434379616</v>
      </c>
      <c r="AK21" s="527">
        <f>AJ21/AJ22</f>
        <v>0.39683729411009272</v>
      </c>
      <c r="AL21" s="528">
        <f>AJ21*N21</f>
        <v>-8.6716745419235828</v>
      </c>
      <c r="AM21" s="528">
        <f>AL21/AJ21</f>
        <v>-0.14207781631646837</v>
      </c>
      <c r="AN21" s="521">
        <f>EXP(AM21)</f>
        <v>0.86755374402246432</v>
      </c>
      <c r="AO21" s="529">
        <f>1/AJ21</f>
        <v>1.6384126921459873E-2</v>
      </c>
      <c r="AP21" s="521">
        <f>SQRT(AO21)</f>
        <v>0.12800049578599246</v>
      </c>
      <c r="AQ21" s="518">
        <f>$H$2</f>
        <v>1.9599639845400536</v>
      </c>
      <c r="AR21" s="519">
        <f>AM21-(AQ21*AP21)</f>
        <v>-0.39295417806028449</v>
      </c>
      <c r="AS21" s="519">
        <f>AM21+(1.96*AP21)</f>
        <v>0.10880315542407681</v>
      </c>
      <c r="AT21" s="530">
        <f t="shared" si="4"/>
        <v>0.67505967942138423</v>
      </c>
      <c r="AU21" s="530">
        <f t="shared" si="4"/>
        <v>1.1149428582851284</v>
      </c>
      <c r="AV21" s="491"/>
      <c r="AX21" s="531"/>
      <c r="AY21" s="531">
        <v>1</v>
      </c>
      <c r="AZ21" s="532"/>
      <c r="BA21" s="532"/>
      <c r="BC21" s="506"/>
      <c r="BD21" s="506"/>
      <c r="BE21" s="473"/>
      <c r="BF21" s="473"/>
      <c r="BG21" s="473"/>
      <c r="BH21" s="473"/>
      <c r="BI21" s="473"/>
      <c r="BJ21" s="473"/>
      <c r="BK21" s="473"/>
      <c r="BL21" s="473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</row>
    <row r="22" spans="1:256">
      <c r="A22" s="477"/>
      <c r="B22" s="533">
        <f>COUNT(D19:D21)</f>
        <v>3</v>
      </c>
      <c r="C22" s="534">
        <f t="shared" ref="C22:H22" si="5">SUM(C19:C21)</f>
        <v>974</v>
      </c>
      <c r="D22" s="534">
        <f t="shared" si="5"/>
        <v>19198</v>
      </c>
      <c r="E22" s="534">
        <f t="shared" si="5"/>
        <v>20172</v>
      </c>
      <c r="F22" s="534">
        <f t="shared" si="5"/>
        <v>1121</v>
      </c>
      <c r="G22" s="534">
        <f t="shared" si="5"/>
        <v>19019</v>
      </c>
      <c r="H22" s="534">
        <f t="shared" si="5"/>
        <v>20140</v>
      </c>
      <c r="I22" s="535"/>
      <c r="K22" s="536"/>
      <c r="L22" s="537"/>
      <c r="M22" s="538">
        <f>SUM(M19:M21)</f>
        <v>555.95115018353545</v>
      </c>
      <c r="N22" s="539"/>
      <c r="O22" s="540">
        <f>SUM(O19:O21)</f>
        <v>-79.254186384364658</v>
      </c>
      <c r="P22" s="541">
        <f>O22/M22</f>
        <v>-0.14255602557562941</v>
      </c>
      <c r="Q22" s="542">
        <f>EXP(P22)</f>
        <v>0.86713897097131409</v>
      </c>
      <c r="R22" s="543">
        <f>SQRT(1/M22)</f>
        <v>4.241130964065358E-2</v>
      </c>
      <c r="S22" s="518">
        <f>$H$2</f>
        <v>1.9599639845400536</v>
      </c>
      <c r="T22" s="544">
        <f>P22-(R22*S22)</f>
        <v>-0.22568066500848677</v>
      </c>
      <c r="U22" s="544">
        <f>P22+(R22*S22)</f>
        <v>-5.9431386142772033E-2</v>
      </c>
      <c r="V22" s="545">
        <f t="shared" si="3"/>
        <v>0.79797288164681612</v>
      </c>
      <c r="W22" s="546">
        <f t="shared" si="3"/>
        <v>0.94230018622361489</v>
      </c>
      <c r="X22" s="547"/>
      <c r="Y22" s="547"/>
      <c r="Z22" s="548"/>
      <c r="AA22" s="549">
        <f>SUM(AA19:AA21)</f>
        <v>6.2868465262522637</v>
      </c>
      <c r="AB22" s="550">
        <f>SUM(AB19:AB21)</f>
        <v>3</v>
      </c>
      <c r="AC22" s="551">
        <f>AA22-(AB22-1)</f>
        <v>4.2868465262522637</v>
      </c>
      <c r="AD22" s="538">
        <f>M22</f>
        <v>555.95115018353545</v>
      </c>
      <c r="AE22" s="538">
        <f>SUM(AE19:AE21)</f>
        <v>127774.18272557482</v>
      </c>
      <c r="AF22" s="552">
        <f>AE22/AD22</f>
        <v>229.8298738718193</v>
      </c>
      <c r="AG22" s="553">
        <f>AC22/(AD22-AF22)</f>
        <v>1.3144945876376284E-2</v>
      </c>
      <c r="AH22" s="553">
        <f>IF(AA22&lt;AB22-1,"0",AG22)</f>
        <v>1.3144945876376284E-2</v>
      </c>
      <c r="AI22" s="548"/>
      <c r="AJ22" s="538">
        <f>SUM(AJ19:AJ21)</f>
        <v>153.80279106894386</v>
      </c>
      <c r="AK22" s="554">
        <f>SUM(AK19:AK21)</f>
        <v>1</v>
      </c>
      <c r="AL22" s="551">
        <f>SUM(AL19:AL21)</f>
        <v>-21.73655346050991</v>
      </c>
      <c r="AM22" s="551">
        <f>AL22/AJ22</f>
        <v>-0.14132743176790757</v>
      </c>
      <c r="AN22" s="555">
        <f>EXP(AM22)</f>
        <v>0.86820498725789708</v>
      </c>
      <c r="AO22" s="556">
        <f>1/AJ22</f>
        <v>6.5018325938684595E-3</v>
      </c>
      <c r="AP22" s="557">
        <f>SQRT(AO22)</f>
        <v>8.0633941946728988E-2</v>
      </c>
      <c r="AQ22" s="518">
        <f>$H$2</f>
        <v>1.9599639845400536</v>
      </c>
      <c r="AR22" s="544">
        <f>AM22-(AQ22*AP22)</f>
        <v>-0.29936705391498986</v>
      </c>
      <c r="AS22" s="544">
        <f>AM22+(1.96*AP22)</f>
        <v>1.6715094447681239E-2</v>
      </c>
      <c r="AT22" s="558">
        <f t="shared" si="4"/>
        <v>0.74128726709909021</v>
      </c>
      <c r="AU22" s="559">
        <f t="shared" si="4"/>
        <v>1.016855573252915</v>
      </c>
      <c r="AV22" s="560"/>
      <c r="AW22" s="468"/>
      <c r="AX22" s="561">
        <f>AA22</f>
        <v>6.2868465262522637</v>
      </c>
      <c r="AY22" s="533">
        <f>SUM(AY19:AY21)</f>
        <v>3</v>
      </c>
      <c r="AZ22" s="562">
        <f>(AX22-(AY22-1))/AX22</f>
        <v>0.68187548532503361</v>
      </c>
      <c r="BA22" s="563">
        <f>IF(AA22&lt;AB22-1,"0%",AZ22)</f>
        <v>0.68187548532503361</v>
      </c>
      <c r="BB22" s="468"/>
      <c r="BC22" s="540">
        <f>AX22/(AY22-1)</f>
        <v>3.1434232631261319</v>
      </c>
      <c r="BD22" s="564">
        <f>LN(BC22)</f>
        <v>1.1453124172581868</v>
      </c>
      <c r="BE22" s="540">
        <f>LN(AX22)</f>
        <v>1.8384595978181322</v>
      </c>
      <c r="BF22" s="540">
        <f>LN(AY22-1)</f>
        <v>0.69314718055994529</v>
      </c>
      <c r="BG22" s="540">
        <f>SQRT(2*AX22)</f>
        <v>3.5459403622317911</v>
      </c>
      <c r="BH22" s="540">
        <f>SQRT(2*AY22-3)</f>
        <v>1.7320508075688772</v>
      </c>
      <c r="BI22" s="540">
        <f>2*(AY22-2)</f>
        <v>2</v>
      </c>
      <c r="BJ22" s="540">
        <f>3*(AY22-2)^2</f>
        <v>3</v>
      </c>
      <c r="BK22" s="540">
        <f>1/BI22</f>
        <v>0.5</v>
      </c>
      <c r="BL22" s="540">
        <f>1/BJ22</f>
        <v>0.33333333333333331</v>
      </c>
      <c r="BM22" s="540">
        <f>SQRT(BK22*(1-BL22))</f>
        <v>0.57735026918962584</v>
      </c>
      <c r="BN22" s="564">
        <f>0.5*(BE22-BF22)/(BG22-BH22)</f>
        <v>0.31570621659790832</v>
      </c>
      <c r="BO22" s="564">
        <f>IF(AA22&lt;=AB22,BM22,BN22)</f>
        <v>0.31570621659790832</v>
      </c>
      <c r="BP22" s="551">
        <f>BD22-(1.96*BO22)</f>
        <v>0.52652823272628646</v>
      </c>
      <c r="BQ22" s="551">
        <f>BD22+(1.96*BO22)</f>
        <v>1.764096601790087</v>
      </c>
      <c r="BR22" s="551"/>
      <c r="BS22" s="564">
        <f>EXP(BP22)</f>
        <v>1.6930442379489199</v>
      </c>
      <c r="BT22" s="564">
        <f>EXP(BQ22)</f>
        <v>5.8362974750932972</v>
      </c>
      <c r="BU22" s="565">
        <f>BA22</f>
        <v>0.68187548532503361</v>
      </c>
      <c r="BV22" s="565">
        <f>(BS22-1)/BS22</f>
        <v>0.40934797946480439</v>
      </c>
      <c r="BW22" s="565">
        <f>(BT22-1)/BT22</f>
        <v>0.82865849380235468</v>
      </c>
    </row>
    <row r="23" spans="1:256" ht="13.5" thickBot="1">
      <c r="C23" s="566"/>
      <c r="D23" s="566"/>
      <c r="E23" s="566"/>
      <c r="F23" s="566"/>
      <c r="G23" s="566"/>
      <c r="H23" s="566"/>
      <c r="I23" s="567"/>
      <c r="R23" s="568"/>
      <c r="S23" s="568"/>
      <c r="T23" s="568"/>
      <c r="U23" s="568"/>
      <c r="V23" s="568"/>
      <c r="W23" s="568"/>
      <c r="X23" s="568"/>
      <c r="AB23" s="569"/>
      <c r="AC23" s="570"/>
      <c r="AD23" s="571"/>
      <c r="AE23" s="570"/>
      <c r="AF23" s="572"/>
      <c r="AG23" s="572"/>
      <c r="AH23" s="572"/>
      <c r="AI23" s="572"/>
      <c r="AT23" s="573"/>
      <c r="AU23" s="573"/>
      <c r="AV23" s="573"/>
      <c r="AX23" s="480" t="s">
        <v>35</v>
      </c>
      <c r="BG23" s="483"/>
      <c r="BN23" s="570" t="s">
        <v>36</v>
      </c>
      <c r="BT23" s="574" t="s">
        <v>37</v>
      </c>
      <c r="BU23" s="575">
        <f>BU22</f>
        <v>0.68187548532503361</v>
      </c>
      <c r="BV23" s="576">
        <f>IF(BV22&lt;0,"0%",BV22)</f>
        <v>0.40934797946480439</v>
      </c>
      <c r="BW23" s="577">
        <f>IF(BW22&lt;0,"0%",BW22)</f>
        <v>0.82865849380235468</v>
      </c>
    </row>
    <row r="24" spans="1:256" ht="26.5" thickBot="1">
      <c r="A24" s="477" t="s">
        <v>40</v>
      </c>
      <c r="B24" s="601" t="s">
        <v>41</v>
      </c>
      <c r="E24" s="480"/>
      <c r="F24" s="578"/>
      <c r="G24" s="579"/>
      <c r="H24" s="580"/>
      <c r="I24" s="581"/>
      <c r="J24" s="480"/>
      <c r="K24" s="480"/>
      <c r="L24" s="480"/>
      <c r="R24" s="582"/>
      <c r="S24" s="582"/>
      <c r="T24" s="582"/>
      <c r="U24" s="582"/>
      <c r="V24" s="582"/>
      <c r="W24" s="582"/>
      <c r="X24" s="582"/>
      <c r="AF24" s="472"/>
      <c r="AI24" s="483"/>
      <c r="AJ24" s="583"/>
      <c r="AK24" s="583"/>
      <c r="AL24" s="584"/>
      <c r="AM24" s="585"/>
      <c r="AN24" s="586"/>
      <c r="AO24" s="587" t="s">
        <v>453</v>
      </c>
      <c r="AP24" s="588">
        <f>TINV((1-$H$1),(AB22-2))</f>
        <v>12.706204736174694</v>
      </c>
      <c r="AR24" s="589" t="s">
        <v>38</v>
      </c>
      <c r="AS24" s="590">
        <f>$H$1</f>
        <v>0.95</v>
      </c>
      <c r="AT24" s="591">
        <f>EXP(AM22-AP24*SQRT((1/AD22)+AH22))</f>
        <v>0.18367482562643234</v>
      </c>
      <c r="AU24" s="592">
        <f>EXP(AM22+AP24*SQRT((1/AD22)+AH22))</f>
        <v>4.1038824854123614</v>
      </c>
      <c r="AV24" s="491"/>
      <c r="AX24" s="593">
        <f>_xlfn.CHISQ.DIST.RT(AX22,AY22-1)</f>
        <v>4.3134882816489292E-2</v>
      </c>
      <c r="AY24" s="594" t="str">
        <f>IF(AX24&lt;0.05,"heterogeneidad","homogeneidad")</f>
        <v>heterogeneidad</v>
      </c>
      <c r="BF24" s="595"/>
      <c r="BG24" s="483"/>
      <c r="BH24" s="483"/>
      <c r="BJ24" s="522"/>
      <c r="BL24" s="483"/>
      <c r="BM24" s="596"/>
      <c r="BQ24" s="483"/>
    </row>
    <row r="25" spans="1:256" ht="14.5">
      <c r="B25" s="602" t="s">
        <v>42</v>
      </c>
      <c r="D25" s="580"/>
      <c r="E25" s="580"/>
      <c r="F25" s="580"/>
      <c r="G25" s="580"/>
      <c r="H25" s="580"/>
      <c r="I25" s="581"/>
      <c r="J25" s="480"/>
      <c r="K25" s="480"/>
      <c r="L25" s="480"/>
      <c r="R25" s="582"/>
      <c r="S25" s="582"/>
      <c r="T25" s="582"/>
      <c r="U25" s="582"/>
      <c r="V25" s="582"/>
      <c r="W25" s="582"/>
      <c r="X25" s="582"/>
      <c r="AF25" s="472"/>
      <c r="AI25" s="483"/>
      <c r="AJ25" s="583"/>
      <c r="AK25" s="583"/>
      <c r="AL25" s="584"/>
      <c r="AM25" s="585"/>
      <c r="AN25" s="597"/>
      <c r="AO25" s="598"/>
      <c r="AP25" s="487"/>
      <c r="AS25" s="599"/>
      <c r="AT25" s="491"/>
      <c r="AU25" s="491"/>
      <c r="AV25" s="491"/>
      <c r="BF25" s="595"/>
      <c r="BG25" s="483"/>
      <c r="BH25" s="483"/>
      <c r="BJ25" s="522"/>
      <c r="BL25" s="483"/>
      <c r="BM25" s="596"/>
      <c r="BQ25" s="483"/>
    </row>
    <row r="26" spans="1:256">
      <c r="C26" s="566"/>
      <c r="D26" s="566"/>
      <c r="E26" s="566"/>
      <c r="F26" s="566"/>
      <c r="G26" s="566"/>
      <c r="H26" s="566"/>
      <c r="I26" s="567"/>
      <c r="J26" s="624" t="s">
        <v>4</v>
      </c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6"/>
      <c r="X26" s="484"/>
      <c r="Y26" s="624" t="s">
        <v>5</v>
      </c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6"/>
      <c r="AV26" s="484"/>
      <c r="AW26" s="624" t="s">
        <v>6</v>
      </c>
      <c r="AX26" s="625"/>
      <c r="AY26" s="625"/>
      <c r="AZ26" s="625"/>
      <c r="BA26" s="625"/>
      <c r="BB26" s="625"/>
      <c r="BC26" s="625"/>
      <c r="BD26" s="625"/>
      <c r="BE26" s="625"/>
      <c r="BF26" s="625"/>
      <c r="BG26" s="625"/>
      <c r="BH26" s="625"/>
      <c r="BI26" s="625"/>
      <c r="BJ26" s="625"/>
      <c r="BK26" s="625"/>
      <c r="BL26" s="625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6"/>
    </row>
    <row r="27" spans="1:256">
      <c r="A27" s="485" t="s">
        <v>43</v>
      </c>
      <c r="B27" s="486" t="s">
        <v>8</v>
      </c>
      <c r="C27" s="623" t="s">
        <v>9</v>
      </c>
      <c r="D27" s="623"/>
      <c r="E27" s="623"/>
      <c r="F27" s="623" t="s">
        <v>10</v>
      </c>
      <c r="G27" s="623"/>
      <c r="H27" s="623"/>
      <c r="I27" s="487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  <c r="DE27" s="488"/>
      <c r="DF27" s="488"/>
      <c r="DG27" s="488"/>
      <c r="DH27" s="488"/>
      <c r="DI27" s="488"/>
      <c r="DJ27" s="488"/>
      <c r="DK27" s="488"/>
      <c r="DL27" s="488"/>
      <c r="DM27" s="488"/>
      <c r="DN27" s="488"/>
      <c r="DO27" s="488"/>
      <c r="DP27" s="488"/>
      <c r="DQ27" s="488"/>
      <c r="DR27" s="488"/>
      <c r="DS27" s="488"/>
      <c r="DT27" s="488"/>
      <c r="DU27" s="488"/>
      <c r="DV27" s="488"/>
      <c r="DW27" s="488"/>
      <c r="DX27" s="488"/>
      <c r="DY27" s="488"/>
      <c r="DZ27" s="488"/>
      <c r="EA27" s="488"/>
      <c r="EB27" s="488"/>
      <c r="EC27" s="488"/>
      <c r="ED27" s="488"/>
      <c r="EE27" s="488"/>
      <c r="EF27" s="488"/>
      <c r="EG27" s="488"/>
      <c r="EH27" s="488"/>
      <c r="EI27" s="488"/>
      <c r="EJ27" s="488"/>
      <c r="EK27" s="488"/>
      <c r="EL27" s="488"/>
      <c r="EM27" s="488"/>
      <c r="EN27" s="488"/>
      <c r="EO27" s="488"/>
      <c r="EP27" s="488"/>
      <c r="EQ27" s="488"/>
      <c r="ER27" s="488"/>
      <c r="ES27" s="488"/>
      <c r="ET27" s="488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88"/>
      <c r="FH27" s="488"/>
      <c r="FI27" s="488"/>
      <c r="FJ27" s="488"/>
      <c r="FK27" s="488"/>
      <c r="FL27" s="488"/>
      <c r="FM27" s="488"/>
      <c r="FN27" s="488"/>
      <c r="FO27" s="488"/>
      <c r="FP27" s="488"/>
      <c r="FQ27" s="488"/>
      <c r="FR27" s="488"/>
      <c r="FS27" s="488"/>
      <c r="FT27" s="488"/>
      <c r="FU27" s="488"/>
      <c r="FV27" s="488"/>
      <c r="FW27" s="488"/>
      <c r="FX27" s="488"/>
      <c r="FY27" s="488"/>
      <c r="FZ27" s="488"/>
      <c r="GA27" s="488"/>
      <c r="GB27" s="488"/>
      <c r="GC27" s="488"/>
      <c r="GD27" s="488"/>
      <c r="GE27" s="488"/>
      <c r="GF27" s="488"/>
      <c r="GG27" s="488"/>
      <c r="GH27" s="488"/>
      <c r="GI27" s="488"/>
      <c r="GJ27" s="488"/>
      <c r="GK27" s="488"/>
      <c r="GL27" s="488"/>
      <c r="GM27" s="488"/>
      <c r="GN27" s="488"/>
      <c r="GO27" s="488"/>
      <c r="GP27" s="488"/>
      <c r="GQ27" s="488"/>
      <c r="GR27" s="488"/>
      <c r="GS27" s="488"/>
      <c r="GT27" s="488"/>
      <c r="GU27" s="488"/>
      <c r="GV27" s="488"/>
      <c r="GW27" s="488"/>
      <c r="GX27" s="488"/>
      <c r="GY27" s="488"/>
      <c r="GZ27" s="488"/>
      <c r="HA27" s="488"/>
      <c r="HB27" s="488"/>
      <c r="HC27" s="488"/>
      <c r="HD27" s="488"/>
      <c r="HE27" s="488"/>
      <c r="HF27" s="488"/>
      <c r="HG27" s="488"/>
      <c r="HH27" s="488"/>
      <c r="HI27" s="488"/>
      <c r="HJ27" s="488"/>
      <c r="HK27" s="488"/>
      <c r="HL27" s="488"/>
      <c r="HM27" s="488"/>
      <c r="HN27" s="488"/>
      <c r="HO27" s="488"/>
      <c r="HP27" s="488"/>
      <c r="HQ27" s="488"/>
      <c r="HR27" s="488"/>
      <c r="HS27" s="488"/>
      <c r="HT27" s="488"/>
      <c r="HU27" s="488"/>
      <c r="HV27" s="488"/>
      <c r="HW27" s="488"/>
      <c r="HX27" s="488"/>
      <c r="HY27" s="488"/>
      <c r="HZ27" s="488"/>
      <c r="IA27" s="488"/>
      <c r="IB27" s="488"/>
      <c r="IC27" s="488"/>
      <c r="ID27" s="488"/>
      <c r="IE27" s="488"/>
      <c r="IF27" s="488"/>
      <c r="IG27" s="488"/>
      <c r="IH27" s="488"/>
      <c r="II27" s="488"/>
      <c r="IJ27" s="488"/>
      <c r="IK27" s="488"/>
      <c r="IL27" s="488"/>
      <c r="IM27" s="488"/>
      <c r="IN27" s="488"/>
      <c r="IO27" s="488"/>
      <c r="IP27" s="488"/>
      <c r="IQ27" s="488"/>
      <c r="IR27" s="488"/>
      <c r="IS27" s="488"/>
      <c r="IT27" s="488"/>
      <c r="IU27" s="488"/>
      <c r="IV27" s="488"/>
    </row>
    <row r="28" spans="1:256" ht="60">
      <c r="B28" s="489" t="s">
        <v>44</v>
      </c>
      <c r="C28" s="490" t="s">
        <v>12</v>
      </c>
      <c r="D28" s="490" t="s">
        <v>13</v>
      </c>
      <c r="E28" s="490" t="s">
        <v>14</v>
      </c>
      <c r="F28" s="490" t="s">
        <v>12</v>
      </c>
      <c r="G28" s="490" t="s">
        <v>13</v>
      </c>
      <c r="H28" s="490" t="s">
        <v>14</v>
      </c>
      <c r="I28" s="491"/>
      <c r="K28" s="492" t="s">
        <v>416</v>
      </c>
      <c r="L28" s="492" t="s">
        <v>417</v>
      </c>
      <c r="M28" s="492" t="s">
        <v>418</v>
      </c>
      <c r="N28" s="493" t="s">
        <v>419</v>
      </c>
      <c r="O28" s="493" t="s">
        <v>15</v>
      </c>
      <c r="P28" s="493" t="s">
        <v>420</v>
      </c>
      <c r="Q28" s="494" t="s">
        <v>421</v>
      </c>
      <c r="R28" s="492" t="s">
        <v>422</v>
      </c>
      <c r="S28" s="475" t="s">
        <v>415</v>
      </c>
      <c r="T28" s="493" t="s">
        <v>423</v>
      </c>
      <c r="U28" s="493" t="s">
        <v>424</v>
      </c>
      <c r="V28" s="495" t="s">
        <v>16</v>
      </c>
      <c r="W28" s="496" t="s">
        <v>16</v>
      </c>
      <c r="X28" s="497"/>
      <c r="Y28" s="498"/>
      <c r="Z28" s="499" t="s">
        <v>425</v>
      </c>
      <c r="AA28" s="493" t="s">
        <v>426</v>
      </c>
      <c r="AB28" s="475" t="s">
        <v>17</v>
      </c>
      <c r="AC28" s="475" t="s">
        <v>18</v>
      </c>
      <c r="AD28" s="475" t="s">
        <v>427</v>
      </c>
      <c r="AE28" s="493" t="s">
        <v>428</v>
      </c>
      <c r="AF28" s="493" t="s">
        <v>429</v>
      </c>
      <c r="AG28" s="500" t="s">
        <v>19</v>
      </c>
      <c r="AH28" s="500" t="s">
        <v>20</v>
      </c>
      <c r="AI28" s="475" t="s">
        <v>430</v>
      </c>
      <c r="AJ28" s="493" t="s">
        <v>431</v>
      </c>
      <c r="AK28" s="493" t="s">
        <v>432</v>
      </c>
      <c r="AL28" s="493" t="s">
        <v>433</v>
      </c>
      <c r="AM28" s="475" t="s">
        <v>434</v>
      </c>
      <c r="AN28" s="501" t="s">
        <v>435</v>
      </c>
      <c r="AO28" s="493" t="s">
        <v>436</v>
      </c>
      <c r="AP28" s="493" t="s">
        <v>437</v>
      </c>
      <c r="AQ28" s="475" t="s">
        <v>415</v>
      </c>
      <c r="AR28" s="493" t="s">
        <v>438</v>
      </c>
      <c r="AS28" s="493" t="s">
        <v>439</v>
      </c>
      <c r="AT28" s="495" t="s">
        <v>16</v>
      </c>
      <c r="AU28" s="496" t="s">
        <v>16</v>
      </c>
      <c r="AV28" s="497"/>
      <c r="AX28" s="502" t="s">
        <v>21</v>
      </c>
      <c r="AY28" s="502" t="s">
        <v>17</v>
      </c>
      <c r="AZ28" s="503" t="s">
        <v>22</v>
      </c>
      <c r="BA28" s="504" t="s">
        <v>23</v>
      </c>
      <c r="BC28" s="475" t="s">
        <v>440</v>
      </c>
      <c r="BD28" s="475" t="s">
        <v>441</v>
      </c>
      <c r="BE28" s="475" t="s">
        <v>24</v>
      </c>
      <c r="BF28" s="475" t="s">
        <v>25</v>
      </c>
      <c r="BG28" s="475" t="s">
        <v>26</v>
      </c>
      <c r="BH28" s="475" t="s">
        <v>27</v>
      </c>
      <c r="BI28" s="475" t="s">
        <v>28</v>
      </c>
      <c r="BJ28" s="475" t="s">
        <v>442</v>
      </c>
      <c r="BK28" s="475" t="s">
        <v>29</v>
      </c>
      <c r="BL28" s="475" t="s">
        <v>30</v>
      </c>
      <c r="BM28" s="505" t="s">
        <v>443</v>
      </c>
      <c r="BN28" s="505" t="s">
        <v>444</v>
      </c>
      <c r="BO28" s="505" t="s">
        <v>445</v>
      </c>
      <c r="BP28" s="505" t="s">
        <v>446</v>
      </c>
      <c r="BQ28" s="505" t="s">
        <v>447</v>
      </c>
      <c r="BR28" s="506"/>
      <c r="BS28" s="493" t="s">
        <v>448</v>
      </c>
      <c r="BT28" s="493" t="s">
        <v>449</v>
      </c>
      <c r="BU28" s="494" t="s">
        <v>450</v>
      </c>
      <c r="BV28" s="495" t="s">
        <v>451</v>
      </c>
      <c r="BW28" s="496" t="s">
        <v>452</v>
      </c>
    </row>
    <row r="29" spans="1:256">
      <c r="A29" s="477"/>
      <c r="B29" s="507" t="s">
        <v>31</v>
      </c>
      <c r="C29" s="508">
        <v>122</v>
      </c>
      <c r="D29" s="509">
        <f>E29-C29</f>
        <v>5954</v>
      </c>
      <c r="E29" s="510">
        <v>6076</v>
      </c>
      <c r="F29" s="508">
        <v>185</v>
      </c>
      <c r="G29" s="509">
        <f>H29-F29</f>
        <v>5837</v>
      </c>
      <c r="H29" s="510">
        <v>6022</v>
      </c>
      <c r="I29" s="511"/>
      <c r="K29" s="512">
        <f>(C29/E29)/(F29/H29)</f>
        <v>0.65359856235432279</v>
      </c>
      <c r="L29" s="513">
        <f>(D29/(C29*E29)+(G29/(F29*H29)))</f>
        <v>1.3271486966953568E-2</v>
      </c>
      <c r="M29" s="514">
        <f>1/L29</f>
        <v>75.349506991193408</v>
      </c>
      <c r="N29" s="515">
        <f>LN(K29)</f>
        <v>-0.42526193501905252</v>
      </c>
      <c r="O29" s="515">
        <f>M29*N29</f>
        <v>-32.043277145806535</v>
      </c>
      <c r="P29" s="515">
        <f>LN(K29)</f>
        <v>-0.42526193501905252</v>
      </c>
      <c r="Q29" s="600">
        <f>K29</f>
        <v>0.65359856235432279</v>
      </c>
      <c r="R29" s="517">
        <f>SQRT(1/M29)</f>
        <v>0.11520193994440184</v>
      </c>
      <c r="S29" s="518">
        <f>$H$2</f>
        <v>1.9599639845400536</v>
      </c>
      <c r="T29" s="519">
        <f>P29-(R29*S29)</f>
        <v>-0.65105358825922632</v>
      </c>
      <c r="U29" s="519">
        <f>P29+(R29*S29)</f>
        <v>-0.19947028177887874</v>
      </c>
      <c r="V29" s="520">
        <f>EXP(T29)</f>
        <v>0.52149604510610303</v>
      </c>
      <c r="W29" s="521">
        <f>EXP(U29)</f>
        <v>0.8191645645648602</v>
      </c>
      <c r="X29" s="522"/>
      <c r="Z29" s="523">
        <f>(N29-P33)^2</f>
        <v>4.4662110283548204E-2</v>
      </c>
      <c r="AA29" s="521">
        <f>M29*Z29</f>
        <v>3.3652679910516663</v>
      </c>
      <c r="AB29" s="473">
        <v>1</v>
      </c>
      <c r="AC29" s="506"/>
      <c r="AD29" s="506"/>
      <c r="AE29" s="514">
        <f>M29^2</f>
        <v>5677.5482038159043</v>
      </c>
      <c r="AF29" s="524"/>
      <c r="AG29" s="525">
        <f>AG33</f>
        <v>2.4292849843149729E-2</v>
      </c>
      <c r="AH29" s="525">
        <f>AH33</f>
        <v>2.4292849843149729E-2</v>
      </c>
      <c r="AI29" s="521">
        <f>1/M29</f>
        <v>1.3271486966953567E-2</v>
      </c>
      <c r="AJ29" s="526">
        <f>1/(AH29+AI29)</f>
        <v>26.62099440368771</v>
      </c>
      <c r="AK29" s="527">
        <f>AJ29/AJ33</f>
        <v>0.22404054306624543</v>
      </c>
      <c r="AL29" s="528">
        <f>AJ29*N29</f>
        <v>-11.320895592243604</v>
      </c>
      <c r="AM29" s="528">
        <f>AL29/AJ29</f>
        <v>-0.42526193501905252</v>
      </c>
      <c r="AN29" s="521">
        <f>EXP(AM29)</f>
        <v>0.65359856235432279</v>
      </c>
      <c r="AO29" s="529">
        <f>1/AJ29</f>
        <v>3.7564336810103294E-2</v>
      </c>
      <c r="AP29" s="521">
        <f>SQRT(AO29)</f>
        <v>0.19381521305125482</v>
      </c>
      <c r="AQ29" s="518">
        <f>$H$2</f>
        <v>1.9599639845400536</v>
      </c>
      <c r="AR29" s="519">
        <f>AM29-(AQ29*AP29)</f>
        <v>-0.80513277225546931</v>
      </c>
      <c r="AS29" s="519">
        <f>AM29+(1.96*AP29)</f>
        <v>-4.5384117438593052E-2</v>
      </c>
      <c r="AT29" s="530">
        <f>EXP(AR29)</f>
        <v>0.44702856962751814</v>
      </c>
      <c r="AU29" s="530">
        <f>EXP(AS29)</f>
        <v>0.95563033704694844</v>
      </c>
      <c r="AV29" s="491"/>
      <c r="AX29" s="531"/>
      <c r="AY29" s="531">
        <v>1</v>
      </c>
      <c r="AZ29" s="532"/>
      <c r="BA29" s="532"/>
      <c r="BC29" s="506"/>
      <c r="BD29" s="506"/>
      <c r="BE29" s="473"/>
      <c r="BF29" s="473"/>
      <c r="BG29" s="473"/>
      <c r="BH29" s="473"/>
      <c r="BI29" s="473"/>
      <c r="BJ29" s="473"/>
      <c r="BK29" s="473"/>
      <c r="BL29" s="473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</row>
    <row r="30" spans="1:256">
      <c r="A30" s="477"/>
      <c r="B30" s="507" t="s">
        <v>32</v>
      </c>
      <c r="C30" s="508">
        <v>184</v>
      </c>
      <c r="D30" s="509">
        <f>E30-C30</f>
        <v>6877</v>
      </c>
      <c r="E30" s="510">
        <v>7061</v>
      </c>
      <c r="F30" s="508">
        <v>221</v>
      </c>
      <c r="G30" s="509">
        <f>H30-F30</f>
        <v>6861</v>
      </c>
      <c r="H30" s="510">
        <v>7082</v>
      </c>
      <c r="I30" s="511"/>
      <c r="K30" s="512">
        <f>(C30/E30)/(F30/H30)</f>
        <v>0.83505534511474355</v>
      </c>
      <c r="L30" s="513">
        <f>(D30/(C30*E30)+(G30/(F30*H30)))</f>
        <v>9.6768434369626961E-3</v>
      </c>
      <c r="M30" s="514">
        <f>1/L30</f>
        <v>103.33948322242087</v>
      </c>
      <c r="N30" s="515">
        <f>LN(K30)</f>
        <v>-0.18025727475326489</v>
      </c>
      <c r="O30" s="515">
        <f>M30*N30</f>
        <v>-18.627693620084326</v>
      </c>
      <c r="P30" s="515">
        <f>LN(K30)</f>
        <v>-0.18025727475326489</v>
      </c>
      <c r="Q30" s="600">
        <f>K30</f>
        <v>0.83505534511474355</v>
      </c>
      <c r="R30" s="517">
        <f>SQRT(1/M30)</f>
        <v>9.8370948134917841E-2</v>
      </c>
      <c r="S30" s="518">
        <f>$H$2</f>
        <v>1.9599639845400536</v>
      </c>
      <c r="T30" s="519">
        <f>P30-(R30*S30)</f>
        <v>-0.3730607902227614</v>
      </c>
      <c r="U30" s="519">
        <f>P30+(R30*S30)</f>
        <v>1.2546240716231644E-2</v>
      </c>
      <c r="V30" s="520">
        <f t="shared" ref="V30:W32" si="6">EXP(T30)</f>
        <v>0.68862337000348184</v>
      </c>
      <c r="W30" s="521">
        <f t="shared" si="6"/>
        <v>1.0126252749760405</v>
      </c>
      <c r="X30" s="522"/>
      <c r="Z30" s="523">
        <f>(N30-P33)^2</f>
        <v>1.1337052806152045E-3</v>
      </c>
      <c r="AA30" s="521">
        <f>M30*Z30</f>
        <v>0.11715651782530487</v>
      </c>
      <c r="AB30" s="473">
        <v>1</v>
      </c>
      <c r="AC30" s="506"/>
      <c r="AD30" s="506"/>
      <c r="AE30" s="514">
        <f>M30^2</f>
        <v>10679.048792677004</v>
      </c>
      <c r="AF30" s="524"/>
      <c r="AG30" s="525">
        <f>AG33</f>
        <v>2.4292849843149729E-2</v>
      </c>
      <c r="AH30" s="525">
        <f>AH33</f>
        <v>2.4292849843149729E-2</v>
      </c>
      <c r="AI30" s="521">
        <f>1/M30</f>
        <v>9.6768434369626961E-3</v>
      </c>
      <c r="AJ30" s="526">
        <f>1/(AH30+AI30)</f>
        <v>29.438004981500686</v>
      </c>
      <c r="AK30" s="527">
        <f>AJ30/AJ33</f>
        <v>0.24774831934635122</v>
      </c>
      <c r="AL30" s="528">
        <f>AJ30*N30</f>
        <v>-5.3064145521383494</v>
      </c>
      <c r="AM30" s="528">
        <f>AL30/AJ30</f>
        <v>-0.18025727475326489</v>
      </c>
      <c r="AN30" s="521">
        <f>EXP(AM30)</f>
        <v>0.83505534511474355</v>
      </c>
      <c r="AO30" s="529">
        <f>1/AJ30</f>
        <v>3.3969693280112429E-2</v>
      </c>
      <c r="AP30" s="521">
        <f>SQRT(AO30)</f>
        <v>0.18430869019151655</v>
      </c>
      <c r="AQ30" s="518">
        <f>$H$2</f>
        <v>1.9599639845400536</v>
      </c>
      <c r="AR30" s="519">
        <f>AM30-(AQ30*AP30)</f>
        <v>-0.54149566956638795</v>
      </c>
      <c r="AS30" s="519">
        <f>AM30+(1.96*AP30)</f>
        <v>0.18098775802210756</v>
      </c>
      <c r="AT30" s="530">
        <f t="shared" ref="AT30:AU32" si="7">EXP(AR30)</f>
        <v>0.58187730503512358</v>
      </c>
      <c r="AU30" s="530">
        <f t="shared" si="7"/>
        <v>1.1984005084108693</v>
      </c>
      <c r="AV30" s="491"/>
      <c r="AX30" s="531"/>
      <c r="AY30" s="531">
        <v>1</v>
      </c>
      <c r="AZ30" s="532"/>
      <c r="BA30" s="532"/>
      <c r="BC30" s="506"/>
      <c r="BD30" s="506"/>
      <c r="BE30" s="473"/>
      <c r="BF30" s="473"/>
      <c r="BG30" s="473"/>
      <c r="BH30" s="473"/>
      <c r="BI30" s="473"/>
      <c r="BJ30" s="473"/>
      <c r="BK30" s="473"/>
      <c r="BL30" s="473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</row>
    <row r="31" spans="1:256">
      <c r="A31" s="477"/>
      <c r="B31" s="507" t="s">
        <v>33</v>
      </c>
      <c r="C31" s="508">
        <v>199</v>
      </c>
      <c r="D31" s="509">
        <f>E31-C31</f>
        <v>8921</v>
      </c>
      <c r="E31" s="510">
        <v>9120</v>
      </c>
      <c r="F31" s="508">
        <v>250</v>
      </c>
      <c r="G31" s="509">
        <f>H31-F31</f>
        <v>8831</v>
      </c>
      <c r="H31" s="510">
        <v>9081</v>
      </c>
      <c r="I31" s="511"/>
      <c r="K31" s="512">
        <f>(C31/E31)/(F31/H31)</f>
        <v>0.79259605263157884</v>
      </c>
      <c r="L31" s="513">
        <f>(D31/(C31*E31)+(G31/(F31*H31)))</f>
        <v>8.8053564745000767E-3</v>
      </c>
      <c r="M31" s="514">
        <f>1/L31</f>
        <v>113.56723636299743</v>
      </c>
      <c r="N31" s="515">
        <f>LN(K31)</f>
        <v>-0.2324415785163029</v>
      </c>
      <c r="O31" s="515">
        <f>M31*N31</f>
        <v>-26.397747687949199</v>
      </c>
      <c r="P31" s="515">
        <f>LN(K31)</f>
        <v>-0.2324415785163029</v>
      </c>
      <c r="Q31" s="600">
        <f>K31</f>
        <v>0.79259605263157884</v>
      </c>
      <c r="R31" s="517">
        <f>SQRT(1/M31)</f>
        <v>9.3836860958261367E-2</v>
      </c>
      <c r="S31" s="518">
        <f>$H$2</f>
        <v>1.9599639845400536</v>
      </c>
      <c r="T31" s="519">
        <f>P31-(R31*S31)</f>
        <v>-0.41635844641678788</v>
      </c>
      <c r="U31" s="519">
        <f>P31+(R31*S31)</f>
        <v>-4.8524710615817951E-2</v>
      </c>
      <c r="V31" s="520">
        <f t="shared" si="6"/>
        <v>0.65944385282927021</v>
      </c>
      <c r="W31" s="521">
        <f t="shared" si="6"/>
        <v>0.95263379884716803</v>
      </c>
      <c r="X31" s="522"/>
      <c r="Z31" s="523">
        <f>(N31-P270)^2</f>
        <v>5.4029087423150608E-2</v>
      </c>
      <c r="AA31" s="521">
        <f>M31*Z31</f>
        <v>6.1359341418619975</v>
      </c>
      <c r="AB31" s="473">
        <v>1</v>
      </c>
      <c r="AC31" s="506"/>
      <c r="AD31" s="506"/>
      <c r="AE31" s="514">
        <f>M31^2</f>
        <v>12897.517175128927</v>
      </c>
      <c r="AF31" s="524"/>
      <c r="AG31" s="525">
        <f>AG33</f>
        <v>2.4292849843149729E-2</v>
      </c>
      <c r="AH31" s="525">
        <f>AH33</f>
        <v>2.4292849843149729E-2</v>
      </c>
      <c r="AI31" s="521">
        <f>1/M31</f>
        <v>8.8053564745000767E-3</v>
      </c>
      <c r="AJ31" s="526">
        <f>1/(AH31+AI31)</f>
        <v>30.213117605310966</v>
      </c>
      <c r="AK31" s="527">
        <f>AJ31/AJ33</f>
        <v>0.25427161635556822</v>
      </c>
      <c r="AL31" s="528">
        <f>AJ31*N31</f>
        <v>-7.0227847480771821</v>
      </c>
      <c r="AM31" s="528">
        <f>AL31/AJ31</f>
        <v>-0.2324415785163029</v>
      </c>
      <c r="AN31" s="521">
        <f>EXP(AM31)</f>
        <v>0.79259605263157884</v>
      </c>
      <c r="AO31" s="529">
        <f>1/AJ31</f>
        <v>3.3098206317649807E-2</v>
      </c>
      <c r="AP31" s="521">
        <f>SQRT(AO31)</f>
        <v>0.18192912443490131</v>
      </c>
      <c r="AQ31" s="518">
        <f>$H$2</f>
        <v>1.9599639845400536</v>
      </c>
      <c r="AR31" s="519">
        <f>AM31-(AQ31*AP31)</f>
        <v>-0.58901611014761535</v>
      </c>
      <c r="AS31" s="519">
        <f>AM31+(1.96*AP31)</f>
        <v>0.12413950537610366</v>
      </c>
      <c r="AT31" s="530">
        <f t="shared" si="7"/>
        <v>0.55487295011815529</v>
      </c>
      <c r="AU31" s="530">
        <f t="shared" si="7"/>
        <v>1.1321738043150313</v>
      </c>
      <c r="AV31" s="491"/>
      <c r="AX31" s="531"/>
      <c r="AY31" s="531">
        <v>1</v>
      </c>
      <c r="AZ31" s="532"/>
      <c r="BA31" s="532"/>
      <c r="BC31" s="506"/>
      <c r="BD31" s="506"/>
      <c r="BE31" s="473"/>
      <c r="BF31" s="473"/>
      <c r="BG31" s="473"/>
      <c r="BH31" s="473"/>
      <c r="BI31" s="473"/>
      <c r="BJ31" s="473"/>
      <c r="BK31" s="473"/>
      <c r="BL31" s="473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</row>
    <row r="32" spans="1:256">
      <c r="A32" s="477"/>
      <c r="B32" s="507" t="s">
        <v>34</v>
      </c>
      <c r="C32" s="508">
        <v>281</v>
      </c>
      <c r="D32" s="509">
        <f>E32-C32</f>
        <v>6754</v>
      </c>
      <c r="E32" s="510">
        <v>7035</v>
      </c>
      <c r="F32" s="508">
        <v>317</v>
      </c>
      <c r="G32" s="509">
        <f>H32-F32</f>
        <v>6719</v>
      </c>
      <c r="H32" s="510">
        <v>7036</v>
      </c>
      <c r="I32" s="511"/>
      <c r="K32" s="512">
        <f>(C32/E32)/(F32/H32)</f>
        <v>0.88656133483102739</v>
      </c>
      <c r="L32" s="513">
        <f>(D32/(C32*E32)+(G32/(F32*H32)))</f>
        <v>6.4290203748261828E-3</v>
      </c>
      <c r="M32" s="514">
        <f>1/L32</f>
        <v>155.54469292330347</v>
      </c>
      <c r="N32" s="515">
        <f>LN(K32)</f>
        <v>-0.12040496823457547</v>
      </c>
      <c r="O32" s="515">
        <f>M32*N32</f>
        <v>-18.72835381048715</v>
      </c>
      <c r="P32" s="515">
        <f>LN(K32)</f>
        <v>-0.12040496823457547</v>
      </c>
      <c r="Q32" s="600">
        <f>K32</f>
        <v>0.88656133483102739</v>
      </c>
      <c r="R32" s="517">
        <f>SQRT(1/M32)</f>
        <v>8.0181172196633441E-2</v>
      </c>
      <c r="S32" s="518">
        <f>$H$2</f>
        <v>1.9599639845400536</v>
      </c>
      <c r="T32" s="519">
        <f>P32-(R32*S32)</f>
        <v>-0.2775571779781813</v>
      </c>
      <c r="U32" s="519">
        <f>P32+(R32*S32)</f>
        <v>3.6747241509030359E-2</v>
      </c>
      <c r="V32" s="520">
        <f t="shared" si="6"/>
        <v>0.75763224348459179</v>
      </c>
      <c r="W32" s="521">
        <f t="shared" si="6"/>
        <v>1.0374307682607993</v>
      </c>
      <c r="X32" s="522"/>
      <c r="Z32" s="523">
        <f>(N32-P33)^2</f>
        <v>8.7465228674096004E-3</v>
      </c>
      <c r="AA32" s="521">
        <f>M32*Z32</f>
        <v>1.3604752135578781</v>
      </c>
      <c r="AB32" s="473">
        <v>1</v>
      </c>
      <c r="AC32" s="506"/>
      <c r="AD32" s="506"/>
      <c r="AE32" s="514">
        <f>M32^2</f>
        <v>24194.151496604773</v>
      </c>
      <c r="AF32" s="524"/>
      <c r="AG32" s="525">
        <f>AG33</f>
        <v>2.4292849843149729E-2</v>
      </c>
      <c r="AH32" s="525">
        <f>AH33</f>
        <v>2.4292849843149729E-2</v>
      </c>
      <c r="AI32" s="521">
        <f>1/M32</f>
        <v>6.4290203748261828E-3</v>
      </c>
      <c r="AJ32" s="526">
        <f>1/(AH32+AI32)</f>
        <v>32.550101699696725</v>
      </c>
      <c r="AK32" s="527">
        <f>AJ32/AJ33</f>
        <v>0.27393952123183507</v>
      </c>
      <c r="AL32" s="528">
        <f>AJ32*N32</f>
        <v>-3.9191939611841851</v>
      </c>
      <c r="AM32" s="528">
        <f>AL32/AJ32</f>
        <v>-0.12040496823457547</v>
      </c>
      <c r="AN32" s="521">
        <f>EXP(AM32)</f>
        <v>0.88656133483102739</v>
      </c>
      <c r="AO32" s="529">
        <f>1/AJ32</f>
        <v>3.0721870217975913E-2</v>
      </c>
      <c r="AP32" s="521">
        <f>SQRT(AO32)</f>
        <v>0.17527655353177138</v>
      </c>
      <c r="AQ32" s="518">
        <f>$H$2</f>
        <v>1.9599639845400536</v>
      </c>
      <c r="AR32" s="519">
        <f>AM32-(AQ32*AP32)</f>
        <v>-0.4639407004911541</v>
      </c>
      <c r="AS32" s="519">
        <f>AM32+(1.96*AP32)</f>
        <v>0.22313707668769645</v>
      </c>
      <c r="AT32" s="530">
        <f t="shared" si="7"/>
        <v>0.62880084094258237</v>
      </c>
      <c r="AU32" s="530">
        <f t="shared" si="7"/>
        <v>1.2499919067430587</v>
      </c>
      <c r="AV32" s="491"/>
      <c r="AX32" s="531"/>
      <c r="AY32" s="531">
        <v>1</v>
      </c>
      <c r="AZ32" s="532"/>
      <c r="BA32" s="532"/>
      <c r="BC32" s="506"/>
      <c r="BD32" s="506"/>
      <c r="BE32" s="473"/>
      <c r="BF32" s="473"/>
      <c r="BG32" s="473"/>
      <c r="BH32" s="473"/>
      <c r="BI32" s="473"/>
      <c r="BJ32" s="473"/>
      <c r="BK32" s="473"/>
      <c r="BL32" s="473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</row>
    <row r="33" spans="1:256">
      <c r="A33" s="477"/>
      <c r="B33" s="533">
        <f>COUNT(D29:D32)</f>
        <v>4</v>
      </c>
      <c r="C33" s="534">
        <f t="shared" ref="C33:H33" si="8">SUM(C29:C32)</f>
        <v>786</v>
      </c>
      <c r="D33" s="534">
        <f t="shared" si="8"/>
        <v>28506</v>
      </c>
      <c r="E33" s="534">
        <f t="shared" si="8"/>
        <v>29292</v>
      </c>
      <c r="F33" s="534">
        <f t="shared" si="8"/>
        <v>973</v>
      </c>
      <c r="G33" s="534">
        <f t="shared" si="8"/>
        <v>28248</v>
      </c>
      <c r="H33" s="534">
        <f t="shared" si="8"/>
        <v>29221</v>
      </c>
      <c r="I33" s="535"/>
      <c r="K33" s="536"/>
      <c r="L33" s="537"/>
      <c r="M33" s="538">
        <f>SUM(M29:M32)</f>
        <v>447.80091949991515</v>
      </c>
      <c r="N33" s="539"/>
      <c r="O33" s="540">
        <f>SUM(O29:O32)</f>
        <v>-95.797072264327213</v>
      </c>
      <c r="P33" s="541">
        <f>O33/M33</f>
        <v>-0.21392781500160668</v>
      </c>
      <c r="Q33" s="542">
        <f>EXP(P33)</f>
        <v>0.80740666556802243</v>
      </c>
      <c r="R33" s="543">
        <f>SQRT(1/M33)</f>
        <v>4.7256060025082071E-2</v>
      </c>
      <c r="S33" s="518">
        <f>$H$2</f>
        <v>1.9599639845400536</v>
      </c>
      <c r="T33" s="544">
        <f>P33-(R33*S33)</f>
        <v>-0.30654799070203048</v>
      </c>
      <c r="U33" s="544">
        <f>P33+(R33*S33)</f>
        <v>-0.12130763930118288</v>
      </c>
      <c r="V33" s="545">
        <f>EXP(T33)</f>
        <v>0.73598319698151649</v>
      </c>
      <c r="W33" s="546">
        <f>EXP(U33)</f>
        <v>0.88576142264840918</v>
      </c>
      <c r="X33" s="547"/>
      <c r="Y33" s="547"/>
      <c r="Z33" s="548"/>
      <c r="AA33" s="549">
        <f>SUM(AA29:AA32)</f>
        <v>10.978833864296847</v>
      </c>
      <c r="AB33" s="550">
        <f>SUM(AB29:AB32)</f>
        <v>4</v>
      </c>
      <c r="AC33" s="551">
        <f>AA33-(AB33-1)</f>
        <v>7.9788338642968473</v>
      </c>
      <c r="AD33" s="538">
        <f>M33</f>
        <v>447.80091949991515</v>
      </c>
      <c r="AE33" s="538">
        <f>SUM(AE29:AE32)</f>
        <v>53448.26566822661</v>
      </c>
      <c r="AF33" s="552">
        <f>AE33/AD33</f>
        <v>119.35720392873543</v>
      </c>
      <c r="AG33" s="553">
        <f>AC33/(AD33-AF33)</f>
        <v>2.4292849843149729E-2</v>
      </c>
      <c r="AH33" s="553">
        <f>IF(AA33&lt;AB33-1,"0",AG33)</f>
        <v>2.4292849843149729E-2</v>
      </c>
      <c r="AI33" s="548"/>
      <c r="AJ33" s="538">
        <f>SUM(AJ29:AJ32)</f>
        <v>118.8222186901961</v>
      </c>
      <c r="AK33" s="554">
        <f>SUM(AK29:AK32)</f>
        <v>0.99999999999999989</v>
      </c>
      <c r="AL33" s="551">
        <f>SUM(AL29:AL32)</f>
        <v>-27.569288853643318</v>
      </c>
      <c r="AM33" s="551">
        <f>AL33/AJ33</f>
        <v>-0.23202132696683969</v>
      </c>
      <c r="AN33" s="555">
        <f>EXP(AM33)</f>
        <v>0.79292921235133662</v>
      </c>
      <c r="AO33" s="556">
        <f>1/AJ33</f>
        <v>8.4159344188588954E-3</v>
      </c>
      <c r="AP33" s="557">
        <f>SQRT(AO33)</f>
        <v>9.1738402094536695E-2</v>
      </c>
      <c r="AQ33" s="518">
        <f>$H$2</f>
        <v>1.9599639845400536</v>
      </c>
      <c r="AR33" s="544">
        <f>AM33-(AQ33*AP33)</f>
        <v>-0.41182529107138544</v>
      </c>
      <c r="AS33" s="544">
        <f>AM33+(1.96*AP33)</f>
        <v>-5.2214058861547785E-2</v>
      </c>
      <c r="AT33" s="603">
        <f>EXP(AR33)</f>
        <v>0.66244000012550686</v>
      </c>
      <c r="AU33" s="604">
        <f>EXP(AS33)</f>
        <v>0.94912567633455902</v>
      </c>
      <c r="AV33" s="560"/>
      <c r="AW33" s="468"/>
      <c r="AX33" s="561">
        <f>AA33</f>
        <v>10.978833864296847</v>
      </c>
      <c r="AY33" s="533">
        <f>SUM(AY29:AY32)</f>
        <v>4</v>
      </c>
      <c r="AZ33" s="562">
        <f>(AX33-(AY33-1))/AX33</f>
        <v>0.72674693532288559</v>
      </c>
      <c r="BA33" s="563">
        <f>IF(AA33&lt;AB33-1,"0%",AZ33)</f>
        <v>0.72674693532288559</v>
      </c>
      <c r="BB33" s="468"/>
      <c r="BC33" s="540">
        <f>AX33/(AY33-1)</f>
        <v>3.6596112880989491</v>
      </c>
      <c r="BD33" s="564">
        <f>LN(BC33)</f>
        <v>1.2973569363356325</v>
      </c>
      <c r="BE33" s="540">
        <f>LN(AX33)</f>
        <v>2.3959692250037423</v>
      </c>
      <c r="BF33" s="540">
        <f>LN(AY33-1)</f>
        <v>1.0986122886681098</v>
      </c>
      <c r="BG33" s="540">
        <f>SQRT(2*AX33)</f>
        <v>4.6859009516413908</v>
      </c>
      <c r="BH33" s="540">
        <f>SQRT(2*AY33-3)</f>
        <v>2.2360679774997898</v>
      </c>
      <c r="BI33" s="540">
        <f>2*(AY33-2)</f>
        <v>4</v>
      </c>
      <c r="BJ33" s="540">
        <f>3*(AY33-2)^2</f>
        <v>12</v>
      </c>
      <c r="BK33" s="540">
        <f>1/BI33</f>
        <v>0.25</v>
      </c>
      <c r="BL33" s="540">
        <f>1/BJ33</f>
        <v>8.3333333333333329E-2</v>
      </c>
      <c r="BM33" s="540">
        <f>SQRT(BK33*(1-BL33))</f>
        <v>0.47871355387816905</v>
      </c>
      <c r="BN33" s="564">
        <f>0.5*(BE33-BF33)/(BG33-BH33)</f>
        <v>0.26478477309054399</v>
      </c>
      <c r="BO33" s="564">
        <f>IF(AA33&lt;=AB33,BM33,BN33)</f>
        <v>0.26478477309054399</v>
      </c>
      <c r="BP33" s="551">
        <f>BD33-(1.96*BO33)</f>
        <v>0.77837878107816638</v>
      </c>
      <c r="BQ33" s="551">
        <f>BD33+(1.96*BO33)</f>
        <v>1.8163350915930987</v>
      </c>
      <c r="BR33" s="551"/>
      <c r="BS33" s="564">
        <f>EXP(BP33)</f>
        <v>2.17793848667247</v>
      </c>
      <c r="BT33" s="564">
        <f>EXP(BQ33)</f>
        <v>6.1492805521992349</v>
      </c>
      <c r="BU33" s="565">
        <f>BA33</f>
        <v>0.72674693532288559</v>
      </c>
      <c r="BV33" s="565">
        <f>(BS33-1)/BS33</f>
        <v>0.54085020944377782</v>
      </c>
      <c r="BW33" s="565">
        <f>(BT33-1)/BT33</f>
        <v>0.83737935007008923</v>
      </c>
    </row>
    <row r="34" spans="1:256" ht="13.5" thickBot="1">
      <c r="C34" s="566"/>
      <c r="D34" s="566"/>
      <c r="E34" s="566"/>
      <c r="F34" s="566"/>
      <c r="G34" s="566"/>
      <c r="H34" s="566"/>
      <c r="I34" s="567"/>
      <c r="R34" s="568"/>
      <c r="S34" s="568"/>
      <c r="T34" s="568"/>
      <c r="U34" s="568"/>
      <c r="V34" s="568"/>
      <c r="W34" s="568"/>
      <c r="X34" s="568"/>
      <c r="AB34" s="569"/>
      <c r="AC34" s="570"/>
      <c r="AD34" s="571"/>
      <c r="AE34" s="570"/>
      <c r="AF34" s="572"/>
      <c r="AG34" s="572"/>
      <c r="AH34" s="572"/>
      <c r="AI34" s="572"/>
      <c r="AT34" s="573"/>
      <c r="AU34" s="573"/>
      <c r="AV34" s="573"/>
      <c r="AX34" s="480" t="s">
        <v>35</v>
      </c>
      <c r="BG34" s="483"/>
      <c r="BN34" s="570" t="s">
        <v>36</v>
      </c>
      <c r="BT34" s="574" t="s">
        <v>37</v>
      </c>
      <c r="BU34" s="575">
        <f>BU33</f>
        <v>0.72674693532288559</v>
      </c>
      <c r="BV34" s="576">
        <f>IF(BV33&lt;0,"0%",BV33)</f>
        <v>0.54085020944377782</v>
      </c>
      <c r="BW34" s="577">
        <f>IF(BW33&lt;0,"0%",BW33)</f>
        <v>0.83737935007008923</v>
      </c>
    </row>
    <row r="35" spans="1:256" ht="26.5" thickBot="1">
      <c r="A35" s="477"/>
      <c r="B35" s="578"/>
      <c r="C35" s="579"/>
      <c r="D35" s="580"/>
      <c r="E35" s="580"/>
      <c r="F35" s="580"/>
      <c r="G35" s="580"/>
      <c r="H35" s="580"/>
      <c r="I35" s="581"/>
      <c r="J35" s="480"/>
      <c r="K35" s="480"/>
      <c r="L35" s="480"/>
      <c r="R35" s="582"/>
      <c r="S35" s="582"/>
      <c r="T35" s="582"/>
      <c r="U35" s="582"/>
      <c r="V35" s="582"/>
      <c r="W35" s="582"/>
      <c r="X35" s="582"/>
      <c r="AF35" s="472"/>
      <c r="AI35" s="483"/>
      <c r="AJ35" s="583"/>
      <c r="AK35" s="583"/>
      <c r="AL35" s="584"/>
      <c r="AM35" s="585"/>
      <c r="AN35" s="586"/>
      <c r="AO35" s="587" t="s">
        <v>453</v>
      </c>
      <c r="AP35" s="588">
        <f>TINV((1-$H$1),(AB33-2))</f>
        <v>4.3026527297494619</v>
      </c>
      <c r="AR35" s="589" t="s">
        <v>38</v>
      </c>
      <c r="AS35" s="590">
        <f>$H$1</f>
        <v>0.95</v>
      </c>
      <c r="AT35" s="591">
        <f>EXP(AM33-AP35*SQRT((1/AD33)+AH33))</f>
        <v>0.39345610527239744</v>
      </c>
      <c r="AU35" s="592">
        <f>EXP(AM33+AP35*SQRT((1/AD33)+AH33))</f>
        <v>1.597984444452385</v>
      </c>
      <c r="AV35" s="491"/>
      <c r="AX35" s="593">
        <f>_xlfn.CHISQ.DIST.RT(AX33,AY33-1)</f>
        <v>1.1840881192678329E-2</v>
      </c>
      <c r="AY35" s="594" t="str">
        <f>IF(AX35&lt;0.05,"heterogeneidad","homogeneidad")</f>
        <v>heterogeneidad</v>
      </c>
      <c r="BF35" s="595"/>
      <c r="BG35" s="483"/>
      <c r="BH35" s="483"/>
      <c r="BJ35" s="522"/>
      <c r="BL35" s="483"/>
      <c r="BM35" s="596"/>
      <c r="BQ35" s="483"/>
    </row>
    <row r="36" spans="1:256">
      <c r="C36" s="566"/>
      <c r="D36" s="566"/>
      <c r="E36" s="566"/>
      <c r="F36" s="566"/>
      <c r="G36" s="566"/>
      <c r="H36" s="566"/>
      <c r="I36" s="567"/>
      <c r="R36" s="568"/>
      <c r="S36" s="568"/>
      <c r="T36" s="568"/>
      <c r="U36" s="568"/>
      <c r="V36" s="568"/>
      <c r="W36" s="568"/>
      <c r="X36" s="568"/>
      <c r="AF36" s="472"/>
      <c r="AL36" s="585"/>
      <c r="AM36" s="585"/>
      <c r="AR36" s="605"/>
      <c r="AS36" s="605"/>
      <c r="BP36" s="483"/>
    </row>
    <row r="37" spans="1:256">
      <c r="C37" s="566"/>
      <c r="D37" s="566"/>
      <c r="E37" s="566"/>
      <c r="F37" s="566"/>
      <c r="G37" s="566"/>
      <c r="H37" s="566"/>
      <c r="I37" s="567"/>
      <c r="J37" s="624" t="s">
        <v>4</v>
      </c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6"/>
      <c r="X37" s="484"/>
      <c r="Y37" s="624" t="s">
        <v>5</v>
      </c>
      <c r="Z37" s="625"/>
      <c r="AA37" s="625"/>
      <c r="AB37" s="625"/>
      <c r="AC37" s="625"/>
      <c r="AD37" s="625"/>
      <c r="AE37" s="625"/>
      <c r="AF37" s="625"/>
      <c r="AG37" s="625"/>
      <c r="AH37" s="625"/>
      <c r="AI37" s="625"/>
      <c r="AJ37" s="625"/>
      <c r="AK37" s="625"/>
      <c r="AL37" s="625"/>
      <c r="AM37" s="625"/>
      <c r="AN37" s="625"/>
      <c r="AO37" s="625"/>
      <c r="AP37" s="625"/>
      <c r="AQ37" s="625"/>
      <c r="AR37" s="625"/>
      <c r="AS37" s="625"/>
      <c r="AT37" s="625"/>
      <c r="AU37" s="626"/>
      <c r="AV37" s="484"/>
      <c r="AW37" s="624" t="s">
        <v>6</v>
      </c>
      <c r="AX37" s="625"/>
      <c r="AY37" s="625"/>
      <c r="AZ37" s="625"/>
      <c r="BA37" s="625"/>
      <c r="BB37" s="625"/>
      <c r="BC37" s="625"/>
      <c r="BD37" s="625"/>
      <c r="BE37" s="625"/>
      <c r="BF37" s="625"/>
      <c r="BG37" s="625"/>
      <c r="BH37" s="625"/>
      <c r="BI37" s="625"/>
      <c r="BJ37" s="625"/>
      <c r="BK37" s="625"/>
      <c r="BL37" s="625"/>
      <c r="BM37" s="625"/>
      <c r="BN37" s="625"/>
      <c r="BO37" s="625"/>
      <c r="BP37" s="625"/>
      <c r="BQ37" s="625"/>
      <c r="BR37" s="625"/>
      <c r="BS37" s="625"/>
      <c r="BT37" s="625"/>
      <c r="BU37" s="625"/>
      <c r="BV37" s="625"/>
      <c r="BW37" s="626"/>
    </row>
    <row r="38" spans="1:256">
      <c r="A38" s="485" t="s">
        <v>45</v>
      </c>
      <c r="B38" s="486" t="s">
        <v>8</v>
      </c>
      <c r="C38" s="623" t="s">
        <v>9</v>
      </c>
      <c r="D38" s="623"/>
      <c r="E38" s="623"/>
      <c r="F38" s="623" t="s">
        <v>10</v>
      </c>
      <c r="G38" s="623"/>
      <c r="H38" s="623"/>
      <c r="I38" s="487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8"/>
      <c r="BS38" s="488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8"/>
      <c r="CT38" s="488"/>
      <c r="CU38" s="488"/>
      <c r="CV38" s="488"/>
      <c r="CW38" s="488"/>
      <c r="CX38" s="488"/>
      <c r="CY38" s="488"/>
      <c r="CZ38" s="488"/>
      <c r="DA38" s="488"/>
      <c r="DB38" s="488"/>
      <c r="DC38" s="488"/>
      <c r="DD38" s="488"/>
      <c r="DE38" s="488"/>
      <c r="DF38" s="488"/>
      <c r="DG38" s="488"/>
      <c r="DH38" s="488"/>
      <c r="DI38" s="488"/>
      <c r="DJ38" s="488"/>
      <c r="DK38" s="488"/>
      <c r="DL38" s="488"/>
      <c r="DM38" s="488"/>
      <c r="DN38" s="488"/>
      <c r="DO38" s="488"/>
      <c r="DP38" s="488"/>
      <c r="DQ38" s="488"/>
      <c r="DR38" s="488"/>
      <c r="DS38" s="488"/>
      <c r="DT38" s="488"/>
      <c r="DU38" s="488"/>
      <c r="DV38" s="488"/>
      <c r="DW38" s="488"/>
      <c r="DX38" s="488"/>
      <c r="DY38" s="488"/>
      <c r="DZ38" s="488"/>
      <c r="EA38" s="488"/>
      <c r="EB38" s="488"/>
      <c r="EC38" s="488"/>
      <c r="ED38" s="488"/>
      <c r="EE38" s="488"/>
      <c r="EF38" s="488"/>
      <c r="EG38" s="488"/>
      <c r="EH38" s="488"/>
      <c r="EI38" s="488"/>
      <c r="EJ38" s="488"/>
      <c r="EK38" s="488"/>
      <c r="EL38" s="488"/>
      <c r="EM38" s="488"/>
      <c r="EN38" s="488"/>
      <c r="EO38" s="488"/>
      <c r="EP38" s="488"/>
      <c r="EQ38" s="488"/>
      <c r="ER38" s="488"/>
      <c r="ES38" s="488"/>
      <c r="ET38" s="488"/>
      <c r="EU38" s="488"/>
      <c r="EV38" s="488"/>
      <c r="EW38" s="488"/>
      <c r="EX38" s="488"/>
      <c r="EY38" s="488"/>
      <c r="EZ38" s="488"/>
      <c r="FA38" s="488"/>
      <c r="FB38" s="488"/>
      <c r="FC38" s="488"/>
      <c r="FD38" s="488"/>
      <c r="FE38" s="488"/>
      <c r="FF38" s="488"/>
      <c r="FG38" s="488"/>
      <c r="FH38" s="488"/>
      <c r="FI38" s="488"/>
      <c r="FJ38" s="488"/>
      <c r="FK38" s="488"/>
      <c r="FL38" s="488"/>
      <c r="FM38" s="488"/>
      <c r="FN38" s="488"/>
      <c r="FO38" s="488"/>
      <c r="FP38" s="488"/>
      <c r="FQ38" s="488"/>
      <c r="FR38" s="488"/>
      <c r="FS38" s="488"/>
      <c r="FT38" s="488"/>
      <c r="FU38" s="488"/>
      <c r="FV38" s="488"/>
      <c r="FW38" s="488"/>
      <c r="FX38" s="488"/>
      <c r="FY38" s="488"/>
      <c r="FZ38" s="488"/>
      <c r="GA38" s="488"/>
      <c r="GB38" s="488"/>
      <c r="GC38" s="488"/>
      <c r="GD38" s="488"/>
      <c r="GE38" s="488"/>
      <c r="GF38" s="488"/>
      <c r="GG38" s="488"/>
      <c r="GH38" s="488"/>
      <c r="GI38" s="488"/>
      <c r="GJ38" s="488"/>
      <c r="GK38" s="488"/>
      <c r="GL38" s="488"/>
      <c r="GM38" s="488"/>
      <c r="GN38" s="488"/>
      <c r="GO38" s="488"/>
      <c r="GP38" s="488"/>
      <c r="GQ38" s="488"/>
      <c r="GR38" s="488"/>
      <c r="GS38" s="488"/>
      <c r="GT38" s="488"/>
      <c r="GU38" s="488"/>
      <c r="GV38" s="488"/>
      <c r="GW38" s="488"/>
      <c r="GX38" s="488"/>
      <c r="GY38" s="488"/>
      <c r="GZ38" s="488"/>
      <c r="HA38" s="488"/>
      <c r="HB38" s="488"/>
      <c r="HC38" s="488"/>
      <c r="HD38" s="488"/>
      <c r="HE38" s="488"/>
      <c r="HF38" s="488"/>
      <c r="HG38" s="488"/>
      <c r="HH38" s="488"/>
      <c r="HI38" s="488"/>
      <c r="HJ38" s="488"/>
      <c r="HK38" s="488"/>
      <c r="HL38" s="488"/>
      <c r="HM38" s="488"/>
      <c r="HN38" s="488"/>
      <c r="HO38" s="488"/>
      <c r="HP38" s="488"/>
      <c r="HQ38" s="488"/>
      <c r="HR38" s="488"/>
      <c r="HS38" s="488"/>
      <c r="HT38" s="488"/>
      <c r="HU38" s="488"/>
      <c r="HV38" s="488"/>
      <c r="HW38" s="488"/>
      <c r="HX38" s="488"/>
      <c r="HY38" s="488"/>
      <c r="HZ38" s="488"/>
      <c r="IA38" s="488"/>
      <c r="IB38" s="488"/>
      <c r="IC38" s="488"/>
      <c r="ID38" s="488"/>
      <c r="IE38" s="488"/>
      <c r="IF38" s="488"/>
      <c r="IG38" s="488"/>
      <c r="IH38" s="488"/>
      <c r="II38" s="488"/>
      <c r="IJ38" s="488"/>
      <c r="IK38" s="488"/>
      <c r="IL38" s="488"/>
      <c r="IM38" s="488"/>
      <c r="IN38" s="488"/>
      <c r="IO38" s="488"/>
      <c r="IP38" s="488"/>
      <c r="IQ38" s="488"/>
      <c r="IR38" s="488"/>
      <c r="IS38" s="488"/>
      <c r="IT38" s="488"/>
      <c r="IU38" s="488"/>
      <c r="IV38" s="488"/>
    </row>
    <row r="39" spans="1:256" ht="60">
      <c r="B39" s="489" t="s">
        <v>46</v>
      </c>
      <c r="C39" s="490" t="s">
        <v>12</v>
      </c>
      <c r="D39" s="490" t="s">
        <v>13</v>
      </c>
      <c r="E39" s="490" t="s">
        <v>14</v>
      </c>
      <c r="F39" s="490" t="s">
        <v>12</v>
      </c>
      <c r="G39" s="490" t="s">
        <v>13</v>
      </c>
      <c r="H39" s="490" t="s">
        <v>14</v>
      </c>
      <c r="I39" s="491"/>
      <c r="K39" s="492" t="s">
        <v>416</v>
      </c>
      <c r="L39" s="492" t="s">
        <v>417</v>
      </c>
      <c r="M39" s="492" t="s">
        <v>418</v>
      </c>
      <c r="N39" s="493" t="s">
        <v>419</v>
      </c>
      <c r="O39" s="493" t="s">
        <v>15</v>
      </c>
      <c r="P39" s="493" t="s">
        <v>420</v>
      </c>
      <c r="Q39" s="494" t="s">
        <v>421</v>
      </c>
      <c r="R39" s="492" t="s">
        <v>422</v>
      </c>
      <c r="S39" s="475" t="s">
        <v>415</v>
      </c>
      <c r="T39" s="493" t="s">
        <v>423</v>
      </c>
      <c r="U39" s="493" t="s">
        <v>424</v>
      </c>
      <c r="V39" s="495" t="s">
        <v>16</v>
      </c>
      <c r="W39" s="496" t="s">
        <v>16</v>
      </c>
      <c r="X39" s="497"/>
      <c r="Y39" s="498"/>
      <c r="Z39" s="499" t="s">
        <v>425</v>
      </c>
      <c r="AA39" s="493" t="s">
        <v>426</v>
      </c>
      <c r="AB39" s="475" t="s">
        <v>17</v>
      </c>
      <c r="AC39" s="475" t="s">
        <v>18</v>
      </c>
      <c r="AD39" s="475" t="s">
        <v>427</v>
      </c>
      <c r="AE39" s="493" t="s">
        <v>428</v>
      </c>
      <c r="AF39" s="493" t="s">
        <v>429</v>
      </c>
      <c r="AG39" s="500" t="s">
        <v>19</v>
      </c>
      <c r="AH39" s="500" t="s">
        <v>20</v>
      </c>
      <c r="AI39" s="475" t="s">
        <v>430</v>
      </c>
      <c r="AJ39" s="493" t="s">
        <v>431</v>
      </c>
      <c r="AK39" s="493" t="s">
        <v>432</v>
      </c>
      <c r="AL39" s="493" t="s">
        <v>433</v>
      </c>
      <c r="AM39" s="475" t="s">
        <v>434</v>
      </c>
      <c r="AN39" s="501" t="s">
        <v>435</v>
      </c>
      <c r="AO39" s="493" t="s">
        <v>436</v>
      </c>
      <c r="AP39" s="493" t="s">
        <v>437</v>
      </c>
      <c r="AQ39" s="475" t="s">
        <v>415</v>
      </c>
      <c r="AR39" s="493" t="s">
        <v>438</v>
      </c>
      <c r="AS39" s="493" t="s">
        <v>439</v>
      </c>
      <c r="AT39" s="495" t="s">
        <v>16</v>
      </c>
      <c r="AU39" s="496" t="s">
        <v>16</v>
      </c>
      <c r="AV39" s="497"/>
      <c r="AX39" s="502" t="s">
        <v>21</v>
      </c>
      <c r="AY39" s="502" t="s">
        <v>17</v>
      </c>
      <c r="AZ39" s="503" t="s">
        <v>22</v>
      </c>
      <c r="BA39" s="504" t="s">
        <v>23</v>
      </c>
      <c r="BC39" s="475" t="s">
        <v>440</v>
      </c>
      <c r="BD39" s="475" t="s">
        <v>441</v>
      </c>
      <c r="BE39" s="475" t="s">
        <v>24</v>
      </c>
      <c r="BF39" s="475" t="s">
        <v>25</v>
      </c>
      <c r="BG39" s="475" t="s">
        <v>26</v>
      </c>
      <c r="BH39" s="475" t="s">
        <v>27</v>
      </c>
      <c r="BI39" s="475" t="s">
        <v>28</v>
      </c>
      <c r="BJ39" s="475" t="s">
        <v>442</v>
      </c>
      <c r="BK39" s="475" t="s">
        <v>29</v>
      </c>
      <c r="BL39" s="475" t="s">
        <v>30</v>
      </c>
      <c r="BM39" s="505" t="s">
        <v>443</v>
      </c>
      <c r="BN39" s="505" t="s">
        <v>444</v>
      </c>
      <c r="BO39" s="505" t="s">
        <v>445</v>
      </c>
      <c r="BP39" s="505" t="s">
        <v>446</v>
      </c>
      <c r="BQ39" s="505" t="s">
        <v>447</v>
      </c>
      <c r="BR39" s="506"/>
      <c r="BS39" s="493" t="s">
        <v>448</v>
      </c>
      <c r="BT39" s="493" t="s">
        <v>449</v>
      </c>
      <c r="BU39" s="494" t="s">
        <v>450</v>
      </c>
      <c r="BV39" s="495" t="s">
        <v>451</v>
      </c>
      <c r="BW39" s="496" t="s">
        <v>452</v>
      </c>
    </row>
    <row r="40" spans="1:256">
      <c r="A40" s="477"/>
      <c r="B40" s="507" t="s">
        <v>31</v>
      </c>
      <c r="C40" s="508">
        <v>12</v>
      </c>
      <c r="D40" s="509">
        <f>E40-C40</f>
        <v>6064</v>
      </c>
      <c r="E40" s="510">
        <v>6076</v>
      </c>
      <c r="F40" s="508">
        <v>45</v>
      </c>
      <c r="G40" s="509">
        <f>H40-F40</f>
        <v>5977</v>
      </c>
      <c r="H40" s="510">
        <v>6022</v>
      </c>
      <c r="I40" s="511"/>
      <c r="K40" s="512">
        <f>(C40/E40)/(F40/H40)</f>
        <v>0.26429668641650211</v>
      </c>
      <c r="L40" s="513">
        <f>(D40/(C40*E40)+(G40/(F40*H40)))</f>
        <v>0.1052249158056283</v>
      </c>
      <c r="M40" s="514">
        <f>1/L40</f>
        <v>9.5034526028721391</v>
      </c>
      <c r="N40" s="515">
        <f>LN(K40)</f>
        <v>-1.3306829946563037</v>
      </c>
      <c r="O40" s="515">
        <f>M40*N40</f>
        <v>-12.646082769164142</v>
      </c>
      <c r="P40" s="515">
        <f>LN(K40)</f>
        <v>-1.3306829946563037</v>
      </c>
      <c r="Q40" s="600">
        <f>K40</f>
        <v>0.26429668641650211</v>
      </c>
      <c r="R40" s="517">
        <f>SQRT(1/M40)</f>
        <v>0.32438390189038097</v>
      </c>
      <c r="S40" s="518">
        <f>$H$2</f>
        <v>1.9599639845400536</v>
      </c>
      <c r="T40" s="519">
        <f>P40-(R40*S40)</f>
        <v>-1.9664637595260246</v>
      </c>
      <c r="U40" s="519">
        <f>P40+(R40*S40)</f>
        <v>-0.69490222978658278</v>
      </c>
      <c r="V40" s="520">
        <f>EXP(T40)</f>
        <v>0.13995088217685667</v>
      </c>
      <c r="W40" s="521">
        <f>EXP(U40)</f>
        <v>0.49912324498583427</v>
      </c>
      <c r="X40" s="522"/>
      <c r="Z40" s="523">
        <f>(N40-P44)^2</f>
        <v>0.40681504939030161</v>
      </c>
      <c r="AA40" s="521">
        <f>M40*Z40</f>
        <v>3.8661475400158198</v>
      </c>
      <c r="AB40" s="473">
        <v>1</v>
      </c>
      <c r="AC40" s="506"/>
      <c r="AD40" s="506"/>
      <c r="AE40" s="514">
        <f>M40^2</f>
        <v>90.315611375037236</v>
      </c>
      <c r="AF40" s="524"/>
      <c r="AG40" s="525">
        <f>AG44</f>
        <v>0.10595130694197587</v>
      </c>
      <c r="AH40" s="525">
        <f>AH44</f>
        <v>0.10595130694197587</v>
      </c>
      <c r="AI40" s="521">
        <f>1/M40</f>
        <v>0.1052249158056283</v>
      </c>
      <c r="AJ40" s="526">
        <f>1/(AH40+AI40)</f>
        <v>4.7353816021001123</v>
      </c>
      <c r="AK40" s="527">
        <f>AJ40/AJ44</f>
        <v>0.18765170667799569</v>
      </c>
      <c r="AL40" s="528">
        <f>AJ40*N40</f>
        <v>-6.3012917711229424</v>
      </c>
      <c r="AM40" s="528">
        <f>AL40/AJ40</f>
        <v>-1.3306829946563037</v>
      </c>
      <c r="AN40" s="521">
        <f>EXP(AM40)</f>
        <v>0.26429668641650211</v>
      </c>
      <c r="AO40" s="529">
        <f>1/AJ40</f>
        <v>0.21117622274760417</v>
      </c>
      <c r="AP40" s="521">
        <f>SQRT(AO40)</f>
        <v>0.45953914169263554</v>
      </c>
      <c r="AQ40" s="518">
        <f>$H$2</f>
        <v>1.9599639845400536</v>
      </c>
      <c r="AR40" s="519">
        <f>AM40-(AQ40*AP40)</f>
        <v>-2.231363161860318</v>
      </c>
      <c r="AS40" s="519">
        <f>AM40+(1.96*AP40)</f>
        <v>-0.42998627693873803</v>
      </c>
      <c r="AT40" s="530">
        <f>EXP(AR40)</f>
        <v>0.10738195134076969</v>
      </c>
      <c r="AU40" s="530">
        <f>EXP(AS40)</f>
        <v>0.65051802176072793</v>
      </c>
      <c r="AV40" s="491"/>
      <c r="AX40" s="531"/>
      <c r="AY40" s="531">
        <v>1</v>
      </c>
      <c r="AZ40" s="532"/>
      <c r="BA40" s="532"/>
      <c r="BC40" s="506"/>
      <c r="BD40" s="506"/>
      <c r="BE40" s="473"/>
      <c r="BF40" s="473"/>
      <c r="BG40" s="473"/>
      <c r="BH40" s="473"/>
      <c r="BI40" s="473"/>
      <c r="BJ40" s="473"/>
      <c r="BK40" s="473"/>
      <c r="BL40" s="473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</row>
    <row r="41" spans="1:256">
      <c r="A41" s="477"/>
      <c r="B41" s="507" t="s">
        <v>32</v>
      </c>
      <c r="C41" s="508">
        <v>29</v>
      </c>
      <c r="D41" s="509">
        <f>E41-C41</f>
        <v>7032</v>
      </c>
      <c r="E41" s="510">
        <v>7061</v>
      </c>
      <c r="F41" s="508">
        <v>50</v>
      </c>
      <c r="G41" s="509">
        <f>H41-F41</f>
        <v>7032</v>
      </c>
      <c r="H41" s="510">
        <v>7082</v>
      </c>
      <c r="I41" s="511"/>
      <c r="K41" s="512">
        <f>(C41/E41)/(F41/H41)</f>
        <v>0.5817249681348251</v>
      </c>
      <c r="L41" s="513">
        <f>(D41/(C41*E41)+(G41/(F41*H41)))</f>
        <v>5.4199932571128644E-2</v>
      </c>
      <c r="M41" s="514">
        <f>1/L41</f>
        <v>18.450207455289021</v>
      </c>
      <c r="N41" s="515">
        <f>LN(K41)</f>
        <v>-0.54175750628616981</v>
      </c>
      <c r="O41" s="515">
        <f>M41*N41</f>
        <v>-9.9955383814398786</v>
      </c>
      <c r="P41" s="515">
        <f>LN(K41)</f>
        <v>-0.54175750628616981</v>
      </c>
      <c r="Q41" s="600">
        <f>K41</f>
        <v>0.5817249681348251</v>
      </c>
      <c r="R41" s="517">
        <f>SQRT(1/M41)</f>
        <v>0.23280878972051</v>
      </c>
      <c r="S41" s="518">
        <f>$H$2</f>
        <v>1.9599639845400536</v>
      </c>
      <c r="T41" s="519">
        <f>P41-(R41*S41)</f>
        <v>-0.99805434942272808</v>
      </c>
      <c r="U41" s="519">
        <f>P41+(R41*S41)</f>
        <v>-8.5460663149611538E-2</v>
      </c>
      <c r="V41" s="520">
        <f t="shared" ref="V41:W43" si="9">EXP(T41)</f>
        <v>0.3685959027844824</v>
      </c>
      <c r="W41" s="521">
        <f t="shared" si="9"/>
        <v>0.91808925708359734</v>
      </c>
      <c r="X41" s="522"/>
      <c r="Z41" s="523">
        <f>(N41-P292)^2</f>
        <v>0.29350119561740934</v>
      </c>
      <c r="AA41" s="521">
        <f>M41*Z41</f>
        <v>5.4151579475165672</v>
      </c>
      <c r="AB41" s="473">
        <v>1</v>
      </c>
      <c r="AC41" s="506"/>
      <c r="AD41" s="506"/>
      <c r="AE41" s="514">
        <f>M41^2</f>
        <v>340.41015514320259</v>
      </c>
      <c r="AF41" s="524"/>
      <c r="AG41" s="525">
        <f>AG44</f>
        <v>0.10595130694197587</v>
      </c>
      <c r="AH41" s="525">
        <f>AH44</f>
        <v>0.10595130694197587</v>
      </c>
      <c r="AI41" s="521">
        <f>1/M41</f>
        <v>5.4199932571128644E-2</v>
      </c>
      <c r="AJ41" s="526">
        <f>1/(AH41+AI41)</f>
        <v>6.2440977855695845</v>
      </c>
      <c r="AK41" s="527">
        <f>AJ41/AJ44</f>
        <v>0.24743847583619819</v>
      </c>
      <c r="AL41" s="528">
        <f>AJ41*N41</f>
        <v>-3.382786845317173</v>
      </c>
      <c r="AM41" s="528">
        <f>AL41/AJ41</f>
        <v>-0.54175750628616981</v>
      </c>
      <c r="AN41" s="521">
        <f>EXP(AM41)</f>
        <v>0.5817249681348251</v>
      </c>
      <c r="AO41" s="529">
        <f>1/AJ41</f>
        <v>0.1601512395131045</v>
      </c>
      <c r="AP41" s="521">
        <f>SQRT(AO41)</f>
        <v>0.40018900473789193</v>
      </c>
      <c r="AQ41" s="518">
        <f>$H$2</f>
        <v>1.9599639845400536</v>
      </c>
      <c r="AR41" s="519">
        <f>AM41-(AQ41*AP41)</f>
        <v>-1.3261135425813668</v>
      </c>
      <c r="AS41" s="519">
        <f>AM41+(1.96*AP41)</f>
        <v>0.24261294300009839</v>
      </c>
      <c r="AT41" s="530">
        <f t="shared" ref="AT41:AU43" si="10">EXP(AR41)</f>
        <v>0.26550714090936473</v>
      </c>
      <c r="AU41" s="530">
        <f t="shared" si="10"/>
        <v>1.2745751953808233</v>
      </c>
      <c r="AV41" s="491"/>
      <c r="AX41" s="531"/>
      <c r="AY41" s="531">
        <v>1</v>
      </c>
      <c r="AZ41" s="532"/>
      <c r="BA41" s="532"/>
      <c r="BC41" s="506"/>
      <c r="BD41" s="506"/>
      <c r="BE41" s="473"/>
      <c r="BF41" s="473"/>
      <c r="BG41" s="473"/>
      <c r="BH41" s="473"/>
      <c r="BI41" s="473"/>
      <c r="BJ41" s="473"/>
      <c r="BK41" s="473"/>
      <c r="BL41" s="473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</row>
    <row r="42" spans="1:256">
      <c r="A42" s="477"/>
      <c r="B42" s="507" t="s">
        <v>33</v>
      </c>
      <c r="C42" s="508">
        <v>40</v>
      </c>
      <c r="D42" s="509">
        <f>E42-C42</f>
        <v>9080</v>
      </c>
      <c r="E42" s="510">
        <v>9120</v>
      </c>
      <c r="F42" s="508">
        <v>78</v>
      </c>
      <c r="G42" s="509">
        <f>H42-F42</f>
        <v>9003</v>
      </c>
      <c r="H42" s="510">
        <v>9081</v>
      </c>
      <c r="I42" s="511"/>
      <c r="K42" s="512">
        <f>(C42/E42)/(F42/H42)</f>
        <v>0.51062753036437247</v>
      </c>
      <c r="L42" s="513">
        <f>(D42/(C42*E42)+(G42/(F42*H42)))</f>
        <v>3.7600743666872195E-2</v>
      </c>
      <c r="M42" s="514">
        <f>1/L42</f>
        <v>26.595218670662657</v>
      </c>
      <c r="N42" s="515">
        <f>LN(K42)</f>
        <v>-0.67211485795420411</v>
      </c>
      <c r="O42" s="515">
        <f>M42*N42</f>
        <v>-17.87504161909343</v>
      </c>
      <c r="P42" s="515">
        <f>LN(K42)</f>
        <v>-0.67211485795420411</v>
      </c>
      <c r="Q42" s="600">
        <f>K42</f>
        <v>0.51062753036437247</v>
      </c>
      <c r="R42" s="517">
        <f>SQRT(1/M42)</f>
        <v>0.19390911187170187</v>
      </c>
      <c r="S42" s="518">
        <f>$H$2</f>
        <v>1.9599639845400536</v>
      </c>
      <c r="T42" s="519">
        <f>P42-(R42*S42)</f>
        <v>-1.0521697334968878</v>
      </c>
      <c r="U42" s="519">
        <f>P42+(R42*S42)</f>
        <v>-0.29205998241152031</v>
      </c>
      <c r="V42" s="520">
        <f t="shared" si="9"/>
        <v>0.34917930056823637</v>
      </c>
      <c r="W42" s="521">
        <f t="shared" si="9"/>
        <v>0.7467237443390905</v>
      </c>
      <c r="X42" s="522"/>
      <c r="Z42" s="523">
        <f>(N42-P44)^2</f>
        <v>4.3046250398436574E-4</v>
      </c>
      <c r="AA42" s="521">
        <f>M42*Z42</f>
        <v>1.1448244422985202E-2</v>
      </c>
      <c r="AB42" s="473">
        <v>1</v>
      </c>
      <c r="AC42" s="506"/>
      <c r="AD42" s="506"/>
      <c r="AE42" s="514">
        <f>M42^2</f>
        <v>707.30565614036357</v>
      </c>
      <c r="AF42" s="524"/>
      <c r="AG42" s="525">
        <f>AG44</f>
        <v>0.10595130694197587</v>
      </c>
      <c r="AH42" s="525">
        <f>AH44</f>
        <v>0.10595130694197587</v>
      </c>
      <c r="AI42" s="521">
        <f>1/M42</f>
        <v>3.7600743666872195E-2</v>
      </c>
      <c r="AJ42" s="526">
        <f>1/(AH42+AI42)</f>
        <v>6.9661143519628927</v>
      </c>
      <c r="AK42" s="527">
        <f>AJ42/AJ44</f>
        <v>0.27605024407751644</v>
      </c>
      <c r="AL42" s="528">
        <f>AJ42*N42</f>
        <v>-4.6820289581622827</v>
      </c>
      <c r="AM42" s="528">
        <f>AL42/AJ42</f>
        <v>-0.67211485795420423</v>
      </c>
      <c r="AN42" s="521">
        <f>EXP(AM42)</f>
        <v>0.51062753036437247</v>
      </c>
      <c r="AO42" s="529">
        <f>1/AJ42</f>
        <v>0.14355205060884807</v>
      </c>
      <c r="AP42" s="521">
        <f>SQRT(AO42)</f>
        <v>0.37888263434584601</v>
      </c>
      <c r="AQ42" s="518">
        <f>$H$2</f>
        <v>1.9599639845400536</v>
      </c>
      <c r="AR42" s="519">
        <f>AM42-(AQ42*AP42)</f>
        <v>-1.4147111756397206</v>
      </c>
      <c r="AS42" s="519">
        <f>AM42+(1.96*AP42)</f>
        <v>7.0495105363653998E-2</v>
      </c>
      <c r="AT42" s="530">
        <f t="shared" si="10"/>
        <v>0.2429957864169858</v>
      </c>
      <c r="AU42" s="530">
        <f t="shared" si="10"/>
        <v>1.0730393172806163</v>
      </c>
      <c r="AV42" s="491"/>
      <c r="AX42" s="531"/>
      <c r="AY42" s="531">
        <v>1</v>
      </c>
      <c r="AZ42" s="532"/>
      <c r="BA42" s="532"/>
      <c r="BC42" s="506"/>
      <c r="BD42" s="506"/>
      <c r="BE42" s="473"/>
      <c r="BF42" s="473"/>
      <c r="BG42" s="473"/>
      <c r="BH42" s="473"/>
      <c r="BI42" s="473"/>
      <c r="BJ42" s="473"/>
      <c r="BK42" s="473"/>
      <c r="BL42" s="473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</row>
    <row r="43" spans="1:256">
      <c r="A43" s="477"/>
      <c r="B43" s="507" t="s">
        <v>34</v>
      </c>
      <c r="C43" s="508">
        <v>49</v>
      </c>
      <c r="D43" s="509">
        <f>E43-C43</f>
        <v>6986</v>
      </c>
      <c r="E43" s="510">
        <v>7035</v>
      </c>
      <c r="F43" s="508">
        <v>90</v>
      </c>
      <c r="G43" s="509">
        <f>H43-F43</f>
        <v>6946</v>
      </c>
      <c r="H43" s="510">
        <v>7036</v>
      </c>
      <c r="I43" s="511"/>
      <c r="K43" s="512">
        <f>(C43/E43)/(F43/H43)</f>
        <v>0.54452183526810394</v>
      </c>
      <c r="L43" s="513">
        <f>(D43/(C43*E43)+(G43/(F43*H43)))</f>
        <v>3.1235001757541337E-2</v>
      </c>
      <c r="M43" s="514">
        <f>1/L43</f>
        <v>32.015365574889437</v>
      </c>
      <c r="N43" s="515">
        <f>LN(K43)</f>
        <v>-0.60784723591067913</v>
      </c>
      <c r="O43" s="515">
        <f>M43*N43</f>
        <v>-19.460451471366454</v>
      </c>
      <c r="P43" s="515">
        <f>LN(K43)</f>
        <v>-0.60784723591067913</v>
      </c>
      <c r="Q43" s="600">
        <f>K43</f>
        <v>0.54452183526810394</v>
      </c>
      <c r="R43" s="517">
        <f>SQRT(1/M43)</f>
        <v>0.17673426876964562</v>
      </c>
      <c r="S43" s="518">
        <f>$H$2</f>
        <v>1.9599639845400536</v>
      </c>
      <c r="T43" s="519">
        <f>P43-(R43*S43)</f>
        <v>-0.95424003753320652</v>
      </c>
      <c r="U43" s="519">
        <f>P43+(R43*S43)</f>
        <v>-0.26145443428815174</v>
      </c>
      <c r="V43" s="520">
        <f t="shared" si="9"/>
        <v>0.38510469849053092</v>
      </c>
      <c r="W43" s="521">
        <f t="shared" si="9"/>
        <v>0.76993095707720793</v>
      </c>
      <c r="X43" s="522"/>
      <c r="Z43" s="523">
        <f>(N43-P44)^2</f>
        <v>7.2275863327965102E-3</v>
      </c>
      <c r="AA43" s="521">
        <f>M43*Z43</f>
        <v>0.23139381866855477</v>
      </c>
      <c r="AB43" s="473">
        <v>1</v>
      </c>
      <c r="AC43" s="506"/>
      <c r="AD43" s="506"/>
      <c r="AE43" s="514">
        <f>M43^2</f>
        <v>1024.9836328938156</v>
      </c>
      <c r="AF43" s="524"/>
      <c r="AG43" s="525">
        <f>AG44</f>
        <v>0.10595130694197587</v>
      </c>
      <c r="AH43" s="525">
        <f>AH44</f>
        <v>0.10595130694197587</v>
      </c>
      <c r="AI43" s="521">
        <f>1/M43</f>
        <v>3.1235001757541337E-2</v>
      </c>
      <c r="AJ43" s="526">
        <f>1/(AH43+AI43)</f>
        <v>7.2893571485353279</v>
      </c>
      <c r="AK43" s="527">
        <f>AJ43/AJ44</f>
        <v>0.28885957340828983</v>
      </c>
      <c r="AL43" s="528">
        <f>AJ43*N43</f>
        <v>-4.430815594302949</v>
      </c>
      <c r="AM43" s="528">
        <f>AL43/AJ43</f>
        <v>-0.60784723591067913</v>
      </c>
      <c r="AN43" s="521">
        <f>EXP(AM43)</f>
        <v>0.54452183526810394</v>
      </c>
      <c r="AO43" s="529">
        <f>1/AJ43</f>
        <v>0.1371863086995172</v>
      </c>
      <c r="AP43" s="521">
        <f>SQRT(AO43)</f>
        <v>0.37038670156947751</v>
      </c>
      <c r="AQ43" s="518">
        <f>$H$2</f>
        <v>1.9599639845400536</v>
      </c>
      <c r="AR43" s="519">
        <f>AM43-(AQ43*AP43)</f>
        <v>-1.3337918313394401</v>
      </c>
      <c r="AS43" s="519">
        <f>AM43+(1.96*AP43)</f>
        <v>0.11811069916549677</v>
      </c>
      <c r="AT43" s="530">
        <f t="shared" si="10"/>
        <v>0.263476307056002</v>
      </c>
      <c r="AU43" s="530">
        <f t="shared" si="10"/>
        <v>1.1253686818462476</v>
      </c>
      <c r="AV43" s="491"/>
      <c r="AX43" s="531"/>
      <c r="AY43" s="531">
        <v>1</v>
      </c>
      <c r="AZ43" s="532"/>
      <c r="BA43" s="532"/>
      <c r="BC43" s="506"/>
      <c r="BD43" s="506"/>
      <c r="BE43" s="473"/>
      <c r="BF43" s="473"/>
      <c r="BG43" s="473"/>
      <c r="BH43" s="473"/>
      <c r="BI43" s="473"/>
      <c r="BJ43" s="473"/>
      <c r="BK43" s="473"/>
      <c r="BL43" s="473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</row>
    <row r="44" spans="1:256">
      <c r="A44" s="477"/>
      <c r="B44" s="533">
        <f>COUNT(D40:D43)</f>
        <v>4</v>
      </c>
      <c r="C44" s="534">
        <f t="shared" ref="C44:H44" si="11">SUM(C40:C43)</f>
        <v>130</v>
      </c>
      <c r="D44" s="534">
        <f t="shared" si="11"/>
        <v>29162</v>
      </c>
      <c r="E44" s="534">
        <f t="shared" si="11"/>
        <v>29292</v>
      </c>
      <c r="F44" s="534">
        <f t="shared" si="11"/>
        <v>263</v>
      </c>
      <c r="G44" s="534">
        <f t="shared" si="11"/>
        <v>28958</v>
      </c>
      <c r="H44" s="534">
        <f t="shared" si="11"/>
        <v>29221</v>
      </c>
      <c r="I44" s="535"/>
      <c r="K44" s="536"/>
      <c r="L44" s="537"/>
      <c r="M44" s="538">
        <f>SUM(M40:M43)</f>
        <v>86.564244303713252</v>
      </c>
      <c r="N44" s="539"/>
      <c r="O44" s="540">
        <f>SUM(O40:O43)</f>
        <v>-59.977114241063902</v>
      </c>
      <c r="P44" s="541">
        <f>O44/M44</f>
        <v>-0.69286244827174137</v>
      </c>
      <c r="Q44" s="542">
        <f>EXP(P44)</f>
        <v>0.50014238641414477</v>
      </c>
      <c r="R44" s="543">
        <f>SQRT(1/M44)</f>
        <v>0.1074807600738423</v>
      </c>
      <c r="S44" s="518">
        <f>$H$2</f>
        <v>1.9599639845400536</v>
      </c>
      <c r="T44" s="544">
        <f>P44-(R44*S44)</f>
        <v>-0.90352086704746282</v>
      </c>
      <c r="U44" s="544">
        <f>P44+(R44*S44)</f>
        <v>-0.48220402949601993</v>
      </c>
      <c r="V44" s="545">
        <f>EXP(T44)</f>
        <v>0.40514069908953065</v>
      </c>
      <c r="W44" s="546">
        <f>EXP(U44)</f>
        <v>0.61742107680166092</v>
      </c>
      <c r="X44" s="547"/>
      <c r="Y44" s="547"/>
      <c r="Z44" s="548"/>
      <c r="AA44" s="549">
        <f>SUM(AA40:AA43)</f>
        <v>9.5241475506239262</v>
      </c>
      <c r="AB44" s="550">
        <f>SUM(AB40:AB43)</f>
        <v>4</v>
      </c>
      <c r="AC44" s="551">
        <f>AA44-(AB44-1)</f>
        <v>6.5241475506239262</v>
      </c>
      <c r="AD44" s="538">
        <f>M44</f>
        <v>86.564244303713252</v>
      </c>
      <c r="AE44" s="538">
        <f>SUM(AE40:AE43)</f>
        <v>2163.0150555524187</v>
      </c>
      <c r="AF44" s="552">
        <f>AE44/AD44</f>
        <v>24.987396042682651</v>
      </c>
      <c r="AG44" s="553">
        <f>AC44/(AD44-AF44)</f>
        <v>0.10595130694197587</v>
      </c>
      <c r="AH44" s="553">
        <f>IF(AA44&lt;AB44-1,"0",AG44)</f>
        <v>0.10595130694197587</v>
      </c>
      <c r="AI44" s="548"/>
      <c r="AJ44" s="538">
        <f>SUM(AJ40:AJ43)</f>
        <v>25.234950888167916</v>
      </c>
      <c r="AK44" s="554">
        <f>SUM(AK40:AK43)</f>
        <v>1</v>
      </c>
      <c r="AL44" s="551">
        <f>SUM(AL40:AL43)</f>
        <v>-18.796923168905344</v>
      </c>
      <c r="AM44" s="551">
        <f>AL44/AJ44</f>
        <v>-0.74487655047186108</v>
      </c>
      <c r="AN44" s="555">
        <f>EXP(AM44)</f>
        <v>0.47479290928280476</v>
      </c>
      <c r="AO44" s="556">
        <f>1/AJ44</f>
        <v>3.9627578608400493E-2</v>
      </c>
      <c r="AP44" s="557">
        <f>SQRT(AO44)</f>
        <v>0.19906676922178773</v>
      </c>
      <c r="AQ44" s="518">
        <f>$H$2</f>
        <v>1.9599639845400536</v>
      </c>
      <c r="AR44" s="544">
        <f>AM44-(AQ44*AP44)</f>
        <v>-1.1350402486653115</v>
      </c>
      <c r="AS44" s="544">
        <f>AM44+(1.96*AP44)</f>
        <v>-0.35470568279715714</v>
      </c>
      <c r="AT44" s="558">
        <f>EXP(AR44)</f>
        <v>0.32140918478334723</v>
      </c>
      <c r="AU44" s="559">
        <f>EXP(AS44)</f>
        <v>0.70137984098680373</v>
      </c>
      <c r="AV44" s="560"/>
      <c r="AW44" s="468"/>
      <c r="AX44" s="561">
        <f>AA44</f>
        <v>9.5241475506239262</v>
      </c>
      <c r="AY44" s="533">
        <f>SUM(AY40:AY43)</f>
        <v>4</v>
      </c>
      <c r="AZ44" s="562">
        <f>(AX44-(AY44-1))/AX44</f>
        <v>0.68501117984008231</v>
      </c>
      <c r="BA44" s="563">
        <f>IF(AA44&lt;AB44-1,"0%",AZ44)</f>
        <v>0.68501117984008231</v>
      </c>
      <c r="BB44" s="468"/>
      <c r="BC44" s="540">
        <f>AX44/(AY44-1)</f>
        <v>3.1747158502079755</v>
      </c>
      <c r="BD44" s="564">
        <f>LN(BC44)</f>
        <v>1.1552181323421613</v>
      </c>
      <c r="BE44" s="540">
        <f>LN(AX44)</f>
        <v>2.2538304210102709</v>
      </c>
      <c r="BF44" s="540">
        <f>LN(AY44-1)</f>
        <v>1.0986122886681098</v>
      </c>
      <c r="BG44" s="540">
        <f>SQRT(2*AX44)</f>
        <v>4.3644352557058115</v>
      </c>
      <c r="BH44" s="540">
        <f>SQRT(2*AY44-3)</f>
        <v>2.2360679774997898</v>
      </c>
      <c r="BI44" s="540">
        <f>2*(AY44-2)</f>
        <v>4</v>
      </c>
      <c r="BJ44" s="540">
        <f>3*(AY44-2)^2</f>
        <v>12</v>
      </c>
      <c r="BK44" s="540">
        <f>1/BI44</f>
        <v>0.25</v>
      </c>
      <c r="BL44" s="540">
        <f>1/BJ44</f>
        <v>8.3333333333333329E-2</v>
      </c>
      <c r="BM44" s="540">
        <f>SQRT(BK44*(1-BL44))</f>
        <v>0.47871355387816905</v>
      </c>
      <c r="BN44" s="564">
        <f>0.5*(BE44-BF44)/(BG44-BH44)</f>
        <v>0.27138599248619399</v>
      </c>
      <c r="BO44" s="564">
        <f>IF(AA44&lt;=AB44,BM44,BN44)</f>
        <v>0.27138599248619399</v>
      </c>
      <c r="BP44" s="551">
        <f>BD44-(1.96*BO44)</f>
        <v>0.62330158706922112</v>
      </c>
      <c r="BQ44" s="551">
        <f>BD44+(1.96*BO44)</f>
        <v>1.6871346776151015</v>
      </c>
      <c r="BR44" s="551"/>
      <c r="BS44" s="564">
        <f>EXP(BP44)</f>
        <v>1.8650755973925908</v>
      </c>
      <c r="BT44" s="564">
        <f>EXP(BQ44)</f>
        <v>5.4039743716834447</v>
      </c>
      <c r="BU44" s="565">
        <f>BA44</f>
        <v>0.68501117984008231</v>
      </c>
      <c r="BV44" s="565">
        <f>(BS44-1)/BS44</f>
        <v>0.46382870410292326</v>
      </c>
      <c r="BW44" s="565">
        <f>(BT44-1)/BT44</f>
        <v>0.81495100990116642</v>
      </c>
    </row>
    <row r="45" spans="1:256" ht="13.5" thickBot="1">
      <c r="C45" s="566"/>
      <c r="D45" s="566"/>
      <c r="E45" s="566"/>
      <c r="F45" s="566"/>
      <c r="G45" s="566"/>
      <c r="H45" s="566"/>
      <c r="I45" s="567"/>
      <c r="R45" s="568"/>
      <c r="S45" s="568"/>
      <c r="T45" s="568"/>
      <c r="U45" s="568"/>
      <c r="V45" s="568"/>
      <c r="W45" s="568"/>
      <c r="X45" s="568"/>
      <c r="AB45" s="569"/>
      <c r="AC45" s="570"/>
      <c r="AD45" s="570"/>
      <c r="AE45" s="570"/>
      <c r="AF45" s="572"/>
      <c r="AG45" s="572"/>
      <c r="AH45" s="572"/>
      <c r="AI45" s="572"/>
      <c r="AT45" s="573"/>
      <c r="AU45" s="573"/>
      <c r="AV45" s="573"/>
      <c r="AX45" s="480" t="s">
        <v>35</v>
      </c>
      <c r="BG45" s="483"/>
      <c r="BN45" s="570" t="s">
        <v>36</v>
      </c>
      <c r="BT45" s="574" t="s">
        <v>37</v>
      </c>
      <c r="BU45" s="575">
        <f>BU44</f>
        <v>0.68501117984008231</v>
      </c>
      <c r="BV45" s="576">
        <f>IF(BV44&lt;0,"0%",BV44)</f>
        <v>0.46382870410292326</v>
      </c>
      <c r="BW45" s="577">
        <f>IF(BW44&lt;0,"0%",BW44)</f>
        <v>0.81495100990116642</v>
      </c>
    </row>
    <row r="46" spans="1:256" ht="26.5" thickBot="1">
      <c r="A46" s="477"/>
      <c r="B46" s="480"/>
      <c r="C46" s="606"/>
      <c r="D46" s="580"/>
      <c r="E46" s="580"/>
      <c r="F46" s="580"/>
      <c r="G46" s="580"/>
      <c r="H46" s="580"/>
      <c r="I46" s="581"/>
      <c r="J46" s="480"/>
      <c r="K46" s="480"/>
      <c r="R46" s="582"/>
      <c r="S46" s="582"/>
      <c r="T46" s="582"/>
      <c r="U46" s="582"/>
      <c r="V46" s="582"/>
      <c r="W46" s="582"/>
      <c r="X46" s="582"/>
      <c r="AF46" s="472"/>
      <c r="AI46" s="483"/>
      <c r="AJ46" s="583"/>
      <c r="AK46" s="583"/>
      <c r="AL46" s="584"/>
      <c r="AM46" s="585"/>
      <c r="AN46" s="586"/>
      <c r="AO46" s="587" t="s">
        <v>453</v>
      </c>
      <c r="AP46" s="588">
        <f>TINV((1-$H$1),(AB44-2))</f>
        <v>4.3026527297494619</v>
      </c>
      <c r="AR46" s="589" t="s">
        <v>38</v>
      </c>
      <c r="AS46" s="590">
        <f>$H$1</f>
        <v>0.95</v>
      </c>
      <c r="AT46" s="591">
        <f>EXP(AM44-AP46*SQRT((1/AD44)+AH44))</f>
        <v>0.10863375849800574</v>
      </c>
      <c r="AU46" s="592">
        <f>EXP(AM44+AP46*SQRT((1/AD44)+AH44))</f>
        <v>2.0751220414542506</v>
      </c>
      <c r="AV46" s="491"/>
      <c r="AX46" s="593">
        <f>_xlfn.CHISQ.DIST.RT(AX44,AY44-1)</f>
        <v>2.3075853765404802E-2</v>
      </c>
      <c r="AY46" s="594" t="str">
        <f>IF(AX46&lt;0.05,"heterogeneidad","homogeneidad")</f>
        <v>heterogeneidad</v>
      </c>
      <c r="BF46" s="595"/>
      <c r="BG46" s="483"/>
      <c r="BH46" s="483"/>
      <c r="BJ46" s="522"/>
      <c r="BL46" s="483"/>
      <c r="BM46" s="596"/>
      <c r="BQ46" s="483"/>
    </row>
    <row r="47" spans="1:256">
      <c r="B47" s="480"/>
      <c r="C47" s="580"/>
      <c r="D47" s="580"/>
      <c r="E47" s="580"/>
      <c r="F47" s="580"/>
      <c r="G47" s="580"/>
      <c r="H47" s="580"/>
      <c r="I47" s="581"/>
      <c r="J47" s="480"/>
      <c r="K47" s="480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82"/>
      <c r="BQ47" s="582"/>
      <c r="BR47" s="582"/>
      <c r="BS47" s="582"/>
      <c r="BT47" s="582"/>
      <c r="BU47" s="582"/>
      <c r="BV47" s="582"/>
      <c r="BW47" s="582"/>
      <c r="BX47" s="582"/>
      <c r="BY47" s="582"/>
      <c r="BZ47" s="582"/>
      <c r="CA47" s="582"/>
      <c r="CB47" s="582"/>
      <c r="CC47" s="582"/>
      <c r="CD47" s="582"/>
      <c r="CE47" s="582"/>
      <c r="CF47" s="582"/>
      <c r="CG47" s="582"/>
      <c r="CH47" s="582"/>
    </row>
    <row r="48" spans="1:256">
      <c r="C48" s="566"/>
      <c r="D48" s="566"/>
      <c r="E48" s="566"/>
      <c r="F48" s="566"/>
      <c r="G48" s="566"/>
      <c r="H48" s="566"/>
      <c r="I48" s="567"/>
      <c r="J48" s="624" t="s">
        <v>4</v>
      </c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6"/>
      <c r="X48" s="484"/>
      <c r="Y48" s="624" t="s">
        <v>5</v>
      </c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6"/>
      <c r="AV48" s="484"/>
      <c r="AW48" s="624" t="s">
        <v>6</v>
      </c>
      <c r="AX48" s="625"/>
      <c r="AY48" s="625"/>
      <c r="AZ48" s="625"/>
      <c r="BA48" s="625"/>
      <c r="BB48" s="625"/>
      <c r="BC48" s="625"/>
      <c r="BD48" s="625"/>
      <c r="BE48" s="625"/>
      <c r="BF48" s="625"/>
      <c r="BG48" s="625"/>
      <c r="BH48" s="625"/>
      <c r="BI48" s="625"/>
      <c r="BJ48" s="625"/>
      <c r="BK48" s="625"/>
      <c r="BL48" s="625"/>
      <c r="BM48" s="625"/>
      <c r="BN48" s="625"/>
      <c r="BO48" s="625"/>
      <c r="BP48" s="625"/>
      <c r="BQ48" s="625"/>
      <c r="BR48" s="625"/>
      <c r="BS48" s="625"/>
      <c r="BT48" s="625"/>
      <c r="BU48" s="625"/>
      <c r="BV48" s="625"/>
      <c r="BW48" s="626"/>
    </row>
    <row r="49" spans="1:75">
      <c r="A49" s="485" t="s">
        <v>47</v>
      </c>
      <c r="B49" s="486" t="s">
        <v>8</v>
      </c>
      <c r="C49" s="623" t="s">
        <v>9</v>
      </c>
      <c r="D49" s="623"/>
      <c r="E49" s="623"/>
      <c r="F49" s="623" t="s">
        <v>10</v>
      </c>
      <c r="G49" s="623"/>
      <c r="H49" s="623"/>
      <c r="I49" s="487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</row>
    <row r="50" spans="1:75" ht="60">
      <c r="B50" s="489" t="s">
        <v>48</v>
      </c>
      <c r="C50" s="490" t="s">
        <v>12</v>
      </c>
      <c r="D50" s="490" t="s">
        <v>13</v>
      </c>
      <c r="E50" s="490" t="s">
        <v>14</v>
      </c>
      <c r="F50" s="490" t="s">
        <v>12</v>
      </c>
      <c r="G50" s="490" t="s">
        <v>13</v>
      </c>
      <c r="H50" s="490" t="s">
        <v>14</v>
      </c>
      <c r="I50" s="491"/>
      <c r="K50" s="492" t="s">
        <v>416</v>
      </c>
      <c r="L50" s="492" t="s">
        <v>417</v>
      </c>
      <c r="M50" s="492" t="s">
        <v>418</v>
      </c>
      <c r="N50" s="493" t="s">
        <v>419</v>
      </c>
      <c r="O50" s="493" t="s">
        <v>15</v>
      </c>
      <c r="P50" s="493" t="s">
        <v>420</v>
      </c>
      <c r="Q50" s="494" t="s">
        <v>421</v>
      </c>
      <c r="R50" s="492" t="s">
        <v>422</v>
      </c>
      <c r="S50" s="475" t="s">
        <v>415</v>
      </c>
      <c r="T50" s="493" t="s">
        <v>423</v>
      </c>
      <c r="U50" s="493" t="s">
        <v>424</v>
      </c>
      <c r="V50" s="495" t="s">
        <v>16</v>
      </c>
      <c r="W50" s="496" t="s">
        <v>16</v>
      </c>
      <c r="X50" s="497"/>
      <c r="Y50" s="498"/>
      <c r="Z50" s="499" t="s">
        <v>425</v>
      </c>
      <c r="AA50" s="493" t="s">
        <v>426</v>
      </c>
      <c r="AB50" s="475" t="s">
        <v>17</v>
      </c>
      <c r="AC50" s="475" t="s">
        <v>18</v>
      </c>
      <c r="AD50" s="475" t="s">
        <v>427</v>
      </c>
      <c r="AE50" s="493" t="s">
        <v>428</v>
      </c>
      <c r="AF50" s="493" t="s">
        <v>429</v>
      </c>
      <c r="AG50" s="500" t="s">
        <v>19</v>
      </c>
      <c r="AH50" s="500" t="s">
        <v>20</v>
      </c>
      <c r="AI50" s="475" t="s">
        <v>430</v>
      </c>
      <c r="AJ50" s="493" t="s">
        <v>431</v>
      </c>
      <c r="AK50" s="493" t="s">
        <v>432</v>
      </c>
      <c r="AL50" s="493" t="s">
        <v>433</v>
      </c>
      <c r="AM50" s="475" t="s">
        <v>434</v>
      </c>
      <c r="AN50" s="501" t="s">
        <v>435</v>
      </c>
      <c r="AO50" s="493" t="s">
        <v>436</v>
      </c>
      <c r="AP50" s="493" t="s">
        <v>437</v>
      </c>
      <c r="AQ50" s="475" t="s">
        <v>415</v>
      </c>
      <c r="AR50" s="493" t="s">
        <v>438</v>
      </c>
      <c r="AS50" s="493" t="s">
        <v>439</v>
      </c>
      <c r="AT50" s="495" t="s">
        <v>16</v>
      </c>
      <c r="AU50" s="496" t="s">
        <v>16</v>
      </c>
      <c r="AV50" s="497"/>
      <c r="AX50" s="502" t="s">
        <v>21</v>
      </c>
      <c r="AY50" s="502" t="s">
        <v>17</v>
      </c>
      <c r="AZ50" s="503" t="s">
        <v>49</v>
      </c>
      <c r="BA50" s="504" t="s">
        <v>50</v>
      </c>
      <c r="BC50" s="475" t="s">
        <v>51</v>
      </c>
      <c r="BD50" s="475" t="s">
        <v>52</v>
      </c>
      <c r="BE50" s="475" t="s">
        <v>24</v>
      </c>
      <c r="BF50" s="475" t="s">
        <v>25</v>
      </c>
      <c r="BG50" s="475" t="s">
        <v>26</v>
      </c>
      <c r="BH50" s="475" t="s">
        <v>27</v>
      </c>
      <c r="BI50" s="475" t="s">
        <v>28</v>
      </c>
      <c r="BJ50" s="475" t="s">
        <v>53</v>
      </c>
      <c r="BK50" s="475" t="s">
        <v>29</v>
      </c>
      <c r="BL50" s="475" t="s">
        <v>30</v>
      </c>
      <c r="BM50" s="505" t="s">
        <v>54</v>
      </c>
      <c r="BN50" s="505" t="s">
        <v>55</v>
      </c>
      <c r="BO50" s="505" t="s">
        <v>56</v>
      </c>
      <c r="BP50" s="505" t="s">
        <v>57</v>
      </c>
      <c r="BQ50" s="505" t="s">
        <v>58</v>
      </c>
      <c r="BR50" s="506"/>
      <c r="BS50" s="493" t="s">
        <v>59</v>
      </c>
      <c r="BT50" s="493" t="s">
        <v>60</v>
      </c>
      <c r="BU50" s="494" t="s">
        <v>61</v>
      </c>
      <c r="BV50" s="495" t="s">
        <v>62</v>
      </c>
      <c r="BW50" s="496" t="s">
        <v>63</v>
      </c>
    </row>
    <row r="51" spans="1:75">
      <c r="B51" s="507" t="s">
        <v>31</v>
      </c>
      <c r="C51" s="508">
        <v>111</v>
      </c>
      <c r="D51" s="509">
        <f>E51-C51</f>
        <v>5965</v>
      </c>
      <c r="E51" s="510">
        <v>6076</v>
      </c>
      <c r="F51" s="508">
        <v>142</v>
      </c>
      <c r="G51" s="509">
        <f>H51-F51</f>
        <v>5880</v>
      </c>
      <c r="H51" s="510">
        <v>6022</v>
      </c>
      <c r="I51" s="511"/>
      <c r="K51" s="512">
        <f>(C51/E51)/(F51/H51)</f>
        <v>0.77474292761175345</v>
      </c>
      <c r="L51" s="513">
        <f>(D51/(C51*E51)+(G51/(F51*H51)))</f>
        <v>1.5720622780208523E-2</v>
      </c>
      <c r="M51" s="514">
        <f>1/L51</f>
        <v>63.610711482686931</v>
      </c>
      <c r="N51" s="515">
        <f>LN(K51)</f>
        <v>-0.25522401096291097</v>
      </c>
      <c r="O51" s="515">
        <f>M51*N51</f>
        <v>-16.234980924815858</v>
      </c>
      <c r="P51" s="515">
        <f>LN(K51)</f>
        <v>-0.25522401096291097</v>
      </c>
      <c r="Q51" s="600">
        <f>K51</f>
        <v>0.77474292761175345</v>
      </c>
      <c r="R51" s="517">
        <f>SQRT(1/M51)</f>
        <v>0.1253819077068479</v>
      </c>
      <c r="S51" s="518">
        <f>$H$2</f>
        <v>1.9599639845400536</v>
      </c>
      <c r="T51" s="519">
        <f>P51-(R51*S51)</f>
        <v>-0.50096803438125781</v>
      </c>
      <c r="U51" s="519">
        <f>P51+(R51*S51)</f>
        <v>-9.4799875445641113E-3</v>
      </c>
      <c r="V51" s="520">
        <f>EXP(T51)</f>
        <v>0.60594380127614467</v>
      </c>
      <c r="W51" s="521">
        <f>EXP(U51)</f>
        <v>0.99056480587857598</v>
      </c>
      <c r="X51" s="522"/>
      <c r="Z51" s="523">
        <f>(N51-P312)^2</f>
        <v>6.5139295771996106E-2</v>
      </c>
      <c r="AA51" s="521">
        <f>M51*Z51</f>
        <v>4.143556949537853</v>
      </c>
      <c r="AB51" s="473">
        <v>1</v>
      </c>
      <c r="AC51" s="506"/>
      <c r="AD51" s="506"/>
      <c r="AE51" s="514">
        <f>M51^2</f>
        <v>4046.3226153336391</v>
      </c>
      <c r="AF51" s="524"/>
      <c r="AG51" s="525">
        <f>AG55</f>
        <v>7.9538021136045783E-3</v>
      </c>
      <c r="AH51" s="525">
        <f>AH55</f>
        <v>7.9538021136045783E-3</v>
      </c>
      <c r="AI51" s="521">
        <f>1/M51</f>
        <v>1.5720622780208523E-2</v>
      </c>
      <c r="AJ51" s="526">
        <f>1/(AH51+AI51)</f>
        <v>42.239674437089818</v>
      </c>
      <c r="AK51" s="527">
        <f>AJ51/AJ55</f>
        <v>0.20742639671879251</v>
      </c>
      <c r="AL51" s="528">
        <f>AJ51*N51</f>
        <v>-10.780579131601602</v>
      </c>
      <c r="AM51" s="528">
        <f>AL51/AJ51</f>
        <v>-0.25522401096291097</v>
      </c>
      <c r="AN51" s="521">
        <f>EXP(AM51)</f>
        <v>0.77474292761175345</v>
      </c>
      <c r="AO51" s="529">
        <f>1/AJ51</f>
        <v>2.3674424893813099E-2</v>
      </c>
      <c r="AP51" s="521">
        <f>SQRT(AO51)</f>
        <v>0.15386495667894332</v>
      </c>
      <c r="AQ51" s="518">
        <f>$H$2</f>
        <v>1.9599639845400536</v>
      </c>
      <c r="AR51" s="519">
        <f>AM51-(AQ51*AP51)</f>
        <v>-0.55679378453645545</v>
      </c>
      <c r="AS51" s="519">
        <f>AM51+(1.96*AP51)</f>
        <v>4.6351304127817905E-2</v>
      </c>
      <c r="AT51" s="530">
        <f>EXP(AR51)</f>
        <v>0.57304342228503014</v>
      </c>
      <c r="AU51" s="530">
        <f>EXP(AS51)</f>
        <v>1.0474423171393354</v>
      </c>
      <c r="AV51" s="491"/>
      <c r="AX51" s="531"/>
      <c r="AY51" s="531">
        <v>1</v>
      </c>
      <c r="AZ51" s="532"/>
      <c r="BA51" s="532"/>
      <c r="BC51" s="506"/>
      <c r="BD51" s="506"/>
      <c r="BE51" s="473"/>
      <c r="BF51" s="473"/>
      <c r="BG51" s="473"/>
      <c r="BH51" s="473"/>
      <c r="BI51" s="473"/>
      <c r="BJ51" s="473"/>
      <c r="BK51" s="473"/>
      <c r="BL51" s="473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</row>
    <row r="52" spans="1:75">
      <c r="B52" s="507" t="s">
        <v>32</v>
      </c>
      <c r="C52" s="508">
        <v>149</v>
      </c>
      <c r="D52" s="509">
        <f>E52-C52</f>
        <v>6912</v>
      </c>
      <c r="E52" s="510">
        <v>7061</v>
      </c>
      <c r="F52" s="508">
        <v>161</v>
      </c>
      <c r="G52" s="509">
        <f>H52-F52</f>
        <v>6921</v>
      </c>
      <c r="H52" s="510">
        <v>7082</v>
      </c>
      <c r="I52" s="511"/>
      <c r="K52" s="512">
        <f>(C52/E52)/(F52/H52)</f>
        <v>0.92821825071845077</v>
      </c>
      <c r="L52" s="513">
        <f>(D52/(C52*E52)+(G52/(F52*H52)))</f>
        <v>1.2639763470635746E-2</v>
      </c>
      <c r="M52" s="514">
        <f>1/L52</f>
        <v>79.115404518697275</v>
      </c>
      <c r="N52" s="515">
        <f>LN(K52)</f>
        <v>-7.4488389883501732E-2</v>
      </c>
      <c r="O52" s="515">
        <f>M52*N52</f>
        <v>-5.8931790975796776</v>
      </c>
      <c r="P52" s="515">
        <f>LN(K52)</f>
        <v>-7.4488389883501732E-2</v>
      </c>
      <c r="Q52" s="600">
        <f>K52</f>
        <v>0.92821825071845077</v>
      </c>
      <c r="R52" s="517">
        <f>SQRT(1/M52)</f>
        <v>0.11242670265837981</v>
      </c>
      <c r="S52" s="518">
        <f>$H$2</f>
        <v>1.9599639845400536</v>
      </c>
      <c r="T52" s="519">
        <f>P52-(R52*S52)</f>
        <v>-0.29484067799451963</v>
      </c>
      <c r="U52" s="519">
        <f>P52+(R52*S52)</f>
        <v>0.14586389822751619</v>
      </c>
      <c r="V52" s="520">
        <f t="shared" ref="V52:W54" si="12">EXP(T52)</f>
        <v>0.74465021718147906</v>
      </c>
      <c r="W52" s="521">
        <f t="shared" si="12"/>
        <v>1.157038702315778</v>
      </c>
      <c r="X52" s="522"/>
      <c r="Z52" s="523">
        <f>(N52-P55)^2</f>
        <v>5.0382709648247887E-5</v>
      </c>
      <c r="AA52" s="521">
        <f>M52*Z52</f>
        <v>3.9860484545692033E-3</v>
      </c>
      <c r="AB52" s="473">
        <v>1</v>
      </c>
      <c r="AC52" s="506"/>
      <c r="AD52" s="506"/>
      <c r="AE52" s="514">
        <f>M52^2</f>
        <v>6259.2472321571049</v>
      </c>
      <c r="AF52" s="524"/>
      <c r="AG52" s="525">
        <f>AG55</f>
        <v>7.9538021136045783E-3</v>
      </c>
      <c r="AH52" s="525">
        <f>AH55</f>
        <v>7.9538021136045783E-3</v>
      </c>
      <c r="AI52" s="521">
        <f>1/M52</f>
        <v>1.2639763470635746E-2</v>
      </c>
      <c r="AJ52" s="526">
        <f>1/(AH52+AI52)</f>
        <v>48.558856692853219</v>
      </c>
      <c r="AK52" s="527">
        <f>AJ52/AJ55</f>
        <v>0.2384580091303545</v>
      </c>
      <c r="AL52" s="528">
        <f>AJ52*N52</f>
        <v>-3.6170710496343381</v>
      </c>
      <c r="AM52" s="528">
        <f>AL52/AJ52</f>
        <v>-7.4488389883501732E-2</v>
      </c>
      <c r="AN52" s="521">
        <f>EXP(AM52)</f>
        <v>0.92821825071845077</v>
      </c>
      <c r="AO52" s="529">
        <f>1/AJ52</f>
        <v>2.0593565584240324E-2</v>
      </c>
      <c r="AP52" s="521">
        <f>SQRT(AO52)</f>
        <v>0.14350458384400244</v>
      </c>
      <c r="AQ52" s="518">
        <f>$H$2</f>
        <v>1.9599639845400536</v>
      </c>
      <c r="AR52" s="519">
        <f>AM52-(AQ52*AP52)</f>
        <v>-0.35575220583415501</v>
      </c>
      <c r="AS52" s="519">
        <f>AM52+(1.96*AP52)</f>
        <v>0.20678059445074307</v>
      </c>
      <c r="AT52" s="530">
        <f t="shared" ref="AT52:AU54" si="13">EXP(AR52)</f>
        <v>0.70064621477084921</v>
      </c>
      <c r="AU52" s="530">
        <f t="shared" si="13"/>
        <v>1.2297127363817892</v>
      </c>
      <c r="AV52" s="491"/>
      <c r="AX52" s="531"/>
      <c r="AY52" s="531">
        <v>1</v>
      </c>
      <c r="AZ52" s="532"/>
      <c r="BA52" s="532"/>
      <c r="BC52" s="506"/>
      <c r="BD52" s="506"/>
      <c r="BE52" s="473"/>
      <c r="BF52" s="473"/>
      <c r="BG52" s="473"/>
      <c r="BH52" s="473"/>
      <c r="BI52" s="473"/>
      <c r="BJ52" s="473"/>
      <c r="BK52" s="473"/>
      <c r="BL52" s="473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</row>
    <row r="53" spans="1:75">
      <c r="B53" s="507" t="s">
        <v>33</v>
      </c>
      <c r="C53" s="508">
        <v>162</v>
      </c>
      <c r="D53" s="509">
        <f>E53-C53</f>
        <v>8958</v>
      </c>
      <c r="E53" s="510">
        <v>9120</v>
      </c>
      <c r="F53" s="508">
        <v>175</v>
      </c>
      <c r="G53" s="509">
        <f>H53-F53</f>
        <v>8906</v>
      </c>
      <c r="H53" s="510">
        <v>9081</v>
      </c>
      <c r="I53" s="511"/>
      <c r="K53" s="512">
        <f>(C53/E53)/(F53/H53)</f>
        <v>0.92175563909774427</v>
      </c>
      <c r="L53" s="513">
        <f>(D53/(C53*E53)+(G53/(F53*H53)))</f>
        <v>1.1667356066817928E-2</v>
      </c>
      <c r="M53" s="514">
        <f>1/L53</f>
        <v>85.70922103286189</v>
      </c>
      <c r="N53" s="515">
        <f>LN(K53)</f>
        <v>-8.1475124069678814E-2</v>
      </c>
      <c r="O53" s="515">
        <f>M53*N53</f>
        <v>-6.9831694175679475</v>
      </c>
      <c r="P53" s="515">
        <f>LN(K53)</f>
        <v>-8.1475124069678814E-2</v>
      </c>
      <c r="Q53" s="600">
        <f>K53</f>
        <v>0.92175563909774427</v>
      </c>
      <c r="R53" s="517">
        <f>SQRT(1/M53)</f>
        <v>0.10801553622890518</v>
      </c>
      <c r="S53" s="518">
        <f>$H$2</f>
        <v>1.9599639845400536</v>
      </c>
      <c r="T53" s="519">
        <f>P53-(R53*S53)</f>
        <v>-0.29318168484911433</v>
      </c>
      <c r="U53" s="519">
        <f>P53+(R53*S53)</f>
        <v>0.13023143670975668</v>
      </c>
      <c r="V53" s="520">
        <f t="shared" si="12"/>
        <v>0.74588661208927309</v>
      </c>
      <c r="W53" s="521">
        <f t="shared" si="12"/>
        <v>1.1390919805204933</v>
      </c>
      <c r="X53" s="522"/>
      <c r="Z53" s="523">
        <f>(N53-P55)^2</f>
        <v>1.2397419059280891E-8</v>
      </c>
      <c r="AA53" s="521">
        <f>M53*Z53</f>
        <v>1.0625731303889206E-6</v>
      </c>
      <c r="AB53" s="473">
        <v>1</v>
      </c>
      <c r="AC53" s="506"/>
      <c r="AD53" s="506"/>
      <c r="AE53" s="514">
        <f>M53^2</f>
        <v>7346.0705700599747</v>
      </c>
      <c r="AF53" s="524"/>
      <c r="AG53" s="525">
        <f>AG55</f>
        <v>7.9538021136045783E-3</v>
      </c>
      <c r="AH53" s="525">
        <f>AH55</f>
        <v>7.9538021136045783E-3</v>
      </c>
      <c r="AI53" s="521">
        <f>1/M53</f>
        <v>1.1667356066817928E-2</v>
      </c>
      <c r="AJ53" s="526">
        <f>1/(AH53+AI53)</f>
        <v>50.965391074507245</v>
      </c>
      <c r="AK53" s="527">
        <f>AJ53/AJ55</f>
        <v>0.25027577908286303</v>
      </c>
      <c r="AL53" s="528">
        <f>AJ53*N53</f>
        <v>-4.1524115610551791</v>
      </c>
      <c r="AM53" s="528">
        <f>AL53/AJ53</f>
        <v>-8.1475124069678814E-2</v>
      </c>
      <c r="AN53" s="521">
        <f>EXP(AM53)</f>
        <v>0.92175563909774427</v>
      </c>
      <c r="AO53" s="529">
        <f>1/AJ53</f>
        <v>1.9621158180422506E-2</v>
      </c>
      <c r="AP53" s="521">
        <f>SQRT(AO53)</f>
        <v>0.14007554454801346</v>
      </c>
      <c r="AQ53" s="518">
        <f>$H$2</f>
        <v>1.9599639845400536</v>
      </c>
      <c r="AR53" s="519">
        <f>AM53-(AQ53*AP53)</f>
        <v>-0.35601814649862107</v>
      </c>
      <c r="AS53" s="519">
        <f>AM53+(1.96*AP53)</f>
        <v>0.19307294324442753</v>
      </c>
      <c r="AT53" s="530">
        <f t="shared" si="13"/>
        <v>0.70045990922514567</v>
      </c>
      <c r="AU53" s="530">
        <f t="shared" si="13"/>
        <v>1.2129712683519707</v>
      </c>
      <c r="AV53" s="491"/>
      <c r="AX53" s="531"/>
      <c r="AY53" s="531">
        <v>1</v>
      </c>
      <c r="AZ53" s="532"/>
      <c r="BA53" s="532"/>
      <c r="BC53" s="506"/>
      <c r="BD53" s="506"/>
      <c r="BE53" s="473"/>
      <c r="BF53" s="473"/>
      <c r="BG53" s="473"/>
      <c r="BH53" s="473"/>
      <c r="BI53" s="473"/>
      <c r="BJ53" s="473"/>
      <c r="BK53" s="473"/>
      <c r="BL53" s="473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</row>
    <row r="54" spans="1:75">
      <c r="B54" s="507" t="s">
        <v>34</v>
      </c>
      <c r="C54" s="508">
        <v>236</v>
      </c>
      <c r="D54" s="509">
        <f>E54-C54</f>
        <v>6799</v>
      </c>
      <c r="E54" s="510">
        <v>7035</v>
      </c>
      <c r="F54" s="508">
        <v>235</v>
      </c>
      <c r="G54" s="509">
        <f>H54-F54</f>
        <v>6801</v>
      </c>
      <c r="H54" s="510">
        <v>7036</v>
      </c>
      <c r="I54" s="511"/>
      <c r="K54" s="512">
        <f>(C54/E54)/(F54/H54)</f>
        <v>1.004398070438083</v>
      </c>
      <c r="L54" s="513">
        <f>(D54/(C54*E54)+(G54/(F54*H54)))</f>
        <v>8.2083346656534953E-3</v>
      </c>
      <c r="M54" s="514">
        <f>1/L54</f>
        <v>121.82739139332915</v>
      </c>
      <c r="N54" s="515">
        <f>LN(K54)</f>
        <v>4.3884271904103718E-3</v>
      </c>
      <c r="O54" s="515">
        <f>M54*N54</f>
        <v>0.53463063692725221</v>
      </c>
      <c r="P54" s="515">
        <f>LN(K54)</f>
        <v>4.3884271904103718E-3</v>
      </c>
      <c r="Q54" s="600">
        <f>K54</f>
        <v>1.004398070438083</v>
      </c>
      <c r="R54" s="517">
        <f>SQRT(1/M54)</f>
        <v>9.0599860185617817E-2</v>
      </c>
      <c r="S54" s="518">
        <f>$H$2</f>
        <v>1.9599639845400536</v>
      </c>
      <c r="T54" s="519">
        <f>P54-(R54*S54)</f>
        <v>-0.17318403577776487</v>
      </c>
      <c r="U54" s="519">
        <f>P54+(R54*S54)</f>
        <v>0.18196089015858563</v>
      </c>
      <c r="V54" s="520">
        <f t="shared" si="12"/>
        <v>0.8409828296729096</v>
      </c>
      <c r="W54" s="521">
        <f t="shared" si="12"/>
        <v>1.1995672780764279</v>
      </c>
      <c r="X54" s="522"/>
      <c r="Z54" s="523">
        <f>(N54-P55)^2</f>
        <v>7.3916825630351386E-3</v>
      </c>
      <c r="AA54" s="521">
        <f>M54*Z54</f>
        <v>0.90050940466212825</v>
      </c>
      <c r="AB54" s="473">
        <v>1</v>
      </c>
      <c r="AC54" s="506"/>
      <c r="AD54" s="506"/>
      <c r="AE54" s="514">
        <f>M54^2</f>
        <v>14841.91329370341</v>
      </c>
      <c r="AF54" s="524"/>
      <c r="AG54" s="525">
        <f>AG55</f>
        <v>7.9538021136045783E-3</v>
      </c>
      <c r="AH54" s="525">
        <f>AH55</f>
        <v>7.9538021136045783E-3</v>
      </c>
      <c r="AI54" s="521">
        <f>1/M54</f>
        <v>8.2083346656534953E-3</v>
      </c>
      <c r="AJ54" s="526">
        <f>1/(AH54+AI54)</f>
        <v>61.873006871428366</v>
      </c>
      <c r="AK54" s="527">
        <f>AJ54/AJ55</f>
        <v>0.30383981506799002</v>
      </c>
      <c r="AL54" s="528">
        <f>AJ54*N54</f>
        <v>0.271525185707024</v>
      </c>
      <c r="AM54" s="528">
        <f>AL54/AJ54</f>
        <v>4.3884271904103718E-3</v>
      </c>
      <c r="AN54" s="521">
        <f>EXP(AM54)</f>
        <v>1.004398070438083</v>
      </c>
      <c r="AO54" s="529">
        <f>1/AJ54</f>
        <v>1.6162136779258075E-2</v>
      </c>
      <c r="AP54" s="521">
        <f>SQRT(AO54)</f>
        <v>0.12713039282271599</v>
      </c>
      <c r="AQ54" s="518">
        <f>$H$2</f>
        <v>1.9599639845400536</v>
      </c>
      <c r="AR54" s="519">
        <f>AM54-(AQ54*AP54)</f>
        <v>-0.24478256408254229</v>
      </c>
      <c r="AS54" s="519">
        <f>AM54+(1.96*AP54)</f>
        <v>0.2535639971229337</v>
      </c>
      <c r="AT54" s="530">
        <f t="shared" si="13"/>
        <v>0.78287474482508079</v>
      </c>
      <c r="AU54" s="530">
        <f t="shared" si="13"/>
        <v>1.2886098441691229</v>
      </c>
      <c r="AV54" s="491"/>
      <c r="AX54" s="531"/>
      <c r="AY54" s="531">
        <v>1</v>
      </c>
      <c r="AZ54" s="532"/>
      <c r="BA54" s="532"/>
      <c r="BC54" s="506"/>
      <c r="BD54" s="506"/>
      <c r="BE54" s="473"/>
      <c r="BF54" s="473"/>
      <c r="BG54" s="473"/>
      <c r="BH54" s="473"/>
      <c r="BI54" s="473"/>
      <c r="BJ54" s="473"/>
      <c r="BK54" s="473"/>
      <c r="BL54" s="473"/>
      <c r="BM54" s="506"/>
      <c r="BN54" s="506"/>
      <c r="BO54" s="506"/>
      <c r="BP54" s="506"/>
      <c r="BQ54" s="506"/>
      <c r="BR54" s="506"/>
      <c r="BS54" s="506"/>
      <c r="BT54" s="506"/>
      <c r="BU54" s="506"/>
      <c r="BV54" s="506"/>
      <c r="BW54" s="506"/>
    </row>
    <row r="55" spans="1:75">
      <c r="B55" s="533">
        <f>COUNT(D51:D54)</f>
        <v>4</v>
      </c>
      <c r="C55" s="534">
        <f t="shared" ref="C55:H55" si="14">SUM(C51:C54)</f>
        <v>658</v>
      </c>
      <c r="D55" s="534">
        <f t="shared" si="14"/>
        <v>28634</v>
      </c>
      <c r="E55" s="534">
        <f t="shared" si="14"/>
        <v>29292</v>
      </c>
      <c r="F55" s="534">
        <f t="shared" si="14"/>
        <v>713</v>
      </c>
      <c r="G55" s="534">
        <f t="shared" si="14"/>
        <v>28508</v>
      </c>
      <c r="H55" s="534">
        <f t="shared" si="14"/>
        <v>29221</v>
      </c>
      <c r="I55" s="535"/>
      <c r="K55" s="536"/>
      <c r="L55" s="607"/>
      <c r="M55" s="538">
        <f>SUM(M51:M54)</f>
        <v>350.26272842757527</v>
      </c>
      <c r="N55" s="539"/>
      <c r="O55" s="540">
        <f>SUM(O51:O54)</f>
        <v>-28.57669880303623</v>
      </c>
      <c r="P55" s="541">
        <f>O55/M55</f>
        <v>-8.1586467767566395E-2</v>
      </c>
      <c r="Q55" s="542">
        <f>EXP(P55)</f>
        <v>0.92165301312982184</v>
      </c>
      <c r="R55" s="543">
        <f>SQRT(1/M55)</f>
        <v>5.3432197634185385E-2</v>
      </c>
      <c r="S55" s="518">
        <f>$H$2</f>
        <v>1.9599639845400536</v>
      </c>
      <c r="T55" s="544">
        <f>P55-(R55*S55)</f>
        <v>-0.18631165074539602</v>
      </c>
      <c r="U55" s="544">
        <f>P55+(R55*S55)</f>
        <v>2.3138715210263214E-2</v>
      </c>
      <c r="V55" s="545">
        <f>EXP(T55)</f>
        <v>0.83001487991363987</v>
      </c>
      <c r="W55" s="546">
        <f>EXP(U55)</f>
        <v>1.0234084920256623</v>
      </c>
      <c r="X55" s="547"/>
      <c r="Y55" s="547"/>
      <c r="Z55" s="548"/>
      <c r="AA55" s="549">
        <f>SUM(AA51:AA54)</f>
        <v>5.0480534652276816</v>
      </c>
      <c r="AB55" s="550">
        <f>SUM(AB51:AB54)</f>
        <v>4</v>
      </c>
      <c r="AC55" s="551">
        <f>AA55-(AB55-1)</f>
        <v>2.0480534652276816</v>
      </c>
      <c r="AD55" s="538">
        <f>M55</f>
        <v>350.26272842757527</v>
      </c>
      <c r="AE55" s="538">
        <f>SUM(AE51:AE54)</f>
        <v>32493.553711254128</v>
      </c>
      <c r="AF55" s="552">
        <f>AE55/AD55</f>
        <v>92.769087527886668</v>
      </c>
      <c r="AG55" s="553">
        <f>AC55/(AD55-AF55)</f>
        <v>7.9538021136045783E-3</v>
      </c>
      <c r="AH55" s="553">
        <f>IF(AA55&lt;AB55-1,"0",AG55)</f>
        <v>7.9538021136045783E-3</v>
      </c>
      <c r="AI55" s="548"/>
      <c r="AJ55" s="538">
        <f>SUM(AJ51:AJ54)</f>
        <v>203.63692907587864</v>
      </c>
      <c r="AK55" s="554">
        <f>SUM(AK51:AK54)</f>
        <v>1</v>
      </c>
      <c r="AL55" s="551">
        <f>SUM(AL51:AL54)</f>
        <v>-18.278536556584097</v>
      </c>
      <c r="AM55" s="551">
        <f>AL55/AJ55</f>
        <v>-8.9760421351537861E-2</v>
      </c>
      <c r="AN55" s="608">
        <f>EXP(AM55)</f>
        <v>0.91415016990035614</v>
      </c>
      <c r="AO55" s="556">
        <f>1/AJ55</f>
        <v>4.9107006501133334E-3</v>
      </c>
      <c r="AP55" s="557">
        <f>SQRT(AO55)</f>
        <v>7.0076391531765772E-2</v>
      </c>
      <c r="AQ55" s="518">
        <f>$H$2</f>
        <v>1.9599639845400536</v>
      </c>
      <c r="AR55" s="544">
        <f>AM55-(AQ55*AP55)</f>
        <v>-0.22710762492032638</v>
      </c>
      <c r="AS55" s="544">
        <f>AM55+(1.96*AP55)</f>
        <v>4.7589306050723063E-2</v>
      </c>
      <c r="AT55" s="558">
        <f>EXP(AR55)</f>
        <v>0.79683501836968962</v>
      </c>
      <c r="AU55" s="559">
        <f>EXP(AS55)</f>
        <v>1.0487398557540135</v>
      </c>
      <c r="AV55" s="609"/>
      <c r="AW55" s="468"/>
      <c r="AX55" s="561">
        <f>AA55</f>
        <v>5.0480534652276816</v>
      </c>
      <c r="AY55" s="533">
        <f>SUM(AY51:AY54)</f>
        <v>4</v>
      </c>
      <c r="AZ55" s="562">
        <f>(AX55-(AY55-1))/AX55</f>
        <v>0.40571152412216155</v>
      </c>
      <c r="BA55" s="563">
        <f>IF(AA55&lt;AB55-1,"0%",AZ55)</f>
        <v>0.40571152412216155</v>
      </c>
      <c r="BB55" s="468"/>
      <c r="BC55" s="540">
        <f>AX55/(AY55-1)</f>
        <v>1.6826844884092271</v>
      </c>
      <c r="BD55" s="564">
        <f>LN(BC55)</f>
        <v>0.52039042788311385</v>
      </c>
      <c r="BE55" s="540">
        <f>LN(AX55)</f>
        <v>1.6190027165512235</v>
      </c>
      <c r="BF55" s="540">
        <f>LN(AY55-1)</f>
        <v>1.0986122886681098</v>
      </c>
      <c r="BG55" s="540">
        <f>SQRT(2*AX55)</f>
        <v>3.1774371638878027</v>
      </c>
      <c r="BH55" s="540">
        <f>SQRT(2*AY55-3)</f>
        <v>2.2360679774997898</v>
      </c>
      <c r="BI55" s="540">
        <f>2*(AY55-2)</f>
        <v>4</v>
      </c>
      <c r="BJ55" s="540">
        <f>3*(AY55-2)^2</f>
        <v>12</v>
      </c>
      <c r="BK55" s="540">
        <f>1/BI55</f>
        <v>0.25</v>
      </c>
      <c r="BL55" s="540">
        <f>1/BJ55</f>
        <v>8.3333333333333329E-2</v>
      </c>
      <c r="BM55" s="540">
        <f>SQRT(BK55*(1-BL55))</f>
        <v>0.47871355387816905</v>
      </c>
      <c r="BN55" s="564">
        <f>0.5*(BE55-BF55)/(BG55-BH55)</f>
        <v>0.27640081883273987</v>
      </c>
      <c r="BO55" s="564">
        <f>IF(AA55&lt;=AB55,BM55,BN55)</f>
        <v>0.27640081883273987</v>
      </c>
      <c r="BP55" s="551">
        <f>BD55-(1.96*BO55)</f>
        <v>-2.1355177029056316E-2</v>
      </c>
      <c r="BQ55" s="551">
        <f>BD55+(1.96*BO55)</f>
        <v>1.062136032795284</v>
      </c>
      <c r="BR55" s="551"/>
      <c r="BS55" s="564">
        <f>EXP(BP55)</f>
        <v>0.97887123024410605</v>
      </c>
      <c r="BT55" s="564">
        <f>EXP(BQ55)</f>
        <v>2.8925429617815359</v>
      </c>
      <c r="BU55" s="565">
        <f>BA55</f>
        <v>0.40571152412216155</v>
      </c>
      <c r="BV55" s="565">
        <f>(BS55-1)/BS55</f>
        <v>-2.158483067341244E-2</v>
      </c>
      <c r="BW55" s="565">
        <f>(BT55-1)/BT55</f>
        <v>0.65428344082948608</v>
      </c>
    </row>
    <row r="56" spans="1:75" ht="13.5" thickBot="1">
      <c r="C56" s="566"/>
      <c r="D56" s="566"/>
      <c r="E56" s="566"/>
      <c r="F56" s="566"/>
      <c r="G56" s="566"/>
      <c r="H56" s="566"/>
      <c r="I56" s="567"/>
      <c r="R56" s="568"/>
      <c r="S56" s="568"/>
      <c r="T56" s="568"/>
      <c r="U56" s="568"/>
      <c r="V56" s="568"/>
      <c r="W56" s="568"/>
      <c r="X56" s="568"/>
      <c r="AB56" s="569"/>
      <c r="AC56" s="570"/>
      <c r="AD56" s="570"/>
      <c r="AE56" s="570"/>
      <c r="AF56" s="572"/>
      <c r="AG56" s="572"/>
      <c r="AH56" s="572"/>
      <c r="AI56" s="572"/>
      <c r="AT56" s="573"/>
      <c r="AU56" s="573"/>
      <c r="AV56" s="573"/>
      <c r="AX56" s="480" t="s">
        <v>35</v>
      </c>
      <c r="BG56" s="483"/>
      <c r="BN56" s="570" t="s">
        <v>36</v>
      </c>
      <c r="BT56" s="574" t="s">
        <v>37</v>
      </c>
      <c r="BU56" s="575">
        <f>BU55</f>
        <v>0.40571152412216155</v>
      </c>
      <c r="BV56" s="576" t="str">
        <f>IF(BV55&lt;0,"0%",BV55)</f>
        <v>0%</v>
      </c>
      <c r="BW56" s="577">
        <f>IF(BW55&lt;0,"0%",BW55)</f>
        <v>0.65428344082948608</v>
      </c>
    </row>
    <row r="57" spans="1:75" ht="26.5" thickBot="1">
      <c r="A57" s="477"/>
      <c r="B57" s="480"/>
      <c r="C57" s="606"/>
      <c r="D57" s="580"/>
      <c r="E57" s="580"/>
      <c r="F57" s="580"/>
      <c r="G57" s="580"/>
      <c r="H57" s="580"/>
      <c r="I57" s="581"/>
      <c r="J57" s="480"/>
      <c r="K57" s="480"/>
      <c r="R57" s="582"/>
      <c r="S57" s="582"/>
      <c r="T57" s="582"/>
      <c r="U57" s="582"/>
      <c r="V57" s="582"/>
      <c r="W57" s="582"/>
      <c r="X57" s="582"/>
      <c r="AF57" s="472"/>
      <c r="AI57" s="483"/>
      <c r="AJ57" s="583"/>
      <c r="AK57" s="583"/>
      <c r="AL57" s="584"/>
      <c r="AM57" s="585"/>
      <c r="AN57" s="586"/>
      <c r="AO57" s="587" t="s">
        <v>453</v>
      </c>
      <c r="AP57" s="588">
        <f>TINV((1-$H$1),(AB55-2))</f>
        <v>4.3026527297494619</v>
      </c>
      <c r="AR57" s="589" t="s">
        <v>38</v>
      </c>
      <c r="AS57" s="590">
        <f>$H$1</f>
        <v>0.95</v>
      </c>
      <c r="AT57" s="591">
        <f>EXP(AM55-AP57*SQRT((1/AD55)+AH55))</f>
        <v>0.58444805028812707</v>
      </c>
      <c r="AU57" s="592">
        <f>EXP(AM55+AP57*SQRT((1/AD55)+AH55))</f>
        <v>1.429845702653765</v>
      </c>
      <c r="AV57" s="491"/>
      <c r="AX57" s="593">
        <f>_xlfn.CHISQ.DIST.RT(AX55,AY55-1)</f>
        <v>0.1683120616792525</v>
      </c>
      <c r="AY57" s="594" t="str">
        <f>IF(AX57&lt;0.05,"heterogeneidad","homogeneidad")</f>
        <v>homogeneidad</v>
      </c>
      <c r="BF57" s="595"/>
      <c r="BG57" s="483"/>
      <c r="BH57" s="483"/>
      <c r="BJ57" s="522"/>
      <c r="BL57" s="483"/>
      <c r="BM57" s="596"/>
      <c r="BQ57" s="483"/>
    </row>
    <row r="58" spans="1:75" ht="14.5">
      <c r="B58" s="480"/>
      <c r="C58" s="580"/>
      <c r="D58" s="580"/>
      <c r="E58" s="580"/>
      <c r="F58" s="580"/>
      <c r="G58" s="580"/>
      <c r="H58" s="580"/>
      <c r="I58" s="581"/>
      <c r="J58" s="480"/>
      <c r="K58" s="480"/>
      <c r="R58" s="582"/>
      <c r="S58" s="582"/>
      <c r="T58" s="582"/>
      <c r="U58" s="582"/>
      <c r="V58" s="582"/>
      <c r="W58" s="582"/>
      <c r="X58" s="582"/>
      <c r="AF58" s="472"/>
      <c r="AI58" s="483"/>
      <c r="AJ58" s="583"/>
      <c r="AK58" s="583"/>
      <c r="AL58" s="584"/>
      <c r="AM58" s="585"/>
      <c r="AN58" s="597"/>
      <c r="AO58" s="598"/>
      <c r="AP58" s="487"/>
      <c r="AS58" s="599"/>
      <c r="AT58" s="491"/>
      <c r="AU58" s="491"/>
      <c r="AV58" s="491"/>
      <c r="BF58" s="595"/>
      <c r="BG58" s="483"/>
      <c r="BH58" s="483"/>
      <c r="BJ58" s="522"/>
      <c r="BL58" s="483"/>
      <c r="BM58" s="596"/>
      <c r="BQ58" s="483"/>
    </row>
    <row r="59" spans="1:75">
      <c r="C59" s="566"/>
      <c r="D59" s="566"/>
      <c r="E59" s="566"/>
      <c r="F59" s="566"/>
      <c r="G59" s="566"/>
      <c r="H59" s="566"/>
      <c r="I59" s="567"/>
      <c r="J59" s="624" t="s">
        <v>4</v>
      </c>
      <c r="K59" s="625"/>
      <c r="L59" s="625"/>
      <c r="M59" s="625"/>
      <c r="N59" s="625"/>
      <c r="O59" s="625"/>
      <c r="P59" s="625"/>
      <c r="Q59" s="625"/>
      <c r="R59" s="625"/>
      <c r="S59" s="625"/>
      <c r="T59" s="625"/>
      <c r="U59" s="625"/>
      <c r="V59" s="625"/>
      <c r="W59" s="626"/>
      <c r="X59" s="484"/>
      <c r="Y59" s="624" t="s">
        <v>5</v>
      </c>
      <c r="Z59" s="625"/>
      <c r="AA59" s="625"/>
      <c r="AB59" s="625"/>
      <c r="AC59" s="625"/>
      <c r="AD59" s="625"/>
      <c r="AE59" s="625"/>
      <c r="AF59" s="625"/>
      <c r="AG59" s="625"/>
      <c r="AH59" s="625"/>
      <c r="AI59" s="625"/>
      <c r="AJ59" s="625"/>
      <c r="AK59" s="625"/>
      <c r="AL59" s="625"/>
      <c r="AM59" s="625"/>
      <c r="AN59" s="625"/>
      <c r="AO59" s="625"/>
      <c r="AP59" s="625"/>
      <c r="AQ59" s="625"/>
      <c r="AR59" s="625"/>
      <c r="AS59" s="625"/>
      <c r="AT59" s="625"/>
      <c r="AU59" s="626"/>
      <c r="AV59" s="484"/>
      <c r="AW59" s="624" t="s">
        <v>6</v>
      </c>
      <c r="AX59" s="625"/>
      <c r="AY59" s="625"/>
      <c r="AZ59" s="625"/>
      <c r="BA59" s="625"/>
      <c r="BB59" s="625"/>
      <c r="BC59" s="625"/>
      <c r="BD59" s="625"/>
      <c r="BE59" s="625"/>
      <c r="BF59" s="625"/>
      <c r="BG59" s="625"/>
      <c r="BH59" s="625"/>
      <c r="BI59" s="625"/>
      <c r="BJ59" s="625"/>
      <c r="BK59" s="625"/>
      <c r="BL59" s="625"/>
      <c r="BM59" s="625"/>
      <c r="BN59" s="625"/>
      <c r="BO59" s="625"/>
      <c r="BP59" s="625"/>
      <c r="BQ59" s="625"/>
      <c r="BR59" s="625"/>
      <c r="BS59" s="625"/>
      <c r="BT59" s="625"/>
      <c r="BU59" s="625"/>
      <c r="BV59" s="625"/>
      <c r="BW59" s="626"/>
    </row>
    <row r="60" spans="1:75">
      <c r="A60" s="485" t="s">
        <v>64</v>
      </c>
      <c r="B60" s="486" t="s">
        <v>8</v>
      </c>
      <c r="C60" s="623" t="s">
        <v>9</v>
      </c>
      <c r="D60" s="623"/>
      <c r="E60" s="623"/>
      <c r="F60" s="623" t="s">
        <v>10</v>
      </c>
      <c r="G60" s="623"/>
      <c r="H60" s="623"/>
      <c r="I60" s="487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8"/>
      <c r="BS60" s="488"/>
      <c r="BT60" s="488"/>
      <c r="BU60" s="488"/>
      <c r="BV60" s="488"/>
      <c r="BW60" s="488"/>
    </row>
    <row r="61" spans="1:75" ht="60">
      <c r="B61" s="489" t="s">
        <v>65</v>
      </c>
      <c r="C61" s="490" t="s">
        <v>12</v>
      </c>
      <c r="D61" s="490" t="s">
        <v>13</v>
      </c>
      <c r="E61" s="490" t="s">
        <v>14</v>
      </c>
      <c r="F61" s="490" t="s">
        <v>12</v>
      </c>
      <c r="G61" s="490" t="s">
        <v>13</v>
      </c>
      <c r="H61" s="490" t="s">
        <v>14</v>
      </c>
      <c r="I61" s="491"/>
      <c r="K61" s="492" t="s">
        <v>416</v>
      </c>
      <c r="L61" s="492" t="s">
        <v>417</v>
      </c>
      <c r="M61" s="492" t="s">
        <v>418</v>
      </c>
      <c r="N61" s="493" t="s">
        <v>419</v>
      </c>
      <c r="O61" s="493" t="s">
        <v>15</v>
      </c>
      <c r="P61" s="493" t="s">
        <v>420</v>
      </c>
      <c r="Q61" s="494" t="s">
        <v>421</v>
      </c>
      <c r="R61" s="492" t="s">
        <v>422</v>
      </c>
      <c r="S61" s="475" t="s">
        <v>415</v>
      </c>
      <c r="T61" s="493" t="s">
        <v>423</v>
      </c>
      <c r="U61" s="493" t="s">
        <v>424</v>
      </c>
      <c r="V61" s="495" t="s">
        <v>16</v>
      </c>
      <c r="W61" s="496" t="s">
        <v>16</v>
      </c>
      <c r="X61" s="497"/>
      <c r="Y61" s="498"/>
      <c r="Z61" s="499" t="s">
        <v>425</v>
      </c>
      <c r="AA61" s="493" t="s">
        <v>426</v>
      </c>
      <c r="AB61" s="475" t="s">
        <v>17</v>
      </c>
      <c r="AC61" s="475" t="s">
        <v>18</v>
      </c>
      <c r="AD61" s="475" t="s">
        <v>427</v>
      </c>
      <c r="AE61" s="493" t="s">
        <v>428</v>
      </c>
      <c r="AF61" s="493" t="s">
        <v>429</v>
      </c>
      <c r="AG61" s="500" t="s">
        <v>19</v>
      </c>
      <c r="AH61" s="500" t="s">
        <v>20</v>
      </c>
      <c r="AI61" s="475" t="s">
        <v>430</v>
      </c>
      <c r="AJ61" s="493" t="s">
        <v>431</v>
      </c>
      <c r="AK61" s="493" t="s">
        <v>432</v>
      </c>
      <c r="AL61" s="493" t="s">
        <v>433</v>
      </c>
      <c r="AM61" s="475" t="s">
        <v>434</v>
      </c>
      <c r="AN61" s="501" t="s">
        <v>435</v>
      </c>
      <c r="AO61" s="493" t="s">
        <v>436</v>
      </c>
      <c r="AP61" s="493" t="s">
        <v>437</v>
      </c>
      <c r="AQ61" s="475" t="s">
        <v>415</v>
      </c>
      <c r="AR61" s="493" t="s">
        <v>438</v>
      </c>
      <c r="AS61" s="493" t="s">
        <v>439</v>
      </c>
      <c r="AT61" s="495" t="s">
        <v>16</v>
      </c>
      <c r="AU61" s="496" t="s">
        <v>16</v>
      </c>
      <c r="AV61" s="497"/>
      <c r="AX61" s="502" t="s">
        <v>21</v>
      </c>
      <c r="AY61" s="502" t="s">
        <v>17</v>
      </c>
      <c r="AZ61" s="503" t="s">
        <v>22</v>
      </c>
      <c r="BA61" s="504" t="s">
        <v>23</v>
      </c>
      <c r="BC61" s="475" t="s">
        <v>440</v>
      </c>
      <c r="BD61" s="475" t="s">
        <v>441</v>
      </c>
      <c r="BE61" s="475" t="s">
        <v>24</v>
      </c>
      <c r="BF61" s="475" t="s">
        <v>25</v>
      </c>
      <c r="BG61" s="475" t="s">
        <v>26</v>
      </c>
      <c r="BH61" s="475" t="s">
        <v>27</v>
      </c>
      <c r="BI61" s="475" t="s">
        <v>28</v>
      </c>
      <c r="BJ61" s="475" t="s">
        <v>442</v>
      </c>
      <c r="BK61" s="475" t="s">
        <v>29</v>
      </c>
      <c r="BL61" s="475" t="s">
        <v>30</v>
      </c>
      <c r="BM61" s="505" t="s">
        <v>443</v>
      </c>
      <c r="BN61" s="505" t="s">
        <v>444</v>
      </c>
      <c r="BO61" s="505" t="s">
        <v>445</v>
      </c>
      <c r="BP61" s="505" t="s">
        <v>446</v>
      </c>
      <c r="BQ61" s="505" t="s">
        <v>447</v>
      </c>
      <c r="BR61" s="506"/>
      <c r="BS61" s="493" t="s">
        <v>448</v>
      </c>
      <c r="BT61" s="493" t="s">
        <v>449</v>
      </c>
      <c r="BU61" s="494" t="s">
        <v>450</v>
      </c>
      <c r="BV61" s="495" t="s">
        <v>451</v>
      </c>
      <c r="BW61" s="496" t="s">
        <v>452</v>
      </c>
    </row>
    <row r="62" spans="1:75">
      <c r="A62" s="498" t="s">
        <v>66</v>
      </c>
      <c r="B62" s="507" t="s">
        <v>31</v>
      </c>
      <c r="C62" s="508">
        <v>18</v>
      </c>
      <c r="D62" s="509">
        <f>E62-C62</f>
        <v>6058</v>
      </c>
      <c r="E62" s="510">
        <v>6076</v>
      </c>
      <c r="F62" s="508">
        <v>11</v>
      </c>
      <c r="G62" s="509">
        <f>H62-F62</f>
        <v>6011</v>
      </c>
      <c r="H62" s="510">
        <v>6022</v>
      </c>
      <c r="I62" s="511"/>
      <c r="K62" s="512">
        <f>(C62/E62)/(F62/H62)</f>
        <v>1.6218205757376265</v>
      </c>
      <c r="L62" s="513">
        <f>(D62/(C62*E62)+(G62/(F62*H62)))</f>
        <v>0.14613400671471921</v>
      </c>
      <c r="M62" s="514">
        <f>1/L62</f>
        <v>6.8430341607767327</v>
      </c>
      <c r="N62" s="515">
        <f>LN(K62)</f>
        <v>0.48354933042380988</v>
      </c>
      <c r="O62" s="515">
        <f>M62*N62</f>
        <v>3.3089445865108469</v>
      </c>
      <c r="P62" s="515">
        <f>LN(K62)</f>
        <v>0.48354933042380988</v>
      </c>
      <c r="Q62" s="600">
        <f>K62</f>
        <v>1.6218205757376265</v>
      </c>
      <c r="R62" s="517">
        <f>SQRT(1/M62)</f>
        <v>0.38227477907222601</v>
      </c>
      <c r="S62" s="518">
        <f>$H$2</f>
        <v>1.9599639845400536</v>
      </c>
      <c r="T62" s="519">
        <f>P62-(R62*S62)</f>
        <v>-0.26569546875575889</v>
      </c>
      <c r="U62" s="519">
        <f>P62+(R62*S62)</f>
        <v>1.2327941296033786</v>
      </c>
      <c r="V62" s="520">
        <f>EXP(T62)</f>
        <v>0.76667256770526593</v>
      </c>
      <c r="W62" s="521">
        <f>EXP(U62)</f>
        <v>3.4308022625078465</v>
      </c>
      <c r="X62" s="522"/>
      <c r="Z62" s="523">
        <f>(N62-P66)^2</f>
        <v>0.57231344844194987</v>
      </c>
      <c r="AA62" s="521">
        <f>M62*Z62</f>
        <v>3.9163604783601964</v>
      </c>
      <c r="AB62" s="473">
        <v>1</v>
      </c>
      <c r="AC62" s="506"/>
      <c r="AD62" s="506"/>
      <c r="AE62" s="514">
        <f>M62^2</f>
        <v>46.827116525557322</v>
      </c>
      <c r="AF62" s="524"/>
      <c r="AG62" s="525">
        <f>AG66</f>
        <v>0.35239417466480105</v>
      </c>
      <c r="AH62" s="525">
        <f>AH66</f>
        <v>0.35239417466480105</v>
      </c>
      <c r="AI62" s="521">
        <f>1/M62</f>
        <v>0.14613400671471921</v>
      </c>
      <c r="AJ62" s="526">
        <f>1/(AH62+AI62)</f>
        <v>2.0059046556461739</v>
      </c>
      <c r="AK62" s="527">
        <f>AJ62/AJ66</f>
        <v>0.25275416394430583</v>
      </c>
      <c r="AL62" s="528">
        <f>AJ62*N62</f>
        <v>0.96995385313171034</v>
      </c>
      <c r="AM62" s="528">
        <f>AL62/AJ62</f>
        <v>0.48354933042380988</v>
      </c>
      <c r="AN62" s="521">
        <f>EXP(AM62)</f>
        <v>1.6218205757376265</v>
      </c>
      <c r="AO62" s="529">
        <f>1/AJ62</f>
        <v>0.49852818137952032</v>
      </c>
      <c r="AP62" s="521">
        <f>SQRT(AO62)</f>
        <v>0.70606528124495704</v>
      </c>
      <c r="AQ62" s="518">
        <f>$H$2</f>
        <v>1.9599639845400536</v>
      </c>
      <c r="AR62" s="519">
        <f>AM62-(AQ62*AP62)</f>
        <v>-0.90031319155044964</v>
      </c>
      <c r="AS62" s="519">
        <f>AM62+(1.96*AP62)</f>
        <v>1.8674372816639258</v>
      </c>
      <c r="AT62" s="530">
        <f>EXP(AR62)</f>
        <v>0.40644234549641262</v>
      </c>
      <c r="AU62" s="530">
        <f>EXP(AS62)</f>
        <v>6.471690010970863</v>
      </c>
      <c r="AV62" s="491"/>
      <c r="AX62" s="531"/>
      <c r="AY62" s="531">
        <v>1</v>
      </c>
      <c r="AZ62" s="532"/>
      <c r="BA62" s="532"/>
      <c r="BC62" s="506"/>
      <c r="BD62" s="506"/>
      <c r="BE62" s="473"/>
      <c r="BF62" s="473"/>
      <c r="BG62" s="473"/>
      <c r="BH62" s="473"/>
      <c r="BI62" s="473"/>
      <c r="BJ62" s="473"/>
      <c r="BK62" s="473"/>
      <c r="BL62" s="473"/>
      <c r="BM62" s="506"/>
      <c r="BN62" s="506"/>
      <c r="BO62" s="506"/>
      <c r="BP62" s="506"/>
      <c r="BQ62" s="506"/>
      <c r="BR62" s="506"/>
      <c r="BS62" s="506"/>
      <c r="BT62" s="506"/>
      <c r="BU62" s="506"/>
      <c r="BV62" s="506"/>
      <c r="BW62" s="506"/>
    </row>
    <row r="63" spans="1:75">
      <c r="B63" s="507" t="s">
        <v>32</v>
      </c>
      <c r="C63" s="508">
        <v>5</v>
      </c>
      <c r="D63" s="509">
        <f>E63-C63</f>
        <v>7056</v>
      </c>
      <c r="E63" s="510">
        <v>7061</v>
      </c>
      <c r="F63" s="508">
        <v>22</v>
      </c>
      <c r="G63" s="509">
        <f>H63-F63</f>
        <v>7060</v>
      </c>
      <c r="H63" s="510">
        <v>7082</v>
      </c>
      <c r="I63" s="511"/>
      <c r="K63" s="512">
        <f>(C63/E63)/(F63/H63)</f>
        <v>0.22794865522524491</v>
      </c>
      <c r="L63" s="513">
        <f>(D63/(C63*E63)+(G63/(F63*H63)))</f>
        <v>0.24517171940498445</v>
      </c>
      <c r="M63" s="514">
        <f>1/L63</f>
        <v>4.0787738586935474</v>
      </c>
      <c r="N63" s="515">
        <f>LN(K63)</f>
        <v>-1.4786348717687134</v>
      </c>
      <c r="O63" s="515">
        <f>M63*N63</f>
        <v>-6.0310172615229138</v>
      </c>
      <c r="P63" s="515">
        <f>LN(K63)</f>
        <v>-1.4786348717687134</v>
      </c>
      <c r="Q63" s="600">
        <f>K63</f>
        <v>0.22794865522524491</v>
      </c>
      <c r="R63" s="517">
        <f>SQRT(1/M63)</f>
        <v>0.49514817924030019</v>
      </c>
      <c r="S63" s="518">
        <f>$H$2</f>
        <v>1.9599639845400536</v>
      </c>
      <c r="T63" s="519">
        <f>P63-(R63*S63)</f>
        <v>-2.4491074700902846</v>
      </c>
      <c r="U63" s="519">
        <f>P63+(R63*S63)</f>
        <v>-0.50816227344714204</v>
      </c>
      <c r="V63" s="520">
        <f t="shared" ref="V63:W65" si="15">EXP(T63)</f>
        <v>8.6370640487717282E-2</v>
      </c>
      <c r="W63" s="521">
        <f t="shared" si="15"/>
        <v>0.60160014011227425</v>
      </c>
      <c r="X63" s="522"/>
      <c r="Z63" s="523">
        <f>(N63-P66)^2</f>
        <v>1.4536406105634927</v>
      </c>
      <c r="AA63" s="521">
        <f>M63*Z63</f>
        <v>5.9290713223017013</v>
      </c>
      <c r="AB63" s="473">
        <v>1</v>
      </c>
      <c r="AC63" s="506"/>
      <c r="AD63" s="506"/>
      <c r="AE63" s="514">
        <f>M63^2</f>
        <v>16.63639619036185</v>
      </c>
      <c r="AF63" s="524"/>
      <c r="AG63" s="525">
        <f>AG66</f>
        <v>0.35239417466480105</v>
      </c>
      <c r="AH63" s="525">
        <f>AH66</f>
        <v>0.35239417466480105</v>
      </c>
      <c r="AI63" s="521">
        <f>1/M63</f>
        <v>0.24517171940498442</v>
      </c>
      <c r="AJ63" s="526">
        <f>1/(AH63+AI63)</f>
        <v>1.6734556137221868</v>
      </c>
      <c r="AK63" s="527">
        <f>AJ63/AJ66</f>
        <v>0.2108638979194162</v>
      </c>
      <c r="AL63" s="528">
        <f>AJ63*N63</f>
        <v>-2.4744298268067393</v>
      </c>
      <c r="AM63" s="528">
        <f>AL63/AJ63</f>
        <v>-1.4786348717687134</v>
      </c>
      <c r="AN63" s="521">
        <f>EXP(AM63)</f>
        <v>0.22794865522524491</v>
      </c>
      <c r="AO63" s="529">
        <f>1/AJ63</f>
        <v>0.59756589406978544</v>
      </c>
      <c r="AP63" s="521">
        <f>SQRT(AO63)</f>
        <v>0.77302386384236899</v>
      </c>
      <c r="AQ63" s="518">
        <f>$H$2</f>
        <v>1.9599639845400536</v>
      </c>
      <c r="AR63" s="519">
        <f>AM63-(AQ63*AP63)</f>
        <v>-2.993733804089751</v>
      </c>
      <c r="AS63" s="519">
        <f>AM63+(1.96*AP63)</f>
        <v>3.6491901362329715E-2</v>
      </c>
      <c r="AT63" s="530">
        <f t="shared" ref="AT63:AU65" si="16">EXP(AR63)</f>
        <v>5.0100023386763962E-2</v>
      </c>
      <c r="AU63" s="530">
        <f t="shared" si="16"/>
        <v>1.0371659043528736</v>
      </c>
      <c r="AV63" s="491"/>
      <c r="AX63" s="531"/>
      <c r="AY63" s="531">
        <v>1</v>
      </c>
      <c r="AZ63" s="532"/>
      <c r="BA63" s="532"/>
      <c r="BC63" s="506"/>
      <c r="BD63" s="506"/>
      <c r="BE63" s="473"/>
      <c r="BF63" s="473"/>
      <c r="BG63" s="473"/>
      <c r="BH63" s="473"/>
      <c r="BI63" s="473"/>
      <c r="BJ63" s="473"/>
      <c r="BK63" s="473"/>
      <c r="BL63" s="473"/>
      <c r="BM63" s="506"/>
      <c r="BN63" s="506"/>
      <c r="BO63" s="506"/>
      <c r="BP63" s="506"/>
      <c r="BQ63" s="506"/>
      <c r="BR63" s="506"/>
      <c r="BS63" s="506"/>
      <c r="BT63" s="506"/>
      <c r="BU63" s="506"/>
      <c r="BV63" s="506"/>
      <c r="BW63" s="506"/>
    </row>
    <row r="64" spans="1:75">
      <c r="B64" s="507" t="s">
        <v>33</v>
      </c>
      <c r="C64" s="508">
        <v>15</v>
      </c>
      <c r="D64" s="509">
        <f>E64-C64</f>
        <v>9105</v>
      </c>
      <c r="E64" s="510">
        <v>9120</v>
      </c>
      <c r="F64" s="508">
        <v>17</v>
      </c>
      <c r="G64" s="509">
        <f>H64-F64</f>
        <v>9064</v>
      </c>
      <c r="H64" s="510">
        <v>9081</v>
      </c>
      <c r="I64" s="511"/>
      <c r="K64" s="512">
        <f>(C64/E64)/(F64/H64)</f>
        <v>0.87857972136222906</v>
      </c>
      <c r="L64" s="513">
        <f>(D64/(C64*E64)+(G64/(F64*H64)))</f>
        <v>0.12527042692479073</v>
      </c>
      <c r="M64" s="514">
        <f>1/L64</f>
        <v>7.9827300389131368</v>
      </c>
      <c r="N64" s="515">
        <f>LN(K64)</f>
        <v>-0.1294486283325548</v>
      </c>
      <c r="O64" s="515">
        <f>M64*N64</f>
        <v>-1.0333534538863873</v>
      </c>
      <c r="P64" s="515">
        <f>LN(K64)</f>
        <v>-0.1294486283325548</v>
      </c>
      <c r="Q64" s="600">
        <f>K64</f>
        <v>0.87857972136222906</v>
      </c>
      <c r="R64" s="517">
        <f>SQRT(1/M64)</f>
        <v>0.35393562539647055</v>
      </c>
      <c r="S64" s="518">
        <f>$H$2</f>
        <v>1.9599639845400536</v>
      </c>
      <c r="T64" s="519">
        <f>P64-(R64*S64)</f>
        <v>-0.82314970695529699</v>
      </c>
      <c r="U64" s="519">
        <f>P64+(R64*S64)</f>
        <v>0.56425245029018745</v>
      </c>
      <c r="V64" s="520">
        <f t="shared" si="15"/>
        <v>0.43904660625357428</v>
      </c>
      <c r="W64" s="521">
        <f t="shared" si="15"/>
        <v>1.7581329995365338</v>
      </c>
      <c r="X64" s="522"/>
      <c r="Z64" s="523">
        <f>(N64-P66)^2</f>
        <v>2.0596857176216187E-2</v>
      </c>
      <c r="AA64" s="521">
        <f>M64*Z64</f>
        <v>0.16441915048778458</v>
      </c>
      <c r="AB64" s="473">
        <v>1</v>
      </c>
      <c r="AC64" s="506"/>
      <c r="AD64" s="506"/>
      <c r="AE64" s="514">
        <f>M64^2</f>
        <v>63.723978874166129</v>
      </c>
      <c r="AF64" s="524"/>
      <c r="AG64" s="525">
        <f>AG66</f>
        <v>0.35239417466480105</v>
      </c>
      <c r="AH64" s="525">
        <f>AH66</f>
        <v>0.35239417466480105</v>
      </c>
      <c r="AI64" s="521">
        <f>1/M64</f>
        <v>0.12527042692479073</v>
      </c>
      <c r="AJ64" s="526">
        <f>1/(AH64+AI64)</f>
        <v>2.0935191694594053</v>
      </c>
      <c r="AK64" s="527">
        <f>AJ64/AJ66</f>
        <v>0.26379403721341516</v>
      </c>
      <c r="AL64" s="528">
        <f>AJ64*N64</f>
        <v>-0.27100318487442937</v>
      </c>
      <c r="AM64" s="528">
        <f>AL64/AJ64</f>
        <v>-0.1294486283325548</v>
      </c>
      <c r="AN64" s="521">
        <f>EXP(AM64)</f>
        <v>0.87857972136222906</v>
      </c>
      <c r="AO64" s="529">
        <f>1/AJ64</f>
        <v>0.47766460158959184</v>
      </c>
      <c r="AP64" s="521">
        <f>SQRT(AO64)</f>
        <v>0.69113283932221881</v>
      </c>
      <c r="AQ64" s="518">
        <f>$H$2</f>
        <v>1.9599639845400536</v>
      </c>
      <c r="AR64" s="519">
        <f>AM64-(AQ64*AP64)</f>
        <v>-1.4840441019370114</v>
      </c>
      <c r="AS64" s="519">
        <f>AM64+(1.96*AP64)</f>
        <v>1.225171736738994</v>
      </c>
      <c r="AT64" s="530">
        <f t="shared" si="16"/>
        <v>0.22671895734041422</v>
      </c>
      <c r="AU64" s="530">
        <f t="shared" si="16"/>
        <v>3.4047507533761445</v>
      </c>
      <c r="AV64" s="491"/>
      <c r="AX64" s="531"/>
      <c r="AY64" s="531">
        <v>1</v>
      </c>
      <c r="AZ64" s="532"/>
      <c r="BA64" s="532"/>
      <c r="BC64" s="506"/>
      <c r="BD64" s="506"/>
      <c r="BE64" s="473"/>
      <c r="BF64" s="473"/>
      <c r="BG64" s="473"/>
      <c r="BH64" s="473"/>
      <c r="BI64" s="473"/>
      <c r="BJ64" s="473"/>
      <c r="BK64" s="473"/>
      <c r="BL64" s="473"/>
      <c r="BM64" s="506"/>
      <c r="BN64" s="506"/>
      <c r="BO64" s="506"/>
      <c r="BP64" s="506"/>
      <c r="BQ64" s="506"/>
      <c r="BR64" s="506"/>
      <c r="BS64" s="506"/>
      <c r="BT64" s="506"/>
      <c r="BU64" s="506"/>
      <c r="BV64" s="506"/>
      <c r="BW64" s="506"/>
    </row>
    <row r="65" spans="1:75">
      <c r="B65" s="507" t="s">
        <v>34</v>
      </c>
      <c r="C65" s="508">
        <v>15</v>
      </c>
      <c r="D65" s="509">
        <f>E65-C65</f>
        <v>7020</v>
      </c>
      <c r="E65" s="510">
        <v>7035</v>
      </c>
      <c r="F65" s="508">
        <v>23</v>
      </c>
      <c r="G65" s="509">
        <f>H65-F65</f>
        <v>7013</v>
      </c>
      <c r="H65" s="510">
        <v>7036</v>
      </c>
      <c r="I65" s="511"/>
      <c r="K65" s="512">
        <f>(C65/E65)/(F65/H65)</f>
        <v>0.6522666172244368</v>
      </c>
      <c r="L65" s="513">
        <f>(D65/(C65*E65)+(G65/(F65*H65)))</f>
        <v>0.109860654917356</v>
      </c>
      <c r="M65" s="514">
        <f>1/L65</f>
        <v>9.102439820263788</v>
      </c>
      <c r="N65" s="515">
        <f>LN(K65)</f>
        <v>-0.42730187851798029</v>
      </c>
      <c r="O65" s="515">
        <f>M65*N65</f>
        <v>-3.8894896342955834</v>
      </c>
      <c r="P65" s="515">
        <f>LN(K65)</f>
        <v>-0.42730187851798029</v>
      </c>
      <c r="Q65" s="600">
        <f>K65</f>
        <v>0.6522666172244368</v>
      </c>
      <c r="R65" s="517">
        <f>SQRT(1/M65)</f>
        <v>0.33145234184925593</v>
      </c>
      <c r="S65" s="518">
        <f>$H$2</f>
        <v>1.9599639845400536</v>
      </c>
      <c r="T65" s="519">
        <f>P65-(R65*S65)</f>
        <v>-1.0769365311339798</v>
      </c>
      <c r="U65" s="519">
        <f>P65+(R65*S65)</f>
        <v>0.22233277409801933</v>
      </c>
      <c r="V65" s="520">
        <f t="shared" si="15"/>
        <v>0.34063746111836735</v>
      </c>
      <c r="W65" s="521">
        <f t="shared" si="15"/>
        <v>1.2489869392185575</v>
      </c>
      <c r="X65" s="522"/>
      <c r="Z65" s="523">
        <f>(N65-P66)^2</f>
        <v>2.3819970749588793E-2</v>
      </c>
      <c r="AA65" s="521">
        <f>M65*Z65</f>
        <v>0.2168198502685757</v>
      </c>
      <c r="AB65" s="473">
        <v>1</v>
      </c>
      <c r="AC65" s="506"/>
      <c r="AD65" s="506"/>
      <c r="AE65" s="514">
        <f>M65^2</f>
        <v>82.854410681523859</v>
      </c>
      <c r="AF65" s="524"/>
      <c r="AG65" s="525">
        <f>AG66</f>
        <v>0.35239417466480105</v>
      </c>
      <c r="AH65" s="525">
        <f>AH66</f>
        <v>0.35239417466480105</v>
      </c>
      <c r="AI65" s="521">
        <f>1/M65</f>
        <v>0.109860654917356</v>
      </c>
      <c r="AJ65" s="526">
        <f>1/(AH65+AI65)</f>
        <v>2.1633089283327194</v>
      </c>
      <c r="AK65" s="527">
        <f>AJ65/AJ66</f>
        <v>0.27258790092286289</v>
      </c>
      <c r="AL65" s="528">
        <f>AJ65*N65</f>
        <v>-0.92438596889128977</v>
      </c>
      <c r="AM65" s="528">
        <f>AL65/AJ65</f>
        <v>-0.42730187851798029</v>
      </c>
      <c r="AN65" s="521">
        <f>EXP(AM65)</f>
        <v>0.6522666172244368</v>
      </c>
      <c r="AO65" s="529">
        <f>1/AJ65</f>
        <v>0.46225482958215708</v>
      </c>
      <c r="AP65" s="521">
        <f>SQRT(AO65)</f>
        <v>0.67989324866640433</v>
      </c>
      <c r="AQ65" s="518">
        <f>$H$2</f>
        <v>1.9599639845400536</v>
      </c>
      <c r="AR65" s="519">
        <f>AM65-(AQ65*AP65)</f>
        <v>-1.7598681592360677</v>
      </c>
      <c r="AS65" s="519">
        <f>AM65+(1.96*AP65)</f>
        <v>0.90528888886817227</v>
      </c>
      <c r="AT65" s="530">
        <f t="shared" si="16"/>
        <v>0.1720675478446341</v>
      </c>
      <c r="AU65" s="530">
        <f t="shared" si="16"/>
        <v>2.4726461398325932</v>
      </c>
      <c r="AV65" s="491"/>
      <c r="AX65" s="531"/>
      <c r="AY65" s="531">
        <v>1</v>
      </c>
      <c r="AZ65" s="532"/>
      <c r="BA65" s="532"/>
      <c r="BC65" s="506"/>
      <c r="BD65" s="506"/>
      <c r="BE65" s="473"/>
      <c r="BF65" s="473"/>
      <c r="BG65" s="473"/>
      <c r="BH65" s="473"/>
      <c r="BI65" s="473"/>
      <c r="BJ65" s="473"/>
      <c r="BK65" s="473"/>
      <c r="BL65" s="473"/>
      <c r="BM65" s="506"/>
      <c r="BN65" s="506"/>
      <c r="BO65" s="506"/>
      <c r="BP65" s="506"/>
      <c r="BQ65" s="506"/>
      <c r="BR65" s="506"/>
      <c r="BS65" s="506"/>
      <c r="BT65" s="506"/>
      <c r="BU65" s="506"/>
      <c r="BV65" s="506"/>
      <c r="BW65" s="506"/>
    </row>
    <row r="66" spans="1:75">
      <c r="B66" s="533">
        <f>COUNT(D62:D65)</f>
        <v>4</v>
      </c>
      <c r="C66" s="534">
        <f t="shared" ref="C66:H66" si="17">SUM(C62:C65)</f>
        <v>53</v>
      </c>
      <c r="D66" s="534">
        <f t="shared" si="17"/>
        <v>29239</v>
      </c>
      <c r="E66" s="534">
        <f t="shared" si="17"/>
        <v>29292</v>
      </c>
      <c r="F66" s="534">
        <f t="shared" si="17"/>
        <v>73</v>
      </c>
      <c r="G66" s="534">
        <f t="shared" si="17"/>
        <v>29148</v>
      </c>
      <c r="H66" s="534">
        <f t="shared" si="17"/>
        <v>29221</v>
      </c>
      <c r="I66" s="535"/>
      <c r="K66" s="536"/>
      <c r="L66" s="607"/>
      <c r="M66" s="538">
        <f>SUM(M62:M65)</f>
        <v>28.006977878647206</v>
      </c>
      <c r="N66" s="539"/>
      <c r="O66" s="540">
        <f>SUM(O62:O65)</f>
        <v>-7.6449157631940379</v>
      </c>
      <c r="P66" s="541">
        <f>O66/M66</f>
        <v>-0.27296468031356558</v>
      </c>
      <c r="Q66" s="542">
        <f>EXP(P66)</f>
        <v>0.76111966966227051</v>
      </c>
      <c r="R66" s="543">
        <f>SQRT(1/M66)</f>
        <v>0.18895869277800606</v>
      </c>
      <c r="S66" s="518">
        <f>$H$2</f>
        <v>1.9599639845400536</v>
      </c>
      <c r="T66" s="544">
        <f>P66-(R66*S66)</f>
        <v>-0.6433169127242262</v>
      </c>
      <c r="U66" s="544">
        <f>P66+(R66*S66)</f>
        <v>9.7387552097095043E-2</v>
      </c>
      <c r="V66" s="545">
        <f>EXP(T66)</f>
        <v>0.52554633849988597</v>
      </c>
      <c r="W66" s="546">
        <f>EXP(U66)</f>
        <v>1.1022874846780604</v>
      </c>
      <c r="X66" s="547"/>
      <c r="Y66" s="547"/>
      <c r="Z66" s="548"/>
      <c r="AA66" s="549">
        <f>SUM(AA62:AA65)</f>
        <v>10.226670801418258</v>
      </c>
      <c r="AB66" s="550">
        <f>SUM(AB62:AB65)</f>
        <v>4</v>
      </c>
      <c r="AC66" s="551">
        <f>AA66-(AB66-1)</f>
        <v>7.2266708014182583</v>
      </c>
      <c r="AD66" s="538">
        <f>M66</f>
        <v>28.006977878647206</v>
      </c>
      <c r="AE66" s="538">
        <f>SUM(AE62:AE65)</f>
        <v>210.04190227160916</v>
      </c>
      <c r="AF66" s="552">
        <f>AE66/AD66</f>
        <v>7.4996275278864406</v>
      </c>
      <c r="AG66" s="553">
        <f>AC66/(AD66-AF66)</f>
        <v>0.35239417466480105</v>
      </c>
      <c r="AH66" s="553">
        <f>IF(AA66&lt;AB66-1,"0",AG66)</f>
        <v>0.35239417466480105</v>
      </c>
      <c r="AI66" s="548"/>
      <c r="AJ66" s="538">
        <f>SUM(AJ62:AJ65)</f>
        <v>7.9361883671604847</v>
      </c>
      <c r="AK66" s="554">
        <f>SUM(AK62:AK65)</f>
        <v>1</v>
      </c>
      <c r="AL66" s="551">
        <f>SUM(AL62:AL65)</f>
        <v>-2.6998651274407481</v>
      </c>
      <c r="AM66" s="551">
        <f>AL66/AJ66</f>
        <v>-0.34019670432882404</v>
      </c>
      <c r="AN66" s="608">
        <f>EXP(AM66)</f>
        <v>0.71163032822821071</v>
      </c>
      <c r="AO66" s="556">
        <f>1/AJ66</f>
        <v>0.12600507368725591</v>
      </c>
      <c r="AP66" s="557">
        <f>SQRT(AO66)</f>
        <v>0.35497193366131907</v>
      </c>
      <c r="AQ66" s="518">
        <f>$H$2</f>
        <v>1.9599639845400536</v>
      </c>
      <c r="AR66" s="544">
        <f>AM66-(AQ66*AP66)</f>
        <v>-1.0359289098275506</v>
      </c>
      <c r="AS66" s="544">
        <f>AM66+(1.96*AP66)</f>
        <v>0.35554828564736135</v>
      </c>
      <c r="AT66" s="558">
        <f>EXP(AR66)</f>
        <v>0.35489656085897148</v>
      </c>
      <c r="AU66" s="559">
        <f>EXP(AS66)</f>
        <v>1.4269628230711331</v>
      </c>
      <c r="AV66" s="609"/>
      <c r="AW66" s="468"/>
      <c r="AX66" s="561">
        <f>AA66</f>
        <v>10.226670801418258</v>
      </c>
      <c r="AY66" s="533">
        <f>SUM(AY62:AY65)</f>
        <v>4</v>
      </c>
      <c r="AZ66" s="562">
        <f>(AX66-(AY66-1))/AX66</f>
        <v>0.70664940152527911</v>
      </c>
      <c r="BA66" s="563">
        <f>IF(AA66&lt;AB66-1,"0%",AZ66)</f>
        <v>0.70664940152527911</v>
      </c>
      <c r="BB66" s="468"/>
      <c r="BC66" s="540">
        <f>AX66/(AY66-1)</f>
        <v>3.4088902671394194</v>
      </c>
      <c r="BD66" s="564">
        <f>LN(BC66)</f>
        <v>1.2263868034735357</v>
      </c>
      <c r="BE66" s="540">
        <f>LN(AX66)</f>
        <v>2.3249990921416455</v>
      </c>
      <c r="BF66" s="540">
        <f>LN(AY66-1)</f>
        <v>1.0986122886681098</v>
      </c>
      <c r="BG66" s="540">
        <f>SQRT(2*AX66)</f>
        <v>4.5225370758940731</v>
      </c>
      <c r="BH66" s="540">
        <f>SQRT(2*AY66-3)</f>
        <v>2.2360679774997898</v>
      </c>
      <c r="BI66" s="540">
        <f>2*(AY66-2)</f>
        <v>4</v>
      </c>
      <c r="BJ66" s="540">
        <f>3*(AY66-2)^2</f>
        <v>12</v>
      </c>
      <c r="BK66" s="540">
        <f>1/BI66</f>
        <v>0.25</v>
      </c>
      <c r="BL66" s="540">
        <f>1/BJ66</f>
        <v>8.3333333333333329E-2</v>
      </c>
      <c r="BM66" s="540">
        <f>SQRT(BK66*(1-BL66))</f>
        <v>0.47871355387816905</v>
      </c>
      <c r="BN66" s="564">
        <f>0.5*(BE66-BF66)/(BG66-BH66)</f>
        <v>0.26818355085900558</v>
      </c>
      <c r="BO66" s="564">
        <f>IF(AA66&lt;=AB66,BM66,BN66)</f>
        <v>0.26818355085900558</v>
      </c>
      <c r="BP66" s="551">
        <f>BD66-(1.96*BO66)</f>
        <v>0.70074704378988473</v>
      </c>
      <c r="BQ66" s="551">
        <f>BD66+(1.96*BO66)</f>
        <v>1.7520265631571865</v>
      </c>
      <c r="BR66" s="551"/>
      <c r="BS66" s="564">
        <f>EXP(BP66)</f>
        <v>2.0152576309768473</v>
      </c>
      <c r="BT66" s="564">
        <f>EXP(BQ66)</f>
        <v>5.7662765667162299</v>
      </c>
      <c r="BU66" s="565">
        <f>BA66</f>
        <v>0.70664940152527911</v>
      </c>
      <c r="BV66" s="565">
        <f>(BS66-1)/BS66</f>
        <v>0.50378552864465564</v>
      </c>
      <c r="BW66" s="565">
        <f>(BT66-1)/BT66</f>
        <v>0.82657786382079856</v>
      </c>
    </row>
    <row r="67" spans="1:75" ht="13.5" thickBot="1">
      <c r="C67" s="566"/>
      <c r="D67" s="566"/>
      <c r="E67" s="566"/>
      <c r="F67" s="566"/>
      <c r="G67" s="566"/>
      <c r="H67" s="566"/>
      <c r="I67" s="567"/>
      <c r="R67" s="568"/>
      <c r="S67" s="568"/>
      <c r="T67" s="568"/>
      <c r="U67" s="568"/>
      <c r="V67" s="568"/>
      <c r="W67" s="568"/>
      <c r="X67" s="568"/>
      <c r="AB67" s="569"/>
      <c r="AC67" s="570"/>
      <c r="AD67" s="570"/>
      <c r="AE67" s="570"/>
      <c r="AF67" s="572"/>
      <c r="AG67" s="572"/>
      <c r="AH67" s="572"/>
      <c r="AI67" s="572"/>
      <c r="AT67" s="573"/>
      <c r="AU67" s="573"/>
      <c r="AV67" s="573"/>
      <c r="AX67" s="480" t="s">
        <v>35</v>
      </c>
      <c r="BG67" s="483"/>
      <c r="BN67" s="570" t="s">
        <v>36</v>
      </c>
      <c r="BT67" s="574" t="s">
        <v>37</v>
      </c>
      <c r="BU67" s="575">
        <f>BU66</f>
        <v>0.70664940152527911</v>
      </c>
      <c r="BV67" s="576">
        <f>IF(BV66&lt;0,"0%",BV66)</f>
        <v>0.50378552864465564</v>
      </c>
      <c r="BW67" s="577">
        <f>IF(BW66&lt;0,"0%",BW66)</f>
        <v>0.82657786382079856</v>
      </c>
    </row>
    <row r="68" spans="1:75" ht="26.5" thickBot="1">
      <c r="A68" s="498" t="s">
        <v>67</v>
      </c>
      <c r="B68" s="472" t="s">
        <v>68</v>
      </c>
      <c r="C68" s="606"/>
      <c r="D68" s="580"/>
      <c r="E68" s="580"/>
      <c r="F68" s="580"/>
      <c r="G68" s="580"/>
      <c r="H68" s="580"/>
      <c r="I68" s="581"/>
      <c r="J68" s="480"/>
      <c r="K68" s="480"/>
      <c r="R68" s="582"/>
      <c r="S68" s="582"/>
      <c r="T68" s="582"/>
      <c r="U68" s="582"/>
      <c r="V68" s="582"/>
      <c r="W68" s="582"/>
      <c r="X68" s="582"/>
      <c r="AF68" s="472"/>
      <c r="AI68" s="483"/>
      <c r="AJ68" s="583"/>
      <c r="AK68" s="583"/>
      <c r="AL68" s="584"/>
      <c r="AM68" s="585"/>
      <c r="AN68" s="586"/>
      <c r="AO68" s="587" t="s">
        <v>453</v>
      </c>
      <c r="AP68" s="588">
        <f>TINV((1-$H$1),(AB66-2))</f>
        <v>4.3026527297494619</v>
      </c>
      <c r="AR68" s="589" t="s">
        <v>38</v>
      </c>
      <c r="AS68" s="590">
        <f>$H$1</f>
        <v>0.95</v>
      </c>
      <c r="AT68" s="591">
        <f>EXP(AM66-AP68*SQRT((1/AD66)+AH66))</f>
        <v>4.8769620077297619E-2</v>
      </c>
      <c r="AU68" s="592">
        <f>EXP(AM66+AP68*SQRT((1/AD66)+AH66))</f>
        <v>10.383876750557869</v>
      </c>
      <c r="AV68" s="491"/>
      <c r="AX68" s="593">
        <f>_xlfn.CHISQ.DIST.RT(AX66,AY66-1)</f>
        <v>1.6734436285127732E-2</v>
      </c>
      <c r="AY68" s="594" t="str">
        <f>IF(AX68&lt;0.05,"heterogeneidad","homogeneidad")</f>
        <v>heterogeneidad</v>
      </c>
      <c r="BF68" s="595"/>
      <c r="BG68" s="483"/>
      <c r="BH68" s="483"/>
      <c r="BJ68" s="522"/>
      <c r="BL68" s="483"/>
      <c r="BM68" s="596"/>
      <c r="BQ68" s="483"/>
    </row>
    <row r="69" spans="1:75" ht="14.5">
      <c r="B69" s="480"/>
      <c r="C69" s="580"/>
      <c r="D69" s="580"/>
      <c r="E69" s="580"/>
      <c r="F69" s="580"/>
      <c r="G69" s="580"/>
      <c r="H69" s="580"/>
      <c r="I69" s="581"/>
      <c r="J69" s="480"/>
      <c r="K69" s="480"/>
      <c r="R69" s="582"/>
      <c r="S69" s="582"/>
      <c r="T69" s="582"/>
      <c r="U69" s="582"/>
      <c r="V69" s="582"/>
      <c r="W69" s="582"/>
      <c r="X69" s="582"/>
      <c r="AF69" s="472"/>
      <c r="AI69" s="483"/>
      <c r="AJ69" s="583"/>
      <c r="AK69" s="583"/>
      <c r="AL69" s="584"/>
      <c r="AM69" s="585"/>
      <c r="AN69" s="597"/>
      <c r="AO69" s="598"/>
      <c r="AP69" s="487"/>
      <c r="AS69" s="599"/>
      <c r="AT69" s="491"/>
      <c r="AU69" s="491"/>
      <c r="AV69" s="491"/>
      <c r="BF69" s="595"/>
      <c r="BG69" s="483"/>
      <c r="BH69" s="483"/>
      <c r="BJ69" s="522"/>
      <c r="BL69" s="483"/>
      <c r="BM69" s="596"/>
      <c r="BQ69" s="483"/>
    </row>
    <row r="70" spans="1:75">
      <c r="C70" s="566"/>
      <c r="D70" s="566"/>
      <c r="E70" s="566"/>
      <c r="F70" s="566"/>
      <c r="G70" s="566"/>
      <c r="H70" s="566"/>
      <c r="I70" s="567"/>
      <c r="J70" s="624" t="s">
        <v>4</v>
      </c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6"/>
      <c r="X70" s="484"/>
      <c r="Y70" s="624" t="s">
        <v>5</v>
      </c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6"/>
      <c r="AV70" s="484"/>
      <c r="AW70" s="624" t="s">
        <v>6</v>
      </c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  <c r="BV70" s="625"/>
      <c r="BW70" s="626"/>
    </row>
    <row r="71" spans="1:75">
      <c r="A71" s="485" t="s">
        <v>69</v>
      </c>
      <c r="B71" s="486" t="s">
        <v>8</v>
      </c>
      <c r="C71" s="623" t="s">
        <v>9</v>
      </c>
      <c r="D71" s="623"/>
      <c r="E71" s="623"/>
      <c r="F71" s="623" t="s">
        <v>10</v>
      </c>
      <c r="G71" s="623"/>
      <c r="H71" s="623"/>
      <c r="I71" s="487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488"/>
      <c r="BQ71" s="488"/>
      <c r="BR71" s="488"/>
      <c r="BS71" s="488"/>
      <c r="BT71" s="488"/>
      <c r="BU71" s="488"/>
      <c r="BV71" s="488"/>
      <c r="BW71" s="488"/>
    </row>
    <row r="72" spans="1:75" ht="60">
      <c r="B72" s="489" t="s">
        <v>70</v>
      </c>
      <c r="C72" s="490" t="s">
        <v>12</v>
      </c>
      <c r="D72" s="490" t="s">
        <v>13</v>
      </c>
      <c r="E72" s="490" t="s">
        <v>14</v>
      </c>
      <c r="F72" s="490" t="s">
        <v>12</v>
      </c>
      <c r="G72" s="490" t="s">
        <v>13</v>
      </c>
      <c r="H72" s="490" t="s">
        <v>14</v>
      </c>
      <c r="I72" s="491"/>
      <c r="K72" s="492" t="s">
        <v>416</v>
      </c>
      <c r="L72" s="492" t="s">
        <v>417</v>
      </c>
      <c r="M72" s="492" t="s">
        <v>418</v>
      </c>
      <c r="N72" s="493" t="s">
        <v>419</v>
      </c>
      <c r="O72" s="493" t="s">
        <v>15</v>
      </c>
      <c r="P72" s="493" t="s">
        <v>420</v>
      </c>
      <c r="Q72" s="494" t="s">
        <v>421</v>
      </c>
      <c r="R72" s="492" t="s">
        <v>422</v>
      </c>
      <c r="S72" s="475" t="s">
        <v>415</v>
      </c>
      <c r="T72" s="493" t="s">
        <v>423</v>
      </c>
      <c r="U72" s="493" t="s">
        <v>424</v>
      </c>
      <c r="V72" s="495" t="s">
        <v>16</v>
      </c>
      <c r="W72" s="496" t="s">
        <v>16</v>
      </c>
      <c r="X72" s="497"/>
      <c r="Y72" s="498"/>
      <c r="Z72" s="499" t="s">
        <v>425</v>
      </c>
      <c r="AA72" s="493" t="s">
        <v>426</v>
      </c>
      <c r="AB72" s="475" t="s">
        <v>17</v>
      </c>
      <c r="AC72" s="475" t="s">
        <v>18</v>
      </c>
      <c r="AD72" s="475" t="s">
        <v>427</v>
      </c>
      <c r="AE72" s="493" t="s">
        <v>428</v>
      </c>
      <c r="AF72" s="493" t="s">
        <v>429</v>
      </c>
      <c r="AG72" s="500" t="s">
        <v>19</v>
      </c>
      <c r="AH72" s="500" t="s">
        <v>20</v>
      </c>
      <c r="AI72" s="475" t="s">
        <v>430</v>
      </c>
      <c r="AJ72" s="493" t="s">
        <v>431</v>
      </c>
      <c r="AK72" s="493" t="s">
        <v>432</v>
      </c>
      <c r="AL72" s="493" t="s">
        <v>433</v>
      </c>
      <c r="AM72" s="475" t="s">
        <v>434</v>
      </c>
      <c r="AN72" s="501" t="s">
        <v>435</v>
      </c>
      <c r="AO72" s="493" t="s">
        <v>436</v>
      </c>
      <c r="AP72" s="493" t="s">
        <v>437</v>
      </c>
      <c r="AQ72" s="475" t="s">
        <v>415</v>
      </c>
      <c r="AR72" s="493" t="s">
        <v>438</v>
      </c>
      <c r="AS72" s="493" t="s">
        <v>439</v>
      </c>
      <c r="AT72" s="495" t="s">
        <v>16</v>
      </c>
      <c r="AU72" s="496" t="s">
        <v>16</v>
      </c>
      <c r="AV72" s="497"/>
      <c r="AX72" s="502" t="s">
        <v>21</v>
      </c>
      <c r="AY72" s="502" t="s">
        <v>17</v>
      </c>
      <c r="AZ72" s="503" t="s">
        <v>22</v>
      </c>
      <c r="BA72" s="504" t="s">
        <v>23</v>
      </c>
      <c r="BC72" s="475" t="s">
        <v>440</v>
      </c>
      <c r="BD72" s="475" t="s">
        <v>441</v>
      </c>
      <c r="BE72" s="475" t="s">
        <v>24</v>
      </c>
      <c r="BF72" s="475" t="s">
        <v>25</v>
      </c>
      <c r="BG72" s="475" t="s">
        <v>26</v>
      </c>
      <c r="BH72" s="475" t="s">
        <v>27</v>
      </c>
      <c r="BI72" s="475" t="s">
        <v>28</v>
      </c>
      <c r="BJ72" s="475" t="s">
        <v>442</v>
      </c>
      <c r="BK72" s="475" t="s">
        <v>29</v>
      </c>
      <c r="BL72" s="475" t="s">
        <v>30</v>
      </c>
      <c r="BM72" s="505" t="s">
        <v>443</v>
      </c>
      <c r="BN72" s="505" t="s">
        <v>444</v>
      </c>
      <c r="BO72" s="505" t="s">
        <v>445</v>
      </c>
      <c r="BP72" s="505" t="s">
        <v>446</v>
      </c>
      <c r="BQ72" s="505" t="s">
        <v>447</v>
      </c>
      <c r="BR72" s="506"/>
      <c r="BS72" s="493" t="s">
        <v>448</v>
      </c>
      <c r="BT72" s="493" t="s">
        <v>449</v>
      </c>
      <c r="BU72" s="494" t="s">
        <v>450</v>
      </c>
      <c r="BV72" s="495" t="s">
        <v>451</v>
      </c>
      <c r="BW72" s="496" t="s">
        <v>452</v>
      </c>
    </row>
    <row r="73" spans="1:75">
      <c r="B73" s="507" t="s">
        <v>31</v>
      </c>
      <c r="C73" s="508">
        <v>97</v>
      </c>
      <c r="D73" s="509">
        <f>E73-C73</f>
        <v>5979</v>
      </c>
      <c r="E73" s="510">
        <v>6076</v>
      </c>
      <c r="F73" s="508">
        <v>75</v>
      </c>
      <c r="G73" s="509">
        <f>H73-F73</f>
        <v>5947</v>
      </c>
      <c r="H73" s="510">
        <v>6022</v>
      </c>
      <c r="I73" s="511"/>
      <c r="K73" s="512">
        <f>(C73/E73)/(F73/H73)</f>
        <v>1.2818389291200352</v>
      </c>
      <c r="L73" s="513">
        <f>(D73/(C73*E73)+(G73/(F73*H73)))</f>
        <v>2.3311971933921552E-2</v>
      </c>
      <c r="M73" s="514">
        <f>1/L73</f>
        <v>42.896414032863824</v>
      </c>
      <c r="N73" s="515">
        <f>LN(K73)</f>
        <v>0.24829571029308808</v>
      </c>
      <c r="O73" s="515">
        <f>M73*N73</f>
        <v>10.650995591316315</v>
      </c>
      <c r="P73" s="515">
        <f>LN(K73)</f>
        <v>0.24829571029308808</v>
      </c>
      <c r="Q73" s="600">
        <f>K73</f>
        <v>1.2818389291200352</v>
      </c>
      <c r="R73" s="517">
        <f>SQRT(1/M73)</f>
        <v>0.15268258556207892</v>
      </c>
      <c r="S73" s="518">
        <f>$H$2</f>
        <v>1.9599639845400536</v>
      </c>
      <c r="T73" s="519">
        <f>P73-(R73*S73)</f>
        <v>-5.0956658475041799E-2</v>
      </c>
      <c r="U73" s="519">
        <f>P73+(R73*S73)</f>
        <v>0.54754807906121794</v>
      </c>
      <c r="V73" s="520">
        <f>EXP(T73)</f>
        <v>0.95031985795169938</v>
      </c>
      <c r="W73" s="521">
        <f>EXP(U73)</f>
        <v>1.7290084243310746</v>
      </c>
      <c r="X73" s="522"/>
      <c r="Z73" s="523">
        <f>(N73-P77)^2</f>
        <v>9.2298618083658968E-2</v>
      </c>
      <c r="AA73" s="521">
        <f>M73*Z73</f>
        <v>3.9592797359778071</v>
      </c>
      <c r="AB73" s="473">
        <v>1</v>
      </c>
      <c r="AC73" s="506"/>
      <c r="AD73" s="506"/>
      <c r="AE73" s="514">
        <f>M73^2</f>
        <v>1840.1023368788765</v>
      </c>
      <c r="AF73" s="524"/>
      <c r="AG73" s="525">
        <f>AG77</f>
        <v>1.6903998645458527E-2</v>
      </c>
      <c r="AH73" s="525">
        <f>AH77</f>
        <v>1.6903998645458527E-2</v>
      </c>
      <c r="AI73" s="521">
        <f>1/M73</f>
        <v>2.3311971933921552E-2</v>
      </c>
      <c r="AJ73" s="526">
        <f>1/(AH73+AI73)</f>
        <v>24.865743275452111</v>
      </c>
      <c r="AK73" s="527">
        <f>AJ73/AJ77</f>
        <v>0.22102483046263055</v>
      </c>
      <c r="AL73" s="528">
        <f>AJ73*N73</f>
        <v>6.1740573885439609</v>
      </c>
      <c r="AM73" s="528">
        <f>AL73/AJ73</f>
        <v>0.24829571029308811</v>
      </c>
      <c r="AN73" s="521">
        <f>EXP(AM73)</f>
        <v>1.2818389291200352</v>
      </c>
      <c r="AO73" s="529">
        <f>1/AJ73</f>
        <v>4.0215970579380075E-2</v>
      </c>
      <c r="AP73" s="521">
        <f>SQRT(AO73)</f>
        <v>0.20053919960790728</v>
      </c>
      <c r="AQ73" s="518">
        <f>$H$2</f>
        <v>1.9599639845400536</v>
      </c>
      <c r="AR73" s="519">
        <f>AM73-(AQ73*AP73)</f>
        <v>-0.14475389842689901</v>
      </c>
      <c r="AS73" s="519">
        <f>AM73+(1.96*AP73)</f>
        <v>0.64135254152458643</v>
      </c>
      <c r="AT73" s="530">
        <f>EXP(AR73)</f>
        <v>0.86523520265545562</v>
      </c>
      <c r="AU73" s="530">
        <f>EXP(AS73)</f>
        <v>1.8990476839083987</v>
      </c>
      <c r="AV73" s="491"/>
      <c r="AX73" s="531"/>
      <c r="AY73" s="531">
        <v>1</v>
      </c>
      <c r="AZ73" s="532"/>
      <c r="BA73" s="532"/>
      <c r="BC73" s="506"/>
      <c r="BD73" s="506"/>
      <c r="BE73" s="473"/>
      <c r="BF73" s="473"/>
      <c r="BG73" s="473"/>
      <c r="BH73" s="473"/>
      <c r="BI73" s="473"/>
      <c r="BJ73" s="473"/>
      <c r="BK73" s="473"/>
      <c r="BL73" s="473"/>
      <c r="BM73" s="506"/>
      <c r="BN73" s="506"/>
      <c r="BO73" s="506"/>
      <c r="BP73" s="506"/>
      <c r="BQ73" s="506"/>
      <c r="BR73" s="506"/>
      <c r="BS73" s="506"/>
      <c r="BT73" s="506"/>
      <c r="BU73" s="506"/>
      <c r="BV73" s="506"/>
      <c r="BW73" s="506"/>
    </row>
    <row r="74" spans="1:75">
      <c r="B74" s="507" t="s">
        <v>32</v>
      </c>
      <c r="C74" s="508">
        <v>101</v>
      </c>
      <c r="D74" s="509">
        <f>E74-C74</f>
        <v>6960</v>
      </c>
      <c r="E74" s="510">
        <v>7061</v>
      </c>
      <c r="F74" s="508">
        <v>126</v>
      </c>
      <c r="G74" s="509">
        <f>H74-F74</f>
        <v>6956</v>
      </c>
      <c r="H74" s="510">
        <v>7082</v>
      </c>
      <c r="I74" s="511"/>
      <c r="K74" s="512">
        <f>(C74/E74)/(F74/H74)</f>
        <v>0.80397128874681623</v>
      </c>
      <c r="L74" s="513">
        <f>(D74/(C74*E74)+(G74/(F74*H74)))</f>
        <v>1.7554671985956824E-2</v>
      </c>
      <c r="M74" s="514">
        <f>1/L74</f>
        <v>56.964892354580478</v>
      </c>
      <c r="N74" s="515">
        <f>LN(K74)</f>
        <v>-0.21819172095471642</v>
      </c>
      <c r="O74" s="515">
        <f>M74*N74</f>
        <v>-12.429267896846083</v>
      </c>
      <c r="P74" s="515">
        <f>LN(K74)</f>
        <v>-0.21819172095471642</v>
      </c>
      <c r="Q74" s="600">
        <f>K74</f>
        <v>0.80397128874681623</v>
      </c>
      <c r="R74" s="517">
        <f>SQRT(1/M74)</f>
        <v>0.1324940450962111</v>
      </c>
      <c r="S74" s="518">
        <f>$H$2</f>
        <v>1.9599639845400536</v>
      </c>
      <c r="T74" s="519">
        <f>P74-(R74*S74)</f>
        <v>-0.47787527750931591</v>
      </c>
      <c r="U74" s="519">
        <f>P74+(R74*S74)</f>
        <v>4.1491835599883037E-2</v>
      </c>
      <c r="V74" s="520">
        <f t="shared" ref="V74:W76" si="18">EXP(T74)</f>
        <v>0.62009953251732097</v>
      </c>
      <c r="W74" s="521">
        <f t="shared" si="18"/>
        <v>1.0423646515346499</v>
      </c>
      <c r="X74" s="522"/>
      <c r="Z74" s="523">
        <f>(N74-P77)^2</f>
        <v>2.6464962960002225E-2</v>
      </c>
      <c r="AA74" s="521">
        <f>M74*Z74</f>
        <v>1.5075737661844864</v>
      </c>
      <c r="AB74" s="473">
        <v>1</v>
      </c>
      <c r="AC74" s="506"/>
      <c r="AD74" s="506"/>
      <c r="AE74" s="514">
        <f>M74^2</f>
        <v>3244.9989609689414</v>
      </c>
      <c r="AF74" s="524"/>
      <c r="AG74" s="525">
        <f>AG77</f>
        <v>1.6903998645458527E-2</v>
      </c>
      <c r="AH74" s="525">
        <f>AH77</f>
        <v>1.6903998645458527E-2</v>
      </c>
      <c r="AI74" s="521">
        <f>1/M74</f>
        <v>1.7554671985956824E-2</v>
      </c>
      <c r="AJ74" s="526">
        <f>1/(AH74+AI74)</f>
        <v>29.020272160131391</v>
      </c>
      <c r="AK74" s="527">
        <f>AJ74/AJ77</f>
        <v>0.25795330801571681</v>
      </c>
      <c r="AL74" s="528">
        <f>AJ74*N74</f>
        <v>-6.3319831251933136</v>
      </c>
      <c r="AM74" s="528">
        <f>AL74/AJ74</f>
        <v>-0.21819172095471639</v>
      </c>
      <c r="AN74" s="521">
        <f>EXP(AM74)</f>
        <v>0.80397128874681623</v>
      </c>
      <c r="AO74" s="529">
        <f>1/AJ74</f>
        <v>3.4458670631415347E-2</v>
      </c>
      <c r="AP74" s="521">
        <f>SQRT(AO74)</f>
        <v>0.18563046795021379</v>
      </c>
      <c r="AQ74" s="518">
        <f>$H$2</f>
        <v>1.9599639845400536</v>
      </c>
      <c r="AR74" s="519">
        <f>AM74-(AQ74*AP74)</f>
        <v>-0.58202075257045216</v>
      </c>
      <c r="AS74" s="519">
        <f>AM74+(1.96*AP74)</f>
        <v>0.14564399622770263</v>
      </c>
      <c r="AT74" s="530">
        <f t="shared" ref="AT74:AU76" si="19">EXP(AR74)</f>
        <v>0.55876809288830931</v>
      </c>
      <c r="AU74" s="530">
        <f t="shared" si="19"/>
        <v>1.1567842951646228</v>
      </c>
      <c r="AV74" s="491"/>
      <c r="AX74" s="531"/>
      <c r="AY74" s="531">
        <v>1</v>
      </c>
      <c r="AZ74" s="532"/>
      <c r="BA74" s="532"/>
      <c r="BC74" s="506"/>
      <c r="BD74" s="506"/>
      <c r="BE74" s="473"/>
      <c r="BF74" s="473"/>
      <c r="BG74" s="473"/>
      <c r="BH74" s="473"/>
      <c r="BI74" s="473"/>
      <c r="BJ74" s="473"/>
      <c r="BK74" s="473"/>
      <c r="BL74" s="473"/>
      <c r="BM74" s="506"/>
      <c r="BN74" s="506"/>
      <c r="BO74" s="506"/>
      <c r="BP74" s="506"/>
      <c r="BQ74" s="506"/>
      <c r="BR74" s="506"/>
      <c r="BS74" s="506"/>
      <c r="BT74" s="506"/>
      <c r="BU74" s="506"/>
      <c r="BV74" s="506"/>
      <c r="BW74" s="506"/>
    </row>
    <row r="75" spans="1:75">
      <c r="B75" s="507" t="s">
        <v>33</v>
      </c>
      <c r="C75" s="508">
        <v>90</v>
      </c>
      <c r="D75" s="509">
        <f>E75-C75</f>
        <v>9030</v>
      </c>
      <c r="E75" s="510">
        <v>9120</v>
      </c>
      <c r="F75" s="508">
        <v>102</v>
      </c>
      <c r="G75" s="509">
        <f>H75-F75</f>
        <v>8979</v>
      </c>
      <c r="H75" s="510">
        <v>9081</v>
      </c>
      <c r="I75" s="511"/>
      <c r="K75" s="512">
        <f>(C75/E75)/(F75/H75)</f>
        <v>0.87857972136222906</v>
      </c>
      <c r="L75" s="513">
        <f>(D75/(C75*E75)+(G75/(F75*H75)))</f>
        <v>2.0695263526097935E-2</v>
      </c>
      <c r="M75" s="514">
        <f>1/L75</f>
        <v>48.320235146507876</v>
      </c>
      <c r="N75" s="515">
        <f>LN(K75)</f>
        <v>-0.1294486283325548</v>
      </c>
      <c r="O75" s="515">
        <f>M75*N75</f>
        <v>-6.2549881604219495</v>
      </c>
      <c r="P75" s="515">
        <f>LN(K75)</f>
        <v>-0.1294486283325548</v>
      </c>
      <c r="Q75" s="600">
        <f>K75</f>
        <v>0.87857972136222906</v>
      </c>
      <c r="R75" s="517">
        <f>SQRT(1/M75)</f>
        <v>0.14385848437300433</v>
      </c>
      <c r="S75" s="518">
        <f>$H$2</f>
        <v>1.9599639845400536</v>
      </c>
      <c r="T75" s="519">
        <f>P75-(R75*S75)</f>
        <v>-0.41140607657416139</v>
      </c>
      <c r="U75" s="519">
        <f>P75+(R75*S75)</f>
        <v>0.15250881990905182</v>
      </c>
      <c r="V75" s="520">
        <f t="shared" si="18"/>
        <v>0.66271776279410144</v>
      </c>
      <c r="W75" s="521">
        <f t="shared" si="18"/>
        <v>1.164752735062502</v>
      </c>
      <c r="X75" s="522"/>
      <c r="Z75" s="523">
        <f>(N75-P77)^2</f>
        <v>5.4667483360087577E-3</v>
      </c>
      <c r="AA75" s="521">
        <f>M75*Z75</f>
        <v>0.26415456508272384</v>
      </c>
      <c r="AB75" s="473">
        <v>1</v>
      </c>
      <c r="AC75" s="506"/>
      <c r="AD75" s="506"/>
      <c r="AE75" s="514">
        <f>M75^2</f>
        <v>2334.8451246138152</v>
      </c>
      <c r="AF75" s="524"/>
      <c r="AG75" s="525">
        <f>AG77</f>
        <v>1.6903998645458527E-2</v>
      </c>
      <c r="AH75" s="525">
        <f>AH77</f>
        <v>1.6903998645458527E-2</v>
      </c>
      <c r="AI75" s="521">
        <f>1/M75</f>
        <v>2.0695263526097935E-2</v>
      </c>
      <c r="AJ75" s="526">
        <f>1/(AH75+AI75)</f>
        <v>26.596266581967452</v>
      </c>
      <c r="AK75" s="527">
        <f>AJ75/AJ77</f>
        <v>0.23640698156895937</v>
      </c>
      <c r="AL75" s="528">
        <f>AJ75*N75</f>
        <v>-3.4428502278026523</v>
      </c>
      <c r="AM75" s="528">
        <f>AL75/AJ75</f>
        <v>-0.1294486283325548</v>
      </c>
      <c r="AN75" s="521">
        <f>EXP(AM75)</f>
        <v>0.87857972136222906</v>
      </c>
      <c r="AO75" s="529">
        <f>1/AJ75</f>
        <v>3.7599262171556458E-2</v>
      </c>
      <c r="AP75" s="521">
        <f>SQRT(AO75)</f>
        <v>0.19390529175748777</v>
      </c>
      <c r="AQ75" s="518">
        <f>$H$2</f>
        <v>1.9599639845400536</v>
      </c>
      <c r="AR75" s="519">
        <f>AM75-(AQ75*AP75)</f>
        <v>-0.50949601658896215</v>
      </c>
      <c r="AS75" s="519">
        <f>AM75+(1.96*AP75)</f>
        <v>0.25060574351212128</v>
      </c>
      <c r="AT75" s="530">
        <f t="shared" si="19"/>
        <v>0.60079829489792413</v>
      </c>
      <c r="AU75" s="530">
        <f t="shared" si="19"/>
        <v>1.2848034423715142</v>
      </c>
      <c r="AV75" s="491"/>
      <c r="AX75" s="531"/>
      <c r="AY75" s="531">
        <v>1</v>
      </c>
      <c r="AZ75" s="532"/>
      <c r="BA75" s="532"/>
      <c r="BC75" s="506"/>
      <c r="BD75" s="506"/>
      <c r="BE75" s="473"/>
      <c r="BF75" s="473"/>
      <c r="BG75" s="473"/>
      <c r="BH75" s="473"/>
      <c r="BI75" s="473"/>
      <c r="BJ75" s="473"/>
      <c r="BK75" s="473"/>
      <c r="BL75" s="473"/>
      <c r="BM75" s="506"/>
      <c r="BN75" s="506"/>
      <c r="BO75" s="506"/>
      <c r="BP75" s="506"/>
      <c r="BQ75" s="506"/>
      <c r="BR75" s="506"/>
      <c r="BS75" s="506"/>
      <c r="BT75" s="506"/>
      <c r="BU75" s="506"/>
      <c r="BV75" s="506"/>
      <c r="BW75" s="506"/>
    </row>
    <row r="76" spans="1:75">
      <c r="B76" s="507" t="s">
        <v>34</v>
      </c>
      <c r="C76" s="508">
        <v>133</v>
      </c>
      <c r="D76" s="509">
        <f>E76-C76</f>
        <v>6902</v>
      </c>
      <c r="E76" s="510">
        <v>7035</v>
      </c>
      <c r="F76" s="508">
        <v>141</v>
      </c>
      <c r="G76" s="509">
        <f>H76-F76</f>
        <v>6895</v>
      </c>
      <c r="H76" s="510">
        <v>7036</v>
      </c>
      <c r="I76" s="511"/>
      <c r="K76" s="512">
        <f>(C76/E76)/(F76/H76)</f>
        <v>0.94339649271373627</v>
      </c>
      <c r="L76" s="513">
        <f>(D76/(C76*E76)+(G76/(F76*H76)))</f>
        <v>1.4326722955165591E-2</v>
      </c>
      <c r="M76" s="514">
        <f>1/L76</f>
        <v>69.799632695447897</v>
      </c>
      <c r="N76" s="515">
        <f>LN(K76)</f>
        <v>-5.8268625847455173E-2</v>
      </c>
      <c r="O76" s="515">
        <f>M76*N76</f>
        <v>-4.0671286818208525</v>
      </c>
      <c r="P76" s="515">
        <f>LN(K76)</f>
        <v>-5.8268625847455173E-2</v>
      </c>
      <c r="Q76" s="600">
        <f>K76</f>
        <v>0.94339649271373627</v>
      </c>
      <c r="R76" s="517">
        <f>SQRT(1/M76)</f>
        <v>0.11969428956790541</v>
      </c>
      <c r="S76" s="518">
        <f>$H$2</f>
        <v>1.9599639845400536</v>
      </c>
      <c r="T76" s="519">
        <f>P76-(R76*S76)</f>
        <v>-0.29286512255565805</v>
      </c>
      <c r="U76" s="519">
        <f>P76+(R76*S76)</f>
        <v>0.17632787086074769</v>
      </c>
      <c r="V76" s="520">
        <f t="shared" si="18"/>
        <v>0.74612276904307573</v>
      </c>
      <c r="W76" s="521">
        <f t="shared" si="18"/>
        <v>1.192829088443482</v>
      </c>
      <c r="X76" s="522"/>
      <c r="Z76" s="523">
        <f>(N76-P77)^2</f>
        <v>7.6035848040172395E-6</v>
      </c>
      <c r="AA76" s="521">
        <f>M76*Z76</f>
        <v>5.3072742648909246E-4</v>
      </c>
      <c r="AB76" s="473">
        <v>1</v>
      </c>
      <c r="AC76" s="506"/>
      <c r="AD76" s="506"/>
      <c r="AE76" s="514">
        <f>M76^2</f>
        <v>4871.9887244194388</v>
      </c>
      <c r="AF76" s="524"/>
      <c r="AG76" s="525">
        <f>AG77</f>
        <v>1.6903998645458527E-2</v>
      </c>
      <c r="AH76" s="525">
        <f>AH77</f>
        <v>1.6903998645458527E-2</v>
      </c>
      <c r="AI76" s="521">
        <f>1/M76</f>
        <v>1.4326722955165589E-2</v>
      </c>
      <c r="AJ76" s="526">
        <f>1/(AH76+AI76)</f>
        <v>32.019753266924702</v>
      </c>
      <c r="AK76" s="527">
        <f>AJ76/AJ77</f>
        <v>0.2846148799526933</v>
      </c>
      <c r="AL76" s="528">
        <f>AJ76*N76</f>
        <v>-1.865747022838266</v>
      </c>
      <c r="AM76" s="528">
        <f>AL76/AJ76</f>
        <v>-5.8268625847455173E-2</v>
      </c>
      <c r="AN76" s="521">
        <f>EXP(AM76)</f>
        <v>0.94339649271373627</v>
      </c>
      <c r="AO76" s="529">
        <f>1/AJ76</f>
        <v>3.1230721600624119E-2</v>
      </c>
      <c r="AP76" s="521">
        <f>SQRT(AO76)</f>
        <v>0.17672215933669472</v>
      </c>
      <c r="AQ76" s="518">
        <f>$H$2</f>
        <v>1.9599639845400536</v>
      </c>
      <c r="AR76" s="519">
        <f>AM76-(AQ76*AP76)</f>
        <v>-0.40463769341752559</v>
      </c>
      <c r="AS76" s="519">
        <f>AM76+(1.96*AP76)</f>
        <v>0.28810680645246645</v>
      </c>
      <c r="AT76" s="530">
        <f t="shared" si="19"/>
        <v>0.66721850472840238</v>
      </c>
      <c r="AU76" s="530">
        <f t="shared" si="19"/>
        <v>1.3338997656172571</v>
      </c>
      <c r="AV76" s="491"/>
      <c r="AX76" s="531"/>
      <c r="AY76" s="531">
        <v>1</v>
      </c>
      <c r="AZ76" s="532"/>
      <c r="BA76" s="532"/>
      <c r="BC76" s="506"/>
      <c r="BD76" s="506"/>
      <c r="BE76" s="473"/>
      <c r="BF76" s="473"/>
      <c r="BG76" s="473"/>
      <c r="BH76" s="473"/>
      <c r="BI76" s="473"/>
      <c r="BJ76" s="473"/>
      <c r="BK76" s="473"/>
      <c r="BL76" s="473"/>
      <c r="BM76" s="506"/>
      <c r="BN76" s="506"/>
      <c r="BO76" s="506"/>
      <c r="BP76" s="506"/>
      <c r="BQ76" s="506"/>
      <c r="BR76" s="506"/>
      <c r="BS76" s="506"/>
      <c r="BT76" s="506"/>
      <c r="BU76" s="506"/>
      <c r="BV76" s="506"/>
      <c r="BW76" s="506"/>
    </row>
    <row r="77" spans="1:75">
      <c r="B77" s="533">
        <f>COUNT(D73:D76)</f>
        <v>4</v>
      </c>
      <c r="C77" s="534">
        <f t="shared" ref="C77:H77" si="20">SUM(C73:C76)</f>
        <v>421</v>
      </c>
      <c r="D77" s="534">
        <f t="shared" si="20"/>
        <v>28871</v>
      </c>
      <c r="E77" s="534">
        <f t="shared" si="20"/>
        <v>29292</v>
      </c>
      <c r="F77" s="534">
        <f t="shared" si="20"/>
        <v>444</v>
      </c>
      <c r="G77" s="534">
        <f t="shared" si="20"/>
        <v>28777</v>
      </c>
      <c r="H77" s="534">
        <f t="shared" si="20"/>
        <v>29221</v>
      </c>
      <c r="I77" s="535"/>
      <c r="K77" s="536"/>
      <c r="L77" s="607"/>
      <c r="M77" s="538">
        <f>SUM(M73:M76)</f>
        <v>217.9811742294001</v>
      </c>
      <c r="N77" s="539"/>
      <c r="O77" s="540">
        <f>SUM(O73:O76)</f>
        <v>-12.100389147772569</v>
      </c>
      <c r="P77" s="541">
        <f>O77/M77</f>
        <v>-5.5511166001144217E-2</v>
      </c>
      <c r="Q77" s="542">
        <f>EXP(P77)</f>
        <v>0.94600146055806988</v>
      </c>
      <c r="R77" s="543">
        <f>SQRT(1/M77)</f>
        <v>6.7731470745704014E-2</v>
      </c>
      <c r="S77" s="518">
        <f>$H$2</f>
        <v>1.9599639845400536</v>
      </c>
      <c r="T77" s="544">
        <f>P77-(R77*S77)</f>
        <v>-0.18826240928265234</v>
      </c>
      <c r="U77" s="544">
        <f>P77+(R77*S77)</f>
        <v>7.7240077280363889E-2</v>
      </c>
      <c r="V77" s="545">
        <f>EXP(T77)</f>
        <v>0.82839729956790276</v>
      </c>
      <c r="W77" s="546">
        <f>EXP(U77)</f>
        <v>1.0803014010847172</v>
      </c>
      <c r="X77" s="547"/>
      <c r="Y77" s="547"/>
      <c r="Z77" s="548"/>
      <c r="AA77" s="549">
        <f>SUM(AA73:AA76)</f>
        <v>5.7315387946715068</v>
      </c>
      <c r="AB77" s="550">
        <f>SUM(AB73:AB76)</f>
        <v>4</v>
      </c>
      <c r="AC77" s="551">
        <f>AA77-(AB77-1)</f>
        <v>2.7315387946715068</v>
      </c>
      <c r="AD77" s="538">
        <f>M77</f>
        <v>217.9811742294001</v>
      </c>
      <c r="AE77" s="538">
        <f>SUM(AE73:AE76)</f>
        <v>12291.935146881071</v>
      </c>
      <c r="AF77" s="552">
        <f>AE77/AD77</f>
        <v>56.389893257227911</v>
      </c>
      <c r="AG77" s="553">
        <f>AC77/(AD77-AF77)</f>
        <v>1.6903998645458527E-2</v>
      </c>
      <c r="AH77" s="553">
        <f>IF(AA77&lt;AB77-1,"0",AG77)</f>
        <v>1.6903998645458527E-2</v>
      </c>
      <c r="AI77" s="548"/>
      <c r="AJ77" s="538">
        <f>SUM(AJ73:AJ76)</f>
        <v>112.50203528447565</v>
      </c>
      <c r="AK77" s="554">
        <f>SUM(AK73:AK76)</f>
        <v>1</v>
      </c>
      <c r="AL77" s="551">
        <f>SUM(AL73:AL76)</f>
        <v>-5.4665229872902712</v>
      </c>
      <c r="AM77" s="551">
        <f>AL77/AJ77</f>
        <v>-4.8590436372706283E-2</v>
      </c>
      <c r="AN77" s="608">
        <f>EXP(AM77)</f>
        <v>0.95257118832728582</v>
      </c>
      <c r="AO77" s="556">
        <f>1/AJ77</f>
        <v>8.8887280791976192E-3</v>
      </c>
      <c r="AP77" s="557">
        <f>SQRT(AO77)</f>
        <v>9.4280051332175346E-2</v>
      </c>
      <c r="AQ77" s="518">
        <f>$H$2</f>
        <v>1.9599639845400536</v>
      </c>
      <c r="AR77" s="544">
        <f>AM77-(AQ77*AP77)</f>
        <v>-0.23337594144435747</v>
      </c>
      <c r="AS77" s="544">
        <f>AM77+(1.96*AP77)</f>
        <v>0.13619846423835741</v>
      </c>
      <c r="AT77" s="558">
        <f>EXP(AR77)</f>
        <v>0.79185582613702854</v>
      </c>
      <c r="AU77" s="559">
        <f>EXP(AS77)</f>
        <v>1.1459092930438568</v>
      </c>
      <c r="AV77" s="609"/>
      <c r="AW77" s="468"/>
      <c r="AX77" s="561">
        <f>AA77</f>
        <v>5.7315387946715068</v>
      </c>
      <c r="AY77" s="533">
        <f>SUM(AY73:AY76)</f>
        <v>4</v>
      </c>
      <c r="AZ77" s="562">
        <f>(AX77-(AY77-1))/AX77</f>
        <v>0.47658035521123265</v>
      </c>
      <c r="BA77" s="563">
        <f>IF(AA77&lt;AB77-1,"0%",AZ77)</f>
        <v>0.47658035521123265</v>
      </c>
      <c r="BB77" s="468"/>
      <c r="BC77" s="540">
        <f>AX77/(AY77-1)</f>
        <v>1.9105129315571689</v>
      </c>
      <c r="BD77" s="564">
        <f>LN(BC77)</f>
        <v>0.64737175655878476</v>
      </c>
      <c r="BE77" s="540">
        <f>LN(AX77)</f>
        <v>1.7459840452268944</v>
      </c>
      <c r="BF77" s="540">
        <f>LN(AY77-1)</f>
        <v>1.0986122886681098</v>
      </c>
      <c r="BG77" s="540">
        <f>SQRT(2*AX77)</f>
        <v>3.3857167024638986</v>
      </c>
      <c r="BH77" s="540">
        <f>SQRT(2*AY77-3)</f>
        <v>2.2360679774997898</v>
      </c>
      <c r="BI77" s="540">
        <f>2*(AY77-2)</f>
        <v>4</v>
      </c>
      <c r="BJ77" s="540">
        <f>3*(AY77-2)^2</f>
        <v>12</v>
      </c>
      <c r="BK77" s="540">
        <f>1/BI77</f>
        <v>0.25</v>
      </c>
      <c r="BL77" s="540">
        <f>1/BJ77</f>
        <v>8.3333333333333329E-2</v>
      </c>
      <c r="BM77" s="540">
        <f>SQRT(BK77*(1-BL77))</f>
        <v>0.47871355387816905</v>
      </c>
      <c r="BN77" s="564">
        <f>0.5*(BE77-BF77)/(BG77-BH77)</f>
        <v>0.28155198301072143</v>
      </c>
      <c r="BO77" s="564">
        <f>IF(AA77&lt;=AB77,BM77,BN77)</f>
        <v>0.28155198301072143</v>
      </c>
      <c r="BP77" s="551">
        <f>BD77-(1.96*BO77)</f>
        <v>9.5529869857770788E-2</v>
      </c>
      <c r="BQ77" s="551">
        <f>BD77+(1.96*BO77)</f>
        <v>1.1992136432597986</v>
      </c>
      <c r="BR77" s="551"/>
      <c r="BS77" s="564">
        <f>EXP(BP77)</f>
        <v>1.1002416856057804</v>
      </c>
      <c r="BT77" s="564">
        <f>EXP(BQ77)</f>
        <v>3.3175071526557245</v>
      </c>
      <c r="BU77" s="565">
        <f>BA77</f>
        <v>0.47658035521123265</v>
      </c>
      <c r="BV77" s="565">
        <f>(BS77-1)/BS77</f>
        <v>9.1108787203048464E-2</v>
      </c>
      <c r="BW77" s="565">
        <f>(BT77-1)/BT77</f>
        <v>0.69856884884197401</v>
      </c>
    </row>
    <row r="78" spans="1:75" ht="13.5" thickBot="1">
      <c r="C78" s="566"/>
      <c r="D78" s="566"/>
      <c r="E78" s="566"/>
      <c r="F78" s="566"/>
      <c r="G78" s="566"/>
      <c r="H78" s="566"/>
      <c r="I78" s="567"/>
      <c r="R78" s="568"/>
      <c r="S78" s="568"/>
      <c r="T78" s="568"/>
      <c r="U78" s="568"/>
      <c r="V78" s="568"/>
      <c r="W78" s="568"/>
      <c r="X78" s="568"/>
      <c r="AB78" s="569"/>
      <c r="AC78" s="570"/>
      <c r="AD78" s="570"/>
      <c r="AE78" s="570"/>
      <c r="AF78" s="572"/>
      <c r="AG78" s="572"/>
      <c r="AH78" s="572"/>
      <c r="AI78" s="572"/>
      <c r="AT78" s="573"/>
      <c r="AU78" s="573"/>
      <c r="AV78" s="573"/>
      <c r="AX78" s="480" t="s">
        <v>35</v>
      </c>
      <c r="BG78" s="483"/>
      <c r="BN78" s="570" t="s">
        <v>36</v>
      </c>
      <c r="BT78" s="574" t="s">
        <v>37</v>
      </c>
      <c r="BU78" s="575">
        <f>BU77</f>
        <v>0.47658035521123265</v>
      </c>
      <c r="BV78" s="576">
        <f>IF(BV77&lt;0,"0%",BV77)</f>
        <v>9.1108787203048464E-2</v>
      </c>
      <c r="BW78" s="577">
        <f>IF(BW77&lt;0,"0%",BW77)</f>
        <v>0.69856884884197401</v>
      </c>
    </row>
    <row r="79" spans="1:75" ht="26.5" thickBot="1">
      <c r="A79" s="477"/>
      <c r="B79" s="480"/>
      <c r="C79" s="606"/>
      <c r="D79" s="580"/>
      <c r="E79" s="580"/>
      <c r="F79" s="580"/>
      <c r="G79" s="580"/>
      <c r="H79" s="580"/>
      <c r="I79" s="581"/>
      <c r="J79" s="480"/>
      <c r="K79" s="480"/>
      <c r="R79" s="582"/>
      <c r="S79" s="582"/>
      <c r="T79" s="582"/>
      <c r="U79" s="582"/>
      <c r="V79" s="582"/>
      <c r="W79" s="582"/>
      <c r="X79" s="582"/>
      <c r="AF79" s="472"/>
      <c r="AI79" s="483"/>
      <c r="AJ79" s="583"/>
      <c r="AK79" s="583"/>
      <c r="AL79" s="584"/>
      <c r="AM79" s="585"/>
      <c r="AN79" s="586"/>
      <c r="AO79" s="587" t="s">
        <v>453</v>
      </c>
      <c r="AP79" s="588">
        <f>TINV((1-$H$1),(AB77-2))</f>
        <v>4.3026527297494619</v>
      </c>
      <c r="AR79" s="589" t="s">
        <v>38</v>
      </c>
      <c r="AS79" s="590">
        <f>$H$1</f>
        <v>0.95</v>
      </c>
      <c r="AT79" s="591">
        <f>EXP(AM77-AP79*SQRT((1/AD77)+AH77))</f>
        <v>0.50694174104424738</v>
      </c>
      <c r="AU79" s="592">
        <f>EXP(AM77+AP79*SQRT((1/AD77)+AH77))</f>
        <v>1.7899332317005976</v>
      </c>
      <c r="AV79" s="491"/>
      <c r="AX79" s="593">
        <f>_xlfn.CHISQ.DIST.RT(AX77,AY77-1)</f>
        <v>0.12542754490931018</v>
      </c>
      <c r="AY79" s="594" t="str">
        <f>IF(AX79&lt;0.05,"heterogeneidad","homogeneidad")</f>
        <v>homogeneidad</v>
      </c>
      <c r="BF79" s="595"/>
      <c r="BG79" s="483"/>
      <c r="BH79" s="483"/>
      <c r="BJ79" s="522"/>
      <c r="BL79" s="483"/>
      <c r="BM79" s="596"/>
      <c r="BQ79" s="483"/>
    </row>
    <row r="80" spans="1:75" ht="14.5">
      <c r="B80" s="480"/>
      <c r="C80" s="580"/>
      <c r="D80" s="580"/>
      <c r="E80" s="580"/>
      <c r="F80" s="580"/>
      <c r="G80" s="580"/>
      <c r="H80" s="580"/>
      <c r="I80" s="581"/>
      <c r="J80" s="480"/>
      <c r="K80" s="480"/>
      <c r="R80" s="582"/>
      <c r="S80" s="582"/>
      <c r="T80" s="582"/>
      <c r="U80" s="582"/>
      <c r="V80" s="582"/>
      <c r="W80" s="582"/>
      <c r="X80" s="582"/>
      <c r="AF80" s="472"/>
      <c r="AI80" s="483"/>
      <c r="AJ80" s="583"/>
      <c r="AK80" s="583"/>
      <c r="AL80" s="584"/>
      <c r="AM80" s="585"/>
      <c r="AN80" s="597"/>
      <c r="AO80" s="598"/>
      <c r="AP80" s="487"/>
      <c r="AS80" s="599"/>
      <c r="AT80" s="491"/>
      <c r="AU80" s="491"/>
      <c r="AV80" s="491"/>
      <c r="BF80" s="595"/>
      <c r="BG80" s="483"/>
      <c r="BH80" s="483"/>
      <c r="BJ80" s="522"/>
      <c r="BL80" s="483"/>
      <c r="BM80" s="596"/>
      <c r="BQ80" s="483"/>
    </row>
    <row r="81" spans="1:75">
      <c r="C81" s="566"/>
      <c r="D81" s="566"/>
      <c r="E81" s="566"/>
      <c r="F81" s="566"/>
      <c r="G81" s="566"/>
      <c r="H81" s="566"/>
      <c r="I81" s="567"/>
      <c r="J81" s="624" t="s">
        <v>4</v>
      </c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6"/>
      <c r="X81" s="484"/>
      <c r="Y81" s="624" t="s">
        <v>5</v>
      </c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6"/>
      <c r="AV81" s="484"/>
      <c r="AW81" s="624" t="s">
        <v>6</v>
      </c>
      <c r="AX81" s="625"/>
      <c r="AY81" s="625"/>
      <c r="AZ81" s="625"/>
      <c r="BA81" s="625"/>
      <c r="BB81" s="625"/>
      <c r="BC81" s="625"/>
      <c r="BD81" s="625"/>
      <c r="BE81" s="625"/>
      <c r="BF81" s="625"/>
      <c r="BG81" s="625"/>
      <c r="BH81" s="625"/>
      <c r="BI81" s="625"/>
      <c r="BJ81" s="625"/>
      <c r="BK81" s="625"/>
      <c r="BL81" s="625"/>
      <c r="BM81" s="625"/>
      <c r="BN81" s="625"/>
      <c r="BO81" s="625"/>
      <c r="BP81" s="625"/>
      <c r="BQ81" s="625"/>
      <c r="BR81" s="625"/>
      <c r="BS81" s="625"/>
      <c r="BT81" s="625"/>
      <c r="BU81" s="625"/>
      <c r="BV81" s="625"/>
      <c r="BW81" s="626"/>
    </row>
    <row r="82" spans="1:75">
      <c r="A82" s="485" t="s">
        <v>71</v>
      </c>
      <c r="B82" s="486" t="s">
        <v>8</v>
      </c>
      <c r="C82" s="623" t="s">
        <v>9</v>
      </c>
      <c r="D82" s="623"/>
      <c r="E82" s="623"/>
      <c r="F82" s="623" t="s">
        <v>10</v>
      </c>
      <c r="G82" s="623"/>
      <c r="H82" s="623"/>
      <c r="I82" s="487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  <c r="BG82" s="488"/>
      <c r="BH82" s="488"/>
      <c r="BI82" s="488"/>
      <c r="BJ82" s="488"/>
      <c r="BK82" s="488"/>
      <c r="BL82" s="488"/>
      <c r="BM82" s="488"/>
      <c r="BN82" s="488"/>
      <c r="BO82" s="488"/>
      <c r="BP82" s="488"/>
      <c r="BQ82" s="488"/>
      <c r="BR82" s="488"/>
      <c r="BS82" s="488"/>
      <c r="BT82" s="488"/>
      <c r="BU82" s="488"/>
      <c r="BV82" s="488"/>
      <c r="BW82" s="488"/>
    </row>
    <row r="83" spans="1:75" ht="60">
      <c r="B83" s="489" t="s">
        <v>72</v>
      </c>
      <c r="C83" s="490" t="s">
        <v>12</v>
      </c>
      <c r="D83" s="490" t="s">
        <v>13</v>
      </c>
      <c r="E83" s="490" t="s">
        <v>14</v>
      </c>
      <c r="F83" s="490" t="s">
        <v>12</v>
      </c>
      <c r="G83" s="490" t="s">
        <v>13</v>
      </c>
      <c r="H83" s="490" t="s">
        <v>14</v>
      </c>
      <c r="I83" s="491"/>
      <c r="K83" s="492" t="s">
        <v>416</v>
      </c>
      <c r="L83" s="492" t="s">
        <v>417</v>
      </c>
      <c r="M83" s="492" t="s">
        <v>418</v>
      </c>
      <c r="N83" s="493" t="s">
        <v>419</v>
      </c>
      <c r="O83" s="493" t="s">
        <v>15</v>
      </c>
      <c r="P83" s="493" t="s">
        <v>420</v>
      </c>
      <c r="Q83" s="494" t="s">
        <v>421</v>
      </c>
      <c r="R83" s="492" t="s">
        <v>422</v>
      </c>
      <c r="S83" s="475" t="s">
        <v>415</v>
      </c>
      <c r="T83" s="493" t="s">
        <v>423</v>
      </c>
      <c r="U83" s="493" t="s">
        <v>424</v>
      </c>
      <c r="V83" s="495" t="s">
        <v>16</v>
      </c>
      <c r="W83" s="496" t="s">
        <v>16</v>
      </c>
      <c r="X83" s="497"/>
      <c r="Y83" s="498"/>
      <c r="Z83" s="499" t="s">
        <v>425</v>
      </c>
      <c r="AA83" s="493" t="s">
        <v>426</v>
      </c>
      <c r="AB83" s="475" t="s">
        <v>17</v>
      </c>
      <c r="AC83" s="475" t="s">
        <v>18</v>
      </c>
      <c r="AD83" s="475" t="s">
        <v>427</v>
      </c>
      <c r="AE83" s="493" t="s">
        <v>428</v>
      </c>
      <c r="AF83" s="493" t="s">
        <v>429</v>
      </c>
      <c r="AG83" s="500" t="s">
        <v>19</v>
      </c>
      <c r="AH83" s="500" t="s">
        <v>20</v>
      </c>
      <c r="AI83" s="475" t="s">
        <v>430</v>
      </c>
      <c r="AJ83" s="493" t="s">
        <v>431</v>
      </c>
      <c r="AK83" s="493" t="s">
        <v>432</v>
      </c>
      <c r="AL83" s="493" t="s">
        <v>433</v>
      </c>
      <c r="AM83" s="475" t="s">
        <v>434</v>
      </c>
      <c r="AN83" s="501" t="s">
        <v>435</v>
      </c>
      <c r="AO83" s="493" t="s">
        <v>436</v>
      </c>
      <c r="AP83" s="493" t="s">
        <v>437</v>
      </c>
      <c r="AQ83" s="475" t="s">
        <v>415</v>
      </c>
      <c r="AR83" s="493" t="s">
        <v>438</v>
      </c>
      <c r="AS83" s="493" t="s">
        <v>439</v>
      </c>
      <c r="AT83" s="495" t="s">
        <v>16</v>
      </c>
      <c r="AU83" s="496" t="s">
        <v>16</v>
      </c>
      <c r="AV83" s="497"/>
      <c r="AX83" s="502" t="s">
        <v>21</v>
      </c>
      <c r="AY83" s="502" t="s">
        <v>17</v>
      </c>
      <c r="AZ83" s="503" t="s">
        <v>22</v>
      </c>
      <c r="BA83" s="504" t="s">
        <v>23</v>
      </c>
      <c r="BC83" s="475" t="s">
        <v>440</v>
      </c>
      <c r="BD83" s="475" t="s">
        <v>441</v>
      </c>
      <c r="BE83" s="475" t="s">
        <v>24</v>
      </c>
      <c r="BF83" s="475" t="s">
        <v>25</v>
      </c>
      <c r="BG83" s="475" t="s">
        <v>26</v>
      </c>
      <c r="BH83" s="475" t="s">
        <v>27</v>
      </c>
      <c r="BI83" s="475" t="s">
        <v>28</v>
      </c>
      <c r="BJ83" s="475" t="s">
        <v>442</v>
      </c>
      <c r="BK83" s="475" t="s">
        <v>29</v>
      </c>
      <c r="BL83" s="475" t="s">
        <v>30</v>
      </c>
      <c r="BM83" s="505" t="s">
        <v>443</v>
      </c>
      <c r="BN83" s="505" t="s">
        <v>444</v>
      </c>
      <c r="BO83" s="505" t="s">
        <v>445</v>
      </c>
      <c r="BP83" s="505" t="s">
        <v>446</v>
      </c>
      <c r="BQ83" s="505" t="s">
        <v>447</v>
      </c>
      <c r="BR83" s="506"/>
      <c r="BS83" s="493" t="s">
        <v>448</v>
      </c>
      <c r="BT83" s="493" t="s">
        <v>449</v>
      </c>
      <c r="BU83" s="494" t="s">
        <v>450</v>
      </c>
      <c r="BV83" s="495" t="s">
        <v>451</v>
      </c>
      <c r="BW83" s="496" t="s">
        <v>452</v>
      </c>
    </row>
    <row r="84" spans="1:75">
      <c r="B84" s="507" t="s">
        <v>31</v>
      </c>
      <c r="C84" s="508">
        <v>375</v>
      </c>
      <c r="D84" s="509">
        <f>E84-C84</f>
        <v>5701</v>
      </c>
      <c r="E84" s="510">
        <v>6076</v>
      </c>
      <c r="F84" s="508">
        <v>397</v>
      </c>
      <c r="G84" s="509">
        <f>H84-F84</f>
        <v>5625</v>
      </c>
      <c r="H84" s="510">
        <v>6022</v>
      </c>
      <c r="I84" s="511"/>
      <c r="K84" s="512">
        <f>(C84/E84)/(F84/H84)</f>
        <v>0.93618945912646379</v>
      </c>
      <c r="L84" s="513">
        <f>(D84/(C84*E84)+(G84/(F84*H84)))</f>
        <v>4.85491860439685E-3</v>
      </c>
      <c r="M84" s="514">
        <f>1/L84</f>
        <v>205.97667674476591</v>
      </c>
      <c r="N84" s="515">
        <f>LN(K84)</f>
        <v>-6.5937409390763757E-2</v>
      </c>
      <c r="O84" s="515">
        <f>M84*N84</f>
        <v>-13.581568459468638</v>
      </c>
      <c r="P84" s="515">
        <f>LN(K84)</f>
        <v>-6.5937409390763757E-2</v>
      </c>
      <c r="Q84" s="600">
        <f>K84</f>
        <v>0.93618945912646379</v>
      </c>
      <c r="R84" s="517">
        <f>SQRT(1/M84)</f>
        <v>6.9677245958755074E-2</v>
      </c>
      <c r="S84" s="518">
        <f>$H$2</f>
        <v>1.9599639845400536</v>
      </c>
      <c r="T84" s="519">
        <f>P84-(R84*S84)</f>
        <v>-0.2025023020118627</v>
      </c>
      <c r="U84" s="519">
        <f>P84+(R84*S84)</f>
        <v>7.0627483230335186E-2</v>
      </c>
      <c r="V84" s="520">
        <f>EXP(T84)</f>
        <v>0.81668460257830366</v>
      </c>
      <c r="W84" s="521">
        <f>EXP(U84)</f>
        <v>1.0731813733386344</v>
      </c>
      <c r="X84" s="522"/>
      <c r="Z84" s="523">
        <f>(N84-P88)^2</f>
        <v>8.1517138035556228E-3</v>
      </c>
      <c r="AA84" s="521">
        <f>M84*Z84</f>
        <v>1.6790629190308226</v>
      </c>
      <c r="AB84" s="473">
        <v>1</v>
      </c>
      <c r="AC84" s="506"/>
      <c r="AD84" s="506"/>
      <c r="AE84" s="514">
        <f>M84^2</f>
        <v>42426.391362817791</v>
      </c>
      <c r="AF84" s="524"/>
      <c r="AG84" s="525">
        <f>AG88</f>
        <v>2.1961576231410648E-2</v>
      </c>
      <c r="AH84" s="525">
        <f>AH88</f>
        <v>2.1961576231410648E-2</v>
      </c>
      <c r="AI84" s="521">
        <f>1/M84</f>
        <v>4.85491860439685E-3</v>
      </c>
      <c r="AJ84" s="526">
        <f>1/(AH84+AI84)</f>
        <v>37.290481329600212</v>
      </c>
      <c r="AK84" s="527">
        <f>AJ84/AJ88</f>
        <v>0.24830153593046123</v>
      </c>
      <c r="AL84" s="528">
        <f>AJ84*N84</f>
        <v>-2.4588377338084815</v>
      </c>
      <c r="AM84" s="528">
        <f>AL84/AJ84</f>
        <v>-6.5937409390763757E-2</v>
      </c>
      <c r="AN84" s="521">
        <f>EXP(AM84)</f>
        <v>0.93618945912646379</v>
      </c>
      <c r="AO84" s="529">
        <f>1/AJ84</f>
        <v>2.6816494835807499E-2</v>
      </c>
      <c r="AP84" s="521">
        <f>SQRT(AO84)</f>
        <v>0.16375742681114497</v>
      </c>
      <c r="AQ84" s="518">
        <f>$H$2</f>
        <v>1.9599639845400536</v>
      </c>
      <c r="AR84" s="519">
        <f>AM84-(AQ84*AP84)</f>
        <v>-0.38689606814156163</v>
      </c>
      <c r="AS84" s="519">
        <f>AM84+(1.96*AP84)</f>
        <v>0.25502714715908037</v>
      </c>
      <c r="AT84" s="530">
        <f>EXP(AR84)</f>
        <v>0.67916167779402226</v>
      </c>
      <c r="AU84" s="530">
        <f>EXP(AS84)</f>
        <v>1.2904966537153177</v>
      </c>
      <c r="AV84" s="491"/>
      <c r="AX84" s="531"/>
      <c r="AY84" s="531">
        <v>1</v>
      </c>
      <c r="AZ84" s="532"/>
      <c r="BA84" s="532"/>
      <c r="BC84" s="506"/>
      <c r="BD84" s="506"/>
      <c r="BE84" s="473"/>
      <c r="BF84" s="473"/>
      <c r="BG84" s="473"/>
      <c r="BH84" s="473"/>
      <c r="BI84" s="473"/>
      <c r="BJ84" s="473"/>
      <c r="BK84" s="473"/>
      <c r="BL84" s="473"/>
      <c r="BM84" s="506"/>
      <c r="BN84" s="506"/>
      <c r="BO84" s="506"/>
      <c r="BP84" s="506"/>
      <c r="BQ84" s="506"/>
      <c r="BR84" s="506"/>
      <c r="BS84" s="506"/>
      <c r="BT84" s="506"/>
      <c r="BU84" s="506"/>
      <c r="BV84" s="506"/>
      <c r="BW84" s="506"/>
    </row>
    <row r="85" spans="1:75">
      <c r="B85" s="507" t="s">
        <v>32</v>
      </c>
      <c r="C85" s="508">
        <v>395</v>
      </c>
      <c r="D85" s="509">
        <f>E85-C85</f>
        <v>6716</v>
      </c>
      <c r="E85" s="510">
        <v>7111</v>
      </c>
      <c r="F85" s="508">
        <v>386</v>
      </c>
      <c r="G85" s="509">
        <f>H85-F85</f>
        <v>6739</v>
      </c>
      <c r="H85" s="510">
        <v>7125</v>
      </c>
      <c r="I85" s="511"/>
      <c r="K85" s="512">
        <f>(C85/E85)/(F85/H85)</f>
        <v>1.025330747153028</v>
      </c>
      <c r="L85" s="513">
        <f>(D85/(C85*E85)+(G85/(F85*H85)))</f>
        <v>4.8413410702568462E-3</v>
      </c>
      <c r="M85" s="514">
        <f>1/L85</f>
        <v>206.55433804149379</v>
      </c>
      <c r="N85" s="515">
        <f>LN(K85)</f>
        <v>2.5015240689624411E-2</v>
      </c>
      <c r="O85" s="515">
        <f>M85*N85</f>
        <v>5.1670064815940107</v>
      </c>
      <c r="P85" s="515">
        <f>LN(K85)</f>
        <v>2.5015240689624411E-2</v>
      </c>
      <c r="Q85" s="600">
        <f>K85</f>
        <v>1.025330747153028</v>
      </c>
      <c r="R85" s="517">
        <f>SQRT(1/M85)</f>
        <v>6.9579746120957117E-2</v>
      </c>
      <c r="S85" s="518">
        <f>$H$2</f>
        <v>1.9599639845400536</v>
      </c>
      <c r="T85" s="519">
        <f>P85-(R85*S85)</f>
        <v>-0.11135855576089204</v>
      </c>
      <c r="U85" s="519">
        <f>P85+(R85*S85)</f>
        <v>0.16138903714014086</v>
      </c>
      <c r="V85" s="520">
        <f t="shared" ref="V85:W87" si="21">EXP(T85)</f>
        <v>0.89461792100574422</v>
      </c>
      <c r="W85" s="521">
        <f t="shared" si="21"/>
        <v>1.1751420538004584</v>
      </c>
      <c r="X85" s="522"/>
      <c r="Z85" s="523">
        <f>(N85-P88)^2</f>
        <v>3.284775341974594E-2</v>
      </c>
      <c r="AA85" s="521">
        <f>M85*Z85</f>
        <v>6.7848459637658367</v>
      </c>
      <c r="AB85" s="473">
        <v>1</v>
      </c>
      <c r="AC85" s="506"/>
      <c r="AD85" s="506"/>
      <c r="AE85" s="514">
        <f>M85^2</f>
        <v>42664.694563759687</v>
      </c>
      <c r="AF85" s="524"/>
      <c r="AG85" s="525">
        <f>AG88</f>
        <v>2.1961576231410648E-2</v>
      </c>
      <c r="AH85" s="525">
        <f>AH88</f>
        <v>2.1961576231410648E-2</v>
      </c>
      <c r="AI85" s="521">
        <f>1/M85</f>
        <v>4.8413410702568462E-3</v>
      </c>
      <c r="AJ85" s="526">
        <f>1/(AH85+AI85)</f>
        <v>37.309371541350352</v>
      </c>
      <c r="AK85" s="527">
        <f>AJ85/AJ88</f>
        <v>0.24842731785722569</v>
      </c>
      <c r="AL85" s="528">
        <f>AJ85*N85</f>
        <v>0.93330290908550229</v>
      </c>
      <c r="AM85" s="528">
        <f>AL85/AJ85</f>
        <v>2.5015240689624411E-2</v>
      </c>
      <c r="AN85" s="521">
        <f>EXP(AM85)</f>
        <v>1.025330747153028</v>
      </c>
      <c r="AO85" s="529">
        <f>1/AJ85</f>
        <v>2.6802917301667489E-2</v>
      </c>
      <c r="AP85" s="521">
        <f>SQRT(AO85)</f>
        <v>0.16371596532307864</v>
      </c>
      <c r="AQ85" s="518">
        <f>$H$2</f>
        <v>1.9599639845400536</v>
      </c>
      <c r="AR85" s="519">
        <f>AM85-(AQ85*AP85)</f>
        <v>-0.29586215503781804</v>
      </c>
      <c r="AS85" s="519">
        <f>AM85+(1.96*AP85)</f>
        <v>0.34589853272285853</v>
      </c>
      <c r="AT85" s="530">
        <f t="shared" ref="AT85:AU87" si="22">EXP(AR85)</f>
        <v>0.74388996243683048</v>
      </c>
      <c r="AU85" s="530">
        <f t="shared" si="22"/>
        <v>1.4132592089784193</v>
      </c>
      <c r="AV85" s="491"/>
      <c r="AX85" s="531"/>
      <c r="AY85" s="531">
        <v>1</v>
      </c>
      <c r="AZ85" s="532"/>
      <c r="BA85" s="532"/>
      <c r="BC85" s="506"/>
      <c r="BD85" s="506"/>
      <c r="BE85" s="473"/>
      <c r="BF85" s="473"/>
      <c r="BG85" s="473"/>
      <c r="BH85" s="473"/>
      <c r="BI85" s="473"/>
      <c r="BJ85" s="473"/>
      <c r="BK85" s="473"/>
      <c r="BL85" s="473"/>
      <c r="BM85" s="506"/>
      <c r="BN85" s="506"/>
      <c r="BO85" s="506"/>
      <c r="BP85" s="506"/>
      <c r="BQ85" s="506"/>
      <c r="BR85" s="506"/>
      <c r="BS85" s="506"/>
      <c r="BT85" s="506"/>
      <c r="BU85" s="506"/>
      <c r="BV85" s="506"/>
      <c r="BW85" s="506"/>
    </row>
    <row r="86" spans="1:75">
      <c r="B86" s="507" t="s">
        <v>33</v>
      </c>
      <c r="C86" s="508">
        <v>327</v>
      </c>
      <c r="D86" s="509">
        <f>E86-C86</f>
        <v>8761</v>
      </c>
      <c r="E86" s="510">
        <v>9088</v>
      </c>
      <c r="F86" s="508">
        <v>462</v>
      </c>
      <c r="G86" s="509">
        <f>H86-F86</f>
        <v>8590</v>
      </c>
      <c r="H86" s="510">
        <v>9052</v>
      </c>
      <c r="I86" s="511"/>
      <c r="K86" s="512">
        <f>(C86/E86)/(F86/H86)</f>
        <v>0.70498845344796046</v>
      </c>
      <c r="L86" s="513">
        <f>(D86/(C86*E86)+(G86/(F86*H86)))</f>
        <v>5.0020981050843544E-3</v>
      </c>
      <c r="M86" s="514">
        <f>1/L86</f>
        <v>199.91611099821407</v>
      </c>
      <c r="N86" s="515">
        <f>LN(K86)</f>
        <v>-0.34957385439199007</v>
      </c>
      <c r="O86" s="515">
        <f>M86*N86</f>
        <v>-69.885445476702614</v>
      </c>
      <c r="P86" s="515">
        <f>LN(K86)</f>
        <v>-0.34957385439199007</v>
      </c>
      <c r="Q86" s="600">
        <f>K86</f>
        <v>0.70498845344796046</v>
      </c>
      <c r="R86" s="517">
        <f>SQRT(1/M86)</f>
        <v>7.072551240595118E-2</v>
      </c>
      <c r="S86" s="518">
        <f>$H$2</f>
        <v>1.9599639845400536</v>
      </c>
      <c r="T86" s="519">
        <f>P86-(R86*S86)</f>
        <v>-0.48819331149579515</v>
      </c>
      <c r="U86" s="519">
        <f>P86+(R86*S86)</f>
        <v>-0.21095439728818499</v>
      </c>
      <c r="V86" s="520">
        <f t="shared" si="21"/>
        <v>0.6137342196946286</v>
      </c>
      <c r="W86" s="521">
        <f t="shared" si="21"/>
        <v>0.80981099561670233</v>
      </c>
      <c r="X86" s="522"/>
      <c r="Z86" s="523">
        <f>(N86-P88)^2</f>
        <v>3.7384069055207629E-2</v>
      </c>
      <c r="AA86" s="521">
        <f>M86*Z86</f>
        <v>7.4736776988057878</v>
      </c>
      <c r="AB86" s="473">
        <v>1</v>
      </c>
      <c r="AC86" s="506"/>
      <c r="AD86" s="506"/>
      <c r="AE86" s="514">
        <f>M86^2</f>
        <v>39966.451436650248</v>
      </c>
      <c r="AF86" s="524"/>
      <c r="AG86" s="525">
        <f>AG88</f>
        <v>2.1961576231410648E-2</v>
      </c>
      <c r="AH86" s="525">
        <f>AH88</f>
        <v>2.1961576231410648E-2</v>
      </c>
      <c r="AI86" s="521">
        <f>1/M86</f>
        <v>5.0020981050843544E-3</v>
      </c>
      <c r="AJ86" s="526">
        <f>1/(AH86+AI86)</f>
        <v>37.086933610027778</v>
      </c>
      <c r="AK86" s="527">
        <f>AJ86/AJ88</f>
        <v>0.24694619779582419</v>
      </c>
      <c r="AL86" s="528">
        <f>AJ86*N86</f>
        <v>-12.964622329637253</v>
      </c>
      <c r="AM86" s="528">
        <f>AL86/AJ86</f>
        <v>-0.34957385439199007</v>
      </c>
      <c r="AN86" s="521">
        <f>EXP(AM86)</f>
        <v>0.70498845344796046</v>
      </c>
      <c r="AO86" s="529">
        <f>1/AJ86</f>
        <v>2.6963674336495005E-2</v>
      </c>
      <c r="AP86" s="521">
        <f>SQRT(AO86)</f>
        <v>0.16420619457406291</v>
      </c>
      <c r="AQ86" s="518">
        <f>$H$2</f>
        <v>1.9599639845400536</v>
      </c>
      <c r="AR86" s="519">
        <f>AM86-(AQ86*AP86)</f>
        <v>-0.6714120817955298</v>
      </c>
      <c r="AS86" s="519">
        <f>AM86+(1.96*AP86)</f>
        <v>-2.7729713026826752E-2</v>
      </c>
      <c r="AT86" s="530">
        <f t="shared" si="22"/>
        <v>0.5109865133462409</v>
      </c>
      <c r="AU86" s="530">
        <f t="shared" si="22"/>
        <v>0.97265122623179812</v>
      </c>
      <c r="AV86" s="491"/>
      <c r="AX86" s="531"/>
      <c r="AY86" s="531">
        <v>1</v>
      </c>
      <c r="AZ86" s="532"/>
      <c r="BA86" s="532"/>
      <c r="BC86" s="506"/>
      <c r="BD86" s="506"/>
      <c r="BE86" s="473"/>
      <c r="BF86" s="473"/>
      <c r="BG86" s="473"/>
      <c r="BH86" s="473"/>
      <c r="BI86" s="473"/>
      <c r="BJ86" s="473"/>
      <c r="BK86" s="473"/>
      <c r="BL86" s="473"/>
      <c r="BM86" s="506"/>
      <c r="BN86" s="506"/>
      <c r="BO86" s="506"/>
      <c r="BP86" s="506"/>
      <c r="BQ86" s="506"/>
      <c r="BR86" s="506"/>
      <c r="BS86" s="506"/>
      <c r="BT86" s="506"/>
      <c r="BU86" s="506"/>
      <c r="BV86" s="506"/>
      <c r="BW86" s="506"/>
    </row>
    <row r="87" spans="1:75">
      <c r="B87" s="507" t="s">
        <v>34</v>
      </c>
      <c r="C87" s="508">
        <v>418</v>
      </c>
      <c r="D87" s="509">
        <f>E87-C87</f>
        <v>6594</v>
      </c>
      <c r="E87" s="510">
        <v>7012</v>
      </c>
      <c r="F87" s="508">
        <v>524</v>
      </c>
      <c r="G87" s="509">
        <f>H87-F87</f>
        <v>6488</v>
      </c>
      <c r="H87" s="510">
        <v>7012</v>
      </c>
      <c r="I87" s="511"/>
      <c r="K87" s="512">
        <f>(C87/E87)/(F87/H87)</f>
        <v>0.79770992366412208</v>
      </c>
      <c r="L87" s="513">
        <f>(D87/(C87*E87)+(G87/(F87*H87)))</f>
        <v>4.0155161161634142E-3</v>
      </c>
      <c r="M87" s="514">
        <f>1/L87</f>
        <v>249.03398992093705</v>
      </c>
      <c r="N87" s="515">
        <f>LN(K87)</f>
        <v>-0.22601025179628592</v>
      </c>
      <c r="O87" s="515">
        <f>M87*N87</f>
        <v>-56.28423476786471</v>
      </c>
      <c r="P87" s="515">
        <f>LN(K87)</f>
        <v>-0.22601025179628592</v>
      </c>
      <c r="Q87" s="600">
        <f>K87</f>
        <v>0.79770992366412208</v>
      </c>
      <c r="R87" s="517">
        <f>SQRT(1/M87)</f>
        <v>6.3368100146393963E-2</v>
      </c>
      <c r="S87" s="518">
        <f>$H$2</f>
        <v>1.9599639845400536</v>
      </c>
      <c r="T87" s="519">
        <f>P87-(R87*S87)</f>
        <v>-0.35020944585194536</v>
      </c>
      <c r="U87" s="519">
        <f>P87+(R87*S87)</f>
        <v>-0.10181105774062646</v>
      </c>
      <c r="V87" s="520">
        <f t="shared" si="21"/>
        <v>0.70454051117680272</v>
      </c>
      <c r="W87" s="521">
        <f t="shared" si="21"/>
        <v>0.90320018823237147</v>
      </c>
      <c r="X87" s="522"/>
      <c r="Z87" s="523">
        <f>(N87-P88)^2</f>
        <v>4.8700858794802175E-3</v>
      </c>
      <c r="AA87" s="521">
        <f>M87*Z87</f>
        <v>1.2128169178245742</v>
      </c>
      <c r="AB87" s="473">
        <v>1</v>
      </c>
      <c r="AC87" s="506"/>
      <c r="AD87" s="506"/>
      <c r="AE87" s="514">
        <f>M87^2</f>
        <v>62017.928135941373</v>
      </c>
      <c r="AF87" s="524"/>
      <c r="AG87" s="525">
        <f>AG88</f>
        <v>2.1961576231410648E-2</v>
      </c>
      <c r="AH87" s="525">
        <f>AH88</f>
        <v>2.1961576231410648E-2</v>
      </c>
      <c r="AI87" s="521">
        <f>1/M87</f>
        <v>4.0155161161634142E-3</v>
      </c>
      <c r="AJ87" s="526">
        <f>1/(AH87+AI87)</f>
        <v>38.495455404322328</v>
      </c>
      <c r="AK87" s="527">
        <f>AJ87/AJ88</f>
        <v>0.25632494841648867</v>
      </c>
      <c r="AL87" s="528">
        <f>AJ87*N87</f>
        <v>-8.7003675689435855</v>
      </c>
      <c r="AM87" s="528">
        <f>AL87/AJ87</f>
        <v>-0.22601025179628592</v>
      </c>
      <c r="AN87" s="521">
        <f>EXP(AM87)</f>
        <v>0.79770992366412208</v>
      </c>
      <c r="AO87" s="529">
        <f>1/AJ87</f>
        <v>2.597709234757406E-2</v>
      </c>
      <c r="AP87" s="521">
        <f>SQRT(AO87)</f>
        <v>0.16117410569807442</v>
      </c>
      <c r="AQ87" s="518">
        <f>$H$2</f>
        <v>1.9599639845400536</v>
      </c>
      <c r="AR87" s="519">
        <f>AM87-(AQ87*AP87)</f>
        <v>-0.54190569420496359</v>
      </c>
      <c r="AS87" s="519">
        <f>AM87+(1.96*AP87)</f>
        <v>8.9890995371939952E-2</v>
      </c>
      <c r="AT87" s="530">
        <f t="shared" si="22"/>
        <v>0.58163876990941243</v>
      </c>
      <c r="AU87" s="530">
        <f t="shared" si="22"/>
        <v>1.0940550201446404</v>
      </c>
      <c r="AV87" s="491"/>
      <c r="AX87" s="531"/>
      <c r="AY87" s="531">
        <v>1</v>
      </c>
      <c r="AZ87" s="532"/>
      <c r="BA87" s="532"/>
      <c r="BC87" s="506"/>
      <c r="BD87" s="506"/>
      <c r="BE87" s="473"/>
      <c r="BF87" s="473"/>
      <c r="BG87" s="473"/>
      <c r="BH87" s="473"/>
      <c r="BI87" s="473"/>
      <c r="BJ87" s="473"/>
      <c r="BK87" s="473"/>
      <c r="BL87" s="473"/>
      <c r="BM87" s="506"/>
      <c r="BN87" s="506"/>
      <c r="BO87" s="506"/>
      <c r="BP87" s="506"/>
      <c r="BQ87" s="506"/>
      <c r="BR87" s="506"/>
      <c r="BS87" s="506"/>
      <c r="BT87" s="506"/>
      <c r="BU87" s="506"/>
      <c r="BV87" s="506"/>
      <c r="BW87" s="506"/>
    </row>
    <row r="88" spans="1:75">
      <c r="B88" s="533">
        <f>COUNT(D84:D87)</f>
        <v>4</v>
      </c>
      <c r="C88" s="534">
        <f t="shared" ref="C88:H88" si="23">SUM(C84:C87)</f>
        <v>1515</v>
      </c>
      <c r="D88" s="534">
        <f t="shared" si="23"/>
        <v>27772</v>
      </c>
      <c r="E88" s="534">
        <f t="shared" si="23"/>
        <v>29287</v>
      </c>
      <c r="F88" s="534">
        <f t="shared" si="23"/>
        <v>1769</v>
      </c>
      <c r="G88" s="534">
        <f t="shared" si="23"/>
        <v>27442</v>
      </c>
      <c r="H88" s="534">
        <f t="shared" si="23"/>
        <v>29211</v>
      </c>
      <c r="I88" s="535"/>
      <c r="K88" s="536"/>
      <c r="L88" s="607"/>
      <c r="M88" s="538">
        <f>SUM(M84:M87)</f>
        <v>861.48111570541084</v>
      </c>
      <c r="N88" s="539"/>
      <c r="O88" s="540">
        <f>SUM(O84:O87)</f>
        <v>-134.58424222244196</v>
      </c>
      <c r="P88" s="541">
        <f>O88/M88</f>
        <v>-0.15622425119817013</v>
      </c>
      <c r="Q88" s="542">
        <f>EXP(P88)</f>
        <v>0.85536735170830125</v>
      </c>
      <c r="R88" s="543">
        <f>SQRT(1/M88)</f>
        <v>3.4070391111192734E-2</v>
      </c>
      <c r="S88" s="518">
        <f>$H$2</f>
        <v>1.9599639845400536</v>
      </c>
      <c r="T88" s="544">
        <f>P88-(R88*S88)</f>
        <v>-0.22300099071530147</v>
      </c>
      <c r="U88" s="544">
        <f>P88+(R88*S88)</f>
        <v>-8.9447511681038788E-2</v>
      </c>
      <c r="V88" s="545">
        <f>EXP(T88)</f>
        <v>0.80011405660892265</v>
      </c>
      <c r="W88" s="546">
        <f>EXP(U88)</f>
        <v>0.91443626108682152</v>
      </c>
      <c r="X88" s="547"/>
      <c r="Y88" s="547"/>
      <c r="Z88" s="548"/>
      <c r="AA88" s="549">
        <f>SUM(AA84:AA87)</f>
        <v>17.150403499427021</v>
      </c>
      <c r="AB88" s="550">
        <f>SUM(AB84:AB87)</f>
        <v>4</v>
      </c>
      <c r="AC88" s="551">
        <f>AA88-(AB88-1)</f>
        <v>14.150403499427021</v>
      </c>
      <c r="AD88" s="538">
        <f>M88</f>
        <v>861.48111570541084</v>
      </c>
      <c r="AE88" s="538">
        <f>SUM(AE84:AE87)</f>
        <v>187075.46549916908</v>
      </c>
      <c r="AF88" s="552">
        <f>AE88/AD88</f>
        <v>217.15561965161029</v>
      </c>
      <c r="AG88" s="553">
        <f>AC88/(AD88-AF88)</f>
        <v>2.1961576231410648E-2</v>
      </c>
      <c r="AH88" s="553">
        <f>IF(AA88&lt;AB88-1,"0",AG88)</f>
        <v>2.1961576231410648E-2</v>
      </c>
      <c r="AI88" s="548"/>
      <c r="AJ88" s="538">
        <f>SUM(AJ84:AJ87)</f>
        <v>150.1822418853007</v>
      </c>
      <c r="AK88" s="554">
        <f>SUM(AK84:AK87)</f>
        <v>0.99999999999999978</v>
      </c>
      <c r="AL88" s="551">
        <f>SUM(AL84:AL87)</f>
        <v>-23.190524723303817</v>
      </c>
      <c r="AM88" s="551">
        <f>AL88/AJ88</f>
        <v>-0.15441589120113955</v>
      </c>
      <c r="AN88" s="608">
        <f>EXP(AM88)</f>
        <v>0.85691556324989682</v>
      </c>
      <c r="AO88" s="556">
        <f>1/AJ88</f>
        <v>6.6585768560022841E-3</v>
      </c>
      <c r="AP88" s="557">
        <f>SQRT(AO88)</f>
        <v>8.1600103284262357E-2</v>
      </c>
      <c r="AQ88" s="518">
        <f>$H$2</f>
        <v>1.9599639845400536</v>
      </c>
      <c r="AR88" s="544">
        <f>AM88-(AQ88*AP88)</f>
        <v>-0.31434915477304232</v>
      </c>
      <c r="AS88" s="544">
        <f>AM88+(1.96*AP88)</f>
        <v>5.52031123601468E-3</v>
      </c>
      <c r="AT88" s="558">
        <f>EXP(AR88)</f>
        <v>0.73026400847720518</v>
      </c>
      <c r="AU88" s="559">
        <f>EXP(AS88)</f>
        <v>1.0055355762303326</v>
      </c>
      <c r="AV88" s="609"/>
      <c r="AW88" s="468"/>
      <c r="AX88" s="561">
        <f>AA88</f>
        <v>17.150403499427021</v>
      </c>
      <c r="AY88" s="533">
        <f>SUM(AY84:AY87)</f>
        <v>4</v>
      </c>
      <c r="AZ88" s="562">
        <f>(AX88-(AY88-1))/AX88</f>
        <v>0.82507700182679511</v>
      </c>
      <c r="BA88" s="563">
        <f>IF(AA88&lt;AB88-1,"0%",AZ88)</f>
        <v>0.82507700182679511</v>
      </c>
      <c r="BB88" s="468"/>
      <c r="BC88" s="540">
        <f>AX88/(AY88-1)</f>
        <v>5.7168011664756735</v>
      </c>
      <c r="BD88" s="564">
        <f>LN(BC88)</f>
        <v>1.7434094123304513</v>
      </c>
      <c r="BE88" s="540">
        <f>LN(AX88)</f>
        <v>2.8420217009985609</v>
      </c>
      <c r="BF88" s="540">
        <f>LN(AY88-1)</f>
        <v>1.0986122886681098</v>
      </c>
      <c r="BG88" s="540">
        <f>SQRT(2*AX88)</f>
        <v>5.8566890816274384</v>
      </c>
      <c r="BH88" s="540">
        <f>SQRT(2*AY88-3)</f>
        <v>2.2360679774997898</v>
      </c>
      <c r="BI88" s="540">
        <f>2*(AY88-2)</f>
        <v>4</v>
      </c>
      <c r="BJ88" s="540">
        <f>3*(AY88-2)^2</f>
        <v>12</v>
      </c>
      <c r="BK88" s="540">
        <f>1/BI88</f>
        <v>0.25</v>
      </c>
      <c r="BL88" s="540">
        <f>1/BJ88</f>
        <v>8.3333333333333329E-2</v>
      </c>
      <c r="BM88" s="540">
        <f>SQRT(BK88*(1-BL88))</f>
        <v>0.47871355387816905</v>
      </c>
      <c r="BN88" s="564">
        <f>0.5*(BE88-BF88)/(BG88-BH88)</f>
        <v>0.24076109625816641</v>
      </c>
      <c r="BO88" s="564">
        <f>IF(AA88&lt;=AB88,BM88,BN88)</f>
        <v>0.24076109625816641</v>
      </c>
      <c r="BP88" s="551">
        <f>BD88-(1.96*BO88)</f>
        <v>1.2715176636644452</v>
      </c>
      <c r="BQ88" s="551">
        <f>BD88+(1.96*BO88)</f>
        <v>2.2153011609964572</v>
      </c>
      <c r="BR88" s="551"/>
      <c r="BS88" s="564">
        <f>EXP(BP88)</f>
        <v>3.5662608418404091</v>
      </c>
      <c r="BT88" s="564">
        <f>EXP(BQ88)</f>
        <v>9.164168586208012</v>
      </c>
      <c r="BU88" s="565">
        <f>BA88</f>
        <v>0.82507700182679511</v>
      </c>
      <c r="BV88" s="565">
        <f>(BS88-1)/BS88</f>
        <v>0.71959426291321449</v>
      </c>
      <c r="BW88" s="565">
        <f>(BT88-1)/BT88</f>
        <v>0.89087935358315096</v>
      </c>
    </row>
    <row r="89" spans="1:75" ht="13.5" thickBot="1">
      <c r="C89" s="566"/>
      <c r="D89" s="566"/>
      <c r="E89" s="566"/>
      <c r="F89" s="566"/>
      <c r="G89" s="566"/>
      <c r="H89" s="566"/>
      <c r="I89" s="567"/>
      <c r="R89" s="568"/>
      <c r="S89" s="568"/>
      <c r="T89" s="568"/>
      <c r="U89" s="568"/>
      <c r="V89" s="568"/>
      <c r="W89" s="568"/>
      <c r="X89" s="568"/>
      <c r="AB89" s="569"/>
      <c r="AC89" s="570"/>
      <c r="AD89" s="570"/>
      <c r="AE89" s="570"/>
      <c r="AF89" s="572"/>
      <c r="AG89" s="572"/>
      <c r="AH89" s="572"/>
      <c r="AI89" s="572"/>
      <c r="AT89" s="573"/>
      <c r="AU89" s="573"/>
      <c r="AV89" s="573"/>
      <c r="AX89" s="480" t="s">
        <v>35</v>
      </c>
      <c r="BG89" s="483"/>
      <c r="BN89" s="570" t="s">
        <v>36</v>
      </c>
      <c r="BT89" s="574" t="s">
        <v>37</v>
      </c>
      <c r="BU89" s="575">
        <f>BU88</f>
        <v>0.82507700182679511</v>
      </c>
      <c r="BV89" s="576">
        <f>IF(BV88&lt;0,"0%",BV88)</f>
        <v>0.71959426291321449</v>
      </c>
      <c r="BW89" s="577">
        <f>IF(BW88&lt;0,"0%",BW88)</f>
        <v>0.89087935358315096</v>
      </c>
    </row>
    <row r="90" spans="1:75" ht="26.5" thickBot="1">
      <c r="A90" s="477"/>
      <c r="B90" s="480"/>
      <c r="C90" s="606"/>
      <c r="D90" s="580"/>
      <c r="E90" s="580"/>
      <c r="F90" s="580"/>
      <c r="G90" s="580"/>
      <c r="H90" s="580"/>
      <c r="I90" s="581"/>
      <c r="J90" s="480"/>
      <c r="K90" s="480"/>
      <c r="R90" s="582"/>
      <c r="S90" s="582"/>
      <c r="T90" s="582"/>
      <c r="U90" s="582"/>
      <c r="V90" s="582"/>
      <c r="W90" s="582"/>
      <c r="X90" s="582"/>
      <c r="AF90" s="472"/>
      <c r="AI90" s="483"/>
      <c r="AJ90" s="583"/>
      <c r="AK90" s="583"/>
      <c r="AL90" s="584"/>
      <c r="AM90" s="585"/>
      <c r="AN90" s="586"/>
      <c r="AO90" s="587" t="s">
        <v>453</v>
      </c>
      <c r="AP90" s="588">
        <f>TINV((1-$H$1),(AB88-2))</f>
        <v>4.3026527297494619</v>
      </c>
      <c r="AR90" s="589" t="s">
        <v>38</v>
      </c>
      <c r="AS90" s="590">
        <f>$H$1</f>
        <v>0.95</v>
      </c>
      <c r="AT90" s="591">
        <f>EXP(AM88-AP90*SQRT((1/AD88)+AH88))</f>
        <v>0.44544610216067432</v>
      </c>
      <c r="AU90" s="592">
        <f>EXP(AM88+AP90*SQRT((1/AD88)+AH88))</f>
        <v>1.6484694309324575</v>
      </c>
      <c r="AV90" s="491"/>
      <c r="AX90" s="593">
        <f>_xlfn.CHISQ.DIST.RT(AX88,AY88-1)</f>
        <v>6.5814555854673432E-4</v>
      </c>
      <c r="AY90" s="594" t="str">
        <f>IF(AX90&lt;0.05,"heterogeneidad","homogeneidad")</f>
        <v>heterogeneidad</v>
      </c>
      <c r="BF90" s="595"/>
      <c r="BG90" s="483"/>
      <c r="BH90" s="483"/>
      <c r="BJ90" s="522"/>
      <c r="BL90" s="483"/>
      <c r="BM90" s="596"/>
      <c r="BQ90" s="483"/>
    </row>
    <row r="91" spans="1:75" ht="14.5">
      <c r="B91" s="480"/>
      <c r="C91" s="580"/>
      <c r="D91" s="580"/>
      <c r="E91" s="580"/>
      <c r="F91" s="580"/>
      <c r="G91" s="580"/>
      <c r="H91" s="580"/>
      <c r="I91" s="581"/>
      <c r="J91" s="480"/>
      <c r="K91" s="480"/>
      <c r="R91" s="582"/>
      <c r="S91" s="582"/>
      <c r="T91" s="582"/>
      <c r="U91" s="582"/>
      <c r="V91" s="582"/>
      <c r="W91" s="582"/>
      <c r="X91" s="582"/>
      <c r="AF91" s="472"/>
      <c r="AI91" s="483"/>
      <c r="AJ91" s="583"/>
      <c r="AK91" s="583"/>
      <c r="AL91" s="584"/>
      <c r="AM91" s="585"/>
      <c r="AN91" s="597"/>
      <c r="AO91" s="598"/>
      <c r="AP91" s="487"/>
      <c r="AS91" s="599"/>
      <c r="AT91" s="491"/>
      <c r="AU91" s="491"/>
      <c r="AV91" s="491"/>
      <c r="BF91" s="595"/>
      <c r="BG91" s="483"/>
      <c r="BH91" s="483"/>
      <c r="BJ91" s="522"/>
      <c r="BL91" s="483"/>
      <c r="BM91" s="596"/>
      <c r="BQ91" s="483"/>
    </row>
    <row r="92" spans="1:75">
      <c r="C92" s="566"/>
      <c r="D92" s="566"/>
      <c r="E92" s="566"/>
      <c r="F92" s="566"/>
      <c r="G92" s="566"/>
      <c r="H92" s="566"/>
      <c r="I92" s="567"/>
      <c r="J92" s="624" t="s">
        <v>4</v>
      </c>
      <c r="K92" s="625"/>
      <c r="L92" s="625"/>
      <c r="M92" s="625"/>
      <c r="N92" s="625"/>
      <c r="O92" s="625"/>
      <c r="P92" s="625"/>
      <c r="Q92" s="625"/>
      <c r="R92" s="625"/>
      <c r="S92" s="625"/>
      <c r="T92" s="625"/>
      <c r="U92" s="625"/>
      <c r="V92" s="625"/>
      <c r="W92" s="626"/>
      <c r="X92" s="484"/>
      <c r="Y92" s="624" t="s">
        <v>5</v>
      </c>
      <c r="Z92" s="625"/>
      <c r="AA92" s="625"/>
      <c r="AB92" s="625"/>
      <c r="AC92" s="625"/>
      <c r="AD92" s="625"/>
      <c r="AE92" s="625"/>
      <c r="AF92" s="625"/>
      <c r="AG92" s="625"/>
      <c r="AH92" s="625"/>
      <c r="AI92" s="625"/>
      <c r="AJ92" s="625"/>
      <c r="AK92" s="625"/>
      <c r="AL92" s="625"/>
      <c r="AM92" s="625"/>
      <c r="AN92" s="625"/>
      <c r="AO92" s="625"/>
      <c r="AP92" s="625"/>
      <c r="AQ92" s="625"/>
      <c r="AR92" s="625"/>
      <c r="AS92" s="625"/>
      <c r="AT92" s="625"/>
      <c r="AU92" s="626"/>
      <c r="AV92" s="484"/>
      <c r="AW92" s="624" t="s">
        <v>6</v>
      </c>
      <c r="AX92" s="625"/>
      <c r="AY92" s="625"/>
      <c r="AZ92" s="625"/>
      <c r="BA92" s="625"/>
      <c r="BB92" s="625"/>
      <c r="BC92" s="625"/>
      <c r="BD92" s="625"/>
      <c r="BE92" s="625"/>
      <c r="BF92" s="625"/>
      <c r="BG92" s="625"/>
      <c r="BH92" s="625"/>
      <c r="BI92" s="625"/>
      <c r="BJ92" s="625"/>
      <c r="BK92" s="625"/>
      <c r="BL92" s="625"/>
      <c r="BM92" s="625"/>
      <c r="BN92" s="625"/>
      <c r="BO92" s="625"/>
      <c r="BP92" s="625"/>
      <c r="BQ92" s="625"/>
      <c r="BR92" s="625"/>
      <c r="BS92" s="625"/>
      <c r="BT92" s="625"/>
      <c r="BU92" s="625"/>
      <c r="BV92" s="625"/>
      <c r="BW92" s="626"/>
    </row>
    <row r="93" spans="1:75">
      <c r="A93" s="485" t="s">
        <v>73</v>
      </c>
      <c r="B93" s="486" t="s">
        <v>8</v>
      </c>
      <c r="C93" s="623" t="s">
        <v>9</v>
      </c>
      <c r="D93" s="623"/>
      <c r="E93" s="623"/>
      <c r="F93" s="623" t="s">
        <v>10</v>
      </c>
      <c r="G93" s="623"/>
      <c r="H93" s="623"/>
      <c r="I93" s="487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8"/>
      <c r="AL93" s="488"/>
      <c r="AM93" s="488"/>
      <c r="AN93" s="488"/>
      <c r="AO93" s="488"/>
      <c r="AP93" s="488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488"/>
      <c r="BC93" s="488"/>
      <c r="BD93" s="488"/>
      <c r="BE93" s="488"/>
      <c r="BF93" s="488"/>
      <c r="BG93" s="488"/>
      <c r="BH93" s="488"/>
      <c r="BI93" s="488"/>
      <c r="BJ93" s="488"/>
      <c r="BK93" s="488"/>
      <c r="BL93" s="488"/>
      <c r="BM93" s="488"/>
      <c r="BN93" s="488"/>
      <c r="BO93" s="488"/>
      <c r="BP93" s="488"/>
      <c r="BQ93" s="488"/>
      <c r="BR93" s="488"/>
      <c r="BS93" s="488"/>
      <c r="BT93" s="488"/>
      <c r="BU93" s="488"/>
      <c r="BV93" s="488"/>
      <c r="BW93" s="488"/>
    </row>
    <row r="94" spans="1:75" ht="60">
      <c r="B94" s="489" t="s">
        <v>74</v>
      </c>
      <c r="C94" s="490" t="s">
        <v>12</v>
      </c>
      <c r="D94" s="490" t="s">
        <v>13</v>
      </c>
      <c r="E94" s="490" t="s">
        <v>14</v>
      </c>
      <c r="F94" s="490" t="s">
        <v>12</v>
      </c>
      <c r="G94" s="490" t="s">
        <v>13</v>
      </c>
      <c r="H94" s="490" t="s">
        <v>14</v>
      </c>
      <c r="I94" s="491"/>
      <c r="K94" s="492" t="s">
        <v>416</v>
      </c>
      <c r="L94" s="492" t="s">
        <v>417</v>
      </c>
      <c r="M94" s="492" t="s">
        <v>418</v>
      </c>
      <c r="N94" s="493" t="s">
        <v>419</v>
      </c>
      <c r="O94" s="493" t="s">
        <v>15</v>
      </c>
      <c r="P94" s="493" t="s">
        <v>420</v>
      </c>
      <c r="Q94" s="494" t="s">
        <v>421</v>
      </c>
      <c r="R94" s="492" t="s">
        <v>422</v>
      </c>
      <c r="S94" s="475" t="s">
        <v>415</v>
      </c>
      <c r="T94" s="493" t="s">
        <v>423</v>
      </c>
      <c r="U94" s="493" t="s">
        <v>424</v>
      </c>
      <c r="V94" s="495" t="s">
        <v>16</v>
      </c>
      <c r="W94" s="496" t="s">
        <v>16</v>
      </c>
      <c r="X94" s="497"/>
      <c r="Y94" s="498"/>
      <c r="Z94" s="499" t="s">
        <v>425</v>
      </c>
      <c r="AA94" s="493" t="s">
        <v>426</v>
      </c>
      <c r="AB94" s="475" t="s">
        <v>17</v>
      </c>
      <c r="AC94" s="475" t="s">
        <v>18</v>
      </c>
      <c r="AD94" s="475" t="s">
        <v>427</v>
      </c>
      <c r="AE94" s="493" t="s">
        <v>428</v>
      </c>
      <c r="AF94" s="493" t="s">
        <v>429</v>
      </c>
      <c r="AG94" s="500" t="s">
        <v>19</v>
      </c>
      <c r="AH94" s="500" t="s">
        <v>20</v>
      </c>
      <c r="AI94" s="475" t="s">
        <v>430</v>
      </c>
      <c r="AJ94" s="493" t="s">
        <v>431</v>
      </c>
      <c r="AK94" s="493" t="s">
        <v>432</v>
      </c>
      <c r="AL94" s="493" t="s">
        <v>433</v>
      </c>
      <c r="AM94" s="475" t="s">
        <v>434</v>
      </c>
      <c r="AN94" s="501" t="s">
        <v>435</v>
      </c>
      <c r="AO94" s="493" t="s">
        <v>436</v>
      </c>
      <c r="AP94" s="493" t="s">
        <v>437</v>
      </c>
      <c r="AQ94" s="475" t="s">
        <v>415</v>
      </c>
      <c r="AR94" s="493" t="s">
        <v>438</v>
      </c>
      <c r="AS94" s="493" t="s">
        <v>439</v>
      </c>
      <c r="AT94" s="495" t="s">
        <v>16</v>
      </c>
      <c r="AU94" s="496" t="s">
        <v>16</v>
      </c>
      <c r="AV94" s="497"/>
      <c r="AX94" s="502" t="s">
        <v>21</v>
      </c>
      <c r="AY94" s="502" t="s">
        <v>17</v>
      </c>
      <c r="AZ94" s="503" t="s">
        <v>22</v>
      </c>
      <c r="BA94" s="504" t="s">
        <v>23</v>
      </c>
      <c r="BC94" s="475" t="s">
        <v>440</v>
      </c>
      <c r="BD94" s="475" t="s">
        <v>441</v>
      </c>
      <c r="BE94" s="475" t="s">
        <v>24</v>
      </c>
      <c r="BF94" s="475" t="s">
        <v>25</v>
      </c>
      <c r="BG94" s="475" t="s">
        <v>26</v>
      </c>
      <c r="BH94" s="475" t="s">
        <v>27</v>
      </c>
      <c r="BI94" s="475" t="s">
        <v>28</v>
      </c>
      <c r="BJ94" s="475" t="s">
        <v>442</v>
      </c>
      <c r="BK94" s="475" t="s">
        <v>29</v>
      </c>
      <c r="BL94" s="475" t="s">
        <v>30</v>
      </c>
      <c r="BM94" s="505" t="s">
        <v>443</v>
      </c>
      <c r="BN94" s="505" t="s">
        <v>444</v>
      </c>
      <c r="BO94" s="505" t="s">
        <v>445</v>
      </c>
      <c r="BP94" s="505" t="s">
        <v>446</v>
      </c>
      <c r="BQ94" s="505" t="s">
        <v>447</v>
      </c>
      <c r="BR94" s="506"/>
      <c r="BS94" s="493" t="s">
        <v>448</v>
      </c>
      <c r="BT94" s="493" t="s">
        <v>449</v>
      </c>
      <c r="BU94" s="494" t="s">
        <v>450</v>
      </c>
      <c r="BV94" s="495" t="s">
        <v>451</v>
      </c>
      <c r="BW94" s="496" t="s">
        <v>452</v>
      </c>
    </row>
    <row r="95" spans="1:75">
      <c r="B95" s="507" t="s">
        <v>31</v>
      </c>
      <c r="C95" s="508">
        <v>36</v>
      </c>
      <c r="D95" s="509">
        <f>E95-C95</f>
        <v>6040</v>
      </c>
      <c r="E95" s="510">
        <v>6076</v>
      </c>
      <c r="F95" s="508">
        <v>87</v>
      </c>
      <c r="G95" s="509">
        <f>H95-F95</f>
        <v>5935</v>
      </c>
      <c r="H95" s="510">
        <v>6022</v>
      </c>
      <c r="I95" s="511"/>
      <c r="K95" s="512">
        <f>(C95/E95)/(F95/H95)</f>
        <v>0.41011554788767568</v>
      </c>
      <c r="L95" s="513">
        <f>(D95/(C95*E95)+(G95/(F95*H95)))</f>
        <v>3.8941390901413749E-2</v>
      </c>
      <c r="M95" s="514">
        <f>1/L95</f>
        <v>25.679616902530707</v>
      </c>
      <c r="N95" s="515">
        <f>LN(K95)</f>
        <v>-0.89131633487245798</v>
      </c>
      <c r="O95" s="515">
        <f>M95*N95</f>
        <v>-22.888662018492493</v>
      </c>
      <c r="P95" s="515">
        <f>LN(K95)</f>
        <v>-0.89131633487245798</v>
      </c>
      <c r="Q95" s="600">
        <f>K95</f>
        <v>0.41011554788767568</v>
      </c>
      <c r="R95" s="517">
        <f>SQRT(1/M95)</f>
        <v>0.19733573143608268</v>
      </c>
      <c r="S95" s="518">
        <f>$H$2</f>
        <v>1.9599639845400536</v>
      </c>
      <c r="T95" s="519">
        <f>P95-(R95*S95)</f>
        <v>-1.2780872613500485</v>
      </c>
      <c r="U95" s="519">
        <f>P95+(R95*S95)</f>
        <v>-0.5045454083948675</v>
      </c>
      <c r="V95" s="520">
        <f>EXP(T95)</f>
        <v>0.27856962207767721</v>
      </c>
      <c r="W95" s="521">
        <f>EXP(U95)</f>
        <v>0.60377998636300856</v>
      </c>
      <c r="X95" s="522"/>
      <c r="Z95" s="523">
        <f>(N95-P99)^2</f>
        <v>3.2587486569676943E-2</v>
      </c>
      <c r="AA95" s="521">
        <f>M95*Z95</f>
        <v>0.83683417092566847</v>
      </c>
      <c r="AB95" s="473">
        <v>1</v>
      </c>
      <c r="AC95" s="506"/>
      <c r="AD95" s="506"/>
      <c r="AE95" s="514">
        <f>M95^2</f>
        <v>659.44272426074076</v>
      </c>
      <c r="AF95" s="524"/>
      <c r="AG95" s="525">
        <f>AG99</f>
        <v>3.1818244044726961E-2</v>
      </c>
      <c r="AH95" s="525">
        <f>AH99</f>
        <v>3.1818244044726961E-2</v>
      </c>
      <c r="AI95" s="521">
        <f>1/M95</f>
        <v>3.8941390901413749E-2</v>
      </c>
      <c r="AJ95" s="526">
        <f>1/(AH95+AI95)</f>
        <v>14.132351032635462</v>
      </c>
      <c r="AK95" s="527">
        <f>AJ95/AJ99</f>
        <v>0.21526722953038727</v>
      </c>
      <c r="AL95" s="528">
        <f>AJ95*N95</f>
        <v>-12.596395325539637</v>
      </c>
      <c r="AM95" s="528">
        <f>AL95/AJ95</f>
        <v>-0.89131633487245798</v>
      </c>
      <c r="AN95" s="521">
        <f>EXP(AM95)</f>
        <v>0.41011554788767568</v>
      </c>
      <c r="AO95" s="529">
        <f>1/AJ95</f>
        <v>7.0759634946140709E-2</v>
      </c>
      <c r="AP95" s="521">
        <f>SQRT(AO95)</f>
        <v>0.26600683251777707</v>
      </c>
      <c r="AQ95" s="518">
        <f>$H$2</f>
        <v>1.9599639845400536</v>
      </c>
      <c r="AR95" s="519">
        <f>AM95-(AQ95*AP95)</f>
        <v>-1.4126801462488792</v>
      </c>
      <c r="AS95" s="519">
        <f>AM95+(1.96*AP95)</f>
        <v>-0.36994294313761489</v>
      </c>
      <c r="AT95" s="530">
        <f>EXP(AR95)</f>
        <v>0.24348981952910753</v>
      </c>
      <c r="AU95" s="530">
        <f>EXP(AS95)</f>
        <v>0.69077374289536175</v>
      </c>
      <c r="AV95" s="491"/>
      <c r="AX95" s="531"/>
      <c r="AY95" s="531">
        <v>1</v>
      </c>
      <c r="AZ95" s="532"/>
      <c r="BA95" s="532"/>
      <c r="BC95" s="506"/>
      <c r="BD95" s="506"/>
      <c r="BE95" s="473"/>
      <c r="BF95" s="473"/>
      <c r="BG95" s="473"/>
      <c r="BH95" s="473"/>
      <c r="BI95" s="473"/>
      <c r="BJ95" s="473"/>
      <c r="BK95" s="473"/>
      <c r="BL95" s="473"/>
      <c r="BM95" s="506"/>
      <c r="BN95" s="506"/>
      <c r="BO95" s="506"/>
      <c r="BP95" s="506"/>
      <c r="BQ95" s="506"/>
      <c r="BR95" s="506"/>
      <c r="BS95" s="506"/>
      <c r="BT95" s="506"/>
      <c r="BU95" s="506"/>
      <c r="BV95" s="506"/>
      <c r="BW95" s="506"/>
    </row>
    <row r="96" spans="1:75">
      <c r="B96" s="507" t="s">
        <v>32</v>
      </c>
      <c r="C96" s="508">
        <v>59</v>
      </c>
      <c r="D96" s="509">
        <f>E96-C96</f>
        <v>7052</v>
      </c>
      <c r="E96" s="510">
        <v>7111</v>
      </c>
      <c r="F96" s="508">
        <v>84</v>
      </c>
      <c r="G96" s="509">
        <f>H96-F96</f>
        <v>7041</v>
      </c>
      <c r="H96" s="510">
        <v>7125</v>
      </c>
      <c r="I96" s="511"/>
      <c r="K96" s="512">
        <f>(C96/E96)/(F96/H96)</f>
        <v>0.7037637864877353</v>
      </c>
      <c r="L96" s="513">
        <f>(D96/(C96*E96)+(G96/(F96*H96)))</f>
        <v>2.8572936372641845E-2</v>
      </c>
      <c r="M96" s="514">
        <f>1/L96</f>
        <v>34.998153040983389</v>
      </c>
      <c r="N96" s="515">
        <f>LN(K96)</f>
        <v>-0.35131250968426081</v>
      </c>
      <c r="O96" s="515">
        <f>M96*N96</f>
        <v>-12.295288979141718</v>
      </c>
      <c r="P96" s="515">
        <f>LN(K96)</f>
        <v>-0.35131250968426081</v>
      </c>
      <c r="Q96" s="600">
        <f>K96</f>
        <v>0.7037637864877353</v>
      </c>
      <c r="R96" s="517">
        <f>SQRT(1/M96)</f>
        <v>0.16903531102299851</v>
      </c>
      <c r="S96" s="518">
        <f>$H$2</f>
        <v>1.9599639845400536</v>
      </c>
      <c r="T96" s="519">
        <f>P96-(R96*S96)</f>
        <v>-0.68261563140486414</v>
      </c>
      <c r="U96" s="519">
        <f>P96+(R96*S96)</f>
        <v>-2.0009387963657421E-2</v>
      </c>
      <c r="V96" s="520">
        <f t="shared" ref="V96:W98" si="24">EXP(T96)</f>
        <v>0.50529360055720951</v>
      </c>
      <c r="W96" s="521">
        <f t="shared" si="24"/>
        <v>0.98018947128042744</v>
      </c>
      <c r="X96" s="522"/>
      <c r="Z96" s="523">
        <f>(N96-P99)^2</f>
        <v>0.12922858837198131</v>
      </c>
      <c r="AA96" s="521">
        <f>M96*Z96</f>
        <v>4.5227619131128485</v>
      </c>
      <c r="AB96" s="473">
        <v>1</v>
      </c>
      <c r="AC96" s="506"/>
      <c r="AD96" s="506"/>
      <c r="AE96" s="514">
        <f>M96^2</f>
        <v>1224.8707162800949</v>
      </c>
      <c r="AF96" s="524"/>
      <c r="AG96" s="525">
        <f>AG99</f>
        <v>3.1818244044726961E-2</v>
      </c>
      <c r="AH96" s="525">
        <f>AH99</f>
        <v>3.1818244044726961E-2</v>
      </c>
      <c r="AI96" s="521">
        <f>1/M96</f>
        <v>2.8572936372641841E-2</v>
      </c>
      <c r="AJ96" s="526">
        <f>1/(AH96+AI96)</f>
        <v>16.558709286503614</v>
      </c>
      <c r="AK96" s="527">
        <f>AJ96/AJ99</f>
        <v>0.25222607791677504</v>
      </c>
      <c r="AL96" s="528">
        <f>AJ96*N96</f>
        <v>-5.8172817165736603</v>
      </c>
      <c r="AM96" s="528">
        <f>AL96/AJ96</f>
        <v>-0.35131250968426081</v>
      </c>
      <c r="AN96" s="521">
        <f>EXP(AM96)</f>
        <v>0.7037637864877353</v>
      </c>
      <c r="AO96" s="529">
        <f>1/AJ96</f>
        <v>6.0391180417368802E-2</v>
      </c>
      <c r="AP96" s="521">
        <f>SQRT(AO96)</f>
        <v>0.24574617070743707</v>
      </c>
      <c r="AQ96" s="518">
        <f>$H$2</f>
        <v>1.9599639845400536</v>
      </c>
      <c r="AR96" s="519">
        <f>AM96-(AQ96*AP96)</f>
        <v>-0.83296615360946935</v>
      </c>
      <c r="AS96" s="519">
        <f>AM96+(1.96*AP96)</f>
        <v>0.13034998490231581</v>
      </c>
      <c r="AT96" s="530">
        <f t="shared" ref="AT96:AU98" si="25">EXP(AR96)</f>
        <v>0.43475781345732722</v>
      </c>
      <c r="AU96" s="530">
        <f t="shared" si="25"/>
        <v>1.1392270258204724</v>
      </c>
      <c r="AV96" s="491"/>
      <c r="AX96" s="531"/>
      <c r="AY96" s="531">
        <v>1</v>
      </c>
      <c r="AZ96" s="532"/>
      <c r="BA96" s="532"/>
      <c r="BC96" s="506"/>
      <c r="BD96" s="506"/>
      <c r="BE96" s="473"/>
      <c r="BF96" s="473"/>
      <c r="BG96" s="473"/>
      <c r="BH96" s="473"/>
      <c r="BI96" s="473"/>
      <c r="BJ96" s="473"/>
      <c r="BK96" s="473"/>
      <c r="BL96" s="473"/>
      <c r="BM96" s="506"/>
      <c r="BN96" s="506"/>
      <c r="BO96" s="506"/>
      <c r="BP96" s="506"/>
      <c r="BQ96" s="506"/>
      <c r="BR96" s="506"/>
      <c r="BS96" s="506"/>
      <c r="BT96" s="506"/>
      <c r="BU96" s="506"/>
      <c r="BV96" s="506"/>
      <c r="BW96" s="506"/>
    </row>
    <row r="97" spans="1:75">
      <c r="B97" s="507" t="s">
        <v>33</v>
      </c>
      <c r="C97" s="508">
        <v>52</v>
      </c>
      <c r="D97" s="509">
        <f>E97-C97</f>
        <v>9036</v>
      </c>
      <c r="E97" s="510">
        <v>9088</v>
      </c>
      <c r="F97" s="508">
        <v>122</v>
      </c>
      <c r="G97" s="509">
        <f>H97-F97</f>
        <v>8930</v>
      </c>
      <c r="H97" s="510">
        <v>9052</v>
      </c>
      <c r="I97" s="511"/>
      <c r="K97" s="512">
        <f>(C97/E97)/(F97/H97)</f>
        <v>0.42454109905333642</v>
      </c>
      <c r="L97" s="513">
        <f>(D97/(C97*E97)+(G97/(F97*H97)))</f>
        <v>2.7206982507291665E-2</v>
      </c>
      <c r="M97" s="514">
        <f>1/L97</f>
        <v>36.755270443239816</v>
      </c>
      <c r="N97" s="515">
        <f>LN(K97)</f>
        <v>-0.85674646035933377</v>
      </c>
      <c r="O97" s="515">
        <f>M97*N97</f>
        <v>-31.489947851795755</v>
      </c>
      <c r="P97" s="515">
        <f>LN(K97)</f>
        <v>-0.85674646035933377</v>
      </c>
      <c r="Q97" s="600">
        <f>K97</f>
        <v>0.42454109905333642</v>
      </c>
      <c r="R97" s="517">
        <f>SQRT(1/M97)</f>
        <v>0.16494539250094761</v>
      </c>
      <c r="S97" s="518">
        <f>$H$2</f>
        <v>1.9599639845400536</v>
      </c>
      <c r="T97" s="519">
        <f>P97-(R97*S97)</f>
        <v>-1.1800334890770141</v>
      </c>
      <c r="U97" s="519">
        <f>P97+(R97*S97)</f>
        <v>-0.53345943164165344</v>
      </c>
      <c r="V97" s="520">
        <f t="shared" si="24"/>
        <v>0.30726844829209687</v>
      </c>
      <c r="W97" s="521">
        <f t="shared" si="24"/>
        <v>0.5865722490780404</v>
      </c>
      <c r="X97" s="522"/>
      <c r="Z97" s="523">
        <f>(N97-P99)^2</f>
        <v>2.1301452202792604E-2</v>
      </c>
      <c r="AA97" s="521">
        <f>M97*Z97</f>
        <v>0.78294063654738866</v>
      </c>
      <c r="AB97" s="473">
        <v>1</v>
      </c>
      <c r="AC97" s="506"/>
      <c r="AD97" s="506"/>
      <c r="AE97" s="514">
        <f>M97^2</f>
        <v>1350.9499053556983</v>
      </c>
      <c r="AF97" s="524"/>
      <c r="AG97" s="525">
        <f>AG99</f>
        <v>3.1818244044726961E-2</v>
      </c>
      <c r="AH97" s="525">
        <f>AH99</f>
        <v>3.1818244044726961E-2</v>
      </c>
      <c r="AI97" s="521">
        <f>1/M97</f>
        <v>2.7206982507291665E-2</v>
      </c>
      <c r="AJ97" s="526">
        <f>1/(AH97+AI97)</f>
        <v>16.941908712856954</v>
      </c>
      <c r="AK97" s="527">
        <f>AJ97/AJ99</f>
        <v>0.25806305993613082</v>
      </c>
      <c r="AL97" s="528">
        <f>AJ97*N97</f>
        <v>-14.514920321471152</v>
      </c>
      <c r="AM97" s="528">
        <f>AL97/AJ97</f>
        <v>-0.85674646035933377</v>
      </c>
      <c r="AN97" s="521">
        <f>EXP(AM97)</f>
        <v>0.42454109905333642</v>
      </c>
      <c r="AO97" s="529">
        <f>1/AJ97</f>
        <v>5.9025226552018625E-2</v>
      </c>
      <c r="AP97" s="521">
        <f>SQRT(AO97)</f>
        <v>0.24295107851585807</v>
      </c>
      <c r="AQ97" s="518">
        <f>$H$2</f>
        <v>1.9599639845400536</v>
      </c>
      <c r="AR97" s="519">
        <f>AM97-(AQ97*AP97)</f>
        <v>-1.3329218242555783</v>
      </c>
      <c r="AS97" s="519">
        <f>AM97+(1.96*AP97)</f>
        <v>-0.38056234646825199</v>
      </c>
      <c r="AT97" s="530">
        <f t="shared" si="25"/>
        <v>0.26370563305272632</v>
      </c>
      <c r="AU97" s="530">
        <f t="shared" si="25"/>
        <v>0.68347695027380617</v>
      </c>
      <c r="AV97" s="491"/>
      <c r="AX97" s="531"/>
      <c r="AY97" s="531">
        <v>1</v>
      </c>
      <c r="AZ97" s="532"/>
      <c r="BA97" s="532"/>
      <c r="BC97" s="506"/>
      <c r="BD97" s="506"/>
      <c r="BE97" s="473"/>
      <c r="BF97" s="473"/>
      <c r="BG97" s="473"/>
      <c r="BH97" s="473"/>
      <c r="BI97" s="473"/>
      <c r="BJ97" s="473"/>
      <c r="BK97" s="473"/>
      <c r="BL97" s="473"/>
      <c r="BM97" s="506"/>
      <c r="BN97" s="506"/>
      <c r="BO97" s="506"/>
      <c r="BP97" s="506"/>
      <c r="BQ97" s="506"/>
      <c r="BR97" s="506"/>
      <c r="BS97" s="506"/>
      <c r="BT97" s="506"/>
      <c r="BU97" s="506"/>
      <c r="BV97" s="506"/>
      <c r="BW97" s="506"/>
    </row>
    <row r="98" spans="1:75">
      <c r="B98" s="507" t="s">
        <v>34</v>
      </c>
      <c r="C98" s="508">
        <v>61</v>
      </c>
      <c r="D98" s="509">
        <f>E98-C98</f>
        <v>6951</v>
      </c>
      <c r="E98" s="510">
        <v>7012</v>
      </c>
      <c r="F98" s="508">
        <v>132</v>
      </c>
      <c r="G98" s="509">
        <f>H98-F98</f>
        <v>6880</v>
      </c>
      <c r="H98" s="510">
        <v>7012</v>
      </c>
      <c r="I98" s="511"/>
      <c r="K98" s="512">
        <f>(C98/E98)/(F98/H98)</f>
        <v>0.4621212121212121</v>
      </c>
      <c r="L98" s="513">
        <f>(D98/(C98*E98)+(G98/(F98*H98)))</f>
        <v>2.368397487069927E-2</v>
      </c>
      <c r="M98" s="514">
        <f>1/L98</f>
        <v>42.222642333451986</v>
      </c>
      <c r="N98" s="515">
        <f>LN(K98)</f>
        <v>-0.77192805841305967</v>
      </c>
      <c r="O98" s="515">
        <f>M98*N98</f>
        <v>-32.592842317530653</v>
      </c>
      <c r="P98" s="515">
        <f>LN(K98)</f>
        <v>-0.77192805841305967</v>
      </c>
      <c r="Q98" s="600">
        <f>K98</f>
        <v>0.4621212121212121</v>
      </c>
      <c r="R98" s="517">
        <f>SQRT(1/M98)</f>
        <v>0.15389598718192515</v>
      </c>
      <c r="S98" s="518">
        <f>$H$2</f>
        <v>1.9599639845400536</v>
      </c>
      <c r="T98" s="519">
        <f>P98-(R98*S98)</f>
        <v>-1.0735586506548707</v>
      </c>
      <c r="U98" s="519">
        <f>P98+(R98*S98)</f>
        <v>-0.47029746617124862</v>
      </c>
      <c r="V98" s="520">
        <f t="shared" si="24"/>
        <v>0.34179003928846619</v>
      </c>
      <c r="W98" s="521">
        <f t="shared" si="24"/>
        <v>0.62481637890020525</v>
      </c>
      <c r="X98" s="522"/>
      <c r="Z98" s="523">
        <f>(N98-P99)^2</f>
        <v>3.7370930987838643E-3</v>
      </c>
      <c r="AA98" s="521">
        <f>M98*Z98</f>
        <v>0.15778994527676285</v>
      </c>
      <c r="AB98" s="473">
        <v>1</v>
      </c>
      <c r="AC98" s="506"/>
      <c r="AD98" s="506"/>
      <c r="AE98" s="514">
        <f>M98^2</f>
        <v>1782.7515256186118</v>
      </c>
      <c r="AF98" s="524"/>
      <c r="AG98" s="525">
        <f>AG99</f>
        <v>3.1818244044726961E-2</v>
      </c>
      <c r="AH98" s="525">
        <f>AH99</f>
        <v>3.1818244044726961E-2</v>
      </c>
      <c r="AI98" s="521">
        <f>1/M98</f>
        <v>2.368397487069927E-2</v>
      </c>
      <c r="AJ98" s="526">
        <f>1/(AH98+AI98)</f>
        <v>18.017297678202574</v>
      </c>
      <c r="AK98" s="527">
        <f>AJ98/AJ99</f>
        <v>0.27444363261670701</v>
      </c>
      <c r="AL98" s="528">
        <f>AJ98*N98</f>
        <v>-13.908057614585042</v>
      </c>
      <c r="AM98" s="528">
        <f>AL98/AJ98</f>
        <v>-0.77192805841305967</v>
      </c>
      <c r="AN98" s="521">
        <f>EXP(AM98)</f>
        <v>0.4621212121212121</v>
      </c>
      <c r="AO98" s="529">
        <f>1/AJ98</f>
        <v>5.5502218915426227E-2</v>
      </c>
      <c r="AP98" s="521">
        <f>SQRT(AO98)</f>
        <v>0.23558908912644114</v>
      </c>
      <c r="AQ98" s="518">
        <f>$H$2</f>
        <v>1.9599639845400536</v>
      </c>
      <c r="AR98" s="519">
        <f>AM98-(AQ98*AP98)</f>
        <v>-1.233674188251481</v>
      </c>
      <c r="AS98" s="519">
        <f>AM98+(1.96*AP98)</f>
        <v>-0.31017344372523503</v>
      </c>
      <c r="AT98" s="530">
        <f t="shared" si="25"/>
        <v>0.2912206102369761</v>
      </c>
      <c r="AU98" s="530">
        <f t="shared" si="25"/>
        <v>0.73331975548334349</v>
      </c>
      <c r="AV98" s="491"/>
      <c r="AX98" s="531"/>
      <c r="AY98" s="531">
        <v>1</v>
      </c>
      <c r="AZ98" s="532"/>
      <c r="BA98" s="532"/>
      <c r="BC98" s="506"/>
      <c r="BD98" s="506"/>
      <c r="BE98" s="473"/>
      <c r="BF98" s="473"/>
      <c r="BG98" s="473"/>
      <c r="BH98" s="473"/>
      <c r="BI98" s="473"/>
      <c r="BJ98" s="473"/>
      <c r="BK98" s="473"/>
      <c r="BL98" s="473"/>
      <c r="BM98" s="506"/>
      <c r="BN98" s="506"/>
      <c r="BO98" s="506"/>
      <c r="BP98" s="506"/>
      <c r="BQ98" s="506"/>
      <c r="BR98" s="506"/>
      <c r="BS98" s="506"/>
      <c r="BT98" s="506"/>
      <c r="BU98" s="506"/>
      <c r="BV98" s="506"/>
      <c r="BW98" s="506"/>
    </row>
    <row r="99" spans="1:75">
      <c r="B99" s="533">
        <f>COUNT(D95:D98)</f>
        <v>4</v>
      </c>
      <c r="C99" s="534">
        <f t="shared" ref="C99:H99" si="26">SUM(C95:C98)</f>
        <v>208</v>
      </c>
      <c r="D99" s="534">
        <f t="shared" si="26"/>
        <v>29079</v>
      </c>
      <c r="E99" s="534">
        <f t="shared" si="26"/>
        <v>29287</v>
      </c>
      <c r="F99" s="534">
        <f t="shared" si="26"/>
        <v>425</v>
      </c>
      <c r="G99" s="534">
        <f t="shared" si="26"/>
        <v>28786</v>
      </c>
      <c r="H99" s="534">
        <f t="shared" si="26"/>
        <v>29211</v>
      </c>
      <c r="I99" s="535"/>
      <c r="K99" s="536"/>
      <c r="L99" s="607"/>
      <c r="M99" s="538">
        <f>SUM(M95:M98)</f>
        <v>139.6556827202059</v>
      </c>
      <c r="N99" s="539"/>
      <c r="O99" s="540">
        <f>SUM(O95:O98)</f>
        <v>-99.266741166960628</v>
      </c>
      <c r="P99" s="541">
        <f>O99/M99</f>
        <v>-0.71079629008607714</v>
      </c>
      <c r="Q99" s="542">
        <f>EXP(P99)</f>
        <v>0.49125286188964556</v>
      </c>
      <c r="R99" s="543">
        <f>SQRT(1/M99)</f>
        <v>8.4619546574552479E-2</v>
      </c>
      <c r="S99" s="518">
        <f>$H$2</f>
        <v>1.9599639845400536</v>
      </c>
      <c r="T99" s="544">
        <f>P99-(R99*S99)</f>
        <v>-0.87664755376030967</v>
      </c>
      <c r="U99" s="544">
        <f>P99+(R99*S99)</f>
        <v>-0.54494502641184461</v>
      </c>
      <c r="V99" s="545">
        <f>EXP(T99)</f>
        <v>0.41617578255196469</v>
      </c>
      <c r="W99" s="546">
        <f>EXP(U99)</f>
        <v>0.57987366019942366</v>
      </c>
      <c r="X99" s="547"/>
      <c r="Y99" s="547"/>
      <c r="Z99" s="548"/>
      <c r="AA99" s="549">
        <f>SUM(AA95:AA98)</f>
        <v>6.3003266658626691</v>
      </c>
      <c r="AB99" s="550">
        <f>SUM(AB95:AB98)</f>
        <v>4</v>
      </c>
      <c r="AC99" s="551">
        <f>AA99-(AB99-1)</f>
        <v>3.3003266658626691</v>
      </c>
      <c r="AD99" s="538">
        <f>M99</f>
        <v>139.6556827202059</v>
      </c>
      <c r="AE99" s="538">
        <f>SUM(AE95:AE98)</f>
        <v>5018.0148715151454</v>
      </c>
      <c r="AF99" s="552">
        <f>AE99/AD99</f>
        <v>35.931333217342257</v>
      </c>
      <c r="AG99" s="553">
        <f>AC99/(AD99-AF99)</f>
        <v>3.1818244044726961E-2</v>
      </c>
      <c r="AH99" s="553">
        <f>IF(AA99&lt;AB99-1,"0",AG99)</f>
        <v>3.1818244044726961E-2</v>
      </c>
      <c r="AI99" s="548"/>
      <c r="AJ99" s="538">
        <f>SUM(AJ95:AJ98)</f>
        <v>65.650266710198594</v>
      </c>
      <c r="AK99" s="554">
        <f>SUM(AK95:AK98)</f>
        <v>1.0000000000000002</v>
      </c>
      <c r="AL99" s="551">
        <f>SUM(AL95:AL98)</f>
        <v>-46.836654978169491</v>
      </c>
      <c r="AM99" s="551">
        <f>AL99/AJ99</f>
        <v>-0.7134267281033535</v>
      </c>
      <c r="AN99" s="608">
        <f>EXP(AM99)</f>
        <v>0.48996234973586045</v>
      </c>
      <c r="AO99" s="556">
        <f>1/AJ99</f>
        <v>1.5232230577437283E-2</v>
      </c>
      <c r="AP99" s="557">
        <f>SQRT(AO99)</f>
        <v>0.12341892309300581</v>
      </c>
      <c r="AQ99" s="518">
        <f>$H$2</f>
        <v>1.9599639845400536</v>
      </c>
      <c r="AR99" s="544">
        <f>AM99-(AQ99*AP99)</f>
        <v>-0.95532337237636367</v>
      </c>
      <c r="AS99" s="544">
        <f>AM99+(1.96*AP99)</f>
        <v>-0.47152563884106213</v>
      </c>
      <c r="AT99" s="558">
        <f>EXP(AR99)</f>
        <v>0.38468772705301635</v>
      </c>
      <c r="AU99" s="559">
        <f>EXP(AS99)</f>
        <v>0.62404946754617197</v>
      </c>
      <c r="AV99" s="609"/>
      <c r="AW99" s="468"/>
      <c r="AX99" s="561">
        <f>AA99</f>
        <v>6.3003266658626691</v>
      </c>
      <c r="AY99" s="533">
        <f>SUM(AY95:AY98)</f>
        <v>4</v>
      </c>
      <c r="AZ99" s="562">
        <f>(AX99-(AY99-1))/AX99</f>
        <v>0.5238342138265577</v>
      </c>
      <c r="BA99" s="563">
        <f>IF(AA99&lt;AB99-1,"0%",AZ99)</f>
        <v>0.5238342138265577</v>
      </c>
      <c r="BB99" s="468"/>
      <c r="BC99" s="540">
        <f>AX99/(AY99-1)</f>
        <v>2.1001088886208898</v>
      </c>
      <c r="BD99" s="564">
        <f>LN(BC99)</f>
        <v>0.74198919510935635</v>
      </c>
      <c r="BE99" s="540">
        <f>LN(AX99)</f>
        <v>1.840601483777466</v>
      </c>
      <c r="BF99" s="540">
        <f>LN(AY99-1)</f>
        <v>1.0986122886681098</v>
      </c>
      <c r="BG99" s="540">
        <f>SQRT(2*AX99)</f>
        <v>3.5497398963480884</v>
      </c>
      <c r="BH99" s="540">
        <f>SQRT(2*AY99-3)</f>
        <v>2.2360679774997898</v>
      </c>
      <c r="BI99" s="540">
        <f>2*(AY99-2)</f>
        <v>4</v>
      </c>
      <c r="BJ99" s="540">
        <f>3*(AY99-2)^2</f>
        <v>12</v>
      </c>
      <c r="BK99" s="540">
        <f>1/BI99</f>
        <v>0.25</v>
      </c>
      <c r="BL99" s="540">
        <f>1/BJ99</f>
        <v>8.3333333333333329E-2</v>
      </c>
      <c r="BM99" s="540">
        <f>SQRT(BK99*(1-BL99))</f>
        <v>0.47871355387816905</v>
      </c>
      <c r="BN99" s="564">
        <f>0.5*(BE99-BF99)/(BG99-BH99)</f>
        <v>0.2824103889500284</v>
      </c>
      <c r="BO99" s="564">
        <f>IF(AA99&lt;=AB99,BM99,BN99)</f>
        <v>0.2824103889500284</v>
      </c>
      <c r="BP99" s="551">
        <f>BD99-(1.96*BO99)</f>
        <v>0.18846483276730064</v>
      </c>
      <c r="BQ99" s="551">
        <f>BD99+(1.96*BO99)</f>
        <v>1.2955135574514121</v>
      </c>
      <c r="BR99" s="551"/>
      <c r="BS99" s="564">
        <f>EXP(BP99)</f>
        <v>1.2073946215123785</v>
      </c>
      <c r="BT99" s="564">
        <f>EXP(BQ99)</f>
        <v>3.6528714518704288</v>
      </c>
      <c r="BU99" s="565">
        <f>BA99</f>
        <v>0.5238342138265577</v>
      </c>
      <c r="BV99" s="565">
        <f>(BS99-1)/BS99</f>
        <v>0.17177037052939387</v>
      </c>
      <c r="BW99" s="565">
        <f>(BT99-1)/BT99</f>
        <v>0.72624276184480663</v>
      </c>
    </row>
    <row r="100" spans="1:75" ht="13.5" thickBot="1">
      <c r="C100" s="566"/>
      <c r="D100" s="566"/>
      <c r="E100" s="566"/>
      <c r="F100" s="566"/>
      <c r="G100" s="566"/>
      <c r="H100" s="566"/>
      <c r="I100" s="567"/>
      <c r="R100" s="568"/>
      <c r="S100" s="568"/>
      <c r="T100" s="568"/>
      <c r="U100" s="568"/>
      <c r="V100" s="568"/>
      <c r="W100" s="568"/>
      <c r="X100" s="568"/>
      <c r="AB100" s="569"/>
      <c r="AC100" s="570"/>
      <c r="AD100" s="570"/>
      <c r="AE100" s="570"/>
      <c r="AF100" s="572"/>
      <c r="AG100" s="572"/>
      <c r="AH100" s="572"/>
      <c r="AI100" s="572"/>
      <c r="AT100" s="573"/>
      <c r="AU100" s="573"/>
      <c r="AV100" s="573"/>
      <c r="AX100" s="480" t="s">
        <v>35</v>
      </c>
      <c r="BG100" s="483"/>
      <c r="BN100" s="570" t="s">
        <v>36</v>
      </c>
      <c r="BT100" s="574" t="s">
        <v>37</v>
      </c>
      <c r="BU100" s="575">
        <f>BU99</f>
        <v>0.5238342138265577</v>
      </c>
      <c r="BV100" s="576">
        <f>IF(BV99&lt;0,"0%",BV99)</f>
        <v>0.17177037052939387</v>
      </c>
      <c r="BW100" s="577">
        <f>IF(BW99&lt;0,"0%",BW99)</f>
        <v>0.72624276184480663</v>
      </c>
    </row>
    <row r="101" spans="1:75" ht="26.5" thickBot="1">
      <c r="B101" s="480"/>
      <c r="C101" s="606"/>
      <c r="D101" s="580"/>
      <c r="E101" s="580"/>
      <c r="F101" s="580"/>
      <c r="G101" s="580"/>
      <c r="H101" s="580"/>
      <c r="I101" s="581"/>
      <c r="J101" s="480"/>
      <c r="K101" s="480"/>
      <c r="R101" s="582"/>
      <c r="S101" s="582"/>
      <c r="T101" s="582"/>
      <c r="U101" s="582"/>
      <c r="V101" s="582"/>
      <c r="W101" s="582"/>
      <c r="X101" s="582"/>
      <c r="AF101" s="472"/>
      <c r="AI101" s="483"/>
      <c r="AJ101" s="583"/>
      <c r="AK101" s="583"/>
      <c r="AL101" s="584"/>
      <c r="AM101" s="585"/>
      <c r="AN101" s="586"/>
      <c r="AO101" s="587" t="s">
        <v>453</v>
      </c>
      <c r="AP101" s="588">
        <f>TINV((1-$H$1),(AB99-2))</f>
        <v>4.3026527297494619</v>
      </c>
      <c r="AR101" s="589" t="s">
        <v>38</v>
      </c>
      <c r="AS101" s="590">
        <f>$H$1</f>
        <v>0.95</v>
      </c>
      <c r="AT101" s="591">
        <f>EXP(AM99-AP101*SQRT((1/AD99)+AH99))</f>
        <v>0.2095274293766263</v>
      </c>
      <c r="AU101" s="592">
        <f>EXP(AM99+AP101*SQRT((1/AD99)+AH99))</f>
        <v>1.1457359300064305</v>
      </c>
      <c r="AV101" s="491"/>
      <c r="AX101" s="593">
        <f>_xlfn.CHISQ.DIST.RT(AX99,AY99-1)</f>
        <v>9.787863662774085E-2</v>
      </c>
      <c r="AY101" s="594" t="str">
        <f>IF(AX101&lt;0.05,"heterogeneidad","homogeneidad")</f>
        <v>homogeneidad</v>
      </c>
      <c r="BF101" s="595"/>
      <c r="BG101" s="483"/>
      <c r="BH101" s="483"/>
      <c r="BJ101" s="522"/>
      <c r="BL101" s="483"/>
      <c r="BM101" s="596"/>
      <c r="BQ101" s="483"/>
    </row>
    <row r="102" spans="1:75" ht="14.5">
      <c r="B102" s="480"/>
      <c r="C102" s="580"/>
      <c r="D102" s="580"/>
      <c r="E102" s="580"/>
      <c r="F102" s="580"/>
      <c r="G102" s="580"/>
      <c r="H102" s="580"/>
      <c r="I102" s="581"/>
      <c r="J102" s="480"/>
      <c r="K102" s="480"/>
      <c r="R102" s="582"/>
      <c r="S102" s="582"/>
      <c r="T102" s="582"/>
      <c r="U102" s="582"/>
      <c r="V102" s="582"/>
      <c r="W102" s="582"/>
      <c r="X102" s="582"/>
      <c r="AF102" s="472"/>
      <c r="AI102" s="483"/>
      <c r="AJ102" s="583"/>
      <c r="AK102" s="583"/>
      <c r="AL102" s="584"/>
      <c r="AM102" s="585"/>
      <c r="AN102" s="597"/>
      <c r="AO102" s="598"/>
      <c r="AP102" s="487"/>
      <c r="AS102" s="599"/>
      <c r="AT102" s="491"/>
      <c r="AU102" s="491"/>
      <c r="AV102" s="491"/>
      <c r="BF102" s="595"/>
      <c r="BG102" s="483"/>
      <c r="BH102" s="483"/>
      <c r="BJ102" s="522"/>
      <c r="BL102" s="483"/>
      <c r="BM102" s="596"/>
      <c r="BQ102" s="483"/>
    </row>
    <row r="103" spans="1:75">
      <c r="C103" s="566"/>
      <c r="D103" s="566"/>
      <c r="E103" s="566"/>
      <c r="F103" s="566"/>
      <c r="G103" s="566"/>
      <c r="H103" s="566"/>
      <c r="I103" s="567"/>
      <c r="J103" s="624" t="s">
        <v>4</v>
      </c>
      <c r="K103" s="625"/>
      <c r="L103" s="625"/>
      <c r="M103" s="625"/>
      <c r="N103" s="625"/>
      <c r="O103" s="625"/>
      <c r="P103" s="625"/>
      <c r="Q103" s="625"/>
      <c r="R103" s="625"/>
      <c r="S103" s="625"/>
      <c r="T103" s="625"/>
      <c r="U103" s="625"/>
      <c r="V103" s="625"/>
      <c r="W103" s="626"/>
      <c r="X103" s="484"/>
      <c r="Y103" s="624" t="s">
        <v>5</v>
      </c>
      <c r="Z103" s="625"/>
      <c r="AA103" s="625"/>
      <c r="AB103" s="625"/>
      <c r="AC103" s="625"/>
      <c r="AD103" s="625"/>
      <c r="AE103" s="625"/>
      <c r="AF103" s="625"/>
      <c r="AG103" s="625"/>
      <c r="AH103" s="625"/>
      <c r="AI103" s="625"/>
      <c r="AJ103" s="625"/>
      <c r="AK103" s="625"/>
      <c r="AL103" s="625"/>
      <c r="AM103" s="625"/>
      <c r="AN103" s="625"/>
      <c r="AO103" s="625"/>
      <c r="AP103" s="625"/>
      <c r="AQ103" s="625"/>
      <c r="AR103" s="625"/>
      <c r="AS103" s="625"/>
      <c r="AT103" s="625"/>
      <c r="AU103" s="626"/>
      <c r="AV103" s="484"/>
      <c r="AW103" s="624" t="s">
        <v>6</v>
      </c>
      <c r="AX103" s="625"/>
      <c r="AY103" s="625"/>
      <c r="AZ103" s="625"/>
      <c r="BA103" s="625"/>
      <c r="BB103" s="625"/>
      <c r="BC103" s="625"/>
      <c r="BD103" s="625"/>
      <c r="BE103" s="625"/>
      <c r="BF103" s="625"/>
      <c r="BG103" s="625"/>
      <c r="BH103" s="625"/>
      <c r="BI103" s="625"/>
      <c r="BJ103" s="625"/>
      <c r="BK103" s="625"/>
      <c r="BL103" s="625"/>
      <c r="BM103" s="625"/>
      <c r="BN103" s="625"/>
      <c r="BO103" s="625"/>
      <c r="BP103" s="625"/>
      <c r="BQ103" s="625"/>
      <c r="BR103" s="625"/>
      <c r="BS103" s="625"/>
      <c r="BT103" s="625"/>
      <c r="BU103" s="625"/>
      <c r="BV103" s="625"/>
      <c r="BW103" s="626"/>
    </row>
    <row r="104" spans="1:75">
      <c r="A104" s="485"/>
      <c r="B104" s="486" t="s">
        <v>8</v>
      </c>
      <c r="C104" s="623" t="s">
        <v>9</v>
      </c>
      <c r="D104" s="623"/>
      <c r="E104" s="623"/>
      <c r="F104" s="623" t="s">
        <v>10</v>
      </c>
      <c r="G104" s="623"/>
      <c r="H104" s="623"/>
      <c r="I104" s="487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  <c r="AR104" s="488"/>
      <c r="AS104" s="488"/>
      <c r="AT104" s="488"/>
      <c r="AU104" s="488"/>
      <c r="AV104" s="488"/>
      <c r="AW104" s="488"/>
      <c r="AX104" s="488"/>
      <c r="AY104" s="488"/>
      <c r="AZ104" s="488"/>
      <c r="BA104" s="488"/>
      <c r="BB104" s="488"/>
      <c r="BC104" s="488"/>
      <c r="BD104" s="488"/>
      <c r="BE104" s="488"/>
      <c r="BF104" s="488"/>
      <c r="BG104" s="488"/>
      <c r="BH104" s="488"/>
      <c r="BI104" s="488"/>
      <c r="BJ104" s="488"/>
      <c r="BK104" s="488"/>
      <c r="BL104" s="488"/>
      <c r="BM104" s="488"/>
      <c r="BN104" s="488"/>
      <c r="BO104" s="488"/>
      <c r="BP104" s="488"/>
      <c r="BQ104" s="488"/>
      <c r="BR104" s="488"/>
      <c r="BS104" s="488"/>
      <c r="BT104" s="488"/>
      <c r="BU104" s="488"/>
      <c r="BV104" s="488"/>
      <c r="BW104" s="488"/>
    </row>
    <row r="105" spans="1:75" ht="60">
      <c r="B105" s="489" t="s">
        <v>75</v>
      </c>
      <c r="C105" s="490" t="s">
        <v>12</v>
      </c>
      <c r="D105" s="490" t="s">
        <v>13</v>
      </c>
      <c r="E105" s="490" t="s">
        <v>14</v>
      </c>
      <c r="F105" s="490" t="s">
        <v>12</v>
      </c>
      <c r="G105" s="490" t="s">
        <v>13</v>
      </c>
      <c r="H105" s="490" t="s">
        <v>14</v>
      </c>
      <c r="I105" s="491"/>
      <c r="K105" s="492" t="s">
        <v>416</v>
      </c>
      <c r="L105" s="492" t="s">
        <v>417</v>
      </c>
      <c r="M105" s="492" t="s">
        <v>418</v>
      </c>
      <c r="N105" s="493" t="s">
        <v>419</v>
      </c>
      <c r="O105" s="493" t="s">
        <v>15</v>
      </c>
      <c r="P105" s="493" t="s">
        <v>420</v>
      </c>
      <c r="Q105" s="494" t="s">
        <v>421</v>
      </c>
      <c r="R105" s="492" t="s">
        <v>422</v>
      </c>
      <c r="S105" s="475" t="s">
        <v>415</v>
      </c>
      <c r="T105" s="493" t="s">
        <v>423</v>
      </c>
      <c r="U105" s="493" t="s">
        <v>424</v>
      </c>
      <c r="V105" s="495" t="s">
        <v>16</v>
      </c>
      <c r="W105" s="496" t="s">
        <v>16</v>
      </c>
      <c r="X105" s="497"/>
      <c r="Y105" s="498"/>
      <c r="Z105" s="499" t="s">
        <v>425</v>
      </c>
      <c r="AA105" s="493" t="s">
        <v>426</v>
      </c>
      <c r="AB105" s="475" t="s">
        <v>17</v>
      </c>
      <c r="AC105" s="475" t="s">
        <v>18</v>
      </c>
      <c r="AD105" s="475" t="s">
        <v>427</v>
      </c>
      <c r="AE105" s="493" t="s">
        <v>428</v>
      </c>
      <c r="AF105" s="493" t="s">
        <v>429</v>
      </c>
      <c r="AG105" s="500" t="s">
        <v>19</v>
      </c>
      <c r="AH105" s="500" t="s">
        <v>20</v>
      </c>
      <c r="AI105" s="475" t="s">
        <v>430</v>
      </c>
      <c r="AJ105" s="493" t="s">
        <v>431</v>
      </c>
      <c r="AK105" s="493" t="s">
        <v>432</v>
      </c>
      <c r="AL105" s="493" t="s">
        <v>433</v>
      </c>
      <c r="AM105" s="475" t="s">
        <v>434</v>
      </c>
      <c r="AN105" s="501" t="s">
        <v>435</v>
      </c>
      <c r="AO105" s="493" t="s">
        <v>436</v>
      </c>
      <c r="AP105" s="493" t="s">
        <v>437</v>
      </c>
      <c r="AQ105" s="475" t="s">
        <v>415</v>
      </c>
      <c r="AR105" s="493" t="s">
        <v>438</v>
      </c>
      <c r="AS105" s="493" t="s">
        <v>439</v>
      </c>
      <c r="AT105" s="495" t="s">
        <v>16</v>
      </c>
      <c r="AU105" s="496" t="s">
        <v>16</v>
      </c>
      <c r="AV105" s="497"/>
      <c r="AX105" s="502" t="s">
        <v>21</v>
      </c>
      <c r="AY105" s="502" t="s">
        <v>17</v>
      </c>
      <c r="AZ105" s="503" t="s">
        <v>22</v>
      </c>
      <c r="BA105" s="504" t="s">
        <v>23</v>
      </c>
      <c r="BC105" s="475" t="s">
        <v>440</v>
      </c>
      <c r="BD105" s="475" t="s">
        <v>441</v>
      </c>
      <c r="BE105" s="475" t="s">
        <v>24</v>
      </c>
      <c r="BF105" s="475" t="s">
        <v>25</v>
      </c>
      <c r="BG105" s="475" t="s">
        <v>26</v>
      </c>
      <c r="BH105" s="475" t="s">
        <v>27</v>
      </c>
      <c r="BI105" s="475" t="s">
        <v>28</v>
      </c>
      <c r="BJ105" s="475" t="s">
        <v>442</v>
      </c>
      <c r="BK105" s="475" t="s">
        <v>29</v>
      </c>
      <c r="BL105" s="475" t="s">
        <v>30</v>
      </c>
      <c r="BM105" s="505" t="s">
        <v>443</v>
      </c>
      <c r="BN105" s="505" t="s">
        <v>444</v>
      </c>
      <c r="BO105" s="505" t="s">
        <v>445</v>
      </c>
      <c r="BP105" s="505" t="s">
        <v>446</v>
      </c>
      <c r="BQ105" s="505" t="s">
        <v>447</v>
      </c>
      <c r="BR105" s="506"/>
      <c r="BS105" s="493" t="s">
        <v>448</v>
      </c>
      <c r="BT105" s="493" t="s">
        <v>449</v>
      </c>
      <c r="BU105" s="494" t="s">
        <v>450</v>
      </c>
      <c r="BV105" s="495" t="s">
        <v>451</v>
      </c>
      <c r="BW105" s="496" t="s">
        <v>452</v>
      </c>
    </row>
    <row r="106" spans="1:75">
      <c r="B106" s="507" t="s">
        <v>32</v>
      </c>
      <c r="C106" s="508">
        <v>27</v>
      </c>
      <c r="D106" s="509">
        <f>E106-C106</f>
        <v>6984</v>
      </c>
      <c r="E106" s="510">
        <v>7011</v>
      </c>
      <c r="F106" s="508">
        <v>55</v>
      </c>
      <c r="G106" s="509">
        <f>H106-F106</f>
        <v>7070</v>
      </c>
      <c r="H106" s="510">
        <v>7125</v>
      </c>
      <c r="I106" s="511"/>
      <c r="K106" s="512">
        <f>(C106/E106)/(F106/H106)</f>
        <v>0.49889135254988914</v>
      </c>
      <c r="L106" s="513">
        <f>(D106/(C106*E106)+(G106/(F106*H106)))</f>
        <v>5.4935871336384813E-2</v>
      </c>
      <c r="M106" s="514">
        <f>1/L106</f>
        <v>18.203042487062287</v>
      </c>
      <c r="N106" s="515">
        <f>LN(K106)</f>
        <v>-0.69536693729825816</v>
      </c>
      <c r="O106" s="515">
        <f>M106*N106</f>
        <v>-12.65779390373857</v>
      </c>
      <c r="P106" s="515">
        <f>LN(K106)</f>
        <v>-0.69536693729825816</v>
      </c>
      <c r="Q106" s="600">
        <f>K106</f>
        <v>0.49889135254988914</v>
      </c>
      <c r="R106" s="517">
        <f>SQRT(1/M106)</f>
        <v>0.23438402534384636</v>
      </c>
      <c r="S106" s="518">
        <f>$H$2</f>
        <v>1.9599639845400536</v>
      </c>
      <c r="T106" s="519">
        <f>P106-(R106*S106)</f>
        <v>-1.1547511855237202</v>
      </c>
      <c r="U106" s="519">
        <f>P106+(R106*S106)</f>
        <v>-0.23598268907279613</v>
      </c>
      <c r="V106" s="520">
        <f t="shared" ref="V106:W108" si="27">EXP(T106)</f>
        <v>0.31513593753265723</v>
      </c>
      <c r="W106" s="521">
        <f t="shared" si="27"/>
        <v>0.78979434588689301</v>
      </c>
      <c r="X106" s="522"/>
      <c r="Z106" s="523">
        <f>(N106-P108)^2</f>
        <v>1.9923154223517275E-3</v>
      </c>
      <c r="AA106" s="521">
        <f>M106*Z106</f>
        <v>3.6266202280697941E-2</v>
      </c>
      <c r="AB106" s="473">
        <v>1</v>
      </c>
      <c r="AC106" s="506"/>
      <c r="AD106" s="506"/>
      <c r="AE106" s="514">
        <f>M106^2</f>
        <v>331.35075578579477</v>
      </c>
      <c r="AF106" s="524"/>
      <c r="AG106" s="525">
        <f>AG108</f>
        <v>-4.7933311554989144E-2</v>
      </c>
      <c r="AH106" s="525" t="str">
        <f>AH108</f>
        <v>0</v>
      </c>
      <c r="AI106" s="521">
        <f>1/M106</f>
        <v>5.4935871336384813E-2</v>
      </c>
      <c r="AJ106" s="526">
        <f>1/(AH106+AI106)</f>
        <v>18.203042487062287</v>
      </c>
      <c r="AK106" s="527">
        <f>AJ106/AJ108</f>
        <v>0.46586311193134583</v>
      </c>
      <c r="AL106" s="528">
        <f>AJ106*N106</f>
        <v>-12.65779390373857</v>
      </c>
      <c r="AM106" s="528">
        <f>AL106/AJ106</f>
        <v>-0.69536693729825816</v>
      </c>
      <c r="AN106" s="521">
        <f>EXP(AM106)</f>
        <v>0.49889135254988914</v>
      </c>
      <c r="AO106" s="529">
        <f>1/AJ106</f>
        <v>5.4935871336384813E-2</v>
      </c>
      <c r="AP106" s="521">
        <f>SQRT(AO106)</f>
        <v>0.23438402534384636</v>
      </c>
      <c r="AQ106" s="518">
        <f>$H$2</f>
        <v>1.9599639845400536</v>
      </c>
      <c r="AR106" s="519">
        <f>AM106-(AQ106*AP106)</f>
        <v>-1.1547511855237202</v>
      </c>
      <c r="AS106" s="519">
        <f>AM106+(1.96*AP106)</f>
        <v>-0.23597424762431929</v>
      </c>
      <c r="AT106" s="530">
        <f t="shared" ref="AT106:AU108" si="28">EXP(AR106)</f>
        <v>0.31513593753265723</v>
      </c>
      <c r="AU106" s="530">
        <f t="shared" si="28"/>
        <v>0.78980101292331073</v>
      </c>
      <c r="AV106" s="491"/>
      <c r="AX106" s="531"/>
      <c r="AY106" s="531">
        <v>1</v>
      </c>
      <c r="AZ106" s="532"/>
      <c r="BA106" s="532"/>
      <c r="BC106" s="506"/>
      <c r="BD106" s="506"/>
      <c r="BE106" s="473"/>
      <c r="BF106" s="473"/>
      <c r="BG106" s="473"/>
      <c r="BH106" s="473"/>
      <c r="BI106" s="473"/>
      <c r="BJ106" s="473"/>
      <c r="BK106" s="473"/>
      <c r="BL106" s="473"/>
      <c r="BM106" s="506"/>
      <c r="BN106" s="506"/>
      <c r="BO106" s="506"/>
      <c r="BP106" s="506"/>
      <c r="BQ106" s="506"/>
      <c r="BR106" s="506"/>
      <c r="BS106" s="506"/>
      <c r="BT106" s="506"/>
      <c r="BU106" s="506"/>
      <c r="BV106" s="506"/>
      <c r="BW106" s="506"/>
    </row>
    <row r="107" spans="1:75">
      <c r="B107" s="507" t="s">
        <v>34</v>
      </c>
      <c r="C107" s="508">
        <v>32</v>
      </c>
      <c r="D107" s="509">
        <f>E107-C107</f>
        <v>6980</v>
      </c>
      <c r="E107" s="510">
        <v>7012</v>
      </c>
      <c r="F107" s="508">
        <v>59</v>
      </c>
      <c r="G107" s="509">
        <f>H107-F107</f>
        <v>6953</v>
      </c>
      <c r="H107" s="510">
        <v>7012</v>
      </c>
      <c r="I107" s="511"/>
      <c r="K107" s="512">
        <f>(C107/E107)/(F107/H107)</f>
        <v>0.5423728813559322</v>
      </c>
      <c r="L107" s="513">
        <f>(D107/(C107*E107)+(G107/(F107*H107)))</f>
        <v>4.7913927214363758E-2</v>
      </c>
      <c r="M107" s="514">
        <f>1/L107</f>
        <v>20.870758423246457</v>
      </c>
      <c r="N107" s="515">
        <f>LN(K107)</f>
        <v>-0.61180154110599294</v>
      </c>
      <c r="O107" s="515">
        <f>M107*N107</f>
        <v>-12.768762167393065</v>
      </c>
      <c r="P107" s="515">
        <f>LN(K107)</f>
        <v>-0.61180154110599294</v>
      </c>
      <c r="Q107" s="600">
        <f>K107</f>
        <v>0.5423728813559322</v>
      </c>
      <c r="R107" s="517">
        <f>SQRT(1/M107)</f>
        <v>0.21889250150328074</v>
      </c>
      <c r="S107" s="518">
        <f>$H$2</f>
        <v>1.9599639845400536</v>
      </c>
      <c r="T107" s="519">
        <f>P107-(R107*S107)</f>
        <v>-1.0408229605383028</v>
      </c>
      <c r="U107" s="519">
        <f>P107+(R107*S107)</f>
        <v>-0.18278012167368313</v>
      </c>
      <c r="V107" s="520">
        <f t="shared" si="27"/>
        <v>0.35316392236169708</v>
      </c>
      <c r="W107" s="521">
        <f t="shared" si="27"/>
        <v>0.83295128353756376</v>
      </c>
      <c r="X107" s="522"/>
      <c r="Z107" s="523">
        <f>(N107-P108)^2</f>
        <v>1.5155476655810247E-3</v>
      </c>
      <c r="AA107" s="521">
        <f>M107*Z107</f>
        <v>3.1630629207256677E-2</v>
      </c>
      <c r="AB107" s="473">
        <v>1</v>
      </c>
      <c r="AC107" s="506"/>
      <c r="AD107" s="506"/>
      <c r="AE107" s="514">
        <f>M107^2</f>
        <v>435.58855716151294</v>
      </c>
      <c r="AF107" s="524"/>
      <c r="AG107" s="525">
        <f>AG108</f>
        <v>-4.7933311554989144E-2</v>
      </c>
      <c r="AH107" s="525" t="str">
        <f>AH108</f>
        <v>0</v>
      </c>
      <c r="AI107" s="521">
        <f>1/M107</f>
        <v>4.7913927214363758E-2</v>
      </c>
      <c r="AJ107" s="526">
        <f>1/(AH107+AI107)</f>
        <v>20.870758423246457</v>
      </c>
      <c r="AK107" s="527">
        <f>AJ107/AJ108</f>
        <v>0.53413688806865411</v>
      </c>
      <c r="AL107" s="528">
        <f>AJ107*N107</f>
        <v>-12.768762167393065</v>
      </c>
      <c r="AM107" s="528">
        <f>AL107/AJ107</f>
        <v>-0.61180154110599294</v>
      </c>
      <c r="AN107" s="521">
        <f>EXP(AM107)</f>
        <v>0.5423728813559322</v>
      </c>
      <c r="AO107" s="529">
        <f>1/AJ107</f>
        <v>4.7913927214363758E-2</v>
      </c>
      <c r="AP107" s="521">
        <f>SQRT(AO107)</f>
        <v>0.21889250150328074</v>
      </c>
      <c r="AQ107" s="518">
        <f>$H$2</f>
        <v>1.9599639845400536</v>
      </c>
      <c r="AR107" s="519">
        <f>AM107-(AQ107*AP107)</f>
        <v>-1.0408229605383028</v>
      </c>
      <c r="AS107" s="519">
        <f>AM107+(1.96*AP107)</f>
        <v>-0.18277223815956267</v>
      </c>
      <c r="AT107" s="530">
        <f t="shared" si="28"/>
        <v>0.35316392236169708</v>
      </c>
      <c r="AU107" s="530">
        <f t="shared" si="28"/>
        <v>0.83295785014665313</v>
      </c>
      <c r="AV107" s="491"/>
      <c r="AX107" s="531"/>
      <c r="AY107" s="531">
        <v>1</v>
      </c>
      <c r="AZ107" s="532"/>
      <c r="BA107" s="532"/>
      <c r="BC107" s="506"/>
      <c r="BD107" s="506"/>
      <c r="BE107" s="473"/>
      <c r="BF107" s="473"/>
      <c r="BG107" s="473"/>
      <c r="BH107" s="473"/>
      <c r="BI107" s="473"/>
      <c r="BJ107" s="473"/>
      <c r="BK107" s="473"/>
      <c r="BL107" s="473"/>
      <c r="BM107" s="506"/>
      <c r="BN107" s="506"/>
      <c r="BO107" s="506"/>
      <c r="BP107" s="506"/>
      <c r="BQ107" s="506"/>
      <c r="BR107" s="506"/>
      <c r="BS107" s="506"/>
      <c r="BT107" s="506"/>
      <c r="BU107" s="506"/>
      <c r="BV107" s="506"/>
      <c r="BW107" s="506"/>
    </row>
    <row r="108" spans="1:75">
      <c r="B108" s="533">
        <f>COUNT(D106:D107)</f>
        <v>2</v>
      </c>
      <c r="C108" s="534">
        <f t="shared" ref="C108:H108" si="29">SUM(C106:C107)</f>
        <v>59</v>
      </c>
      <c r="D108" s="534">
        <f t="shared" si="29"/>
        <v>13964</v>
      </c>
      <c r="E108" s="534">
        <f t="shared" si="29"/>
        <v>14023</v>
      </c>
      <c r="F108" s="534">
        <f t="shared" si="29"/>
        <v>114</v>
      </c>
      <c r="G108" s="534">
        <f t="shared" si="29"/>
        <v>14023</v>
      </c>
      <c r="H108" s="534">
        <f t="shared" si="29"/>
        <v>14137</v>
      </c>
      <c r="I108" s="535"/>
      <c r="K108" s="536"/>
      <c r="L108" s="607"/>
      <c r="M108" s="538">
        <f>SUM(M106:M107)</f>
        <v>39.073800910308748</v>
      </c>
      <c r="N108" s="539"/>
      <c r="O108" s="540">
        <f>SUM(O106:O107)</f>
        <v>-25.426556071131635</v>
      </c>
      <c r="P108" s="541">
        <f>O108/M108</f>
        <v>-0.65073157662589742</v>
      </c>
      <c r="Q108" s="542">
        <f>EXP(P108)</f>
        <v>0.52166399993961599</v>
      </c>
      <c r="R108" s="543">
        <f>SQRT(1/M108)</f>
        <v>0.15997686075626141</v>
      </c>
      <c r="S108" s="518">
        <f>$H$2</f>
        <v>1.9599639845400536</v>
      </c>
      <c r="T108" s="544">
        <f>P108-(R108*S108)</f>
        <v>-0.96428046206794882</v>
      </c>
      <c r="U108" s="544">
        <f>P108+(R108*S108)</f>
        <v>-0.33718269118384597</v>
      </c>
      <c r="V108" s="545">
        <f t="shared" si="27"/>
        <v>0.38125743025081993</v>
      </c>
      <c r="W108" s="546">
        <f t="shared" si="27"/>
        <v>0.71377842696460991</v>
      </c>
      <c r="X108" s="547"/>
      <c r="Y108" s="547"/>
      <c r="Z108" s="548"/>
      <c r="AA108" s="549">
        <f>SUM(AA106:AA107)</f>
        <v>6.7896831487954612E-2</v>
      </c>
      <c r="AB108" s="550">
        <f>SUM(AB106:AB107)</f>
        <v>2</v>
      </c>
      <c r="AC108" s="551">
        <f>AA108-(AB108-1)</f>
        <v>-0.93210316851204533</v>
      </c>
      <c r="AD108" s="538">
        <f>M108</f>
        <v>39.073800910308748</v>
      </c>
      <c r="AE108" s="538">
        <f>SUM(AE106:AE107)</f>
        <v>766.93931294730771</v>
      </c>
      <c r="AF108" s="552">
        <f>AE108/AD108</f>
        <v>19.627967975466856</v>
      </c>
      <c r="AG108" s="553">
        <f>AC108/(AD108-AF108)</f>
        <v>-4.7933311554989144E-2</v>
      </c>
      <c r="AH108" s="553" t="str">
        <f>IF(AA108&lt;AB108-1,"0",AG108)</f>
        <v>0</v>
      </c>
      <c r="AI108" s="548"/>
      <c r="AJ108" s="538">
        <f>SUM(AJ106:AJ107)</f>
        <v>39.073800910308748</v>
      </c>
      <c r="AK108" s="554">
        <f>SUM(AK106:AK107)</f>
        <v>1</v>
      </c>
      <c r="AL108" s="551">
        <f>SUM(AL106:AL107)</f>
        <v>-25.426556071131635</v>
      </c>
      <c r="AM108" s="551">
        <f>AL108/AJ108</f>
        <v>-0.65073157662589742</v>
      </c>
      <c r="AN108" s="608">
        <f>EXP(AM108)</f>
        <v>0.52166399993961599</v>
      </c>
      <c r="AO108" s="556">
        <f>1/AJ108</f>
        <v>2.5592595977428252E-2</v>
      </c>
      <c r="AP108" s="557">
        <f>SQRT(AO108)</f>
        <v>0.15997686075626141</v>
      </c>
      <c r="AQ108" s="518">
        <f>$H$2</f>
        <v>1.9599639845400536</v>
      </c>
      <c r="AR108" s="544">
        <f>AM108-(AQ108*AP108)</f>
        <v>-0.96428046206794882</v>
      </c>
      <c r="AS108" s="544">
        <f>AM108+(1.96*AP108)</f>
        <v>-0.33717692954362505</v>
      </c>
      <c r="AT108" s="558">
        <f t="shared" si="28"/>
        <v>0.38125743025081993</v>
      </c>
      <c r="AU108" s="559">
        <f t="shared" si="28"/>
        <v>0.71378253951095105</v>
      </c>
      <c r="AV108" s="609"/>
      <c r="AW108" s="468"/>
      <c r="AX108" s="561">
        <f>AA108</f>
        <v>6.7896831487954612E-2</v>
      </c>
      <c r="AY108" s="533">
        <f>SUM(AY106:AY107)</f>
        <v>2</v>
      </c>
      <c r="AZ108" s="562">
        <f>(AX108-(AY108-1))/AX108</f>
        <v>-13.728227784493996</v>
      </c>
      <c r="BA108" s="563" t="str">
        <f>IF(AA108&lt;AB108-1,"0%",AZ108)</f>
        <v>0%</v>
      </c>
      <c r="BB108" s="468"/>
      <c r="BC108" s="540">
        <f>AX108/(AY108-1)</f>
        <v>6.7896831487954612E-2</v>
      </c>
      <c r="BD108" s="564">
        <f>LN(BC108)</f>
        <v>-2.6897659098957787</v>
      </c>
      <c r="BE108" s="540">
        <f>LN(AX108)</f>
        <v>-2.6897659098957787</v>
      </c>
      <c r="BF108" s="540">
        <f>LN(AY108-1)</f>
        <v>0</v>
      </c>
      <c r="BG108" s="540">
        <f>SQRT(2*AX108)</f>
        <v>0.36850191719434677</v>
      </c>
      <c r="BH108" s="540">
        <f>SQRT(2*AY108-3)</f>
        <v>1</v>
      </c>
      <c r="BI108" s="540">
        <f>2*(AY108-2)</f>
        <v>0</v>
      </c>
      <c r="BJ108" s="540">
        <f>3*(AY108-2)^2</f>
        <v>0</v>
      </c>
      <c r="BK108" s="540" t="e">
        <f>1/BI108</f>
        <v>#DIV/0!</v>
      </c>
      <c r="BL108" s="540" t="e">
        <f>1/BJ108</f>
        <v>#DIV/0!</v>
      </c>
      <c r="BM108" s="540" t="e">
        <f>SQRT(BK108*(1-BL108))</f>
        <v>#DIV/0!</v>
      </c>
      <c r="BN108" s="564">
        <f>0.5*(BE108-BF108)/(BG108-BH108)</f>
        <v>2.1296706855748031</v>
      </c>
      <c r="BO108" s="564" t="e">
        <f>IF(AA108&lt;=AB108,BM108,BN108)</f>
        <v>#DIV/0!</v>
      </c>
      <c r="BP108" s="551" t="e">
        <f>BD108-(1.96*BO108)</f>
        <v>#DIV/0!</v>
      </c>
      <c r="BQ108" s="551" t="e">
        <f>BD108+(1.96*BO108)</f>
        <v>#DIV/0!</v>
      </c>
      <c r="BR108" s="551"/>
      <c r="BS108" s="564" t="e">
        <f>EXP(BP108)</f>
        <v>#DIV/0!</v>
      </c>
      <c r="BT108" s="564" t="e">
        <f>EXP(BQ108)</f>
        <v>#DIV/0!</v>
      </c>
      <c r="BU108" s="565" t="str">
        <f>BA108</f>
        <v>0%</v>
      </c>
      <c r="BV108" s="565" t="e">
        <f>(BS108-1)/BS108</f>
        <v>#DIV/0!</v>
      </c>
      <c r="BW108" s="565" t="e">
        <f>(BT108-1)/BT108</f>
        <v>#DIV/0!</v>
      </c>
    </row>
    <row r="109" spans="1:75" ht="13.5" thickBot="1">
      <c r="D109" s="566"/>
      <c r="E109" s="566"/>
      <c r="F109" s="566"/>
      <c r="G109" s="566"/>
      <c r="H109" s="566"/>
      <c r="I109" s="567"/>
      <c r="R109" s="568"/>
      <c r="S109" s="568"/>
      <c r="T109" s="568"/>
      <c r="U109" s="568"/>
      <c r="V109" s="568"/>
      <c r="W109" s="568"/>
      <c r="X109" s="568"/>
      <c r="AB109" s="569"/>
      <c r="AC109" s="570"/>
      <c r="AD109" s="570"/>
      <c r="AE109" s="570"/>
      <c r="AF109" s="572"/>
      <c r="AG109" s="572"/>
      <c r="AH109" s="572"/>
      <c r="AI109" s="572"/>
      <c r="AT109" s="573"/>
      <c r="AU109" s="573"/>
      <c r="AV109" s="573"/>
      <c r="AX109" s="480" t="s">
        <v>35</v>
      </c>
      <c r="BG109" s="483"/>
      <c r="BN109" s="570" t="s">
        <v>36</v>
      </c>
      <c r="BT109" s="574" t="s">
        <v>37</v>
      </c>
      <c r="BU109" s="575" t="str">
        <f>BU108</f>
        <v>0%</v>
      </c>
      <c r="BV109" s="576" t="e">
        <f>IF(BV108&lt;0,"0%",BV108)</f>
        <v>#DIV/0!</v>
      </c>
      <c r="BW109" s="577" t="e">
        <f>IF(BW108&lt;0,"0%",BW108)</f>
        <v>#DIV/0!</v>
      </c>
    </row>
    <row r="110" spans="1:75" ht="26.5" thickBot="1">
      <c r="B110" s="480"/>
      <c r="C110" s="606"/>
      <c r="D110" s="580"/>
      <c r="E110" s="580"/>
      <c r="F110" s="580"/>
      <c r="G110" s="580"/>
      <c r="H110" s="580"/>
      <c r="I110" s="581"/>
      <c r="J110" s="480"/>
      <c r="K110" s="480"/>
      <c r="R110" s="582"/>
      <c r="S110" s="582"/>
      <c r="T110" s="582"/>
      <c r="U110" s="582"/>
      <c r="V110" s="582"/>
      <c r="W110" s="582"/>
      <c r="X110" s="582"/>
      <c r="AF110" s="472"/>
      <c r="AI110" s="483"/>
      <c r="AJ110" s="583"/>
      <c r="AK110" s="583"/>
      <c r="AL110" s="584"/>
      <c r="AM110" s="585"/>
      <c r="AN110" s="610"/>
      <c r="AO110" s="587" t="s">
        <v>453</v>
      </c>
      <c r="AP110" s="588" t="e">
        <f>TINV((1-$H$1),(AB108-2))</f>
        <v>#NUM!</v>
      </c>
      <c r="AR110" s="589" t="s">
        <v>38</v>
      </c>
      <c r="AS110" s="590">
        <f>$H$1</f>
        <v>0.95</v>
      </c>
      <c r="AT110" s="591" t="e">
        <f>EXP(AM108-AP110*SQRT((1/AD108)+AH108))</f>
        <v>#NUM!</v>
      </c>
      <c r="AU110" s="592" t="e">
        <f>EXP(AM108+AP110*SQRT((1/AD108)+AH108))</f>
        <v>#NUM!</v>
      </c>
      <c r="AV110" s="491"/>
      <c r="AX110" s="593">
        <f>_xlfn.CHISQ.DIST.RT(AX108,AY108-1)</f>
        <v>0.79442396941504412</v>
      </c>
      <c r="AY110" s="594" t="str">
        <f>IF(AX110&lt;0.05,"heterogeneidad","homogeneidad")</f>
        <v>homogeneidad</v>
      </c>
      <c r="BF110" s="595"/>
      <c r="BG110" s="483"/>
      <c r="BH110" s="483"/>
      <c r="BJ110" s="522"/>
      <c r="BL110" s="483"/>
      <c r="BM110" s="596"/>
      <c r="BQ110" s="483"/>
    </row>
    <row r="111" spans="1:75" ht="14.5">
      <c r="B111" s="480"/>
      <c r="C111" s="580"/>
      <c r="D111" s="580"/>
      <c r="E111" s="580"/>
      <c r="F111" s="580"/>
      <c r="G111" s="580"/>
      <c r="H111" s="580"/>
      <c r="I111" s="581"/>
      <c r="J111" s="480"/>
      <c r="K111" s="480"/>
      <c r="R111" s="582"/>
      <c r="S111" s="582"/>
      <c r="T111" s="582"/>
      <c r="U111" s="582"/>
      <c r="V111" s="582"/>
      <c r="W111" s="582"/>
      <c r="X111" s="582"/>
      <c r="AF111" s="472"/>
      <c r="AI111" s="483"/>
      <c r="AJ111" s="583"/>
      <c r="AK111" s="583"/>
      <c r="AL111" s="584"/>
      <c r="AM111" s="585"/>
      <c r="AN111" s="597"/>
      <c r="AO111" s="598"/>
      <c r="AP111" s="487"/>
      <c r="AS111" s="599"/>
      <c r="AT111" s="491"/>
      <c r="AU111" s="491"/>
      <c r="AV111" s="491"/>
      <c r="BF111" s="595"/>
      <c r="BG111" s="483"/>
      <c r="BH111" s="483"/>
      <c r="BJ111" s="522"/>
      <c r="BL111" s="483"/>
      <c r="BM111" s="596"/>
      <c r="BQ111" s="483"/>
    </row>
    <row r="112" spans="1:75">
      <c r="B112" s="611" t="s">
        <v>76</v>
      </c>
      <c r="C112" s="566"/>
      <c r="D112" s="566"/>
      <c r="E112" s="566"/>
      <c r="F112" s="566"/>
      <c r="G112" s="566"/>
      <c r="H112" s="566"/>
      <c r="I112" s="567"/>
      <c r="J112" s="624" t="s">
        <v>4</v>
      </c>
      <c r="K112" s="625"/>
      <c r="L112" s="625"/>
      <c r="M112" s="625"/>
      <c r="N112" s="625"/>
      <c r="O112" s="625"/>
      <c r="P112" s="625"/>
      <c r="Q112" s="625"/>
      <c r="R112" s="625"/>
      <c r="S112" s="625"/>
      <c r="T112" s="625"/>
      <c r="U112" s="625"/>
      <c r="V112" s="625"/>
      <c r="W112" s="626"/>
      <c r="X112" s="484"/>
      <c r="Y112" s="624" t="s">
        <v>5</v>
      </c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6"/>
      <c r="AV112" s="484"/>
      <c r="AW112" s="624" t="s">
        <v>6</v>
      </c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  <c r="BI112" s="625"/>
      <c r="BJ112" s="625"/>
      <c r="BK112" s="625"/>
      <c r="BL112" s="625"/>
      <c r="BM112" s="625"/>
      <c r="BN112" s="625"/>
      <c r="BO112" s="625"/>
      <c r="BP112" s="625"/>
      <c r="BQ112" s="625"/>
      <c r="BR112" s="625"/>
      <c r="BS112" s="625"/>
      <c r="BT112" s="625"/>
      <c r="BU112" s="625"/>
      <c r="BV112" s="625"/>
      <c r="BW112" s="626"/>
    </row>
    <row r="113" spans="1:75">
      <c r="A113" s="612"/>
      <c r="B113" s="486" t="s">
        <v>8</v>
      </c>
      <c r="C113" s="623" t="s">
        <v>9</v>
      </c>
      <c r="D113" s="623"/>
      <c r="E113" s="623"/>
      <c r="F113" s="623" t="s">
        <v>10</v>
      </c>
      <c r="G113" s="623"/>
      <c r="H113" s="623"/>
      <c r="I113" s="487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88"/>
      <c r="AR113" s="488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/>
      <c r="BE113" s="488"/>
      <c r="BF113" s="488"/>
      <c r="BG113" s="488"/>
      <c r="BH113" s="488"/>
      <c r="BI113" s="488"/>
      <c r="BJ113" s="488"/>
      <c r="BK113" s="488"/>
      <c r="BL113" s="488"/>
      <c r="BM113" s="488"/>
      <c r="BN113" s="488"/>
      <c r="BO113" s="488"/>
      <c r="BP113" s="488"/>
      <c r="BQ113" s="488"/>
      <c r="BR113" s="488"/>
      <c r="BS113" s="488"/>
      <c r="BT113" s="488"/>
      <c r="BU113" s="488"/>
      <c r="BV113" s="488"/>
      <c r="BW113" s="488"/>
    </row>
    <row r="114" spans="1:75" ht="60">
      <c r="B114" s="613" t="s">
        <v>77</v>
      </c>
      <c r="C114" s="490" t="s">
        <v>12</v>
      </c>
      <c r="D114" s="490" t="s">
        <v>13</v>
      </c>
      <c r="E114" s="490" t="s">
        <v>14</v>
      </c>
      <c r="F114" s="490" t="s">
        <v>12</v>
      </c>
      <c r="G114" s="490" t="s">
        <v>13</v>
      </c>
      <c r="H114" s="490" t="s">
        <v>14</v>
      </c>
      <c r="I114" s="491"/>
      <c r="K114" s="492" t="s">
        <v>416</v>
      </c>
      <c r="L114" s="492" t="s">
        <v>417</v>
      </c>
      <c r="M114" s="492" t="s">
        <v>418</v>
      </c>
      <c r="N114" s="493" t="s">
        <v>419</v>
      </c>
      <c r="O114" s="493" t="s">
        <v>15</v>
      </c>
      <c r="P114" s="493" t="s">
        <v>420</v>
      </c>
      <c r="Q114" s="494" t="s">
        <v>421</v>
      </c>
      <c r="R114" s="492" t="s">
        <v>422</v>
      </c>
      <c r="S114" s="475" t="s">
        <v>415</v>
      </c>
      <c r="T114" s="493" t="s">
        <v>423</v>
      </c>
      <c r="U114" s="493" t="s">
        <v>424</v>
      </c>
      <c r="V114" s="495" t="s">
        <v>16</v>
      </c>
      <c r="W114" s="496" t="s">
        <v>16</v>
      </c>
      <c r="X114" s="497"/>
      <c r="Y114" s="498"/>
      <c r="Z114" s="499" t="s">
        <v>425</v>
      </c>
      <c r="AA114" s="493" t="s">
        <v>426</v>
      </c>
      <c r="AB114" s="475" t="s">
        <v>17</v>
      </c>
      <c r="AC114" s="475" t="s">
        <v>18</v>
      </c>
      <c r="AD114" s="475" t="s">
        <v>427</v>
      </c>
      <c r="AE114" s="493" t="s">
        <v>428</v>
      </c>
      <c r="AF114" s="493" t="s">
        <v>429</v>
      </c>
      <c r="AG114" s="500" t="s">
        <v>19</v>
      </c>
      <c r="AH114" s="500" t="s">
        <v>20</v>
      </c>
      <c r="AI114" s="475" t="s">
        <v>430</v>
      </c>
      <c r="AJ114" s="493" t="s">
        <v>431</v>
      </c>
      <c r="AK114" s="493" t="s">
        <v>432</v>
      </c>
      <c r="AL114" s="493" t="s">
        <v>433</v>
      </c>
      <c r="AM114" s="475" t="s">
        <v>434</v>
      </c>
      <c r="AN114" s="501" t="s">
        <v>435</v>
      </c>
      <c r="AO114" s="493" t="s">
        <v>436</v>
      </c>
      <c r="AP114" s="493" t="s">
        <v>437</v>
      </c>
      <c r="AQ114" s="475" t="s">
        <v>415</v>
      </c>
      <c r="AR114" s="493" t="s">
        <v>438</v>
      </c>
      <c r="AS114" s="493" t="s">
        <v>439</v>
      </c>
      <c r="AT114" s="495" t="s">
        <v>16</v>
      </c>
      <c r="AU114" s="496" t="s">
        <v>16</v>
      </c>
      <c r="AV114" s="497"/>
      <c r="AX114" s="502" t="s">
        <v>21</v>
      </c>
      <c r="AY114" s="502" t="s">
        <v>17</v>
      </c>
      <c r="AZ114" s="503" t="s">
        <v>22</v>
      </c>
      <c r="BA114" s="504" t="s">
        <v>23</v>
      </c>
      <c r="BC114" s="475" t="s">
        <v>440</v>
      </c>
      <c r="BD114" s="475" t="s">
        <v>441</v>
      </c>
      <c r="BE114" s="475" t="s">
        <v>24</v>
      </c>
      <c r="BF114" s="475" t="s">
        <v>25</v>
      </c>
      <c r="BG114" s="475" t="s">
        <v>26</v>
      </c>
      <c r="BH114" s="475" t="s">
        <v>27</v>
      </c>
      <c r="BI114" s="475" t="s">
        <v>28</v>
      </c>
      <c r="BJ114" s="475" t="s">
        <v>442</v>
      </c>
      <c r="BK114" s="475" t="s">
        <v>29</v>
      </c>
      <c r="BL114" s="475" t="s">
        <v>30</v>
      </c>
      <c r="BM114" s="505" t="s">
        <v>443</v>
      </c>
      <c r="BN114" s="505" t="s">
        <v>444</v>
      </c>
      <c r="BO114" s="505" t="s">
        <v>445</v>
      </c>
      <c r="BP114" s="505" t="s">
        <v>446</v>
      </c>
      <c r="BQ114" s="505" t="s">
        <v>447</v>
      </c>
      <c r="BR114" s="506"/>
      <c r="BS114" s="493" t="s">
        <v>448</v>
      </c>
      <c r="BT114" s="493" t="s">
        <v>449</v>
      </c>
      <c r="BU114" s="494" t="s">
        <v>450</v>
      </c>
      <c r="BV114" s="495" t="s">
        <v>451</v>
      </c>
      <c r="BW114" s="496" t="s">
        <v>452</v>
      </c>
    </row>
    <row r="115" spans="1:75">
      <c r="B115" s="507" t="s">
        <v>31</v>
      </c>
      <c r="C115" s="508">
        <v>134</v>
      </c>
      <c r="D115" s="509">
        <f>E115-C115</f>
        <v>5942</v>
      </c>
      <c r="E115" s="510">
        <v>6076</v>
      </c>
      <c r="F115" s="508">
        <v>199</v>
      </c>
      <c r="G115" s="509">
        <f>H115-F115</f>
        <v>5823</v>
      </c>
      <c r="H115" s="510">
        <v>6022</v>
      </c>
      <c r="I115" s="511"/>
      <c r="K115" s="512">
        <f>(C115/E115)/(F115/H115)</f>
        <v>0.66738233630297639</v>
      </c>
      <c r="L115" s="513">
        <f>(D115/(C115*E115)+(G115/(F115*H115)))</f>
        <v>1.2157172445377635E-2</v>
      </c>
      <c r="M115" s="514">
        <f>1/L115</f>
        <v>82.255969016892337</v>
      </c>
      <c r="N115" s="515">
        <f>LN(K115)</f>
        <v>-0.40439217944756534</v>
      </c>
      <c r="O115" s="515">
        <f>M115*N115</f>
        <v>-33.263670583312503</v>
      </c>
      <c r="P115" s="515">
        <f>LN(K115)</f>
        <v>-0.40439217944756534</v>
      </c>
      <c r="Q115" s="600">
        <f>K115</f>
        <v>0.66738233630297639</v>
      </c>
      <c r="R115" s="517">
        <f>SQRT(1/M115)</f>
        <v>0.1102595684980566</v>
      </c>
      <c r="S115" s="518">
        <f>$H$2</f>
        <v>1.9599639845400536</v>
      </c>
      <c r="T115" s="519">
        <f>P115-(R115*S115)</f>
        <v>-0.62049696265468335</v>
      </c>
      <c r="U115" s="519">
        <f>P115+(R115*S115)</f>
        <v>-0.18828739624044735</v>
      </c>
      <c r="V115" s="520">
        <f>EXP(T115)</f>
        <v>0.53767716571646706</v>
      </c>
      <c r="W115" s="521">
        <f>EXP(U115)</f>
        <v>0.8283766006981429</v>
      </c>
      <c r="X115" s="522"/>
      <c r="Z115" s="523">
        <f>(N115-P119)^2</f>
        <v>3.082307006209524E-2</v>
      </c>
      <c r="AA115" s="521">
        <f>M115*Z115</f>
        <v>2.5353814960332079</v>
      </c>
      <c r="AB115" s="473">
        <v>1</v>
      </c>
      <c r="AC115" s="506"/>
      <c r="AD115" s="506"/>
      <c r="AE115" s="514">
        <f>M115^2</f>
        <v>6766.0444389079521</v>
      </c>
      <c r="AF115" s="524"/>
      <c r="AG115" s="525">
        <f>AG119</f>
        <v>3.4270224895387022E-3</v>
      </c>
      <c r="AH115" s="525">
        <f>AH119</f>
        <v>3.4270224895387022E-3</v>
      </c>
      <c r="AI115" s="521">
        <f>1/M115</f>
        <v>1.2157172445377635E-2</v>
      </c>
      <c r="AJ115" s="526">
        <f>1/(AH115+AI115)</f>
        <v>64.167575173196994</v>
      </c>
      <c r="AK115" s="527">
        <f>AJ115/AJ119</f>
        <v>0.19170040503755109</v>
      </c>
      <c r="AL115" s="528">
        <f>AJ115*N115</f>
        <v>-25.948865574154617</v>
      </c>
      <c r="AM115" s="528">
        <f>AL115/AJ115</f>
        <v>-0.40439217944756534</v>
      </c>
      <c r="AN115" s="521">
        <f>EXP(AM115)</f>
        <v>0.66738233630297639</v>
      </c>
      <c r="AO115" s="529">
        <f>1/AJ115</f>
        <v>1.5584194934916338E-2</v>
      </c>
      <c r="AP115" s="521">
        <f>SQRT(AO115)</f>
        <v>0.12483667303687782</v>
      </c>
      <c r="AQ115" s="518">
        <f>$H$2</f>
        <v>1.9599639845400536</v>
      </c>
      <c r="AR115" s="519">
        <f>AM115-(AQ115*AP115)</f>
        <v>-0.64906756254964826</v>
      </c>
      <c r="AS115" s="519">
        <f>AM115+(1.96*AP115)</f>
        <v>-0.15971230029528483</v>
      </c>
      <c r="AT115" s="530">
        <f>EXP(AR115)</f>
        <v>0.52253277880825466</v>
      </c>
      <c r="AU115" s="530">
        <f>EXP(AS115)</f>
        <v>0.85238898575250199</v>
      </c>
      <c r="AV115" s="491"/>
      <c r="AX115" s="531"/>
      <c r="AY115" s="531">
        <v>1</v>
      </c>
      <c r="AZ115" s="532"/>
      <c r="BA115" s="532"/>
      <c r="BC115" s="506"/>
      <c r="BD115" s="506"/>
      <c r="BE115" s="473"/>
      <c r="BF115" s="473"/>
      <c r="BG115" s="473"/>
      <c r="BH115" s="473"/>
      <c r="BI115" s="473"/>
      <c r="BJ115" s="473"/>
      <c r="BK115" s="473"/>
      <c r="BL115" s="473"/>
      <c r="BM115" s="506"/>
      <c r="BN115" s="506"/>
      <c r="BO115" s="506"/>
      <c r="BP115" s="506"/>
      <c r="BQ115" s="506"/>
      <c r="BR115" s="506"/>
      <c r="BS115" s="506"/>
      <c r="BT115" s="506"/>
      <c r="BU115" s="506"/>
      <c r="BV115" s="506"/>
      <c r="BW115" s="506"/>
    </row>
    <row r="116" spans="1:75">
      <c r="B116" s="507" t="s">
        <v>32</v>
      </c>
      <c r="C116" s="508">
        <v>189</v>
      </c>
      <c r="D116" s="509">
        <f>E116-C116</f>
        <v>6872</v>
      </c>
      <c r="E116" s="510">
        <v>7061</v>
      </c>
      <c r="F116" s="508">
        <v>243</v>
      </c>
      <c r="G116" s="509">
        <f>H116-F116</f>
        <v>6839</v>
      </c>
      <c r="H116" s="510">
        <v>7082</v>
      </c>
      <c r="I116" s="511"/>
      <c r="K116" s="512">
        <f>(C116/E116)/(F116/H116)</f>
        <v>0.7800909534375049</v>
      </c>
      <c r="L116" s="513">
        <f>(D116/(C116*E116)+(G116/(F116*H116)))</f>
        <v>9.1234055788928393E-3</v>
      </c>
      <c r="M116" s="514">
        <f>1/L116</f>
        <v>109.60819305386552</v>
      </c>
      <c r="N116" s="515">
        <f>LN(K116)</f>
        <v>-0.24834475912540391</v>
      </c>
      <c r="O116" s="515">
        <f>M116*N116</f>
        <v>-27.220620302133003</v>
      </c>
      <c r="P116" s="515">
        <f>LN(K116)</f>
        <v>-0.24834475912540391</v>
      </c>
      <c r="Q116" s="600">
        <f>K116</f>
        <v>0.7800909534375049</v>
      </c>
      <c r="R116" s="517">
        <f>SQRT(1/M116)</f>
        <v>9.5516519926622329E-2</v>
      </c>
      <c r="S116" s="518">
        <f>$H$2</f>
        <v>1.9599639845400536</v>
      </c>
      <c r="T116" s="519">
        <f>P116-(R116*S116)</f>
        <v>-0.43555369811018607</v>
      </c>
      <c r="U116" s="519">
        <f>P116+(R116*S116)</f>
        <v>-6.1135820140621772E-2</v>
      </c>
      <c r="V116" s="520">
        <f t="shared" ref="V116:W118" si="30">EXP(T116)</f>
        <v>0.64690637705649101</v>
      </c>
      <c r="W116" s="521">
        <f t="shared" si="30"/>
        <v>0.94069546570862539</v>
      </c>
      <c r="X116" s="522"/>
      <c r="Z116" s="523">
        <f>(N116-P119)^2</f>
        <v>3.809360095407489E-4</v>
      </c>
      <c r="AA116" s="521">
        <f>M116*Z116</f>
        <v>4.1753707674911565E-2</v>
      </c>
      <c r="AB116" s="473">
        <v>1</v>
      </c>
      <c r="AC116" s="506"/>
      <c r="AD116" s="506"/>
      <c r="AE116" s="514">
        <f>M116^2</f>
        <v>12013.955984533453</v>
      </c>
      <c r="AF116" s="524"/>
      <c r="AG116" s="525">
        <f>AG119</f>
        <v>3.4270224895387022E-3</v>
      </c>
      <c r="AH116" s="525">
        <f>AH119</f>
        <v>3.4270224895387022E-3</v>
      </c>
      <c r="AI116" s="521">
        <f>1/M116</f>
        <v>9.1234055788928393E-3</v>
      </c>
      <c r="AJ116" s="526">
        <f>1/(AH116+AI116)</f>
        <v>79.678557141435618</v>
      </c>
      <c r="AK116" s="527">
        <f>AJ116/AJ119</f>
        <v>0.23803940908773874</v>
      </c>
      <c r="AL116" s="528">
        <f>AJ116*N116</f>
        <v>-19.787752080749559</v>
      </c>
      <c r="AM116" s="528">
        <f>AL116/AJ116</f>
        <v>-0.24834475912540391</v>
      </c>
      <c r="AN116" s="521">
        <f>EXP(AM116)</f>
        <v>0.7800909534375049</v>
      </c>
      <c r="AO116" s="529">
        <f>1/AJ116</f>
        <v>1.2550428068431541E-2</v>
      </c>
      <c r="AP116" s="521">
        <f>SQRT(AO116)</f>
        <v>0.11202869305866038</v>
      </c>
      <c r="AQ116" s="518">
        <f>$H$2</f>
        <v>1.9599639845400536</v>
      </c>
      <c r="AR116" s="519">
        <f>AM116-(AQ116*AP116)</f>
        <v>-0.46791696275547057</v>
      </c>
      <c r="AS116" s="519">
        <f>AM116+(1.96*AP116)</f>
        <v>-2.876852073042957E-2</v>
      </c>
      <c r="AT116" s="530">
        <f t="shared" ref="AT116:AU118" si="31">EXP(AR116)</f>
        <v>0.6263055281836637</v>
      </c>
      <c r="AU116" s="530">
        <f t="shared" si="31"/>
        <v>0.97164135326779177</v>
      </c>
      <c r="AV116" s="491"/>
      <c r="AX116" s="531"/>
      <c r="AY116" s="531">
        <v>1</v>
      </c>
      <c r="AZ116" s="532"/>
      <c r="BA116" s="532"/>
      <c r="BC116" s="506"/>
      <c r="BD116" s="506"/>
      <c r="BE116" s="473"/>
      <c r="BF116" s="473"/>
      <c r="BG116" s="473"/>
      <c r="BH116" s="473"/>
      <c r="BI116" s="473"/>
      <c r="BJ116" s="473"/>
      <c r="BK116" s="473"/>
      <c r="BL116" s="473"/>
      <c r="BM116" s="506"/>
      <c r="BN116" s="506"/>
      <c r="BO116" s="506"/>
      <c r="BP116" s="506"/>
      <c r="BQ116" s="506"/>
      <c r="BR116" s="506"/>
      <c r="BS116" s="506"/>
      <c r="BT116" s="506"/>
      <c r="BU116" s="506"/>
      <c r="BV116" s="506"/>
      <c r="BW116" s="506"/>
    </row>
    <row r="117" spans="1:75">
      <c r="B117" s="507" t="s">
        <v>33</v>
      </c>
      <c r="C117" s="508">
        <v>212</v>
      </c>
      <c r="D117" s="509">
        <f>E117-C117</f>
        <v>8876</v>
      </c>
      <c r="E117" s="510">
        <v>9088</v>
      </c>
      <c r="F117" s="508">
        <v>265</v>
      </c>
      <c r="G117" s="509">
        <f>H117-F117</f>
        <v>8787</v>
      </c>
      <c r="H117" s="510">
        <v>9052</v>
      </c>
      <c r="I117" s="511"/>
      <c r="K117" s="512">
        <f>(C117/E117)/(F117/H117)</f>
        <v>0.79683098591549295</v>
      </c>
      <c r="L117" s="513">
        <f>(D117/(C117*E117)+(G117/(F117*H117)))</f>
        <v>8.2700580027828697E-3</v>
      </c>
      <c r="M117" s="514">
        <f>1/L117</f>
        <v>120.91813620454664</v>
      </c>
      <c r="N117" s="515">
        <f>LN(K117)</f>
        <v>-0.22711268552171435</v>
      </c>
      <c r="O117" s="515">
        <f>M117*N117</f>
        <v>-27.462042641695025</v>
      </c>
      <c r="P117" s="515">
        <f>LN(K117)</f>
        <v>-0.22711268552171435</v>
      </c>
      <c r="Q117" s="600">
        <f>K117</f>
        <v>0.79683098591549295</v>
      </c>
      <c r="R117" s="517">
        <f>SQRT(1/M117)</f>
        <v>9.0939859263047415E-2</v>
      </c>
      <c r="S117" s="518">
        <f>$H$2</f>
        <v>1.9599639845400536</v>
      </c>
      <c r="T117" s="519">
        <f>P117-(R117*S117)</f>
        <v>-0.40535153443642846</v>
      </c>
      <c r="U117" s="519">
        <f>P117+(R117*S117)</f>
        <v>-4.8873836607000232E-2</v>
      </c>
      <c r="V117" s="520">
        <f t="shared" si="30"/>
        <v>0.66674238674764641</v>
      </c>
      <c r="W117" s="521">
        <f t="shared" si="30"/>
        <v>0.9523012676789262</v>
      </c>
      <c r="X117" s="522"/>
      <c r="Z117" s="523">
        <f>(N117-P119)^2</f>
        <v>2.9394812470657474E-6</v>
      </c>
      <c r="AA117" s="521">
        <f>M117*Z117</f>
        <v>3.5543659380340666E-4</v>
      </c>
      <c r="AB117" s="473">
        <v>1</v>
      </c>
      <c r="AC117" s="506"/>
      <c r="AD117" s="506"/>
      <c r="AE117" s="514">
        <f>M117^2</f>
        <v>14621.195663181294</v>
      </c>
      <c r="AF117" s="524"/>
      <c r="AG117" s="525">
        <f>AG119</f>
        <v>3.4270224895387022E-3</v>
      </c>
      <c r="AH117" s="525">
        <f>AH119</f>
        <v>3.4270224895387022E-3</v>
      </c>
      <c r="AI117" s="521">
        <f>1/M117</f>
        <v>8.2700580027828697E-3</v>
      </c>
      <c r="AJ117" s="526">
        <f>1/(AH117+AI117)</f>
        <v>85.491418192466043</v>
      </c>
      <c r="AK117" s="527">
        <f>AJ117/AJ119</f>
        <v>0.25540531102344094</v>
      </c>
      <c r="AL117" s="528">
        <f>AJ117*N117</f>
        <v>-19.416185574750909</v>
      </c>
      <c r="AM117" s="528">
        <f>AL117/AJ117</f>
        <v>-0.22711268552171435</v>
      </c>
      <c r="AN117" s="521">
        <f>EXP(AM117)</f>
        <v>0.79683098591549295</v>
      </c>
      <c r="AO117" s="529">
        <f>1/AJ117</f>
        <v>1.1697080492321571E-2</v>
      </c>
      <c r="AP117" s="521">
        <f>SQRT(AO117)</f>
        <v>0.10815304199291655</v>
      </c>
      <c r="AQ117" s="518">
        <f>$H$2</f>
        <v>1.9599639845400536</v>
      </c>
      <c r="AR117" s="519">
        <f>AM117-(AQ117*AP117)</f>
        <v>-0.43908875264627878</v>
      </c>
      <c r="AS117" s="519">
        <f>AM117+(1.96*AP117)</f>
        <v>-1.5132723215597915E-2</v>
      </c>
      <c r="AT117" s="530">
        <f t="shared" si="31"/>
        <v>0.64462356504361462</v>
      </c>
      <c r="AU117" s="530">
        <f t="shared" si="31"/>
        <v>0.98498120105492681</v>
      </c>
      <c r="AV117" s="491"/>
      <c r="AX117" s="531"/>
      <c r="AY117" s="531">
        <v>1</v>
      </c>
      <c r="AZ117" s="532"/>
      <c r="BA117" s="532"/>
      <c r="BC117" s="506"/>
      <c r="BD117" s="506"/>
      <c r="BE117" s="473"/>
      <c r="BF117" s="473"/>
      <c r="BG117" s="473"/>
      <c r="BH117" s="473"/>
      <c r="BI117" s="473"/>
      <c r="BJ117" s="473"/>
      <c r="BK117" s="473"/>
      <c r="BL117" s="473"/>
      <c r="BM117" s="506"/>
      <c r="BN117" s="506"/>
      <c r="BO117" s="506"/>
      <c r="BP117" s="506"/>
      <c r="BQ117" s="506"/>
      <c r="BR117" s="506"/>
      <c r="BS117" s="506"/>
      <c r="BT117" s="506"/>
      <c r="BU117" s="506"/>
      <c r="BV117" s="506"/>
      <c r="BW117" s="506"/>
    </row>
    <row r="118" spans="1:75">
      <c r="B118" s="507" t="s">
        <v>34</v>
      </c>
      <c r="C118" s="508">
        <v>296</v>
      </c>
      <c r="D118" s="509">
        <f>E118-C118</f>
        <v>6739</v>
      </c>
      <c r="E118" s="510">
        <v>7035</v>
      </c>
      <c r="F118" s="508">
        <v>337</v>
      </c>
      <c r="G118" s="509">
        <f>H118-F118</f>
        <v>6699</v>
      </c>
      <c r="H118" s="510">
        <v>7036</v>
      </c>
      <c r="I118" s="511"/>
      <c r="K118" s="512">
        <f>(C118/E118)/(F118/H118)</f>
        <v>0.87846313156557188</v>
      </c>
      <c r="L118" s="513">
        <f>(D118/(C118*E118)+(G118/(F118*H118)))</f>
        <v>6.0614648099475863E-3</v>
      </c>
      <c r="M118" s="514">
        <f>1/L118</f>
        <v>164.97662386142716</v>
      </c>
      <c r="N118" s="515">
        <f>LN(K118)</f>
        <v>-0.12958133971934202</v>
      </c>
      <c r="O118" s="515">
        <f>M118*N118</f>
        <v>-21.377891942337698</v>
      </c>
      <c r="P118" s="515">
        <f>LN(K118)</f>
        <v>-0.12958133971934202</v>
      </c>
      <c r="Q118" s="600">
        <f>K118</f>
        <v>0.87846313156557188</v>
      </c>
      <c r="R118" s="517">
        <f>SQRT(1/M118)</f>
        <v>7.7855409638300579E-2</v>
      </c>
      <c r="S118" s="518">
        <f>$H$2</f>
        <v>1.9599639845400536</v>
      </c>
      <c r="T118" s="519">
        <f>P118-(R118*S118)</f>
        <v>-0.2821751386120237</v>
      </c>
      <c r="U118" s="519">
        <f>P118+(R118*S118)</f>
        <v>2.3012459173339689E-2</v>
      </c>
      <c r="V118" s="520">
        <f t="shared" si="30"/>
        <v>0.75414159365433797</v>
      </c>
      <c r="W118" s="521">
        <f t="shared" si="30"/>
        <v>1.023279288681828</v>
      </c>
      <c r="X118" s="522"/>
      <c r="Z118" s="523">
        <f>(N118-P119)^2</f>
        <v>9.8497362301552885E-3</v>
      </c>
      <c r="AA118" s="521">
        <f>M118*Z118</f>
        <v>1.6249762291766006</v>
      </c>
      <c r="AB118" s="473">
        <v>1</v>
      </c>
      <c r="AC118" s="506"/>
      <c r="AD118" s="506"/>
      <c r="AE118" s="514">
        <f>M118^2</f>
        <v>27217.286420714816</v>
      </c>
      <c r="AF118" s="524"/>
      <c r="AG118" s="525">
        <f>AG119</f>
        <v>3.4270224895387022E-3</v>
      </c>
      <c r="AH118" s="525">
        <f>AH119</f>
        <v>3.4270224895387022E-3</v>
      </c>
      <c r="AI118" s="521">
        <f>1/M118</f>
        <v>6.0614648099475863E-3</v>
      </c>
      <c r="AJ118" s="526">
        <f>1/(AH118+AI118)</f>
        <v>105.39087722171905</v>
      </c>
      <c r="AK118" s="527">
        <f>AJ118/AJ119</f>
        <v>0.31485487485126934</v>
      </c>
      <c r="AL118" s="528">
        <f>AJ118*N118</f>
        <v>-13.656691064587042</v>
      </c>
      <c r="AM118" s="528">
        <f>AL118/AJ118</f>
        <v>-0.12958133971934202</v>
      </c>
      <c r="AN118" s="521">
        <f>EXP(AM118)</f>
        <v>0.87846313156557188</v>
      </c>
      <c r="AO118" s="529">
        <f>1/AJ118</f>
        <v>9.4884872994862885E-3</v>
      </c>
      <c r="AP118" s="521">
        <f>SQRT(AO118)</f>
        <v>9.740886663690472E-2</v>
      </c>
      <c r="AQ118" s="518">
        <f>$H$2</f>
        <v>1.9599639845400536</v>
      </c>
      <c r="AR118" s="519">
        <f>AM118-(AQ118*AP118)</f>
        <v>-0.32049921010254045</v>
      </c>
      <c r="AS118" s="519">
        <f>AM118+(1.96*AP118)</f>
        <v>6.1340038888991227E-2</v>
      </c>
      <c r="AT118" s="530">
        <f t="shared" si="31"/>
        <v>0.72578662660544357</v>
      </c>
      <c r="AU118" s="530">
        <f t="shared" si="31"/>
        <v>1.063260402609663</v>
      </c>
      <c r="AV118" s="491"/>
      <c r="AX118" s="531"/>
      <c r="AY118" s="531">
        <v>1</v>
      </c>
      <c r="AZ118" s="532"/>
      <c r="BA118" s="532"/>
      <c r="BC118" s="506"/>
      <c r="BD118" s="506"/>
      <c r="BE118" s="473"/>
      <c r="BF118" s="473"/>
      <c r="BG118" s="473"/>
      <c r="BH118" s="473"/>
      <c r="BI118" s="473"/>
      <c r="BJ118" s="473"/>
      <c r="BK118" s="473"/>
      <c r="BL118" s="473"/>
      <c r="BM118" s="506"/>
      <c r="BN118" s="506"/>
      <c r="BO118" s="506"/>
      <c r="BP118" s="506"/>
      <c r="BQ118" s="506"/>
      <c r="BR118" s="506"/>
      <c r="BS118" s="506"/>
      <c r="BT118" s="506"/>
      <c r="BU118" s="506"/>
      <c r="BV118" s="506"/>
      <c r="BW118" s="506"/>
    </row>
    <row r="119" spans="1:75">
      <c r="B119" s="533">
        <f>COUNT(D115:D118)</f>
        <v>4</v>
      </c>
      <c r="C119" s="534">
        <f t="shared" ref="C119:H119" si="32">SUM(C115:C118)</f>
        <v>831</v>
      </c>
      <c r="D119" s="534">
        <f t="shared" si="32"/>
        <v>28429</v>
      </c>
      <c r="E119" s="534">
        <f t="shared" si="32"/>
        <v>29260</v>
      </c>
      <c r="F119" s="534">
        <f t="shared" si="32"/>
        <v>1044</v>
      </c>
      <c r="G119" s="534">
        <f t="shared" si="32"/>
        <v>28148</v>
      </c>
      <c r="H119" s="534">
        <f t="shared" si="32"/>
        <v>29192</v>
      </c>
      <c r="I119" s="535"/>
      <c r="K119" s="536"/>
      <c r="L119" s="607"/>
      <c r="M119" s="538">
        <f>SUM(M115:M118)</f>
        <v>477.7589221367316</v>
      </c>
      <c r="N119" s="539"/>
      <c r="O119" s="540">
        <f>SUM(O115:O118)</f>
        <v>-109.32422546947822</v>
      </c>
      <c r="P119" s="541">
        <f>O119/M119</f>
        <v>-0.22882717706356159</v>
      </c>
      <c r="Q119" s="542">
        <f>EXP(P119)</f>
        <v>0.79546599639571569</v>
      </c>
      <c r="R119" s="543">
        <f>SQRT(1/M119)</f>
        <v>4.5750473886667711E-2</v>
      </c>
      <c r="S119" s="518">
        <f>$H$2</f>
        <v>1.9599639845400536</v>
      </c>
      <c r="T119" s="544">
        <f>P119-(R119*S119)</f>
        <v>-0.31849645815707051</v>
      </c>
      <c r="U119" s="544">
        <f>P119+(R119*S119)</f>
        <v>-0.13915789597005268</v>
      </c>
      <c r="V119" s="545">
        <f>EXP(T119)</f>
        <v>0.727241653726728</v>
      </c>
      <c r="W119" s="546">
        <f>EXP(U119)</f>
        <v>0.87009063380684748</v>
      </c>
      <c r="X119" s="547"/>
      <c r="Y119" s="547"/>
      <c r="Z119" s="548"/>
      <c r="AA119" s="549">
        <f>SUM(AA115:AA118)</f>
        <v>4.2024668694785232</v>
      </c>
      <c r="AB119" s="550">
        <f>SUM(AB115:AB118)</f>
        <v>4</v>
      </c>
      <c r="AC119" s="551">
        <f>AA119-(AB119-1)</f>
        <v>1.2024668694785232</v>
      </c>
      <c r="AD119" s="538">
        <f>M119</f>
        <v>477.7589221367316</v>
      </c>
      <c r="AE119" s="538">
        <f>SUM(AE115:AE118)</f>
        <v>60618.482507337518</v>
      </c>
      <c r="AF119" s="552">
        <f>AE119/AD119</f>
        <v>126.88090101222409</v>
      </c>
      <c r="AG119" s="553">
        <f>AC119/(AD119-AF119)</f>
        <v>3.4270224895387022E-3</v>
      </c>
      <c r="AH119" s="553">
        <f>IF(AA119&lt;AB119-1,"0",AG119)</f>
        <v>3.4270224895387022E-3</v>
      </c>
      <c r="AI119" s="548"/>
      <c r="AJ119" s="538">
        <f>SUM(AJ115:AJ118)</f>
        <v>334.72842772881768</v>
      </c>
      <c r="AK119" s="554">
        <f>SUM(AK115:AK118)</f>
        <v>1.0000000000000002</v>
      </c>
      <c r="AL119" s="551">
        <f>SUM(AL115:AL118)</f>
        <v>-78.809494294242128</v>
      </c>
      <c r="AM119" s="551">
        <f>AL119/AJ119</f>
        <v>-0.2354430868897999</v>
      </c>
      <c r="AN119" s="608">
        <f>EXP(AM119)</f>
        <v>0.79022063564314959</v>
      </c>
      <c r="AO119" s="556">
        <f>1/AJ119</f>
        <v>2.9874964812076142E-3</v>
      </c>
      <c r="AP119" s="557">
        <f>SQRT(AO119)</f>
        <v>5.4657995583515633E-2</v>
      </c>
      <c r="AQ119" s="518">
        <f>$H$2</f>
        <v>1.9599639845400536</v>
      </c>
      <c r="AR119" s="544">
        <f>AM119-(AQ119*AP119)</f>
        <v>-0.34257078970063987</v>
      </c>
      <c r="AS119" s="544">
        <f>AM119+(1.96*AP119)</f>
        <v>-0.12831341554610926</v>
      </c>
      <c r="AT119" s="558">
        <f>EXP(AR119)</f>
        <v>0.70994286096408377</v>
      </c>
      <c r="AU119" s="559">
        <f>EXP(AS119)</f>
        <v>0.87957766262650161</v>
      </c>
      <c r="AV119" s="609"/>
      <c r="AW119" s="468"/>
      <c r="AX119" s="561">
        <f>AA119</f>
        <v>4.2024668694785232</v>
      </c>
      <c r="AY119" s="533">
        <f>SUM(AY115:AY118)</f>
        <v>4</v>
      </c>
      <c r="AZ119" s="562">
        <f>(AX119-(AY119-1))/AX119</f>
        <v>0.28613357507033371</v>
      </c>
      <c r="BA119" s="563">
        <f>IF(AA119&lt;AB119-1,"0%",AZ119)</f>
        <v>0.28613357507033371</v>
      </c>
      <c r="BB119" s="468"/>
      <c r="BC119" s="540">
        <f>AX119/(AY119-1)</f>
        <v>1.4008222898261744</v>
      </c>
      <c r="BD119" s="564">
        <f>LN(BC119)</f>
        <v>0.33705941407462503</v>
      </c>
      <c r="BE119" s="540">
        <f>LN(AX119)</f>
        <v>1.4356717027427348</v>
      </c>
      <c r="BF119" s="540">
        <f>LN(AY119-1)</f>
        <v>1.0986122886681098</v>
      </c>
      <c r="BG119" s="540">
        <f>SQRT(2*AX119)</f>
        <v>2.8991263751270049</v>
      </c>
      <c r="BH119" s="540">
        <f>SQRT(2*AY119-3)</f>
        <v>2.2360679774997898</v>
      </c>
      <c r="BI119" s="540">
        <f>2*(AY119-2)</f>
        <v>4</v>
      </c>
      <c r="BJ119" s="540">
        <f>3*(AY119-2)^2</f>
        <v>12</v>
      </c>
      <c r="BK119" s="540">
        <f>1/BI119</f>
        <v>0.25</v>
      </c>
      <c r="BL119" s="540">
        <f>1/BJ119</f>
        <v>8.3333333333333329E-2</v>
      </c>
      <c r="BM119" s="540">
        <f>SQRT(BK119*(1-BL119))</f>
        <v>0.47871355387816905</v>
      </c>
      <c r="BN119" s="564">
        <f>0.5*(BE119-BF119)/(BG119-BH119)</f>
        <v>0.25417023242659142</v>
      </c>
      <c r="BO119" s="564">
        <f>IF(AA119&lt;=AB119,BM119,BN119)</f>
        <v>0.25417023242659142</v>
      </c>
      <c r="BP119" s="551">
        <f>BD119-(1.96*BO119)</f>
        <v>-0.16111424148149417</v>
      </c>
      <c r="BQ119" s="551">
        <f>BD119+(1.96*BO119)</f>
        <v>0.83523306963074417</v>
      </c>
      <c r="BR119" s="551"/>
      <c r="BS119" s="564">
        <f>EXP(BP119)</f>
        <v>0.8511948237947079</v>
      </c>
      <c r="BT119" s="564">
        <f>EXP(BQ119)</f>
        <v>2.3053512930514684</v>
      </c>
      <c r="BU119" s="565">
        <f>BA119</f>
        <v>0.28613357507033371</v>
      </c>
      <c r="BV119" s="565">
        <f>(BS119-1)/BS119</f>
        <v>-0.17481917423076471</v>
      </c>
      <c r="BW119" s="565">
        <f>(BT119-1)/BT119</f>
        <v>0.56622662974875548</v>
      </c>
    </row>
    <row r="120" spans="1:75" ht="13.5" thickBot="1">
      <c r="C120" s="566"/>
      <c r="D120" s="566"/>
      <c r="E120" s="566"/>
      <c r="F120" s="566"/>
      <c r="G120" s="566"/>
      <c r="H120" s="566"/>
      <c r="I120" s="567"/>
      <c r="R120" s="568"/>
      <c r="S120" s="568"/>
      <c r="T120" s="568"/>
      <c r="U120" s="568"/>
      <c r="V120" s="568"/>
      <c r="W120" s="568"/>
      <c r="X120" s="568"/>
      <c r="AB120" s="569"/>
      <c r="AC120" s="570"/>
      <c r="AD120" s="570"/>
      <c r="AE120" s="570"/>
      <c r="AF120" s="572"/>
      <c r="AG120" s="572"/>
      <c r="AH120" s="572"/>
      <c r="AI120" s="572"/>
      <c r="AT120" s="573"/>
      <c r="AU120" s="573"/>
      <c r="AV120" s="573"/>
      <c r="AX120" s="480" t="s">
        <v>35</v>
      </c>
      <c r="BG120" s="483"/>
      <c r="BN120" s="570" t="s">
        <v>36</v>
      </c>
      <c r="BT120" s="574" t="s">
        <v>37</v>
      </c>
      <c r="BU120" s="575">
        <f>BU119</f>
        <v>0.28613357507033371</v>
      </c>
      <c r="BV120" s="576" t="str">
        <f>IF(BV119&lt;0,"0%",BV119)</f>
        <v>0%</v>
      </c>
      <c r="BW120" s="577">
        <f>IF(BW119&lt;0,"0%",BW119)</f>
        <v>0.56622662974875548</v>
      </c>
    </row>
    <row r="121" spans="1:75" ht="26.5" thickBot="1">
      <c r="B121" s="480"/>
      <c r="C121" s="606"/>
      <c r="D121" s="580"/>
      <c r="E121" s="580"/>
      <c r="F121" s="580"/>
      <c r="G121" s="580"/>
      <c r="H121" s="580"/>
      <c r="I121" s="581"/>
      <c r="J121" s="480"/>
      <c r="K121" s="480"/>
      <c r="R121" s="582"/>
      <c r="S121" s="582"/>
      <c r="T121" s="582"/>
      <c r="U121" s="582"/>
      <c r="V121" s="582"/>
      <c r="W121" s="582"/>
      <c r="X121" s="582"/>
      <c r="AF121" s="472"/>
      <c r="AI121" s="483"/>
      <c r="AJ121" s="583"/>
      <c r="AK121" s="583"/>
      <c r="AL121" s="584"/>
      <c r="AM121" s="585"/>
      <c r="AN121" s="586"/>
      <c r="AO121" s="587" t="s">
        <v>453</v>
      </c>
      <c r="AP121" s="588">
        <f>TINV((1-$H$1),(AB119-2))</f>
        <v>4.3026527297494619</v>
      </c>
      <c r="AR121" s="589" t="s">
        <v>38</v>
      </c>
      <c r="AS121" s="590">
        <f>$H$1</f>
        <v>0.95</v>
      </c>
      <c r="AT121" s="591">
        <f>EXP(AM119-AP121*SQRT((1/AD119)+AH119))</f>
        <v>0.57400354132778397</v>
      </c>
      <c r="AU121" s="592">
        <f>EXP(AM119+AP121*SQRT((1/AD119)+AH119))</f>
        <v>1.0878829276066655</v>
      </c>
      <c r="AV121" s="491"/>
      <c r="AX121" s="593">
        <f>_xlfn.CHISQ.DIST.RT(AX119,AY119-1)</f>
        <v>0.24041502084226404</v>
      </c>
      <c r="AY121" s="594" t="str">
        <f>IF(AX121&lt;0.05,"heterogeneidad","homogeneidad")</f>
        <v>homogeneidad</v>
      </c>
      <c r="BF121" s="595"/>
      <c r="BG121" s="483"/>
      <c r="BH121" s="483"/>
      <c r="BJ121" s="522"/>
      <c r="BL121" s="483"/>
      <c r="BM121" s="596"/>
      <c r="BQ121" s="483"/>
    </row>
    <row r="122" spans="1:75" ht="14.5">
      <c r="B122" s="480"/>
      <c r="C122" s="580"/>
      <c r="D122" s="580"/>
      <c r="E122" s="580"/>
      <c r="F122" s="580"/>
      <c r="G122" s="580"/>
      <c r="H122" s="580"/>
      <c r="I122" s="581"/>
      <c r="J122" s="480"/>
      <c r="K122" s="480"/>
      <c r="R122" s="582"/>
      <c r="S122" s="582"/>
      <c r="T122" s="582"/>
      <c r="U122" s="582"/>
      <c r="V122" s="582"/>
      <c r="W122" s="582"/>
      <c r="X122" s="582"/>
      <c r="AF122" s="472"/>
      <c r="AI122" s="483"/>
      <c r="AJ122" s="583"/>
      <c r="AK122" s="583"/>
      <c r="AL122" s="584"/>
      <c r="AM122" s="585"/>
      <c r="AN122" s="597"/>
      <c r="AO122" s="598"/>
      <c r="AP122" s="487"/>
      <c r="AS122" s="599"/>
      <c r="AT122" s="491"/>
      <c r="AU122" s="491"/>
      <c r="AV122" s="491"/>
      <c r="BF122" s="595"/>
      <c r="BG122" s="483"/>
      <c r="BH122" s="483"/>
      <c r="BJ122" s="522"/>
      <c r="BL122" s="483"/>
      <c r="BM122" s="596"/>
      <c r="BQ122" s="483"/>
    </row>
    <row r="123" spans="1:75">
      <c r="C123" s="566"/>
      <c r="D123" s="566"/>
      <c r="E123" s="566"/>
      <c r="F123" s="566"/>
      <c r="G123" s="566"/>
      <c r="H123" s="566"/>
      <c r="I123" s="567"/>
      <c r="J123" s="624" t="s">
        <v>4</v>
      </c>
      <c r="K123" s="625"/>
      <c r="L123" s="625"/>
      <c r="M123" s="625"/>
      <c r="N123" s="625"/>
      <c r="O123" s="625"/>
      <c r="P123" s="625"/>
      <c r="Q123" s="625"/>
      <c r="R123" s="625"/>
      <c r="S123" s="625"/>
      <c r="T123" s="625"/>
      <c r="U123" s="625"/>
      <c r="V123" s="625"/>
      <c r="W123" s="626"/>
      <c r="X123" s="484"/>
      <c r="Y123" s="624" t="s">
        <v>5</v>
      </c>
      <c r="Z123" s="625"/>
      <c r="AA123" s="625"/>
      <c r="AB123" s="625"/>
      <c r="AC123" s="625"/>
      <c r="AD123" s="625"/>
      <c r="AE123" s="625"/>
      <c r="AF123" s="625"/>
      <c r="AG123" s="625"/>
      <c r="AH123" s="625"/>
      <c r="AI123" s="625"/>
      <c r="AJ123" s="625"/>
      <c r="AK123" s="625"/>
      <c r="AL123" s="625"/>
      <c r="AM123" s="625"/>
      <c r="AN123" s="625"/>
      <c r="AO123" s="625"/>
      <c r="AP123" s="625"/>
      <c r="AQ123" s="625"/>
      <c r="AR123" s="625"/>
      <c r="AS123" s="625"/>
      <c r="AT123" s="625"/>
      <c r="AU123" s="626"/>
      <c r="AV123" s="484"/>
      <c r="AW123" s="624" t="s">
        <v>6</v>
      </c>
      <c r="AX123" s="625"/>
      <c r="AY123" s="625"/>
      <c r="AZ123" s="625"/>
      <c r="BA123" s="625"/>
      <c r="BB123" s="625"/>
      <c r="BC123" s="625"/>
      <c r="BD123" s="625"/>
      <c r="BE123" s="625"/>
      <c r="BF123" s="625"/>
      <c r="BG123" s="625"/>
      <c r="BH123" s="625"/>
      <c r="BI123" s="625"/>
      <c r="BJ123" s="625"/>
      <c r="BK123" s="625"/>
      <c r="BL123" s="625"/>
      <c r="BM123" s="625"/>
      <c r="BN123" s="625"/>
      <c r="BO123" s="625"/>
      <c r="BP123" s="625"/>
      <c r="BQ123" s="625"/>
      <c r="BR123" s="625"/>
      <c r="BS123" s="625"/>
      <c r="BT123" s="625"/>
      <c r="BU123" s="625"/>
      <c r="BV123" s="625"/>
      <c r="BW123" s="626"/>
    </row>
    <row r="124" spans="1:75">
      <c r="A124" s="614"/>
      <c r="B124" s="486" t="s">
        <v>8</v>
      </c>
      <c r="C124" s="623" t="s">
        <v>9</v>
      </c>
      <c r="D124" s="623"/>
      <c r="E124" s="623"/>
      <c r="F124" s="623" t="s">
        <v>10</v>
      </c>
      <c r="G124" s="623"/>
      <c r="H124" s="623"/>
      <c r="I124" s="487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88"/>
      <c r="AA124" s="488"/>
      <c r="AB124" s="488"/>
      <c r="AC124" s="488"/>
      <c r="AD124" s="488"/>
      <c r="AE124" s="488"/>
      <c r="AF124" s="488"/>
      <c r="AG124" s="488"/>
      <c r="AH124" s="488"/>
      <c r="AI124" s="488"/>
      <c r="AJ124" s="488"/>
      <c r="AK124" s="488"/>
      <c r="AL124" s="488"/>
      <c r="AM124" s="488"/>
      <c r="AN124" s="488"/>
      <c r="AO124" s="488"/>
      <c r="AP124" s="488"/>
      <c r="AQ124" s="488"/>
      <c r="AR124" s="488"/>
      <c r="AS124" s="488"/>
      <c r="AT124" s="488"/>
      <c r="AU124" s="488"/>
      <c r="AV124" s="488"/>
      <c r="AW124" s="488"/>
      <c r="AX124" s="488"/>
      <c r="AY124" s="488"/>
      <c r="AZ124" s="488"/>
      <c r="BA124" s="488"/>
      <c r="BB124" s="488"/>
      <c r="BC124" s="488"/>
      <c r="BD124" s="488"/>
      <c r="BE124" s="488"/>
      <c r="BF124" s="488"/>
      <c r="BG124" s="488"/>
      <c r="BH124" s="488"/>
      <c r="BI124" s="488"/>
      <c r="BJ124" s="488"/>
      <c r="BK124" s="488"/>
      <c r="BL124" s="488"/>
      <c r="BM124" s="488"/>
      <c r="BN124" s="488"/>
      <c r="BO124" s="488"/>
      <c r="BP124" s="488"/>
      <c r="BQ124" s="488"/>
      <c r="BR124" s="488"/>
      <c r="BS124" s="488"/>
      <c r="BT124" s="488"/>
      <c r="BU124" s="488"/>
      <c r="BV124" s="488"/>
      <c r="BW124" s="488"/>
    </row>
    <row r="125" spans="1:75" ht="60">
      <c r="B125" s="489"/>
      <c r="C125" s="490" t="s">
        <v>12</v>
      </c>
      <c r="D125" s="490" t="s">
        <v>13</v>
      </c>
      <c r="E125" s="490" t="s">
        <v>14</v>
      </c>
      <c r="F125" s="490" t="s">
        <v>12</v>
      </c>
      <c r="G125" s="490" t="s">
        <v>13</v>
      </c>
      <c r="H125" s="490" t="s">
        <v>14</v>
      </c>
      <c r="I125" s="491"/>
      <c r="K125" s="492" t="s">
        <v>416</v>
      </c>
      <c r="L125" s="492" t="s">
        <v>417</v>
      </c>
      <c r="M125" s="492" t="s">
        <v>418</v>
      </c>
      <c r="N125" s="493" t="s">
        <v>419</v>
      </c>
      <c r="O125" s="493" t="s">
        <v>15</v>
      </c>
      <c r="P125" s="493" t="s">
        <v>420</v>
      </c>
      <c r="Q125" s="494" t="s">
        <v>421</v>
      </c>
      <c r="R125" s="492" t="s">
        <v>422</v>
      </c>
      <c r="S125" s="475" t="s">
        <v>415</v>
      </c>
      <c r="T125" s="493" t="s">
        <v>423</v>
      </c>
      <c r="U125" s="493" t="s">
        <v>424</v>
      </c>
      <c r="V125" s="495" t="s">
        <v>16</v>
      </c>
      <c r="W125" s="496" t="s">
        <v>16</v>
      </c>
      <c r="X125" s="497"/>
      <c r="Y125" s="498"/>
      <c r="Z125" s="499" t="s">
        <v>425</v>
      </c>
      <c r="AA125" s="493" t="s">
        <v>426</v>
      </c>
      <c r="AB125" s="475" t="s">
        <v>17</v>
      </c>
      <c r="AC125" s="475" t="s">
        <v>18</v>
      </c>
      <c r="AD125" s="475" t="s">
        <v>427</v>
      </c>
      <c r="AE125" s="493" t="s">
        <v>428</v>
      </c>
      <c r="AF125" s="493" t="s">
        <v>429</v>
      </c>
      <c r="AG125" s="500" t="s">
        <v>19</v>
      </c>
      <c r="AH125" s="500" t="s">
        <v>20</v>
      </c>
      <c r="AI125" s="475" t="s">
        <v>430</v>
      </c>
      <c r="AJ125" s="493" t="s">
        <v>431</v>
      </c>
      <c r="AK125" s="493" t="s">
        <v>432</v>
      </c>
      <c r="AL125" s="493" t="s">
        <v>433</v>
      </c>
      <c r="AM125" s="475" t="s">
        <v>434</v>
      </c>
      <c r="AN125" s="501" t="s">
        <v>435</v>
      </c>
      <c r="AO125" s="493" t="s">
        <v>436</v>
      </c>
      <c r="AP125" s="493" t="s">
        <v>437</v>
      </c>
      <c r="AQ125" s="475" t="s">
        <v>415</v>
      </c>
      <c r="AR125" s="493" t="s">
        <v>438</v>
      </c>
      <c r="AS125" s="493" t="s">
        <v>439</v>
      </c>
      <c r="AT125" s="495" t="s">
        <v>16</v>
      </c>
      <c r="AU125" s="496" t="s">
        <v>16</v>
      </c>
      <c r="AV125" s="497"/>
      <c r="AX125" s="502" t="s">
        <v>21</v>
      </c>
      <c r="AY125" s="502" t="s">
        <v>17</v>
      </c>
      <c r="AZ125" s="503" t="s">
        <v>22</v>
      </c>
      <c r="BA125" s="504" t="s">
        <v>23</v>
      </c>
      <c r="BC125" s="475" t="s">
        <v>440</v>
      </c>
      <c r="BD125" s="475" t="s">
        <v>441</v>
      </c>
      <c r="BE125" s="475" t="s">
        <v>24</v>
      </c>
      <c r="BF125" s="475" t="s">
        <v>25</v>
      </c>
      <c r="BG125" s="475" t="s">
        <v>26</v>
      </c>
      <c r="BH125" s="475" t="s">
        <v>27</v>
      </c>
      <c r="BI125" s="475" t="s">
        <v>28</v>
      </c>
      <c r="BJ125" s="475" t="s">
        <v>442</v>
      </c>
      <c r="BK125" s="475" t="s">
        <v>29</v>
      </c>
      <c r="BL125" s="475" t="s">
        <v>30</v>
      </c>
      <c r="BM125" s="505" t="s">
        <v>443</v>
      </c>
      <c r="BN125" s="505" t="s">
        <v>444</v>
      </c>
      <c r="BO125" s="505" t="s">
        <v>445</v>
      </c>
      <c r="BP125" s="505" t="s">
        <v>446</v>
      </c>
      <c r="BQ125" s="505" t="s">
        <v>447</v>
      </c>
      <c r="BR125" s="506"/>
      <c r="BS125" s="493" t="s">
        <v>448</v>
      </c>
      <c r="BT125" s="493" t="s">
        <v>449</v>
      </c>
      <c r="BU125" s="494" t="s">
        <v>450</v>
      </c>
      <c r="BV125" s="495" t="s">
        <v>451</v>
      </c>
      <c r="BW125" s="496" t="s">
        <v>452</v>
      </c>
    </row>
    <row r="126" spans="1:75">
      <c r="B126" s="507" t="s">
        <v>78</v>
      </c>
      <c r="C126" s="508"/>
      <c r="D126" s="509">
        <f>E126-C126</f>
        <v>0</v>
      </c>
      <c r="E126" s="510"/>
      <c r="F126" s="508"/>
      <c r="G126" s="509">
        <f>H126-F126</f>
        <v>0</v>
      </c>
      <c r="H126" s="510"/>
      <c r="I126" s="511"/>
      <c r="K126" s="512" t="e">
        <f>(C126/E126)/(F126/H126)</f>
        <v>#DIV/0!</v>
      </c>
      <c r="L126" s="513" t="e">
        <f t="shared" ref="L126:L132" si="33">(D126/(C126*E126)+(G126/(F126*H126)))</f>
        <v>#DIV/0!</v>
      </c>
      <c r="M126" s="514" t="e">
        <f>1/L126</f>
        <v>#DIV/0!</v>
      </c>
      <c r="N126" s="515" t="e">
        <f>LN(K126)</f>
        <v>#DIV/0!</v>
      </c>
      <c r="O126" s="515" t="e">
        <f>M126*N126</f>
        <v>#DIV/0!</v>
      </c>
      <c r="P126" s="515" t="e">
        <f>LN(K126)</f>
        <v>#DIV/0!</v>
      </c>
      <c r="Q126" s="600" t="e">
        <f>K126</f>
        <v>#DIV/0!</v>
      </c>
      <c r="R126" s="517" t="e">
        <f>SQRT(1/M126)</f>
        <v>#DIV/0!</v>
      </c>
      <c r="S126" s="518">
        <f>$H$2</f>
        <v>1.9599639845400536</v>
      </c>
      <c r="T126" s="519" t="e">
        <f>P126-(R126*S126)</f>
        <v>#DIV/0!</v>
      </c>
      <c r="U126" s="519" t="e">
        <f>P126+(R126*S126)</f>
        <v>#DIV/0!</v>
      </c>
      <c r="V126" s="520" t="e">
        <f>EXP(T126)</f>
        <v>#DIV/0!</v>
      </c>
      <c r="W126" s="521" t="e">
        <f>EXP(U126)</f>
        <v>#DIV/0!</v>
      </c>
      <c r="X126" s="522"/>
      <c r="Z126" s="523" t="e">
        <f>(N126-P133)^2</f>
        <v>#DIV/0!</v>
      </c>
      <c r="AA126" s="521" t="e">
        <f>M126*Z126</f>
        <v>#DIV/0!</v>
      </c>
      <c r="AB126" s="473">
        <v>1</v>
      </c>
      <c r="AC126" s="506"/>
      <c r="AD126" s="506"/>
      <c r="AE126" s="514" t="e">
        <f>M126^2</f>
        <v>#DIV/0!</v>
      </c>
      <c r="AF126" s="524"/>
      <c r="AG126" s="525" t="e">
        <f>AG133</f>
        <v>#DIV/0!</v>
      </c>
      <c r="AH126" s="525" t="e">
        <f>AH133</f>
        <v>#DIV/0!</v>
      </c>
      <c r="AI126" s="521" t="e">
        <f>1/M126</f>
        <v>#DIV/0!</v>
      </c>
      <c r="AJ126" s="526" t="e">
        <f>1/(AH126+AI126)</f>
        <v>#DIV/0!</v>
      </c>
      <c r="AK126" s="527" t="e">
        <f>AJ126/AJ133</f>
        <v>#DIV/0!</v>
      </c>
      <c r="AL126" s="528" t="e">
        <f>AJ126*N126</f>
        <v>#DIV/0!</v>
      </c>
      <c r="AM126" s="528" t="e">
        <f>AL126/AJ126</f>
        <v>#DIV/0!</v>
      </c>
      <c r="AN126" s="521" t="e">
        <f>EXP(AM126)</f>
        <v>#DIV/0!</v>
      </c>
      <c r="AO126" s="529" t="e">
        <f>1/AJ126</f>
        <v>#DIV/0!</v>
      </c>
      <c r="AP126" s="521" t="e">
        <f>SQRT(AO126)</f>
        <v>#DIV/0!</v>
      </c>
      <c r="AQ126" s="518">
        <f>$H$2</f>
        <v>1.9599639845400536</v>
      </c>
      <c r="AR126" s="519" t="e">
        <f>AM126-(AQ126*AP126)</f>
        <v>#DIV/0!</v>
      </c>
      <c r="AS126" s="519" t="e">
        <f>AM126+(1.96*AP126)</f>
        <v>#DIV/0!</v>
      </c>
      <c r="AT126" s="530" t="e">
        <f>EXP(AR126)</f>
        <v>#DIV/0!</v>
      </c>
      <c r="AU126" s="530" t="e">
        <f>EXP(AS126)</f>
        <v>#DIV/0!</v>
      </c>
      <c r="AV126" s="491"/>
      <c r="AX126" s="531"/>
      <c r="AY126" s="531">
        <v>1</v>
      </c>
      <c r="AZ126" s="532"/>
      <c r="BA126" s="532"/>
      <c r="BC126" s="506"/>
      <c r="BD126" s="506"/>
      <c r="BE126" s="473"/>
      <c r="BF126" s="473"/>
      <c r="BG126" s="473"/>
      <c r="BH126" s="473"/>
      <c r="BI126" s="473"/>
      <c r="BJ126" s="473"/>
      <c r="BK126" s="473"/>
      <c r="BL126" s="473"/>
      <c r="BM126" s="506"/>
      <c r="BN126" s="506"/>
      <c r="BO126" s="506"/>
      <c r="BP126" s="506"/>
      <c r="BQ126" s="506"/>
      <c r="BR126" s="506"/>
      <c r="BS126" s="506"/>
      <c r="BT126" s="506"/>
      <c r="BU126" s="506"/>
      <c r="BV126" s="506"/>
      <c r="BW126" s="506"/>
    </row>
    <row r="127" spans="1:75">
      <c r="B127" s="507" t="s">
        <v>79</v>
      </c>
      <c r="C127" s="508"/>
      <c r="D127" s="509">
        <f t="shared" ref="D127:D132" si="34">E127-C127</f>
        <v>0</v>
      </c>
      <c r="E127" s="510"/>
      <c r="F127" s="508"/>
      <c r="G127" s="509">
        <f t="shared" ref="G127:G132" si="35">H127-F127</f>
        <v>0</v>
      </c>
      <c r="H127" s="510"/>
      <c r="I127" s="511"/>
      <c r="K127" s="512" t="e">
        <f t="shared" ref="K127:K132" si="36">(C127/E127)/(F127/H127)</f>
        <v>#DIV/0!</v>
      </c>
      <c r="L127" s="513" t="e">
        <f t="shared" si="33"/>
        <v>#DIV/0!</v>
      </c>
      <c r="M127" s="514" t="e">
        <f t="shared" ref="M127:M132" si="37">1/L127</f>
        <v>#DIV/0!</v>
      </c>
      <c r="N127" s="515" t="e">
        <f t="shared" ref="N127:N132" si="38">LN(K127)</f>
        <v>#DIV/0!</v>
      </c>
      <c r="O127" s="515" t="e">
        <f t="shared" ref="O127:O132" si="39">M127*N127</f>
        <v>#DIV/0!</v>
      </c>
      <c r="P127" s="515" t="e">
        <f t="shared" ref="P127:P132" si="40">LN(K127)</f>
        <v>#DIV/0!</v>
      </c>
      <c r="Q127" s="600" t="e">
        <f t="shared" ref="Q127:Q132" si="41">K127</f>
        <v>#DIV/0!</v>
      </c>
      <c r="R127" s="517" t="e">
        <f t="shared" ref="R127:R132" si="42">SQRT(1/M127)</f>
        <v>#DIV/0!</v>
      </c>
      <c r="S127" s="518">
        <f t="shared" ref="S127:S133" si="43">$H$2</f>
        <v>1.9599639845400536</v>
      </c>
      <c r="T127" s="519" t="e">
        <f t="shared" ref="T127:T132" si="44">P127-(R127*S127)</f>
        <v>#DIV/0!</v>
      </c>
      <c r="U127" s="519" t="e">
        <f t="shared" ref="U127:U132" si="45">P127+(R127*S127)</f>
        <v>#DIV/0!</v>
      </c>
      <c r="V127" s="520" t="e">
        <f t="shared" ref="V127:W132" si="46">EXP(T127)</f>
        <v>#DIV/0!</v>
      </c>
      <c r="W127" s="521" t="e">
        <f t="shared" si="46"/>
        <v>#DIV/0!</v>
      </c>
      <c r="X127" s="522"/>
      <c r="Z127" s="523" t="e">
        <f>(N127-P133)^2</f>
        <v>#DIV/0!</v>
      </c>
      <c r="AA127" s="521" t="e">
        <f t="shared" ref="AA127:AA132" si="47">M127*Z127</f>
        <v>#DIV/0!</v>
      </c>
      <c r="AB127" s="473">
        <v>1</v>
      </c>
      <c r="AC127" s="506"/>
      <c r="AD127" s="506"/>
      <c r="AE127" s="514" t="e">
        <f t="shared" ref="AE127:AE132" si="48">M127^2</f>
        <v>#DIV/0!</v>
      </c>
      <c r="AF127" s="524"/>
      <c r="AG127" s="525" t="e">
        <f>AG133</f>
        <v>#DIV/0!</v>
      </c>
      <c r="AH127" s="525" t="e">
        <f>AH133</f>
        <v>#DIV/0!</v>
      </c>
      <c r="AI127" s="521" t="e">
        <f t="shared" ref="AI127:AI132" si="49">1/M127</f>
        <v>#DIV/0!</v>
      </c>
      <c r="AJ127" s="526" t="e">
        <f t="shared" ref="AJ127:AJ132" si="50">1/(AH127+AI127)</f>
        <v>#DIV/0!</v>
      </c>
      <c r="AK127" s="527" t="e">
        <f>AJ127/AJ133</f>
        <v>#DIV/0!</v>
      </c>
      <c r="AL127" s="528" t="e">
        <f t="shared" ref="AL127:AL132" si="51">AJ127*N127</f>
        <v>#DIV/0!</v>
      </c>
      <c r="AM127" s="528" t="e">
        <f t="shared" ref="AM127:AM132" si="52">AL127/AJ127</f>
        <v>#DIV/0!</v>
      </c>
      <c r="AN127" s="521" t="e">
        <f t="shared" ref="AN127:AN132" si="53">EXP(AM127)</f>
        <v>#DIV/0!</v>
      </c>
      <c r="AO127" s="529" t="e">
        <f t="shared" ref="AO127:AO132" si="54">1/AJ127</f>
        <v>#DIV/0!</v>
      </c>
      <c r="AP127" s="521" t="e">
        <f t="shared" ref="AP127:AP132" si="55">SQRT(AO127)</f>
        <v>#DIV/0!</v>
      </c>
      <c r="AQ127" s="518">
        <f t="shared" ref="AQ127:AQ133" si="56">$H$2</f>
        <v>1.9599639845400536</v>
      </c>
      <c r="AR127" s="519" t="e">
        <f t="shared" ref="AR127:AR132" si="57">AM127-(AQ127*AP127)</f>
        <v>#DIV/0!</v>
      </c>
      <c r="AS127" s="519" t="e">
        <f t="shared" ref="AS127:AS132" si="58">AM127+(1.96*AP127)</f>
        <v>#DIV/0!</v>
      </c>
      <c r="AT127" s="530" t="e">
        <f t="shared" ref="AT127:AU132" si="59">EXP(AR127)</f>
        <v>#DIV/0!</v>
      </c>
      <c r="AU127" s="530" t="e">
        <f t="shared" si="59"/>
        <v>#DIV/0!</v>
      </c>
      <c r="AV127" s="491"/>
      <c r="AX127" s="531"/>
      <c r="AY127" s="531">
        <v>1</v>
      </c>
      <c r="AZ127" s="532"/>
      <c r="BA127" s="532"/>
      <c r="BC127" s="506"/>
      <c r="BD127" s="506"/>
      <c r="BE127" s="473"/>
      <c r="BF127" s="473"/>
      <c r="BG127" s="473"/>
      <c r="BH127" s="473"/>
      <c r="BI127" s="473"/>
      <c r="BJ127" s="473"/>
      <c r="BK127" s="473"/>
      <c r="BL127" s="473"/>
      <c r="BM127" s="506"/>
      <c r="BN127" s="506"/>
      <c r="BO127" s="506"/>
      <c r="BP127" s="506"/>
      <c r="BQ127" s="506"/>
      <c r="BR127" s="506"/>
      <c r="BS127" s="506"/>
      <c r="BT127" s="506"/>
      <c r="BU127" s="506"/>
      <c r="BV127" s="506"/>
      <c r="BW127" s="506"/>
    </row>
    <row r="128" spans="1:75">
      <c r="B128" s="507" t="s">
        <v>80</v>
      </c>
      <c r="C128" s="508"/>
      <c r="D128" s="509">
        <f t="shared" si="34"/>
        <v>0</v>
      </c>
      <c r="E128" s="510"/>
      <c r="F128" s="508"/>
      <c r="G128" s="509">
        <f t="shared" si="35"/>
        <v>0</v>
      </c>
      <c r="H128" s="510"/>
      <c r="I128" s="511"/>
      <c r="K128" s="512" t="e">
        <f t="shared" si="36"/>
        <v>#DIV/0!</v>
      </c>
      <c r="L128" s="513" t="e">
        <f t="shared" si="33"/>
        <v>#DIV/0!</v>
      </c>
      <c r="M128" s="514" t="e">
        <f t="shared" si="37"/>
        <v>#DIV/0!</v>
      </c>
      <c r="N128" s="515" t="e">
        <f t="shared" si="38"/>
        <v>#DIV/0!</v>
      </c>
      <c r="O128" s="515" t="e">
        <f t="shared" si="39"/>
        <v>#DIV/0!</v>
      </c>
      <c r="P128" s="515" t="e">
        <f t="shared" si="40"/>
        <v>#DIV/0!</v>
      </c>
      <c r="Q128" s="600" t="e">
        <f t="shared" si="41"/>
        <v>#DIV/0!</v>
      </c>
      <c r="R128" s="517" t="e">
        <f t="shared" si="42"/>
        <v>#DIV/0!</v>
      </c>
      <c r="S128" s="518">
        <f t="shared" si="43"/>
        <v>1.9599639845400536</v>
      </c>
      <c r="T128" s="519" t="e">
        <f t="shared" si="44"/>
        <v>#DIV/0!</v>
      </c>
      <c r="U128" s="519" t="e">
        <f t="shared" si="45"/>
        <v>#DIV/0!</v>
      </c>
      <c r="V128" s="520" t="e">
        <f t="shared" si="46"/>
        <v>#DIV/0!</v>
      </c>
      <c r="W128" s="521" t="e">
        <f t="shared" si="46"/>
        <v>#DIV/0!</v>
      </c>
      <c r="X128" s="522"/>
      <c r="Z128" s="523" t="e">
        <f>(N128-P133)^2</f>
        <v>#DIV/0!</v>
      </c>
      <c r="AA128" s="521" t="e">
        <f t="shared" si="47"/>
        <v>#DIV/0!</v>
      </c>
      <c r="AB128" s="473">
        <v>1</v>
      </c>
      <c r="AC128" s="506"/>
      <c r="AD128" s="506"/>
      <c r="AE128" s="514" t="e">
        <f t="shared" si="48"/>
        <v>#DIV/0!</v>
      </c>
      <c r="AF128" s="524"/>
      <c r="AG128" s="525" t="e">
        <f>AG133</f>
        <v>#DIV/0!</v>
      </c>
      <c r="AH128" s="525" t="e">
        <f>AH133</f>
        <v>#DIV/0!</v>
      </c>
      <c r="AI128" s="521" t="e">
        <f t="shared" si="49"/>
        <v>#DIV/0!</v>
      </c>
      <c r="AJ128" s="526" t="e">
        <f t="shared" si="50"/>
        <v>#DIV/0!</v>
      </c>
      <c r="AK128" s="527" t="e">
        <f>AJ128/AJ133</f>
        <v>#DIV/0!</v>
      </c>
      <c r="AL128" s="528" t="e">
        <f t="shared" si="51"/>
        <v>#DIV/0!</v>
      </c>
      <c r="AM128" s="528" t="e">
        <f t="shared" si="52"/>
        <v>#DIV/0!</v>
      </c>
      <c r="AN128" s="521" t="e">
        <f t="shared" si="53"/>
        <v>#DIV/0!</v>
      </c>
      <c r="AO128" s="529" t="e">
        <f t="shared" si="54"/>
        <v>#DIV/0!</v>
      </c>
      <c r="AP128" s="521" t="e">
        <f t="shared" si="55"/>
        <v>#DIV/0!</v>
      </c>
      <c r="AQ128" s="518">
        <f t="shared" si="56"/>
        <v>1.9599639845400536</v>
      </c>
      <c r="AR128" s="519" t="e">
        <f t="shared" si="57"/>
        <v>#DIV/0!</v>
      </c>
      <c r="AS128" s="519" t="e">
        <f t="shared" si="58"/>
        <v>#DIV/0!</v>
      </c>
      <c r="AT128" s="530" t="e">
        <f t="shared" si="59"/>
        <v>#DIV/0!</v>
      </c>
      <c r="AU128" s="530" t="e">
        <f t="shared" si="59"/>
        <v>#DIV/0!</v>
      </c>
      <c r="AV128" s="491"/>
      <c r="AX128" s="531"/>
      <c r="AY128" s="531">
        <v>1</v>
      </c>
      <c r="AZ128" s="532"/>
      <c r="BA128" s="532"/>
      <c r="BC128" s="506"/>
      <c r="BD128" s="506"/>
      <c r="BE128" s="473"/>
      <c r="BF128" s="473"/>
      <c r="BG128" s="473"/>
      <c r="BH128" s="473"/>
      <c r="BI128" s="473"/>
      <c r="BJ128" s="473"/>
      <c r="BK128" s="473"/>
      <c r="BL128" s="473"/>
      <c r="BM128" s="506"/>
      <c r="BN128" s="506"/>
      <c r="BO128" s="506"/>
      <c r="BP128" s="506"/>
      <c r="BQ128" s="506"/>
      <c r="BR128" s="506"/>
      <c r="BS128" s="506"/>
      <c r="BT128" s="506"/>
      <c r="BU128" s="506"/>
      <c r="BV128" s="506"/>
      <c r="BW128" s="506"/>
    </row>
    <row r="129" spans="1:75">
      <c r="B129" s="507" t="s">
        <v>81</v>
      </c>
      <c r="C129" s="508"/>
      <c r="D129" s="509">
        <f t="shared" si="34"/>
        <v>0</v>
      </c>
      <c r="E129" s="510"/>
      <c r="F129" s="508"/>
      <c r="G129" s="509">
        <f t="shared" si="35"/>
        <v>0</v>
      </c>
      <c r="H129" s="510"/>
      <c r="I129" s="511"/>
      <c r="K129" s="512" t="e">
        <f t="shared" si="36"/>
        <v>#DIV/0!</v>
      </c>
      <c r="L129" s="513" t="e">
        <f t="shared" si="33"/>
        <v>#DIV/0!</v>
      </c>
      <c r="M129" s="514" t="e">
        <f t="shared" si="37"/>
        <v>#DIV/0!</v>
      </c>
      <c r="N129" s="515" t="e">
        <f t="shared" si="38"/>
        <v>#DIV/0!</v>
      </c>
      <c r="O129" s="515" t="e">
        <f t="shared" si="39"/>
        <v>#DIV/0!</v>
      </c>
      <c r="P129" s="515" t="e">
        <f t="shared" si="40"/>
        <v>#DIV/0!</v>
      </c>
      <c r="Q129" s="600" t="e">
        <f t="shared" si="41"/>
        <v>#DIV/0!</v>
      </c>
      <c r="R129" s="517" t="e">
        <f t="shared" si="42"/>
        <v>#DIV/0!</v>
      </c>
      <c r="S129" s="518">
        <f t="shared" si="43"/>
        <v>1.9599639845400536</v>
      </c>
      <c r="T129" s="519" t="e">
        <f t="shared" si="44"/>
        <v>#DIV/0!</v>
      </c>
      <c r="U129" s="519" t="e">
        <f t="shared" si="45"/>
        <v>#DIV/0!</v>
      </c>
      <c r="V129" s="520" t="e">
        <f t="shared" si="46"/>
        <v>#DIV/0!</v>
      </c>
      <c r="W129" s="521" t="e">
        <f t="shared" si="46"/>
        <v>#DIV/0!</v>
      </c>
      <c r="X129" s="522"/>
      <c r="Z129" s="523" t="e">
        <f>(N129-P133)^2</f>
        <v>#DIV/0!</v>
      </c>
      <c r="AA129" s="521" t="e">
        <f t="shared" si="47"/>
        <v>#DIV/0!</v>
      </c>
      <c r="AB129" s="473">
        <v>1</v>
      </c>
      <c r="AC129" s="506"/>
      <c r="AD129" s="506"/>
      <c r="AE129" s="514" t="e">
        <f t="shared" si="48"/>
        <v>#DIV/0!</v>
      </c>
      <c r="AF129" s="524"/>
      <c r="AG129" s="525" t="e">
        <f>AG133</f>
        <v>#DIV/0!</v>
      </c>
      <c r="AH129" s="525" t="e">
        <f>AH133</f>
        <v>#DIV/0!</v>
      </c>
      <c r="AI129" s="521" t="e">
        <f t="shared" si="49"/>
        <v>#DIV/0!</v>
      </c>
      <c r="AJ129" s="526" t="e">
        <f t="shared" si="50"/>
        <v>#DIV/0!</v>
      </c>
      <c r="AK129" s="527" t="e">
        <f>AJ129/AJ133</f>
        <v>#DIV/0!</v>
      </c>
      <c r="AL129" s="528" t="e">
        <f t="shared" si="51"/>
        <v>#DIV/0!</v>
      </c>
      <c r="AM129" s="528" t="e">
        <f t="shared" si="52"/>
        <v>#DIV/0!</v>
      </c>
      <c r="AN129" s="521" t="e">
        <f t="shared" si="53"/>
        <v>#DIV/0!</v>
      </c>
      <c r="AO129" s="529" t="e">
        <f t="shared" si="54"/>
        <v>#DIV/0!</v>
      </c>
      <c r="AP129" s="521" t="e">
        <f t="shared" si="55"/>
        <v>#DIV/0!</v>
      </c>
      <c r="AQ129" s="518">
        <f t="shared" si="56"/>
        <v>1.9599639845400536</v>
      </c>
      <c r="AR129" s="519" t="e">
        <f t="shared" si="57"/>
        <v>#DIV/0!</v>
      </c>
      <c r="AS129" s="519" t="e">
        <f t="shared" si="58"/>
        <v>#DIV/0!</v>
      </c>
      <c r="AT129" s="530" t="e">
        <f t="shared" si="59"/>
        <v>#DIV/0!</v>
      </c>
      <c r="AU129" s="530" t="e">
        <f t="shared" si="59"/>
        <v>#DIV/0!</v>
      </c>
      <c r="AV129" s="491"/>
      <c r="AX129" s="531"/>
      <c r="AY129" s="531">
        <v>1</v>
      </c>
      <c r="AZ129" s="532"/>
      <c r="BA129" s="532"/>
      <c r="BC129" s="506"/>
      <c r="BD129" s="506"/>
      <c r="BE129" s="473"/>
      <c r="BF129" s="473"/>
      <c r="BG129" s="473"/>
      <c r="BH129" s="473"/>
      <c r="BI129" s="473"/>
      <c r="BJ129" s="473"/>
      <c r="BK129" s="473"/>
      <c r="BL129" s="473"/>
      <c r="BM129" s="506"/>
      <c r="BN129" s="506"/>
      <c r="BO129" s="506"/>
      <c r="BP129" s="506"/>
      <c r="BQ129" s="506"/>
      <c r="BR129" s="506"/>
      <c r="BS129" s="506"/>
      <c r="BT129" s="506"/>
      <c r="BU129" s="506"/>
      <c r="BV129" s="506"/>
      <c r="BW129" s="506"/>
    </row>
    <row r="130" spans="1:75">
      <c r="B130" s="507" t="s">
        <v>82</v>
      </c>
      <c r="C130" s="508"/>
      <c r="D130" s="509">
        <f t="shared" si="34"/>
        <v>0</v>
      </c>
      <c r="E130" s="510"/>
      <c r="F130" s="508"/>
      <c r="G130" s="509">
        <f t="shared" si="35"/>
        <v>0</v>
      </c>
      <c r="H130" s="510"/>
      <c r="I130" s="511"/>
      <c r="K130" s="512" t="e">
        <f t="shared" si="36"/>
        <v>#DIV/0!</v>
      </c>
      <c r="L130" s="513" t="e">
        <f t="shared" si="33"/>
        <v>#DIV/0!</v>
      </c>
      <c r="M130" s="514" t="e">
        <f t="shared" si="37"/>
        <v>#DIV/0!</v>
      </c>
      <c r="N130" s="515" t="e">
        <f t="shared" si="38"/>
        <v>#DIV/0!</v>
      </c>
      <c r="O130" s="515" t="e">
        <f t="shared" si="39"/>
        <v>#DIV/0!</v>
      </c>
      <c r="P130" s="515" t="e">
        <f t="shared" si="40"/>
        <v>#DIV/0!</v>
      </c>
      <c r="Q130" s="600" t="e">
        <f t="shared" si="41"/>
        <v>#DIV/0!</v>
      </c>
      <c r="R130" s="517" t="e">
        <f t="shared" si="42"/>
        <v>#DIV/0!</v>
      </c>
      <c r="S130" s="518">
        <f t="shared" si="43"/>
        <v>1.9599639845400536</v>
      </c>
      <c r="T130" s="519" t="e">
        <f t="shared" si="44"/>
        <v>#DIV/0!</v>
      </c>
      <c r="U130" s="519" t="e">
        <f t="shared" si="45"/>
        <v>#DIV/0!</v>
      </c>
      <c r="V130" s="520" t="e">
        <f t="shared" si="46"/>
        <v>#DIV/0!</v>
      </c>
      <c r="W130" s="521" t="e">
        <f t="shared" si="46"/>
        <v>#DIV/0!</v>
      </c>
      <c r="X130" s="522"/>
      <c r="Z130" s="523" t="e">
        <f>(N130-P133)^2</f>
        <v>#DIV/0!</v>
      </c>
      <c r="AA130" s="521" t="e">
        <f t="shared" si="47"/>
        <v>#DIV/0!</v>
      </c>
      <c r="AB130" s="473">
        <v>1</v>
      </c>
      <c r="AC130" s="506"/>
      <c r="AD130" s="506"/>
      <c r="AE130" s="514" t="e">
        <f t="shared" si="48"/>
        <v>#DIV/0!</v>
      </c>
      <c r="AF130" s="524"/>
      <c r="AG130" s="525" t="e">
        <f>AG133</f>
        <v>#DIV/0!</v>
      </c>
      <c r="AH130" s="525" t="e">
        <f>AH133</f>
        <v>#DIV/0!</v>
      </c>
      <c r="AI130" s="521" t="e">
        <f t="shared" si="49"/>
        <v>#DIV/0!</v>
      </c>
      <c r="AJ130" s="526" t="e">
        <f t="shared" si="50"/>
        <v>#DIV/0!</v>
      </c>
      <c r="AK130" s="527" t="e">
        <f>AJ130/AJ133</f>
        <v>#DIV/0!</v>
      </c>
      <c r="AL130" s="528" t="e">
        <f t="shared" si="51"/>
        <v>#DIV/0!</v>
      </c>
      <c r="AM130" s="528" t="e">
        <f t="shared" si="52"/>
        <v>#DIV/0!</v>
      </c>
      <c r="AN130" s="521" t="e">
        <f t="shared" si="53"/>
        <v>#DIV/0!</v>
      </c>
      <c r="AO130" s="529" t="e">
        <f t="shared" si="54"/>
        <v>#DIV/0!</v>
      </c>
      <c r="AP130" s="521" t="e">
        <f t="shared" si="55"/>
        <v>#DIV/0!</v>
      </c>
      <c r="AQ130" s="518">
        <f t="shared" si="56"/>
        <v>1.9599639845400536</v>
      </c>
      <c r="AR130" s="519" t="e">
        <f t="shared" si="57"/>
        <v>#DIV/0!</v>
      </c>
      <c r="AS130" s="519" t="e">
        <f t="shared" si="58"/>
        <v>#DIV/0!</v>
      </c>
      <c r="AT130" s="530" t="e">
        <f t="shared" si="59"/>
        <v>#DIV/0!</v>
      </c>
      <c r="AU130" s="530" t="e">
        <f t="shared" si="59"/>
        <v>#DIV/0!</v>
      </c>
      <c r="AV130" s="491"/>
      <c r="AX130" s="531"/>
      <c r="AY130" s="531">
        <v>1</v>
      </c>
      <c r="AZ130" s="532"/>
      <c r="BA130" s="532"/>
      <c r="BC130" s="506"/>
      <c r="BD130" s="506"/>
      <c r="BE130" s="473"/>
      <c r="BF130" s="473"/>
      <c r="BG130" s="473"/>
      <c r="BH130" s="473"/>
      <c r="BI130" s="473"/>
      <c r="BJ130" s="473"/>
      <c r="BK130" s="473"/>
      <c r="BL130" s="473"/>
      <c r="BM130" s="506"/>
      <c r="BN130" s="506"/>
      <c r="BO130" s="506"/>
      <c r="BP130" s="506"/>
      <c r="BQ130" s="506"/>
      <c r="BR130" s="506"/>
      <c r="BS130" s="506"/>
      <c r="BT130" s="506"/>
      <c r="BU130" s="506"/>
      <c r="BV130" s="506"/>
      <c r="BW130" s="506"/>
    </row>
    <row r="131" spans="1:75">
      <c r="B131" s="507" t="s">
        <v>83</v>
      </c>
      <c r="C131" s="508"/>
      <c r="D131" s="509">
        <f t="shared" si="34"/>
        <v>0</v>
      </c>
      <c r="E131" s="510"/>
      <c r="F131" s="508"/>
      <c r="G131" s="509">
        <f t="shared" si="35"/>
        <v>0</v>
      </c>
      <c r="H131" s="510"/>
      <c r="I131" s="511"/>
      <c r="K131" s="512" t="e">
        <f t="shared" si="36"/>
        <v>#DIV/0!</v>
      </c>
      <c r="L131" s="513" t="e">
        <f t="shared" si="33"/>
        <v>#DIV/0!</v>
      </c>
      <c r="M131" s="514" t="e">
        <f t="shared" si="37"/>
        <v>#DIV/0!</v>
      </c>
      <c r="N131" s="515" t="e">
        <f t="shared" si="38"/>
        <v>#DIV/0!</v>
      </c>
      <c r="O131" s="515" t="e">
        <f t="shared" si="39"/>
        <v>#DIV/0!</v>
      </c>
      <c r="P131" s="515" t="e">
        <f t="shared" si="40"/>
        <v>#DIV/0!</v>
      </c>
      <c r="Q131" s="600" t="e">
        <f t="shared" si="41"/>
        <v>#DIV/0!</v>
      </c>
      <c r="R131" s="517" t="e">
        <f t="shared" si="42"/>
        <v>#DIV/0!</v>
      </c>
      <c r="S131" s="518">
        <f t="shared" si="43"/>
        <v>1.9599639845400536</v>
      </c>
      <c r="T131" s="519" t="e">
        <f t="shared" si="44"/>
        <v>#DIV/0!</v>
      </c>
      <c r="U131" s="519" t="e">
        <f t="shared" si="45"/>
        <v>#DIV/0!</v>
      </c>
      <c r="V131" s="520" t="e">
        <f t="shared" si="46"/>
        <v>#DIV/0!</v>
      </c>
      <c r="W131" s="521" t="e">
        <f t="shared" si="46"/>
        <v>#DIV/0!</v>
      </c>
      <c r="X131" s="522"/>
      <c r="Z131" s="523" t="e">
        <f>(N131-P133)^2</f>
        <v>#DIV/0!</v>
      </c>
      <c r="AA131" s="521" t="e">
        <f t="shared" si="47"/>
        <v>#DIV/0!</v>
      </c>
      <c r="AB131" s="473">
        <v>1</v>
      </c>
      <c r="AC131" s="506"/>
      <c r="AD131" s="506"/>
      <c r="AE131" s="514" t="e">
        <f t="shared" si="48"/>
        <v>#DIV/0!</v>
      </c>
      <c r="AF131" s="524"/>
      <c r="AG131" s="525" t="e">
        <f>AG133</f>
        <v>#DIV/0!</v>
      </c>
      <c r="AH131" s="525" t="e">
        <f>AH133</f>
        <v>#DIV/0!</v>
      </c>
      <c r="AI131" s="521" t="e">
        <f t="shared" si="49"/>
        <v>#DIV/0!</v>
      </c>
      <c r="AJ131" s="526" t="e">
        <f t="shared" si="50"/>
        <v>#DIV/0!</v>
      </c>
      <c r="AK131" s="527" t="e">
        <f>AJ131/AJ133</f>
        <v>#DIV/0!</v>
      </c>
      <c r="AL131" s="528" t="e">
        <f t="shared" si="51"/>
        <v>#DIV/0!</v>
      </c>
      <c r="AM131" s="528" t="e">
        <f t="shared" si="52"/>
        <v>#DIV/0!</v>
      </c>
      <c r="AN131" s="521" t="e">
        <f t="shared" si="53"/>
        <v>#DIV/0!</v>
      </c>
      <c r="AO131" s="529" t="e">
        <f t="shared" si="54"/>
        <v>#DIV/0!</v>
      </c>
      <c r="AP131" s="521" t="e">
        <f t="shared" si="55"/>
        <v>#DIV/0!</v>
      </c>
      <c r="AQ131" s="518">
        <f t="shared" si="56"/>
        <v>1.9599639845400536</v>
      </c>
      <c r="AR131" s="519" t="e">
        <f t="shared" si="57"/>
        <v>#DIV/0!</v>
      </c>
      <c r="AS131" s="519" t="e">
        <f t="shared" si="58"/>
        <v>#DIV/0!</v>
      </c>
      <c r="AT131" s="530" t="e">
        <f t="shared" si="59"/>
        <v>#DIV/0!</v>
      </c>
      <c r="AU131" s="530" t="e">
        <f t="shared" si="59"/>
        <v>#DIV/0!</v>
      </c>
      <c r="AV131" s="491"/>
      <c r="AX131" s="531"/>
      <c r="AY131" s="531">
        <v>1</v>
      </c>
      <c r="AZ131" s="532"/>
      <c r="BA131" s="532"/>
      <c r="BC131" s="506"/>
      <c r="BD131" s="506"/>
      <c r="BE131" s="473"/>
      <c r="BF131" s="473"/>
      <c r="BG131" s="473"/>
      <c r="BH131" s="473"/>
      <c r="BI131" s="473"/>
      <c r="BJ131" s="473"/>
      <c r="BK131" s="473"/>
      <c r="BL131" s="473"/>
      <c r="BM131" s="506"/>
      <c r="BN131" s="506"/>
      <c r="BO131" s="506"/>
      <c r="BP131" s="506"/>
      <c r="BQ131" s="506"/>
      <c r="BR131" s="506"/>
      <c r="BS131" s="506"/>
      <c r="BT131" s="506"/>
      <c r="BU131" s="506"/>
      <c r="BV131" s="506"/>
      <c r="BW131" s="506"/>
    </row>
    <row r="132" spans="1:75">
      <c r="B132" s="507" t="s">
        <v>84</v>
      </c>
      <c r="C132" s="508"/>
      <c r="D132" s="509">
        <f t="shared" si="34"/>
        <v>0</v>
      </c>
      <c r="E132" s="510"/>
      <c r="F132" s="508"/>
      <c r="G132" s="509">
        <f t="shared" si="35"/>
        <v>0</v>
      </c>
      <c r="H132" s="510"/>
      <c r="I132" s="511"/>
      <c r="K132" s="512" t="e">
        <f t="shared" si="36"/>
        <v>#DIV/0!</v>
      </c>
      <c r="L132" s="513" t="e">
        <f t="shared" si="33"/>
        <v>#DIV/0!</v>
      </c>
      <c r="M132" s="514" t="e">
        <f t="shared" si="37"/>
        <v>#DIV/0!</v>
      </c>
      <c r="N132" s="515" t="e">
        <f t="shared" si="38"/>
        <v>#DIV/0!</v>
      </c>
      <c r="O132" s="515" t="e">
        <f t="shared" si="39"/>
        <v>#DIV/0!</v>
      </c>
      <c r="P132" s="515" t="e">
        <f t="shared" si="40"/>
        <v>#DIV/0!</v>
      </c>
      <c r="Q132" s="600" t="e">
        <f t="shared" si="41"/>
        <v>#DIV/0!</v>
      </c>
      <c r="R132" s="517" t="e">
        <f t="shared" si="42"/>
        <v>#DIV/0!</v>
      </c>
      <c r="S132" s="518">
        <f t="shared" si="43"/>
        <v>1.9599639845400536</v>
      </c>
      <c r="T132" s="519" t="e">
        <f t="shared" si="44"/>
        <v>#DIV/0!</v>
      </c>
      <c r="U132" s="519" t="e">
        <f t="shared" si="45"/>
        <v>#DIV/0!</v>
      </c>
      <c r="V132" s="520" t="e">
        <f t="shared" si="46"/>
        <v>#DIV/0!</v>
      </c>
      <c r="W132" s="521" t="e">
        <f t="shared" si="46"/>
        <v>#DIV/0!</v>
      </c>
      <c r="X132" s="522"/>
      <c r="Z132" s="523" t="e">
        <f>(N132-P133)^2</f>
        <v>#DIV/0!</v>
      </c>
      <c r="AA132" s="521" t="e">
        <f t="shared" si="47"/>
        <v>#DIV/0!</v>
      </c>
      <c r="AB132" s="473">
        <v>1</v>
      </c>
      <c r="AC132" s="506"/>
      <c r="AD132" s="506"/>
      <c r="AE132" s="514" t="e">
        <f t="shared" si="48"/>
        <v>#DIV/0!</v>
      </c>
      <c r="AF132" s="524"/>
      <c r="AG132" s="525" t="e">
        <f>AG133</f>
        <v>#DIV/0!</v>
      </c>
      <c r="AH132" s="525" t="e">
        <f>AH133</f>
        <v>#DIV/0!</v>
      </c>
      <c r="AI132" s="521" t="e">
        <f t="shared" si="49"/>
        <v>#DIV/0!</v>
      </c>
      <c r="AJ132" s="526" t="e">
        <f t="shared" si="50"/>
        <v>#DIV/0!</v>
      </c>
      <c r="AK132" s="527" t="e">
        <f>AJ132/AJ133</f>
        <v>#DIV/0!</v>
      </c>
      <c r="AL132" s="528" t="e">
        <f t="shared" si="51"/>
        <v>#DIV/0!</v>
      </c>
      <c r="AM132" s="528" t="e">
        <f t="shared" si="52"/>
        <v>#DIV/0!</v>
      </c>
      <c r="AN132" s="521" t="e">
        <f t="shared" si="53"/>
        <v>#DIV/0!</v>
      </c>
      <c r="AO132" s="529" t="e">
        <f t="shared" si="54"/>
        <v>#DIV/0!</v>
      </c>
      <c r="AP132" s="521" t="e">
        <f t="shared" si="55"/>
        <v>#DIV/0!</v>
      </c>
      <c r="AQ132" s="518">
        <f t="shared" si="56"/>
        <v>1.9599639845400536</v>
      </c>
      <c r="AR132" s="519" t="e">
        <f t="shared" si="57"/>
        <v>#DIV/0!</v>
      </c>
      <c r="AS132" s="519" t="e">
        <f t="shared" si="58"/>
        <v>#DIV/0!</v>
      </c>
      <c r="AT132" s="530" t="e">
        <f t="shared" si="59"/>
        <v>#DIV/0!</v>
      </c>
      <c r="AU132" s="530" t="e">
        <f t="shared" si="59"/>
        <v>#DIV/0!</v>
      </c>
      <c r="AV132" s="491"/>
      <c r="AX132" s="531"/>
      <c r="AY132" s="531">
        <v>1</v>
      </c>
      <c r="AZ132" s="532"/>
      <c r="BA132" s="532"/>
      <c r="BC132" s="506"/>
      <c r="BD132" s="506"/>
      <c r="BE132" s="473"/>
      <c r="BF132" s="473"/>
      <c r="BG132" s="473"/>
      <c r="BH132" s="473"/>
      <c r="BI132" s="473"/>
      <c r="BJ132" s="473"/>
      <c r="BK132" s="473"/>
      <c r="BL132" s="473"/>
      <c r="BM132" s="506"/>
      <c r="BN132" s="506"/>
      <c r="BO132" s="506"/>
      <c r="BP132" s="506"/>
      <c r="BQ132" s="506"/>
      <c r="BR132" s="506"/>
      <c r="BS132" s="506"/>
      <c r="BT132" s="506"/>
      <c r="BU132" s="506"/>
      <c r="BV132" s="506"/>
      <c r="BW132" s="506"/>
    </row>
    <row r="133" spans="1:75">
      <c r="B133" s="533">
        <f>COUNT(D126:D132)</f>
        <v>7</v>
      </c>
      <c r="C133" s="534">
        <f t="shared" ref="C133:H133" si="60">SUM(C126:C132)</f>
        <v>0</v>
      </c>
      <c r="D133" s="534">
        <f t="shared" si="60"/>
        <v>0</v>
      </c>
      <c r="E133" s="534">
        <f t="shared" si="60"/>
        <v>0</v>
      </c>
      <c r="F133" s="534">
        <f t="shared" si="60"/>
        <v>0</v>
      </c>
      <c r="G133" s="534">
        <f t="shared" si="60"/>
        <v>0</v>
      </c>
      <c r="H133" s="534">
        <f t="shared" si="60"/>
        <v>0</v>
      </c>
      <c r="I133" s="535"/>
      <c r="K133" s="536"/>
      <c r="L133" s="607"/>
      <c r="M133" s="538" t="e">
        <f>SUM(M126:M132)</f>
        <v>#DIV/0!</v>
      </c>
      <c r="N133" s="539"/>
      <c r="O133" s="540" t="e">
        <f>SUM(O126:O132)</f>
        <v>#DIV/0!</v>
      </c>
      <c r="P133" s="541" t="e">
        <f>O133/M133</f>
        <v>#DIV/0!</v>
      </c>
      <c r="Q133" s="542" t="e">
        <f>EXP(P133)</f>
        <v>#DIV/0!</v>
      </c>
      <c r="R133" s="543" t="e">
        <f>SQRT(1/M133)</f>
        <v>#DIV/0!</v>
      </c>
      <c r="S133" s="518">
        <f t="shared" si="43"/>
        <v>1.9599639845400536</v>
      </c>
      <c r="T133" s="544" t="e">
        <f>P133-(R133*S133)</f>
        <v>#DIV/0!</v>
      </c>
      <c r="U133" s="544" t="e">
        <f>P133+(R133*S133)</f>
        <v>#DIV/0!</v>
      </c>
      <c r="V133" s="545" t="e">
        <f>EXP(T133)</f>
        <v>#DIV/0!</v>
      </c>
      <c r="W133" s="546" t="e">
        <f>EXP(U133)</f>
        <v>#DIV/0!</v>
      </c>
      <c r="X133" s="547"/>
      <c r="Y133" s="547"/>
      <c r="Z133" s="548"/>
      <c r="AA133" s="549" t="e">
        <f>SUM(AA126:AA132)</f>
        <v>#DIV/0!</v>
      </c>
      <c r="AB133" s="550">
        <f>SUM(AB126:AB132)</f>
        <v>7</v>
      </c>
      <c r="AC133" s="551" t="e">
        <f>AA133-(AB133-1)</f>
        <v>#DIV/0!</v>
      </c>
      <c r="AD133" s="538" t="e">
        <f>M133</f>
        <v>#DIV/0!</v>
      </c>
      <c r="AE133" s="538" t="e">
        <f>SUM(AE126:AE132)</f>
        <v>#DIV/0!</v>
      </c>
      <c r="AF133" s="552" t="e">
        <f>AE133/AD133</f>
        <v>#DIV/0!</v>
      </c>
      <c r="AG133" s="553" t="e">
        <f>AC133/(AD133-AF133)</f>
        <v>#DIV/0!</v>
      </c>
      <c r="AH133" s="553" t="e">
        <f>IF(AA133&lt;AB133-1,"0",AG133)</f>
        <v>#DIV/0!</v>
      </c>
      <c r="AI133" s="548"/>
      <c r="AJ133" s="538" t="e">
        <f>SUM(AJ126:AJ132)</f>
        <v>#DIV/0!</v>
      </c>
      <c r="AK133" s="554" t="e">
        <f>SUM(AK126:AK132)</f>
        <v>#DIV/0!</v>
      </c>
      <c r="AL133" s="551" t="e">
        <f>SUM(AL126:AL132)</f>
        <v>#DIV/0!</v>
      </c>
      <c r="AM133" s="551" t="e">
        <f>AL133/AJ133</f>
        <v>#DIV/0!</v>
      </c>
      <c r="AN133" s="608" t="e">
        <f>EXP(AM133)</f>
        <v>#DIV/0!</v>
      </c>
      <c r="AO133" s="556" t="e">
        <f>1/AJ133</f>
        <v>#DIV/0!</v>
      </c>
      <c r="AP133" s="557" t="e">
        <f>SQRT(AO133)</f>
        <v>#DIV/0!</v>
      </c>
      <c r="AQ133" s="518">
        <f t="shared" si="56"/>
        <v>1.9599639845400536</v>
      </c>
      <c r="AR133" s="544" t="e">
        <f>AM133-(AQ133*AP133)</f>
        <v>#DIV/0!</v>
      </c>
      <c r="AS133" s="544" t="e">
        <f>AM133+(1.96*AP133)</f>
        <v>#DIV/0!</v>
      </c>
      <c r="AT133" s="558" t="e">
        <f>EXP(AR133)</f>
        <v>#DIV/0!</v>
      </c>
      <c r="AU133" s="559" t="e">
        <f>EXP(AS133)</f>
        <v>#DIV/0!</v>
      </c>
      <c r="AV133" s="609"/>
      <c r="AW133" s="468"/>
      <c r="AX133" s="561" t="e">
        <f>AA133</f>
        <v>#DIV/0!</v>
      </c>
      <c r="AY133" s="533">
        <f>SUM(AY126:AY132)</f>
        <v>7</v>
      </c>
      <c r="AZ133" s="562" t="e">
        <f>(AX133-(AY133-1))/AX133</f>
        <v>#DIV/0!</v>
      </c>
      <c r="BA133" s="563" t="e">
        <f>IF(AA133&lt;AB133-1,"0%",AZ133)</f>
        <v>#DIV/0!</v>
      </c>
      <c r="BB133" s="468"/>
      <c r="BC133" s="540" t="e">
        <f>AX133/(AY133-1)</f>
        <v>#DIV/0!</v>
      </c>
      <c r="BD133" s="564" t="e">
        <f>LN(BC133)</f>
        <v>#DIV/0!</v>
      </c>
      <c r="BE133" s="540" t="e">
        <f>LN(AX133)</f>
        <v>#DIV/0!</v>
      </c>
      <c r="BF133" s="540">
        <f>LN(AY133-1)</f>
        <v>1.791759469228055</v>
      </c>
      <c r="BG133" s="540" t="e">
        <f>SQRT(2*AX133)</f>
        <v>#DIV/0!</v>
      </c>
      <c r="BH133" s="540">
        <f>SQRT(2*AY133-3)</f>
        <v>3.3166247903553998</v>
      </c>
      <c r="BI133" s="540">
        <f>2*(AY133-2)</f>
        <v>10</v>
      </c>
      <c r="BJ133" s="540">
        <f>3*(AY133-2)^2</f>
        <v>75</v>
      </c>
      <c r="BK133" s="540">
        <f>1/BI133</f>
        <v>0.1</v>
      </c>
      <c r="BL133" s="540">
        <f>1/BJ133</f>
        <v>1.3333333333333334E-2</v>
      </c>
      <c r="BM133" s="540">
        <f>SQRT(BK133*(1-BL133))</f>
        <v>0.31411250638372662</v>
      </c>
      <c r="BN133" s="564" t="e">
        <f>0.5*(BE133-BF133)/(BG133-BH133)</f>
        <v>#DIV/0!</v>
      </c>
      <c r="BO133" s="564" t="e">
        <f>IF(AA133&lt;=AB133,BM133,BN133)</f>
        <v>#DIV/0!</v>
      </c>
      <c r="BP133" s="551" t="e">
        <f>BD133-(1.96*BO133)</f>
        <v>#DIV/0!</v>
      </c>
      <c r="BQ133" s="551" t="e">
        <f>BD133+(1.96*BO133)</f>
        <v>#DIV/0!</v>
      </c>
      <c r="BR133" s="551"/>
      <c r="BS133" s="564" t="e">
        <f>EXP(BP133)</f>
        <v>#DIV/0!</v>
      </c>
      <c r="BT133" s="564" t="e">
        <f>EXP(BQ133)</f>
        <v>#DIV/0!</v>
      </c>
      <c r="BU133" s="565" t="e">
        <f>BA133</f>
        <v>#DIV/0!</v>
      </c>
      <c r="BV133" s="565" t="e">
        <f>(BS133-1)/BS133</f>
        <v>#DIV/0!</v>
      </c>
      <c r="BW133" s="565" t="e">
        <f>(BT133-1)/BT133</f>
        <v>#DIV/0!</v>
      </c>
    </row>
    <row r="134" spans="1:75" ht="13.5" thickBot="1">
      <c r="C134" s="566"/>
      <c r="D134" s="566"/>
      <c r="E134" s="566"/>
      <c r="F134" s="566"/>
      <c r="G134" s="566"/>
      <c r="H134" s="566"/>
      <c r="I134" s="567"/>
      <c r="R134" s="568"/>
      <c r="S134" s="568"/>
      <c r="T134" s="568"/>
      <c r="U134" s="568"/>
      <c r="V134" s="568"/>
      <c r="W134" s="568"/>
      <c r="X134" s="568"/>
      <c r="AB134" s="569"/>
      <c r="AC134" s="570"/>
      <c r="AD134" s="570"/>
      <c r="AE134" s="570"/>
      <c r="AF134" s="572"/>
      <c r="AG134" s="572"/>
      <c r="AH134" s="572"/>
      <c r="AI134" s="572"/>
      <c r="AT134" s="573"/>
      <c r="AU134" s="573"/>
      <c r="AV134" s="573"/>
      <c r="AX134" s="480" t="s">
        <v>35</v>
      </c>
      <c r="BG134" s="483"/>
      <c r="BN134" s="570" t="s">
        <v>36</v>
      </c>
      <c r="BT134" s="574" t="s">
        <v>37</v>
      </c>
      <c r="BU134" s="575" t="e">
        <f>BU133</f>
        <v>#DIV/0!</v>
      </c>
      <c r="BV134" s="576" t="e">
        <f>IF(BV133&lt;0,"0%",BV133)</f>
        <v>#DIV/0!</v>
      </c>
      <c r="BW134" s="577" t="e">
        <f>IF(BW133&lt;0,"0%",BW133)</f>
        <v>#DIV/0!</v>
      </c>
    </row>
    <row r="135" spans="1:75" ht="26.5" thickBot="1">
      <c r="B135" s="480"/>
      <c r="C135" s="580"/>
      <c r="D135" s="580"/>
      <c r="E135" s="580"/>
      <c r="F135" s="580"/>
      <c r="G135" s="580"/>
      <c r="H135" s="580"/>
      <c r="I135" s="581"/>
      <c r="J135" s="480"/>
      <c r="K135" s="480"/>
      <c r="R135" s="582"/>
      <c r="S135" s="582"/>
      <c r="T135" s="582"/>
      <c r="U135" s="582"/>
      <c r="V135" s="582"/>
      <c r="W135" s="582"/>
      <c r="X135" s="582"/>
      <c r="AF135" s="472"/>
      <c r="AI135" s="483"/>
      <c r="AJ135" s="583"/>
      <c r="AK135" s="583"/>
      <c r="AL135" s="584"/>
      <c r="AM135" s="585"/>
      <c r="AN135" s="610"/>
      <c r="AO135" s="587" t="s">
        <v>453</v>
      </c>
      <c r="AP135" s="588">
        <f>TINV((1-$H$1),(AB133-2))</f>
        <v>2.570581835636315</v>
      </c>
      <c r="AR135" s="589" t="s">
        <v>38</v>
      </c>
      <c r="AS135" s="590">
        <f>$H$1</f>
        <v>0.95</v>
      </c>
      <c r="AT135" s="591" t="e">
        <f>EXP(AM133-AP135*SQRT((1/AD133)+AH133))</f>
        <v>#DIV/0!</v>
      </c>
      <c r="AU135" s="592" t="e">
        <f>EXP(AM133+AP135*SQRT((1/AD133)+AH133))</f>
        <v>#DIV/0!</v>
      </c>
      <c r="AV135" s="491"/>
      <c r="AX135" s="593" t="e">
        <f>_xlfn.CHISQ.DIST.RT(AX133,AY133-1)</f>
        <v>#DIV/0!</v>
      </c>
      <c r="AY135" s="594" t="e">
        <f>IF(AX135&lt;0.05,"heterogeneidad","homogeneidad")</f>
        <v>#DIV/0!</v>
      </c>
      <c r="BF135" s="595"/>
      <c r="BG135" s="483"/>
      <c r="BH135" s="483"/>
      <c r="BJ135" s="522"/>
      <c r="BL135" s="483"/>
      <c r="BM135" s="596"/>
      <c r="BQ135" s="483"/>
    </row>
    <row r="136" spans="1:75" ht="14.5">
      <c r="B136" s="480"/>
      <c r="C136" s="580"/>
      <c r="D136" s="580"/>
      <c r="E136" s="580"/>
      <c r="F136" s="580"/>
      <c r="G136" s="580"/>
      <c r="H136" s="580"/>
      <c r="I136" s="581"/>
      <c r="J136" s="480"/>
      <c r="K136" s="480"/>
      <c r="R136" s="582"/>
      <c r="S136" s="582"/>
      <c r="T136" s="582"/>
      <c r="U136" s="582"/>
      <c r="V136" s="582"/>
      <c r="W136" s="582"/>
      <c r="X136" s="582"/>
      <c r="AF136" s="472"/>
      <c r="AI136" s="483"/>
      <c r="AJ136" s="583"/>
      <c r="AK136" s="583"/>
      <c r="AL136" s="584"/>
      <c r="AM136" s="585"/>
      <c r="AN136" s="597"/>
      <c r="AO136" s="598"/>
      <c r="AP136" s="487"/>
      <c r="AS136" s="599"/>
      <c r="AT136" s="491"/>
      <c r="AU136" s="491"/>
      <c r="AV136" s="491"/>
      <c r="BF136" s="595"/>
      <c r="BG136" s="483"/>
      <c r="BH136" s="483"/>
      <c r="BJ136" s="522"/>
      <c r="BL136" s="483"/>
      <c r="BM136" s="596"/>
      <c r="BQ136" s="483"/>
    </row>
    <row r="137" spans="1:75">
      <c r="C137" s="566"/>
      <c r="D137" s="566"/>
      <c r="E137" s="566"/>
      <c r="F137" s="566"/>
      <c r="G137" s="566"/>
      <c r="H137" s="566"/>
      <c r="I137" s="567"/>
      <c r="J137" s="624" t="s">
        <v>4</v>
      </c>
      <c r="K137" s="625"/>
      <c r="L137" s="625"/>
      <c r="M137" s="625"/>
      <c r="N137" s="625"/>
      <c r="O137" s="625"/>
      <c r="P137" s="625"/>
      <c r="Q137" s="625"/>
      <c r="R137" s="625"/>
      <c r="S137" s="625"/>
      <c r="T137" s="625"/>
      <c r="U137" s="625"/>
      <c r="V137" s="625"/>
      <c r="W137" s="626"/>
      <c r="X137" s="484"/>
      <c r="Y137" s="624" t="s">
        <v>5</v>
      </c>
      <c r="Z137" s="625"/>
      <c r="AA137" s="625"/>
      <c r="AB137" s="625"/>
      <c r="AC137" s="625"/>
      <c r="AD137" s="625"/>
      <c r="AE137" s="625"/>
      <c r="AF137" s="625"/>
      <c r="AG137" s="625"/>
      <c r="AH137" s="625"/>
      <c r="AI137" s="625"/>
      <c r="AJ137" s="625"/>
      <c r="AK137" s="625"/>
      <c r="AL137" s="625"/>
      <c r="AM137" s="625"/>
      <c r="AN137" s="625"/>
      <c r="AO137" s="625"/>
      <c r="AP137" s="625"/>
      <c r="AQ137" s="625"/>
      <c r="AR137" s="625"/>
      <c r="AS137" s="625"/>
      <c r="AT137" s="625"/>
      <c r="AU137" s="626"/>
      <c r="AV137" s="484"/>
      <c r="AW137" s="624" t="s">
        <v>6</v>
      </c>
      <c r="AX137" s="625"/>
      <c r="AY137" s="625"/>
      <c r="AZ137" s="625"/>
      <c r="BA137" s="625"/>
      <c r="BB137" s="625"/>
      <c r="BC137" s="625"/>
      <c r="BD137" s="625"/>
      <c r="BE137" s="625"/>
      <c r="BF137" s="625"/>
      <c r="BG137" s="625"/>
      <c r="BH137" s="625"/>
      <c r="BI137" s="625"/>
      <c r="BJ137" s="625"/>
      <c r="BK137" s="625"/>
      <c r="BL137" s="625"/>
      <c r="BM137" s="625"/>
      <c r="BN137" s="625"/>
      <c r="BO137" s="625"/>
      <c r="BP137" s="625"/>
      <c r="BQ137" s="625"/>
      <c r="BR137" s="625"/>
      <c r="BS137" s="625"/>
      <c r="BT137" s="625"/>
      <c r="BU137" s="625"/>
      <c r="BV137" s="625"/>
      <c r="BW137" s="626"/>
    </row>
    <row r="138" spans="1:75">
      <c r="A138" s="614"/>
      <c r="B138" s="486" t="s">
        <v>8</v>
      </c>
      <c r="C138" s="623" t="s">
        <v>9</v>
      </c>
      <c r="D138" s="623"/>
      <c r="E138" s="623"/>
      <c r="F138" s="623" t="s">
        <v>10</v>
      </c>
      <c r="G138" s="623"/>
      <c r="H138" s="623"/>
      <c r="I138" s="487"/>
      <c r="J138" s="488"/>
      <c r="K138" s="488"/>
      <c r="L138" s="488"/>
      <c r="M138" s="488"/>
      <c r="N138" s="488"/>
      <c r="O138" s="488"/>
      <c r="P138" s="488"/>
      <c r="Q138" s="488"/>
      <c r="R138" s="488"/>
      <c r="S138" s="488"/>
      <c r="T138" s="488"/>
      <c r="U138" s="488"/>
      <c r="V138" s="488"/>
      <c r="W138" s="488"/>
      <c r="X138" s="488"/>
      <c r="Y138" s="488"/>
      <c r="Z138" s="488"/>
      <c r="AA138" s="488"/>
      <c r="AB138" s="488"/>
      <c r="AC138" s="488"/>
      <c r="AD138" s="488"/>
      <c r="AE138" s="488"/>
      <c r="AF138" s="488"/>
      <c r="AG138" s="488"/>
      <c r="AH138" s="488"/>
      <c r="AI138" s="488"/>
      <c r="AJ138" s="488"/>
      <c r="AK138" s="488"/>
      <c r="AL138" s="488"/>
      <c r="AM138" s="488"/>
      <c r="AN138" s="488"/>
      <c r="AO138" s="488"/>
      <c r="AP138" s="488"/>
      <c r="AQ138" s="488"/>
      <c r="AR138" s="488"/>
      <c r="AS138" s="488"/>
      <c r="AT138" s="488"/>
      <c r="AU138" s="488"/>
      <c r="AV138" s="488"/>
      <c r="AW138" s="488"/>
      <c r="AX138" s="488"/>
      <c r="AY138" s="488"/>
      <c r="AZ138" s="488"/>
      <c r="BA138" s="488"/>
      <c r="BB138" s="488"/>
      <c r="BC138" s="488"/>
      <c r="BD138" s="488"/>
      <c r="BE138" s="488"/>
      <c r="BF138" s="488"/>
      <c r="BG138" s="488"/>
      <c r="BH138" s="488"/>
      <c r="BI138" s="488"/>
      <c r="BJ138" s="488"/>
      <c r="BK138" s="488"/>
      <c r="BL138" s="488"/>
      <c r="BM138" s="488"/>
      <c r="BN138" s="488"/>
      <c r="BO138" s="488"/>
      <c r="BP138" s="488"/>
      <c r="BQ138" s="488"/>
      <c r="BR138" s="488"/>
      <c r="BS138" s="488"/>
      <c r="BT138" s="488"/>
      <c r="BU138" s="488"/>
      <c r="BV138" s="488"/>
      <c r="BW138" s="488"/>
    </row>
    <row r="139" spans="1:75" ht="60">
      <c r="B139" s="489"/>
      <c r="C139" s="490" t="s">
        <v>12</v>
      </c>
      <c r="D139" s="490" t="s">
        <v>13</v>
      </c>
      <c r="E139" s="490" t="s">
        <v>14</v>
      </c>
      <c r="F139" s="490" t="s">
        <v>12</v>
      </c>
      <c r="G139" s="490" t="s">
        <v>13</v>
      </c>
      <c r="H139" s="490" t="s">
        <v>14</v>
      </c>
      <c r="I139" s="491"/>
      <c r="K139" s="492" t="s">
        <v>416</v>
      </c>
      <c r="L139" s="492" t="s">
        <v>417</v>
      </c>
      <c r="M139" s="492" t="s">
        <v>418</v>
      </c>
      <c r="N139" s="493" t="s">
        <v>419</v>
      </c>
      <c r="O139" s="493" t="s">
        <v>15</v>
      </c>
      <c r="P139" s="493" t="s">
        <v>420</v>
      </c>
      <c r="Q139" s="494" t="s">
        <v>421</v>
      </c>
      <c r="R139" s="492" t="s">
        <v>422</v>
      </c>
      <c r="S139" s="475" t="s">
        <v>415</v>
      </c>
      <c r="T139" s="493" t="s">
        <v>423</v>
      </c>
      <c r="U139" s="493" t="s">
        <v>424</v>
      </c>
      <c r="V139" s="495" t="s">
        <v>16</v>
      </c>
      <c r="W139" s="496" t="s">
        <v>16</v>
      </c>
      <c r="X139" s="497"/>
      <c r="Y139" s="498"/>
      <c r="Z139" s="499" t="s">
        <v>425</v>
      </c>
      <c r="AA139" s="493" t="s">
        <v>426</v>
      </c>
      <c r="AB139" s="475" t="s">
        <v>17</v>
      </c>
      <c r="AC139" s="475" t="s">
        <v>18</v>
      </c>
      <c r="AD139" s="475" t="s">
        <v>427</v>
      </c>
      <c r="AE139" s="493" t="s">
        <v>428</v>
      </c>
      <c r="AF139" s="493" t="s">
        <v>429</v>
      </c>
      <c r="AG139" s="500" t="s">
        <v>19</v>
      </c>
      <c r="AH139" s="500" t="s">
        <v>20</v>
      </c>
      <c r="AI139" s="475" t="s">
        <v>430</v>
      </c>
      <c r="AJ139" s="493" t="s">
        <v>431</v>
      </c>
      <c r="AK139" s="493" t="s">
        <v>432</v>
      </c>
      <c r="AL139" s="493" t="s">
        <v>433</v>
      </c>
      <c r="AM139" s="475" t="s">
        <v>434</v>
      </c>
      <c r="AN139" s="501" t="s">
        <v>435</v>
      </c>
      <c r="AO139" s="493" t="s">
        <v>436</v>
      </c>
      <c r="AP139" s="493" t="s">
        <v>437</v>
      </c>
      <c r="AQ139" s="475" t="s">
        <v>415</v>
      </c>
      <c r="AR139" s="493" t="s">
        <v>438</v>
      </c>
      <c r="AS139" s="493" t="s">
        <v>439</v>
      </c>
      <c r="AT139" s="495" t="s">
        <v>16</v>
      </c>
      <c r="AU139" s="496" t="s">
        <v>16</v>
      </c>
      <c r="AV139" s="497"/>
      <c r="AX139" s="502" t="s">
        <v>21</v>
      </c>
      <c r="AY139" s="502" t="s">
        <v>17</v>
      </c>
      <c r="AZ139" s="503" t="s">
        <v>22</v>
      </c>
      <c r="BA139" s="504" t="s">
        <v>23</v>
      </c>
      <c r="BC139" s="475" t="s">
        <v>440</v>
      </c>
      <c r="BD139" s="475" t="s">
        <v>441</v>
      </c>
      <c r="BE139" s="475" t="s">
        <v>24</v>
      </c>
      <c r="BF139" s="475" t="s">
        <v>25</v>
      </c>
      <c r="BG139" s="475" t="s">
        <v>26</v>
      </c>
      <c r="BH139" s="475" t="s">
        <v>27</v>
      </c>
      <c r="BI139" s="475" t="s">
        <v>28</v>
      </c>
      <c r="BJ139" s="475" t="s">
        <v>442</v>
      </c>
      <c r="BK139" s="475" t="s">
        <v>29</v>
      </c>
      <c r="BL139" s="475" t="s">
        <v>30</v>
      </c>
      <c r="BM139" s="505" t="s">
        <v>443</v>
      </c>
      <c r="BN139" s="505" t="s">
        <v>444</v>
      </c>
      <c r="BO139" s="505" t="s">
        <v>445</v>
      </c>
      <c r="BP139" s="505" t="s">
        <v>446</v>
      </c>
      <c r="BQ139" s="505" t="s">
        <v>447</v>
      </c>
      <c r="BR139" s="506"/>
      <c r="BS139" s="493" t="s">
        <v>448</v>
      </c>
      <c r="BT139" s="493" t="s">
        <v>449</v>
      </c>
      <c r="BU139" s="494" t="s">
        <v>450</v>
      </c>
      <c r="BV139" s="495" t="s">
        <v>451</v>
      </c>
      <c r="BW139" s="496" t="s">
        <v>452</v>
      </c>
    </row>
    <row r="140" spans="1:75">
      <c r="B140" s="507" t="s">
        <v>78</v>
      </c>
      <c r="C140" s="508"/>
      <c r="D140" s="509">
        <f t="shared" ref="D140:D145" si="61">E140-C140</f>
        <v>0</v>
      </c>
      <c r="E140" s="510"/>
      <c r="F140" s="508"/>
      <c r="G140" s="509">
        <f t="shared" ref="G140:G145" si="62">H140-F140</f>
        <v>0</v>
      </c>
      <c r="H140" s="510"/>
      <c r="I140" s="511"/>
      <c r="K140" s="512" t="e">
        <f t="shared" ref="K140:K145" si="63">(C140/E140)/(F140/H140)</f>
        <v>#DIV/0!</v>
      </c>
      <c r="L140" s="513" t="e">
        <f t="shared" ref="L140:L145" si="64">(D140/(C140*E140)+(G140/(F140*H140)))</f>
        <v>#DIV/0!</v>
      </c>
      <c r="M140" s="514" t="e">
        <f t="shared" ref="M140:M145" si="65">1/L140</f>
        <v>#DIV/0!</v>
      </c>
      <c r="N140" s="515" t="e">
        <f t="shared" ref="N140:N145" si="66">LN(K140)</f>
        <v>#DIV/0!</v>
      </c>
      <c r="O140" s="515" t="e">
        <f t="shared" ref="O140:O145" si="67">M140*N140</f>
        <v>#DIV/0!</v>
      </c>
      <c r="P140" s="515" t="e">
        <f t="shared" ref="P140:P145" si="68">LN(K140)</f>
        <v>#DIV/0!</v>
      </c>
      <c r="Q140" s="600" t="e">
        <f t="shared" ref="Q140:Q145" si="69">K140</f>
        <v>#DIV/0!</v>
      </c>
      <c r="R140" s="517" t="e">
        <f t="shared" ref="R140:R146" si="70">SQRT(1/M140)</f>
        <v>#DIV/0!</v>
      </c>
      <c r="S140" s="518">
        <f>$H$2</f>
        <v>1.9599639845400536</v>
      </c>
      <c r="T140" s="519" t="e">
        <f t="shared" ref="T140:T146" si="71">P140-(R140*S140)</f>
        <v>#DIV/0!</v>
      </c>
      <c r="U140" s="519" t="e">
        <f t="shared" ref="U140:U146" si="72">P140+(R140*S140)</f>
        <v>#DIV/0!</v>
      </c>
      <c r="V140" s="520" t="e">
        <f>EXP(T140)</f>
        <v>#DIV/0!</v>
      </c>
      <c r="W140" s="521" t="e">
        <f>EXP(U140)</f>
        <v>#DIV/0!</v>
      </c>
      <c r="X140" s="522"/>
      <c r="Z140" s="523" t="e">
        <f>(N140-P146)^2</f>
        <v>#DIV/0!</v>
      </c>
      <c r="AA140" s="521" t="e">
        <f t="shared" ref="AA140:AA145" si="73">M140*Z140</f>
        <v>#DIV/0!</v>
      </c>
      <c r="AB140" s="473">
        <v>1</v>
      </c>
      <c r="AC140" s="506"/>
      <c r="AD140" s="506"/>
      <c r="AE140" s="514" t="e">
        <f t="shared" ref="AE140:AE145" si="74">M140^2</f>
        <v>#DIV/0!</v>
      </c>
      <c r="AF140" s="524"/>
      <c r="AG140" s="525" t="e">
        <f>AG146</f>
        <v>#DIV/0!</v>
      </c>
      <c r="AH140" s="525" t="e">
        <f>AH146</f>
        <v>#DIV/0!</v>
      </c>
      <c r="AI140" s="521" t="e">
        <f t="shared" ref="AI140:AI145" si="75">1/M140</f>
        <v>#DIV/0!</v>
      </c>
      <c r="AJ140" s="526" t="e">
        <f t="shared" ref="AJ140:AJ145" si="76">1/(AH140+AI140)</f>
        <v>#DIV/0!</v>
      </c>
      <c r="AK140" s="527" t="e">
        <f>AJ140/AJ146</f>
        <v>#DIV/0!</v>
      </c>
      <c r="AL140" s="528" t="e">
        <f t="shared" ref="AL140:AL145" si="77">AJ140*N140</f>
        <v>#DIV/0!</v>
      </c>
      <c r="AM140" s="528" t="e">
        <f t="shared" ref="AM140:AM146" si="78">AL140/AJ140</f>
        <v>#DIV/0!</v>
      </c>
      <c r="AN140" s="521" t="e">
        <f t="shared" ref="AN140:AN146" si="79">EXP(AM140)</f>
        <v>#DIV/0!</v>
      </c>
      <c r="AO140" s="529" t="e">
        <f t="shared" ref="AO140:AO146" si="80">1/AJ140</f>
        <v>#DIV/0!</v>
      </c>
      <c r="AP140" s="521" t="e">
        <f t="shared" ref="AP140:AP146" si="81">SQRT(AO140)</f>
        <v>#DIV/0!</v>
      </c>
      <c r="AQ140" s="518">
        <f>$H$2</f>
        <v>1.9599639845400536</v>
      </c>
      <c r="AR140" s="519" t="e">
        <f t="shared" ref="AR140:AR146" si="82">AM140-(AQ140*AP140)</f>
        <v>#DIV/0!</v>
      </c>
      <c r="AS140" s="519" t="e">
        <f t="shared" ref="AS140:AS146" si="83">AM140+(1.96*AP140)</f>
        <v>#DIV/0!</v>
      </c>
      <c r="AT140" s="530" t="e">
        <f>EXP(AR140)</f>
        <v>#DIV/0!</v>
      </c>
      <c r="AU140" s="530" t="e">
        <f>EXP(AS140)</f>
        <v>#DIV/0!</v>
      </c>
      <c r="AV140" s="491"/>
      <c r="AX140" s="531"/>
      <c r="AY140" s="531">
        <v>1</v>
      </c>
      <c r="AZ140" s="532"/>
      <c r="BA140" s="532"/>
      <c r="BC140" s="506"/>
      <c r="BD140" s="506"/>
      <c r="BE140" s="473"/>
      <c r="BF140" s="473"/>
      <c r="BG140" s="473"/>
      <c r="BH140" s="473"/>
      <c r="BI140" s="473"/>
      <c r="BJ140" s="473"/>
      <c r="BK140" s="473"/>
      <c r="BL140" s="473"/>
      <c r="BM140" s="506"/>
      <c r="BN140" s="506"/>
      <c r="BO140" s="506"/>
      <c r="BP140" s="506"/>
      <c r="BQ140" s="506"/>
      <c r="BR140" s="506"/>
      <c r="BS140" s="506"/>
      <c r="BT140" s="506"/>
      <c r="BU140" s="506"/>
      <c r="BV140" s="506"/>
      <c r="BW140" s="506"/>
    </row>
    <row r="141" spans="1:75">
      <c r="B141" s="507" t="s">
        <v>79</v>
      </c>
      <c r="C141" s="508"/>
      <c r="D141" s="509">
        <f t="shared" si="61"/>
        <v>0</v>
      </c>
      <c r="E141" s="510"/>
      <c r="F141" s="508"/>
      <c r="G141" s="509">
        <f t="shared" si="62"/>
        <v>0</v>
      </c>
      <c r="H141" s="510"/>
      <c r="I141" s="511"/>
      <c r="K141" s="512" t="e">
        <f t="shared" si="63"/>
        <v>#DIV/0!</v>
      </c>
      <c r="L141" s="513" t="e">
        <f t="shared" si="64"/>
        <v>#DIV/0!</v>
      </c>
      <c r="M141" s="514" t="e">
        <f t="shared" si="65"/>
        <v>#DIV/0!</v>
      </c>
      <c r="N141" s="515" t="e">
        <f t="shared" si="66"/>
        <v>#DIV/0!</v>
      </c>
      <c r="O141" s="515" t="e">
        <f t="shared" si="67"/>
        <v>#DIV/0!</v>
      </c>
      <c r="P141" s="515" t="e">
        <f t="shared" si="68"/>
        <v>#DIV/0!</v>
      </c>
      <c r="Q141" s="600" t="e">
        <f t="shared" si="69"/>
        <v>#DIV/0!</v>
      </c>
      <c r="R141" s="517" t="e">
        <f t="shared" si="70"/>
        <v>#DIV/0!</v>
      </c>
      <c r="S141" s="518">
        <f t="shared" ref="S141:S146" si="84">$H$2</f>
        <v>1.9599639845400536</v>
      </c>
      <c r="T141" s="519" t="e">
        <f t="shared" si="71"/>
        <v>#DIV/0!</v>
      </c>
      <c r="U141" s="519" t="e">
        <f t="shared" si="72"/>
        <v>#DIV/0!</v>
      </c>
      <c r="V141" s="520" t="e">
        <f t="shared" ref="V141:W145" si="85">EXP(T141)</f>
        <v>#DIV/0!</v>
      </c>
      <c r="W141" s="521" t="e">
        <f t="shared" si="85"/>
        <v>#DIV/0!</v>
      </c>
      <c r="X141" s="522"/>
      <c r="Z141" s="523" t="e">
        <f>(N141-P146)^2</f>
        <v>#DIV/0!</v>
      </c>
      <c r="AA141" s="521" t="e">
        <f t="shared" si="73"/>
        <v>#DIV/0!</v>
      </c>
      <c r="AB141" s="473">
        <v>1</v>
      </c>
      <c r="AC141" s="506"/>
      <c r="AD141" s="506"/>
      <c r="AE141" s="514" t="e">
        <f t="shared" si="74"/>
        <v>#DIV/0!</v>
      </c>
      <c r="AF141" s="524"/>
      <c r="AG141" s="525" t="e">
        <f>AG146</f>
        <v>#DIV/0!</v>
      </c>
      <c r="AH141" s="525" t="e">
        <f>AH146</f>
        <v>#DIV/0!</v>
      </c>
      <c r="AI141" s="521" t="e">
        <f t="shared" si="75"/>
        <v>#DIV/0!</v>
      </c>
      <c r="AJ141" s="526" t="e">
        <f t="shared" si="76"/>
        <v>#DIV/0!</v>
      </c>
      <c r="AK141" s="527" t="e">
        <f>AJ141/AJ146</f>
        <v>#DIV/0!</v>
      </c>
      <c r="AL141" s="528" t="e">
        <f t="shared" si="77"/>
        <v>#DIV/0!</v>
      </c>
      <c r="AM141" s="528" t="e">
        <f t="shared" si="78"/>
        <v>#DIV/0!</v>
      </c>
      <c r="AN141" s="521" t="e">
        <f t="shared" si="79"/>
        <v>#DIV/0!</v>
      </c>
      <c r="AO141" s="529" t="e">
        <f t="shared" si="80"/>
        <v>#DIV/0!</v>
      </c>
      <c r="AP141" s="521" t="e">
        <f t="shared" si="81"/>
        <v>#DIV/0!</v>
      </c>
      <c r="AQ141" s="518">
        <f t="shared" ref="AQ141:AQ146" si="86">$H$2</f>
        <v>1.9599639845400536</v>
      </c>
      <c r="AR141" s="519" t="e">
        <f t="shared" si="82"/>
        <v>#DIV/0!</v>
      </c>
      <c r="AS141" s="519" t="e">
        <f t="shared" si="83"/>
        <v>#DIV/0!</v>
      </c>
      <c r="AT141" s="530" t="e">
        <f t="shared" ref="AT141:AU145" si="87">EXP(AR141)</f>
        <v>#DIV/0!</v>
      </c>
      <c r="AU141" s="530" t="e">
        <f t="shared" si="87"/>
        <v>#DIV/0!</v>
      </c>
      <c r="AV141" s="491"/>
      <c r="AX141" s="531"/>
      <c r="AY141" s="531">
        <v>1</v>
      </c>
      <c r="AZ141" s="532"/>
      <c r="BA141" s="532"/>
      <c r="BC141" s="506"/>
      <c r="BD141" s="506"/>
      <c r="BE141" s="473"/>
      <c r="BF141" s="473"/>
      <c r="BG141" s="473"/>
      <c r="BH141" s="473"/>
      <c r="BI141" s="473"/>
      <c r="BJ141" s="473"/>
      <c r="BK141" s="473"/>
      <c r="BL141" s="473"/>
      <c r="BM141" s="506"/>
      <c r="BN141" s="506"/>
      <c r="BO141" s="506"/>
      <c r="BP141" s="506"/>
      <c r="BQ141" s="506"/>
      <c r="BR141" s="506"/>
      <c r="BS141" s="506"/>
      <c r="BT141" s="506"/>
      <c r="BU141" s="506"/>
      <c r="BV141" s="506"/>
      <c r="BW141" s="506"/>
    </row>
    <row r="142" spans="1:75">
      <c r="B142" s="507" t="s">
        <v>80</v>
      </c>
      <c r="C142" s="508"/>
      <c r="D142" s="509">
        <f t="shared" si="61"/>
        <v>0</v>
      </c>
      <c r="E142" s="510"/>
      <c r="F142" s="508"/>
      <c r="G142" s="509">
        <f t="shared" si="62"/>
        <v>0</v>
      </c>
      <c r="H142" s="510"/>
      <c r="I142" s="511"/>
      <c r="K142" s="512" t="e">
        <f t="shared" si="63"/>
        <v>#DIV/0!</v>
      </c>
      <c r="L142" s="513" t="e">
        <f t="shared" si="64"/>
        <v>#DIV/0!</v>
      </c>
      <c r="M142" s="514" t="e">
        <f t="shared" si="65"/>
        <v>#DIV/0!</v>
      </c>
      <c r="N142" s="515" t="e">
        <f t="shared" si="66"/>
        <v>#DIV/0!</v>
      </c>
      <c r="O142" s="515" t="e">
        <f t="shared" si="67"/>
        <v>#DIV/0!</v>
      </c>
      <c r="P142" s="515" t="e">
        <f t="shared" si="68"/>
        <v>#DIV/0!</v>
      </c>
      <c r="Q142" s="600" t="e">
        <f t="shared" si="69"/>
        <v>#DIV/0!</v>
      </c>
      <c r="R142" s="517" t="e">
        <f t="shared" si="70"/>
        <v>#DIV/0!</v>
      </c>
      <c r="S142" s="518">
        <f t="shared" si="84"/>
        <v>1.9599639845400536</v>
      </c>
      <c r="T142" s="519" t="e">
        <f t="shared" si="71"/>
        <v>#DIV/0!</v>
      </c>
      <c r="U142" s="519" t="e">
        <f t="shared" si="72"/>
        <v>#DIV/0!</v>
      </c>
      <c r="V142" s="520" t="e">
        <f t="shared" si="85"/>
        <v>#DIV/0!</v>
      </c>
      <c r="W142" s="521" t="e">
        <f t="shared" si="85"/>
        <v>#DIV/0!</v>
      </c>
      <c r="X142" s="522"/>
      <c r="Z142" s="523" t="e">
        <f>(N142-P146)^2</f>
        <v>#DIV/0!</v>
      </c>
      <c r="AA142" s="521" t="e">
        <f t="shared" si="73"/>
        <v>#DIV/0!</v>
      </c>
      <c r="AB142" s="473">
        <v>1</v>
      </c>
      <c r="AC142" s="506"/>
      <c r="AD142" s="506"/>
      <c r="AE142" s="514" t="e">
        <f t="shared" si="74"/>
        <v>#DIV/0!</v>
      </c>
      <c r="AF142" s="524"/>
      <c r="AG142" s="525" t="e">
        <f>AG146</f>
        <v>#DIV/0!</v>
      </c>
      <c r="AH142" s="525" t="e">
        <f>AH146</f>
        <v>#DIV/0!</v>
      </c>
      <c r="AI142" s="521" t="e">
        <f t="shared" si="75"/>
        <v>#DIV/0!</v>
      </c>
      <c r="AJ142" s="526" t="e">
        <f t="shared" si="76"/>
        <v>#DIV/0!</v>
      </c>
      <c r="AK142" s="527" t="e">
        <f>AJ142/AJ146</f>
        <v>#DIV/0!</v>
      </c>
      <c r="AL142" s="528" t="e">
        <f t="shared" si="77"/>
        <v>#DIV/0!</v>
      </c>
      <c r="AM142" s="528" t="e">
        <f t="shared" si="78"/>
        <v>#DIV/0!</v>
      </c>
      <c r="AN142" s="521" t="e">
        <f t="shared" si="79"/>
        <v>#DIV/0!</v>
      </c>
      <c r="AO142" s="529" t="e">
        <f t="shared" si="80"/>
        <v>#DIV/0!</v>
      </c>
      <c r="AP142" s="521" t="e">
        <f t="shared" si="81"/>
        <v>#DIV/0!</v>
      </c>
      <c r="AQ142" s="518">
        <f t="shared" si="86"/>
        <v>1.9599639845400536</v>
      </c>
      <c r="AR142" s="519" t="e">
        <f t="shared" si="82"/>
        <v>#DIV/0!</v>
      </c>
      <c r="AS142" s="519" t="e">
        <f t="shared" si="83"/>
        <v>#DIV/0!</v>
      </c>
      <c r="AT142" s="530" t="e">
        <f t="shared" si="87"/>
        <v>#DIV/0!</v>
      </c>
      <c r="AU142" s="530" t="e">
        <f t="shared" si="87"/>
        <v>#DIV/0!</v>
      </c>
      <c r="AV142" s="491"/>
      <c r="AX142" s="531"/>
      <c r="AY142" s="531">
        <v>1</v>
      </c>
      <c r="AZ142" s="532"/>
      <c r="BA142" s="532"/>
      <c r="BC142" s="506"/>
      <c r="BD142" s="506"/>
      <c r="BE142" s="473"/>
      <c r="BF142" s="473"/>
      <c r="BG142" s="473"/>
      <c r="BH142" s="473"/>
      <c r="BI142" s="473"/>
      <c r="BJ142" s="473"/>
      <c r="BK142" s="473"/>
      <c r="BL142" s="473"/>
      <c r="BM142" s="506"/>
      <c r="BN142" s="506"/>
      <c r="BO142" s="506"/>
      <c r="BP142" s="506"/>
      <c r="BQ142" s="506"/>
      <c r="BR142" s="506"/>
      <c r="BS142" s="506"/>
      <c r="BT142" s="506"/>
      <c r="BU142" s="506"/>
      <c r="BV142" s="506"/>
      <c r="BW142" s="506"/>
    </row>
    <row r="143" spans="1:75">
      <c r="B143" s="507" t="s">
        <v>81</v>
      </c>
      <c r="C143" s="508"/>
      <c r="D143" s="509">
        <f t="shared" si="61"/>
        <v>0</v>
      </c>
      <c r="E143" s="510"/>
      <c r="F143" s="508"/>
      <c r="G143" s="509">
        <f t="shared" si="62"/>
        <v>0</v>
      </c>
      <c r="H143" s="510"/>
      <c r="I143" s="511"/>
      <c r="K143" s="512" t="e">
        <f t="shared" si="63"/>
        <v>#DIV/0!</v>
      </c>
      <c r="L143" s="513" t="e">
        <f t="shared" si="64"/>
        <v>#DIV/0!</v>
      </c>
      <c r="M143" s="514" t="e">
        <f t="shared" si="65"/>
        <v>#DIV/0!</v>
      </c>
      <c r="N143" s="515" t="e">
        <f t="shared" si="66"/>
        <v>#DIV/0!</v>
      </c>
      <c r="O143" s="515" t="e">
        <f t="shared" si="67"/>
        <v>#DIV/0!</v>
      </c>
      <c r="P143" s="515" t="e">
        <f t="shared" si="68"/>
        <v>#DIV/0!</v>
      </c>
      <c r="Q143" s="600" t="e">
        <f t="shared" si="69"/>
        <v>#DIV/0!</v>
      </c>
      <c r="R143" s="517" t="e">
        <f t="shared" si="70"/>
        <v>#DIV/0!</v>
      </c>
      <c r="S143" s="518">
        <f t="shared" si="84"/>
        <v>1.9599639845400536</v>
      </c>
      <c r="T143" s="519" t="e">
        <f t="shared" si="71"/>
        <v>#DIV/0!</v>
      </c>
      <c r="U143" s="519" t="e">
        <f t="shared" si="72"/>
        <v>#DIV/0!</v>
      </c>
      <c r="V143" s="520" t="e">
        <f t="shared" si="85"/>
        <v>#DIV/0!</v>
      </c>
      <c r="W143" s="521" t="e">
        <f t="shared" si="85"/>
        <v>#DIV/0!</v>
      </c>
      <c r="X143" s="522"/>
      <c r="Z143" s="523" t="e">
        <f>(N143-P146)^2</f>
        <v>#DIV/0!</v>
      </c>
      <c r="AA143" s="521" t="e">
        <f t="shared" si="73"/>
        <v>#DIV/0!</v>
      </c>
      <c r="AB143" s="473">
        <v>1</v>
      </c>
      <c r="AC143" s="506"/>
      <c r="AD143" s="506"/>
      <c r="AE143" s="514" t="e">
        <f t="shared" si="74"/>
        <v>#DIV/0!</v>
      </c>
      <c r="AF143" s="524"/>
      <c r="AG143" s="525" t="e">
        <f>AG146</f>
        <v>#DIV/0!</v>
      </c>
      <c r="AH143" s="525" t="e">
        <f>AH146</f>
        <v>#DIV/0!</v>
      </c>
      <c r="AI143" s="521" t="e">
        <f t="shared" si="75"/>
        <v>#DIV/0!</v>
      </c>
      <c r="AJ143" s="526" t="e">
        <f t="shared" si="76"/>
        <v>#DIV/0!</v>
      </c>
      <c r="AK143" s="527" t="e">
        <f>AJ143/AJ146</f>
        <v>#DIV/0!</v>
      </c>
      <c r="AL143" s="528" t="e">
        <f t="shared" si="77"/>
        <v>#DIV/0!</v>
      </c>
      <c r="AM143" s="528" t="e">
        <f t="shared" si="78"/>
        <v>#DIV/0!</v>
      </c>
      <c r="AN143" s="521" t="e">
        <f t="shared" si="79"/>
        <v>#DIV/0!</v>
      </c>
      <c r="AO143" s="529" t="e">
        <f t="shared" si="80"/>
        <v>#DIV/0!</v>
      </c>
      <c r="AP143" s="521" t="e">
        <f t="shared" si="81"/>
        <v>#DIV/0!</v>
      </c>
      <c r="AQ143" s="518">
        <f t="shared" si="86"/>
        <v>1.9599639845400536</v>
      </c>
      <c r="AR143" s="519" t="e">
        <f t="shared" si="82"/>
        <v>#DIV/0!</v>
      </c>
      <c r="AS143" s="519" t="e">
        <f t="shared" si="83"/>
        <v>#DIV/0!</v>
      </c>
      <c r="AT143" s="530" t="e">
        <f t="shared" si="87"/>
        <v>#DIV/0!</v>
      </c>
      <c r="AU143" s="530" t="e">
        <f t="shared" si="87"/>
        <v>#DIV/0!</v>
      </c>
      <c r="AV143" s="491"/>
      <c r="AX143" s="531"/>
      <c r="AY143" s="531">
        <v>1</v>
      </c>
      <c r="AZ143" s="532"/>
      <c r="BA143" s="532"/>
      <c r="BC143" s="506"/>
      <c r="BD143" s="506"/>
      <c r="BE143" s="473"/>
      <c r="BF143" s="473"/>
      <c r="BG143" s="473"/>
      <c r="BH143" s="473"/>
      <c r="BI143" s="473"/>
      <c r="BJ143" s="473"/>
      <c r="BK143" s="473"/>
      <c r="BL143" s="473"/>
      <c r="BM143" s="506"/>
      <c r="BN143" s="506"/>
      <c r="BO143" s="506"/>
      <c r="BP143" s="506"/>
      <c r="BQ143" s="506"/>
      <c r="BR143" s="506"/>
      <c r="BS143" s="506"/>
      <c r="BT143" s="506"/>
      <c r="BU143" s="506"/>
      <c r="BV143" s="506"/>
      <c r="BW143" s="506"/>
    </row>
    <row r="144" spans="1:75">
      <c r="B144" s="507" t="s">
        <v>82</v>
      </c>
      <c r="C144" s="508"/>
      <c r="D144" s="509">
        <f t="shared" si="61"/>
        <v>0</v>
      </c>
      <c r="E144" s="510"/>
      <c r="F144" s="508"/>
      <c r="G144" s="509">
        <f t="shared" si="62"/>
        <v>0</v>
      </c>
      <c r="H144" s="510"/>
      <c r="I144" s="511"/>
      <c r="K144" s="512" t="e">
        <f t="shared" si="63"/>
        <v>#DIV/0!</v>
      </c>
      <c r="L144" s="513" t="e">
        <f t="shared" si="64"/>
        <v>#DIV/0!</v>
      </c>
      <c r="M144" s="514" t="e">
        <f t="shared" si="65"/>
        <v>#DIV/0!</v>
      </c>
      <c r="N144" s="515" t="e">
        <f t="shared" si="66"/>
        <v>#DIV/0!</v>
      </c>
      <c r="O144" s="515" t="e">
        <f t="shared" si="67"/>
        <v>#DIV/0!</v>
      </c>
      <c r="P144" s="515" t="e">
        <f t="shared" si="68"/>
        <v>#DIV/0!</v>
      </c>
      <c r="Q144" s="600" t="e">
        <f t="shared" si="69"/>
        <v>#DIV/0!</v>
      </c>
      <c r="R144" s="517" t="e">
        <f t="shared" si="70"/>
        <v>#DIV/0!</v>
      </c>
      <c r="S144" s="518">
        <f t="shared" si="84"/>
        <v>1.9599639845400536</v>
      </c>
      <c r="T144" s="519" t="e">
        <f t="shared" si="71"/>
        <v>#DIV/0!</v>
      </c>
      <c r="U144" s="519" t="e">
        <f t="shared" si="72"/>
        <v>#DIV/0!</v>
      </c>
      <c r="V144" s="520" t="e">
        <f t="shared" si="85"/>
        <v>#DIV/0!</v>
      </c>
      <c r="W144" s="521" t="e">
        <f t="shared" si="85"/>
        <v>#DIV/0!</v>
      </c>
      <c r="X144" s="522"/>
      <c r="Z144" s="523" t="e">
        <f>(N144-P146)^2</f>
        <v>#DIV/0!</v>
      </c>
      <c r="AA144" s="521" t="e">
        <f t="shared" si="73"/>
        <v>#DIV/0!</v>
      </c>
      <c r="AB144" s="473">
        <v>1</v>
      </c>
      <c r="AC144" s="506"/>
      <c r="AD144" s="506"/>
      <c r="AE144" s="514" t="e">
        <f t="shared" si="74"/>
        <v>#DIV/0!</v>
      </c>
      <c r="AF144" s="524"/>
      <c r="AG144" s="525" t="e">
        <f>AG146</f>
        <v>#DIV/0!</v>
      </c>
      <c r="AH144" s="525" t="e">
        <f>AH146</f>
        <v>#DIV/0!</v>
      </c>
      <c r="AI144" s="521" t="e">
        <f t="shared" si="75"/>
        <v>#DIV/0!</v>
      </c>
      <c r="AJ144" s="526" t="e">
        <f t="shared" si="76"/>
        <v>#DIV/0!</v>
      </c>
      <c r="AK144" s="527" t="e">
        <f>AJ144/AJ146</f>
        <v>#DIV/0!</v>
      </c>
      <c r="AL144" s="528" t="e">
        <f t="shared" si="77"/>
        <v>#DIV/0!</v>
      </c>
      <c r="AM144" s="528" t="e">
        <f t="shared" si="78"/>
        <v>#DIV/0!</v>
      </c>
      <c r="AN144" s="521" t="e">
        <f t="shared" si="79"/>
        <v>#DIV/0!</v>
      </c>
      <c r="AO144" s="529" t="e">
        <f t="shared" si="80"/>
        <v>#DIV/0!</v>
      </c>
      <c r="AP144" s="521" t="e">
        <f t="shared" si="81"/>
        <v>#DIV/0!</v>
      </c>
      <c r="AQ144" s="518">
        <f t="shared" si="86"/>
        <v>1.9599639845400536</v>
      </c>
      <c r="AR144" s="519" t="e">
        <f t="shared" si="82"/>
        <v>#DIV/0!</v>
      </c>
      <c r="AS144" s="519" t="e">
        <f t="shared" si="83"/>
        <v>#DIV/0!</v>
      </c>
      <c r="AT144" s="530" t="e">
        <f t="shared" si="87"/>
        <v>#DIV/0!</v>
      </c>
      <c r="AU144" s="530" t="e">
        <f t="shared" si="87"/>
        <v>#DIV/0!</v>
      </c>
      <c r="AV144" s="491"/>
      <c r="AX144" s="531"/>
      <c r="AY144" s="531">
        <v>1</v>
      </c>
      <c r="AZ144" s="532"/>
      <c r="BA144" s="532"/>
      <c r="BC144" s="506"/>
      <c r="BD144" s="506"/>
      <c r="BE144" s="473"/>
      <c r="BF144" s="473"/>
      <c r="BG144" s="473"/>
      <c r="BH144" s="473"/>
      <c r="BI144" s="473"/>
      <c r="BJ144" s="473"/>
      <c r="BK144" s="473"/>
      <c r="BL144" s="473"/>
      <c r="BM144" s="506"/>
      <c r="BN144" s="506"/>
      <c r="BO144" s="506"/>
      <c r="BP144" s="506"/>
      <c r="BQ144" s="506"/>
      <c r="BR144" s="506"/>
      <c r="BS144" s="506"/>
      <c r="BT144" s="506"/>
      <c r="BU144" s="506"/>
      <c r="BV144" s="506"/>
      <c r="BW144" s="506"/>
    </row>
    <row r="145" spans="1:75">
      <c r="B145" s="507" t="s">
        <v>83</v>
      </c>
      <c r="C145" s="508"/>
      <c r="D145" s="509">
        <f t="shared" si="61"/>
        <v>0</v>
      </c>
      <c r="E145" s="510"/>
      <c r="F145" s="508"/>
      <c r="G145" s="509">
        <f t="shared" si="62"/>
        <v>0</v>
      </c>
      <c r="H145" s="510"/>
      <c r="I145" s="511"/>
      <c r="K145" s="512" t="e">
        <f t="shared" si="63"/>
        <v>#DIV/0!</v>
      </c>
      <c r="L145" s="513" t="e">
        <f t="shared" si="64"/>
        <v>#DIV/0!</v>
      </c>
      <c r="M145" s="514" t="e">
        <f t="shared" si="65"/>
        <v>#DIV/0!</v>
      </c>
      <c r="N145" s="515" t="e">
        <f t="shared" si="66"/>
        <v>#DIV/0!</v>
      </c>
      <c r="O145" s="515" t="e">
        <f t="shared" si="67"/>
        <v>#DIV/0!</v>
      </c>
      <c r="P145" s="515" t="e">
        <f t="shared" si="68"/>
        <v>#DIV/0!</v>
      </c>
      <c r="Q145" s="600" t="e">
        <f t="shared" si="69"/>
        <v>#DIV/0!</v>
      </c>
      <c r="R145" s="517" t="e">
        <f t="shared" si="70"/>
        <v>#DIV/0!</v>
      </c>
      <c r="S145" s="518">
        <f t="shared" si="84"/>
        <v>1.9599639845400536</v>
      </c>
      <c r="T145" s="519" t="e">
        <f t="shared" si="71"/>
        <v>#DIV/0!</v>
      </c>
      <c r="U145" s="519" t="e">
        <f t="shared" si="72"/>
        <v>#DIV/0!</v>
      </c>
      <c r="V145" s="520" t="e">
        <f t="shared" si="85"/>
        <v>#DIV/0!</v>
      </c>
      <c r="W145" s="521" t="e">
        <f t="shared" si="85"/>
        <v>#DIV/0!</v>
      </c>
      <c r="X145" s="522"/>
      <c r="Z145" s="523" t="e">
        <f>(N145-P146)^2</f>
        <v>#DIV/0!</v>
      </c>
      <c r="AA145" s="521" t="e">
        <f t="shared" si="73"/>
        <v>#DIV/0!</v>
      </c>
      <c r="AB145" s="473">
        <v>1</v>
      </c>
      <c r="AC145" s="506"/>
      <c r="AD145" s="506"/>
      <c r="AE145" s="514" t="e">
        <f t="shared" si="74"/>
        <v>#DIV/0!</v>
      </c>
      <c r="AF145" s="524"/>
      <c r="AG145" s="525" t="e">
        <f>AG146</f>
        <v>#DIV/0!</v>
      </c>
      <c r="AH145" s="525" t="e">
        <f>AH146</f>
        <v>#DIV/0!</v>
      </c>
      <c r="AI145" s="521" t="e">
        <f t="shared" si="75"/>
        <v>#DIV/0!</v>
      </c>
      <c r="AJ145" s="526" t="e">
        <f t="shared" si="76"/>
        <v>#DIV/0!</v>
      </c>
      <c r="AK145" s="527" t="e">
        <f>AJ145/AJ146</f>
        <v>#DIV/0!</v>
      </c>
      <c r="AL145" s="528" t="e">
        <f t="shared" si="77"/>
        <v>#DIV/0!</v>
      </c>
      <c r="AM145" s="528" t="e">
        <f t="shared" si="78"/>
        <v>#DIV/0!</v>
      </c>
      <c r="AN145" s="521" t="e">
        <f t="shared" si="79"/>
        <v>#DIV/0!</v>
      </c>
      <c r="AO145" s="529" t="e">
        <f t="shared" si="80"/>
        <v>#DIV/0!</v>
      </c>
      <c r="AP145" s="521" t="e">
        <f t="shared" si="81"/>
        <v>#DIV/0!</v>
      </c>
      <c r="AQ145" s="518">
        <f t="shared" si="86"/>
        <v>1.9599639845400536</v>
      </c>
      <c r="AR145" s="519" t="e">
        <f t="shared" si="82"/>
        <v>#DIV/0!</v>
      </c>
      <c r="AS145" s="519" t="e">
        <f t="shared" si="83"/>
        <v>#DIV/0!</v>
      </c>
      <c r="AT145" s="530" t="e">
        <f t="shared" si="87"/>
        <v>#DIV/0!</v>
      </c>
      <c r="AU145" s="530" t="e">
        <f t="shared" si="87"/>
        <v>#DIV/0!</v>
      </c>
      <c r="AV145" s="491"/>
      <c r="AX145" s="531"/>
      <c r="AY145" s="531">
        <v>1</v>
      </c>
      <c r="AZ145" s="532"/>
      <c r="BA145" s="532"/>
      <c r="BC145" s="506"/>
      <c r="BD145" s="506"/>
      <c r="BE145" s="473"/>
      <c r="BF145" s="473"/>
      <c r="BG145" s="473"/>
      <c r="BH145" s="473"/>
      <c r="BI145" s="473"/>
      <c r="BJ145" s="473"/>
      <c r="BK145" s="473"/>
      <c r="BL145" s="473"/>
      <c r="BM145" s="506"/>
      <c r="BN145" s="506"/>
      <c r="BO145" s="506"/>
      <c r="BP145" s="506"/>
      <c r="BQ145" s="506"/>
      <c r="BR145" s="506"/>
      <c r="BS145" s="506"/>
      <c r="BT145" s="506"/>
      <c r="BU145" s="506"/>
      <c r="BV145" s="506"/>
      <c r="BW145" s="506"/>
    </row>
    <row r="146" spans="1:75">
      <c r="B146" s="533">
        <f>COUNT(D140:D145)</f>
        <v>6</v>
      </c>
      <c r="C146" s="534">
        <f t="shared" ref="C146:H146" si="88">SUM(C140:C145)</f>
        <v>0</v>
      </c>
      <c r="D146" s="534">
        <f t="shared" si="88"/>
        <v>0</v>
      </c>
      <c r="E146" s="534">
        <f t="shared" si="88"/>
        <v>0</v>
      </c>
      <c r="F146" s="534">
        <f t="shared" si="88"/>
        <v>0</v>
      </c>
      <c r="G146" s="534">
        <f t="shared" si="88"/>
        <v>0</v>
      </c>
      <c r="H146" s="534">
        <f t="shared" si="88"/>
        <v>0</v>
      </c>
      <c r="I146" s="535"/>
      <c r="K146" s="536"/>
      <c r="L146" s="607"/>
      <c r="M146" s="538" t="e">
        <f>SUM(M140:M145)</f>
        <v>#DIV/0!</v>
      </c>
      <c r="N146" s="539"/>
      <c r="O146" s="540" t="e">
        <f>SUM(O140:O145)</f>
        <v>#DIV/0!</v>
      </c>
      <c r="P146" s="541" t="e">
        <f>O146/M146</f>
        <v>#DIV/0!</v>
      </c>
      <c r="Q146" s="542" t="e">
        <f>EXP(P146)</f>
        <v>#DIV/0!</v>
      </c>
      <c r="R146" s="543" t="e">
        <f t="shared" si="70"/>
        <v>#DIV/0!</v>
      </c>
      <c r="S146" s="518">
        <f t="shared" si="84"/>
        <v>1.9599639845400536</v>
      </c>
      <c r="T146" s="544" t="e">
        <f t="shared" si="71"/>
        <v>#DIV/0!</v>
      </c>
      <c r="U146" s="544" t="e">
        <f t="shared" si="72"/>
        <v>#DIV/0!</v>
      </c>
      <c r="V146" s="545" t="e">
        <f>EXP(T146)</f>
        <v>#DIV/0!</v>
      </c>
      <c r="W146" s="546" t="e">
        <f>EXP(U146)</f>
        <v>#DIV/0!</v>
      </c>
      <c r="X146" s="547"/>
      <c r="Y146" s="547"/>
      <c r="Z146" s="548"/>
      <c r="AA146" s="549" t="e">
        <f>SUM(AA140:AA145)</f>
        <v>#DIV/0!</v>
      </c>
      <c r="AB146" s="550">
        <f>SUM(AB140:AB145)</f>
        <v>6</v>
      </c>
      <c r="AC146" s="551" t="e">
        <f>AA146-(AB146-1)</f>
        <v>#DIV/0!</v>
      </c>
      <c r="AD146" s="538" t="e">
        <f>M146</f>
        <v>#DIV/0!</v>
      </c>
      <c r="AE146" s="538" t="e">
        <f>SUM(AE140:AE145)</f>
        <v>#DIV/0!</v>
      </c>
      <c r="AF146" s="552" t="e">
        <f>AE146/AD146</f>
        <v>#DIV/0!</v>
      </c>
      <c r="AG146" s="553" t="e">
        <f>AC146/(AD146-AF146)</f>
        <v>#DIV/0!</v>
      </c>
      <c r="AH146" s="553" t="e">
        <f>IF(AA146&lt;AB146-1,"0",AG146)</f>
        <v>#DIV/0!</v>
      </c>
      <c r="AI146" s="548"/>
      <c r="AJ146" s="538" t="e">
        <f>SUM(AJ140:AJ145)</f>
        <v>#DIV/0!</v>
      </c>
      <c r="AK146" s="554" t="e">
        <f>SUM(AK140:AK145)</f>
        <v>#DIV/0!</v>
      </c>
      <c r="AL146" s="551" t="e">
        <f>SUM(AL140:AL145)</f>
        <v>#DIV/0!</v>
      </c>
      <c r="AM146" s="551" t="e">
        <f t="shared" si="78"/>
        <v>#DIV/0!</v>
      </c>
      <c r="AN146" s="608" t="e">
        <f t="shared" si="79"/>
        <v>#DIV/0!</v>
      </c>
      <c r="AO146" s="556" t="e">
        <f t="shared" si="80"/>
        <v>#DIV/0!</v>
      </c>
      <c r="AP146" s="557" t="e">
        <f t="shared" si="81"/>
        <v>#DIV/0!</v>
      </c>
      <c r="AQ146" s="518">
        <f t="shared" si="86"/>
        <v>1.9599639845400536</v>
      </c>
      <c r="AR146" s="544" t="e">
        <f t="shared" si="82"/>
        <v>#DIV/0!</v>
      </c>
      <c r="AS146" s="544" t="e">
        <f t="shared" si="83"/>
        <v>#DIV/0!</v>
      </c>
      <c r="AT146" s="558" t="e">
        <f>EXP(AR146)</f>
        <v>#DIV/0!</v>
      </c>
      <c r="AU146" s="559" t="e">
        <f>EXP(AS146)</f>
        <v>#DIV/0!</v>
      </c>
      <c r="AV146" s="609"/>
      <c r="AW146" s="468"/>
      <c r="AX146" s="561" t="e">
        <f>AA146</f>
        <v>#DIV/0!</v>
      </c>
      <c r="AY146" s="533">
        <f>SUM(AY140:AY145)</f>
        <v>6</v>
      </c>
      <c r="AZ146" s="562" t="e">
        <f>(AX146-(AY146-1))/AX146</f>
        <v>#DIV/0!</v>
      </c>
      <c r="BA146" s="563" t="e">
        <f>IF(AA146&lt;AB146-1,"0%",AZ146)</f>
        <v>#DIV/0!</v>
      </c>
      <c r="BB146" s="468"/>
      <c r="BC146" s="540" t="e">
        <f>AX146/(AY146-1)</f>
        <v>#DIV/0!</v>
      </c>
      <c r="BD146" s="564" t="e">
        <f>LN(BC146)</f>
        <v>#DIV/0!</v>
      </c>
      <c r="BE146" s="540" t="e">
        <f>LN(AX146)</f>
        <v>#DIV/0!</v>
      </c>
      <c r="BF146" s="540">
        <f>LN(AY146-1)</f>
        <v>1.6094379124341003</v>
      </c>
      <c r="BG146" s="540" t="e">
        <f>SQRT(2*AX146)</f>
        <v>#DIV/0!</v>
      </c>
      <c r="BH146" s="540">
        <f>SQRT(2*AY146-3)</f>
        <v>3</v>
      </c>
      <c r="BI146" s="540">
        <f>2*(AY146-2)</f>
        <v>8</v>
      </c>
      <c r="BJ146" s="540">
        <f>3*(AY146-2)^2</f>
        <v>48</v>
      </c>
      <c r="BK146" s="540">
        <f>1/BI146</f>
        <v>0.125</v>
      </c>
      <c r="BL146" s="540">
        <f>1/BJ146</f>
        <v>2.0833333333333332E-2</v>
      </c>
      <c r="BM146" s="540">
        <f>SQRT(BK146*(1-BL146))</f>
        <v>0.34985115882805551</v>
      </c>
      <c r="BN146" s="564" t="e">
        <f>0.5*(BE146-BF146)/(BG146-BH146)</f>
        <v>#DIV/0!</v>
      </c>
      <c r="BO146" s="564" t="e">
        <f>IF(AA146&lt;=AB146,BM146,BN146)</f>
        <v>#DIV/0!</v>
      </c>
      <c r="BP146" s="551" t="e">
        <f>BD146-(1.96*BO146)</f>
        <v>#DIV/0!</v>
      </c>
      <c r="BQ146" s="551" t="e">
        <f>BD146+(1.96*BO146)</f>
        <v>#DIV/0!</v>
      </c>
      <c r="BR146" s="551"/>
      <c r="BS146" s="564" t="e">
        <f>EXP(BP146)</f>
        <v>#DIV/0!</v>
      </c>
      <c r="BT146" s="564" t="e">
        <f>EXP(BQ146)</f>
        <v>#DIV/0!</v>
      </c>
      <c r="BU146" s="565" t="e">
        <f>BA146</f>
        <v>#DIV/0!</v>
      </c>
      <c r="BV146" s="565" t="e">
        <f>(BS146-1)/BS146</f>
        <v>#DIV/0!</v>
      </c>
      <c r="BW146" s="565" t="e">
        <f>(BT146-1)/BT146</f>
        <v>#DIV/0!</v>
      </c>
    </row>
    <row r="147" spans="1:75" ht="13.5" thickBot="1">
      <c r="C147" s="566"/>
      <c r="D147" s="566"/>
      <c r="E147" s="566"/>
      <c r="F147" s="566"/>
      <c r="G147" s="566"/>
      <c r="H147" s="566"/>
      <c r="I147" s="567"/>
      <c r="R147" s="568"/>
      <c r="S147" s="568"/>
      <c r="T147" s="568"/>
      <c r="U147" s="568"/>
      <c r="V147" s="568"/>
      <c r="W147" s="568"/>
      <c r="X147" s="568"/>
      <c r="AB147" s="569"/>
      <c r="AC147" s="570"/>
      <c r="AD147" s="570"/>
      <c r="AE147" s="570"/>
      <c r="AF147" s="572"/>
      <c r="AG147" s="572"/>
      <c r="AH147" s="572"/>
      <c r="AI147" s="572"/>
      <c r="AT147" s="573"/>
      <c r="AU147" s="573"/>
      <c r="AV147" s="573"/>
      <c r="AX147" s="480" t="s">
        <v>35</v>
      </c>
      <c r="BG147" s="483"/>
      <c r="BN147" s="570" t="s">
        <v>36</v>
      </c>
      <c r="BT147" s="574" t="s">
        <v>37</v>
      </c>
      <c r="BU147" s="575" t="e">
        <f>BU146</f>
        <v>#DIV/0!</v>
      </c>
      <c r="BV147" s="576" t="e">
        <f>IF(BV146&lt;0,"0%",BV146)</f>
        <v>#DIV/0!</v>
      </c>
      <c r="BW147" s="577" t="e">
        <f>IF(BW146&lt;0,"0%",BW146)</f>
        <v>#DIV/0!</v>
      </c>
    </row>
    <row r="148" spans="1:75" ht="26.5" thickBot="1">
      <c r="B148" s="480"/>
      <c r="C148" s="580"/>
      <c r="D148" s="580"/>
      <c r="E148" s="580"/>
      <c r="F148" s="580"/>
      <c r="G148" s="580"/>
      <c r="H148" s="580"/>
      <c r="I148" s="581"/>
      <c r="J148" s="480"/>
      <c r="K148" s="480"/>
      <c r="R148" s="582"/>
      <c r="S148" s="582"/>
      <c r="T148" s="582"/>
      <c r="U148" s="582"/>
      <c r="V148" s="582"/>
      <c r="W148" s="582"/>
      <c r="X148" s="582"/>
      <c r="AF148" s="472"/>
      <c r="AI148" s="483"/>
      <c r="AJ148" s="583"/>
      <c r="AK148" s="583"/>
      <c r="AL148" s="584"/>
      <c r="AM148" s="585"/>
      <c r="AN148" s="610"/>
      <c r="AO148" s="587" t="s">
        <v>453</v>
      </c>
      <c r="AP148" s="588">
        <f>TINV((1-$H$1),(AB146-2))</f>
        <v>2.776445105197793</v>
      </c>
      <c r="AR148" s="589" t="s">
        <v>38</v>
      </c>
      <c r="AS148" s="590">
        <f>$H$1</f>
        <v>0.95</v>
      </c>
      <c r="AT148" s="591" t="e">
        <f>EXP(AM146-AP148*SQRT((1/AD146)+AH146))</f>
        <v>#DIV/0!</v>
      </c>
      <c r="AU148" s="592" t="e">
        <f>EXP(AM146+AP148*SQRT((1/AD146)+AH146))</f>
        <v>#DIV/0!</v>
      </c>
      <c r="AV148" s="491"/>
      <c r="AX148" s="593" t="e">
        <f>_xlfn.CHISQ.DIST.RT(AX146,AY146-1)</f>
        <v>#DIV/0!</v>
      </c>
      <c r="AY148" s="594" t="e">
        <f>IF(AX148&lt;0.05,"heterogeneidad","homogeneidad")</f>
        <v>#DIV/0!</v>
      </c>
      <c r="BF148" s="595"/>
      <c r="BG148" s="483"/>
      <c r="BH148" s="483"/>
      <c r="BJ148" s="522"/>
      <c r="BL148" s="483"/>
      <c r="BM148" s="596"/>
      <c r="BQ148" s="483"/>
    </row>
    <row r="149" spans="1:75" ht="14.5">
      <c r="B149" s="480"/>
      <c r="C149" s="580"/>
      <c r="D149" s="580"/>
      <c r="E149" s="580"/>
      <c r="F149" s="580"/>
      <c r="G149" s="580"/>
      <c r="H149" s="580"/>
      <c r="I149" s="581"/>
      <c r="J149" s="480"/>
      <c r="K149" s="480"/>
      <c r="R149" s="582"/>
      <c r="S149" s="582"/>
      <c r="T149" s="582"/>
      <c r="U149" s="582"/>
      <c r="V149" s="582"/>
      <c r="W149" s="582"/>
      <c r="X149" s="582"/>
      <c r="AF149" s="472"/>
      <c r="AI149" s="483"/>
      <c r="AJ149" s="583"/>
      <c r="AK149" s="583"/>
      <c r="AL149" s="584"/>
      <c r="AM149" s="585"/>
      <c r="AN149" s="597"/>
      <c r="AO149" s="598"/>
      <c r="AP149" s="487"/>
      <c r="AS149" s="599"/>
      <c r="AT149" s="491"/>
      <c r="AU149" s="491"/>
      <c r="AV149" s="491"/>
      <c r="BF149" s="595"/>
      <c r="BG149" s="483"/>
      <c r="BH149" s="483"/>
      <c r="BJ149" s="522"/>
      <c r="BL149" s="483"/>
      <c r="BM149" s="596"/>
      <c r="BQ149" s="483"/>
    </row>
    <row r="150" spans="1:75">
      <c r="C150" s="566"/>
      <c r="D150" s="566"/>
      <c r="E150" s="566"/>
      <c r="F150" s="566"/>
      <c r="G150" s="566"/>
      <c r="H150" s="566"/>
      <c r="I150" s="567"/>
      <c r="J150" s="624" t="s">
        <v>4</v>
      </c>
      <c r="K150" s="625"/>
      <c r="L150" s="625"/>
      <c r="M150" s="625"/>
      <c r="N150" s="625"/>
      <c r="O150" s="625"/>
      <c r="P150" s="625"/>
      <c r="Q150" s="625"/>
      <c r="R150" s="625"/>
      <c r="S150" s="625"/>
      <c r="T150" s="625"/>
      <c r="U150" s="625"/>
      <c r="V150" s="625"/>
      <c r="W150" s="626"/>
      <c r="X150" s="484"/>
      <c r="Y150" s="624" t="s">
        <v>5</v>
      </c>
      <c r="Z150" s="625"/>
      <c r="AA150" s="625"/>
      <c r="AB150" s="625"/>
      <c r="AC150" s="625"/>
      <c r="AD150" s="625"/>
      <c r="AE150" s="625"/>
      <c r="AF150" s="625"/>
      <c r="AG150" s="625"/>
      <c r="AH150" s="625"/>
      <c r="AI150" s="625"/>
      <c r="AJ150" s="625"/>
      <c r="AK150" s="625"/>
      <c r="AL150" s="625"/>
      <c r="AM150" s="625"/>
      <c r="AN150" s="625"/>
      <c r="AO150" s="625"/>
      <c r="AP150" s="625"/>
      <c r="AQ150" s="625"/>
      <c r="AR150" s="625"/>
      <c r="AS150" s="625"/>
      <c r="AT150" s="625"/>
      <c r="AU150" s="626"/>
      <c r="AV150" s="484"/>
      <c r="AW150" s="624" t="s">
        <v>6</v>
      </c>
      <c r="AX150" s="625"/>
      <c r="AY150" s="625"/>
      <c r="AZ150" s="625"/>
      <c r="BA150" s="625"/>
      <c r="BB150" s="625"/>
      <c r="BC150" s="625"/>
      <c r="BD150" s="625"/>
      <c r="BE150" s="625"/>
      <c r="BF150" s="625"/>
      <c r="BG150" s="625"/>
      <c r="BH150" s="625"/>
      <c r="BI150" s="625"/>
      <c r="BJ150" s="625"/>
      <c r="BK150" s="625"/>
      <c r="BL150" s="625"/>
      <c r="BM150" s="625"/>
      <c r="BN150" s="625"/>
      <c r="BO150" s="625"/>
      <c r="BP150" s="625"/>
      <c r="BQ150" s="625"/>
      <c r="BR150" s="625"/>
      <c r="BS150" s="625"/>
      <c r="BT150" s="625"/>
      <c r="BU150" s="625"/>
      <c r="BV150" s="625"/>
      <c r="BW150" s="626"/>
    </row>
    <row r="151" spans="1:75">
      <c r="A151" s="614"/>
      <c r="B151" s="486" t="s">
        <v>8</v>
      </c>
      <c r="C151" s="623" t="s">
        <v>9</v>
      </c>
      <c r="D151" s="623"/>
      <c r="E151" s="623"/>
      <c r="F151" s="623" t="s">
        <v>10</v>
      </c>
      <c r="G151" s="623"/>
      <c r="H151" s="623"/>
      <c r="I151" s="487"/>
      <c r="J151" s="488"/>
      <c r="K151" s="488"/>
      <c r="L151" s="488"/>
      <c r="M151" s="488"/>
      <c r="N151" s="488"/>
      <c r="O151" s="488"/>
      <c r="P151" s="488"/>
      <c r="Q151" s="488"/>
      <c r="R151" s="488"/>
      <c r="S151" s="488"/>
      <c r="T151" s="488"/>
      <c r="U151" s="488"/>
      <c r="V151" s="488"/>
      <c r="W151" s="488"/>
      <c r="X151" s="488"/>
      <c r="Y151" s="488"/>
      <c r="Z151" s="488"/>
      <c r="AA151" s="488"/>
      <c r="AB151" s="488"/>
      <c r="AC151" s="488"/>
      <c r="AD151" s="488"/>
      <c r="AE151" s="488"/>
      <c r="AF151" s="488"/>
      <c r="AG151" s="488"/>
      <c r="AH151" s="488"/>
      <c r="AI151" s="488"/>
      <c r="AJ151" s="488"/>
      <c r="AK151" s="488"/>
      <c r="AL151" s="488"/>
      <c r="AM151" s="488"/>
      <c r="AN151" s="488"/>
      <c r="AO151" s="488"/>
      <c r="AP151" s="488"/>
      <c r="AQ151" s="488"/>
      <c r="AR151" s="488"/>
      <c r="AS151" s="488"/>
      <c r="AT151" s="488"/>
      <c r="AU151" s="488"/>
      <c r="AV151" s="488"/>
      <c r="AW151" s="488"/>
      <c r="AX151" s="488"/>
      <c r="AY151" s="488"/>
      <c r="AZ151" s="488"/>
      <c r="BA151" s="488"/>
      <c r="BB151" s="488"/>
      <c r="BC151" s="488"/>
      <c r="BD151" s="488"/>
      <c r="BE151" s="488"/>
      <c r="BF151" s="488"/>
      <c r="BG151" s="488"/>
      <c r="BH151" s="488"/>
      <c r="BI151" s="488"/>
      <c r="BJ151" s="488"/>
      <c r="BK151" s="488"/>
      <c r="BL151" s="488"/>
      <c r="BM151" s="488"/>
      <c r="BN151" s="488"/>
      <c r="BO151" s="488"/>
      <c r="BP151" s="488"/>
      <c r="BQ151" s="488"/>
      <c r="BR151" s="488"/>
      <c r="BS151" s="488"/>
      <c r="BT151" s="488"/>
      <c r="BU151" s="488"/>
      <c r="BV151" s="488"/>
      <c r="BW151" s="488"/>
    </row>
    <row r="152" spans="1:75" ht="60">
      <c r="B152" s="489"/>
      <c r="C152" s="490" t="s">
        <v>12</v>
      </c>
      <c r="D152" s="490" t="s">
        <v>13</v>
      </c>
      <c r="E152" s="490" t="s">
        <v>14</v>
      </c>
      <c r="F152" s="490" t="s">
        <v>12</v>
      </c>
      <c r="G152" s="490" t="s">
        <v>13</v>
      </c>
      <c r="H152" s="490" t="s">
        <v>14</v>
      </c>
      <c r="I152" s="491"/>
      <c r="K152" s="492" t="s">
        <v>416</v>
      </c>
      <c r="L152" s="492" t="s">
        <v>417</v>
      </c>
      <c r="M152" s="492" t="s">
        <v>418</v>
      </c>
      <c r="N152" s="493" t="s">
        <v>419</v>
      </c>
      <c r="O152" s="493" t="s">
        <v>15</v>
      </c>
      <c r="P152" s="493" t="s">
        <v>420</v>
      </c>
      <c r="Q152" s="494" t="s">
        <v>421</v>
      </c>
      <c r="R152" s="492" t="s">
        <v>422</v>
      </c>
      <c r="S152" s="475" t="s">
        <v>415</v>
      </c>
      <c r="T152" s="493" t="s">
        <v>423</v>
      </c>
      <c r="U152" s="493" t="s">
        <v>424</v>
      </c>
      <c r="V152" s="495" t="s">
        <v>16</v>
      </c>
      <c r="W152" s="496" t="s">
        <v>16</v>
      </c>
      <c r="X152" s="497"/>
      <c r="Y152" s="498"/>
      <c r="Z152" s="499" t="s">
        <v>425</v>
      </c>
      <c r="AA152" s="493" t="s">
        <v>426</v>
      </c>
      <c r="AB152" s="475" t="s">
        <v>17</v>
      </c>
      <c r="AC152" s="475" t="s">
        <v>18</v>
      </c>
      <c r="AD152" s="475" t="s">
        <v>427</v>
      </c>
      <c r="AE152" s="493" t="s">
        <v>428</v>
      </c>
      <c r="AF152" s="493" t="s">
        <v>429</v>
      </c>
      <c r="AG152" s="500" t="s">
        <v>19</v>
      </c>
      <c r="AH152" s="500" t="s">
        <v>20</v>
      </c>
      <c r="AI152" s="475" t="s">
        <v>430</v>
      </c>
      <c r="AJ152" s="493" t="s">
        <v>431</v>
      </c>
      <c r="AK152" s="493" t="s">
        <v>432</v>
      </c>
      <c r="AL152" s="493" t="s">
        <v>433</v>
      </c>
      <c r="AM152" s="475" t="s">
        <v>434</v>
      </c>
      <c r="AN152" s="501" t="s">
        <v>435</v>
      </c>
      <c r="AO152" s="493" t="s">
        <v>436</v>
      </c>
      <c r="AP152" s="493" t="s">
        <v>437</v>
      </c>
      <c r="AQ152" s="475" t="s">
        <v>415</v>
      </c>
      <c r="AR152" s="493" t="s">
        <v>438</v>
      </c>
      <c r="AS152" s="493" t="s">
        <v>439</v>
      </c>
      <c r="AT152" s="495" t="s">
        <v>16</v>
      </c>
      <c r="AU152" s="496" t="s">
        <v>16</v>
      </c>
      <c r="AV152" s="497"/>
      <c r="AX152" s="502" t="s">
        <v>21</v>
      </c>
      <c r="AY152" s="502" t="s">
        <v>17</v>
      </c>
      <c r="AZ152" s="503" t="s">
        <v>49</v>
      </c>
      <c r="BA152" s="504" t="s">
        <v>50</v>
      </c>
      <c r="BC152" s="475" t="s">
        <v>51</v>
      </c>
      <c r="BD152" s="475" t="s">
        <v>52</v>
      </c>
      <c r="BE152" s="475" t="s">
        <v>24</v>
      </c>
      <c r="BF152" s="475" t="s">
        <v>25</v>
      </c>
      <c r="BG152" s="475" t="s">
        <v>26</v>
      </c>
      <c r="BH152" s="475" t="s">
        <v>27</v>
      </c>
      <c r="BI152" s="475" t="s">
        <v>28</v>
      </c>
      <c r="BJ152" s="475" t="s">
        <v>53</v>
      </c>
      <c r="BK152" s="475" t="s">
        <v>29</v>
      </c>
      <c r="BL152" s="475" t="s">
        <v>30</v>
      </c>
      <c r="BM152" s="505" t="s">
        <v>54</v>
      </c>
      <c r="BN152" s="505" t="s">
        <v>55</v>
      </c>
      <c r="BO152" s="505" t="s">
        <v>56</v>
      </c>
      <c r="BP152" s="505" t="s">
        <v>57</v>
      </c>
      <c r="BQ152" s="505" t="s">
        <v>58</v>
      </c>
      <c r="BR152" s="506"/>
      <c r="BS152" s="493" t="s">
        <v>59</v>
      </c>
      <c r="BT152" s="493" t="s">
        <v>60</v>
      </c>
      <c r="BU152" s="494" t="s">
        <v>61</v>
      </c>
      <c r="BV152" s="495" t="s">
        <v>62</v>
      </c>
      <c r="BW152" s="496" t="s">
        <v>63</v>
      </c>
    </row>
    <row r="153" spans="1:75">
      <c r="B153" s="507" t="s">
        <v>78</v>
      </c>
      <c r="C153" s="508"/>
      <c r="D153" s="509">
        <f>E153-C153</f>
        <v>0</v>
      </c>
      <c r="E153" s="510"/>
      <c r="F153" s="508"/>
      <c r="G153" s="509">
        <f>H153-F153</f>
        <v>0</v>
      </c>
      <c r="H153" s="510"/>
      <c r="I153" s="511"/>
      <c r="K153" s="512" t="e">
        <f>(C153/E153)/(F153/H153)</f>
        <v>#DIV/0!</v>
      </c>
      <c r="L153" s="513" t="e">
        <f>(D153/(C153*E153)+(G153/(F153*H153)))</f>
        <v>#DIV/0!</v>
      </c>
      <c r="M153" s="514" t="e">
        <f>1/L153</f>
        <v>#DIV/0!</v>
      </c>
      <c r="N153" s="515" t="e">
        <f>LN(K153)</f>
        <v>#DIV/0!</v>
      </c>
      <c r="O153" s="515" t="e">
        <f>M153*N153</f>
        <v>#DIV/0!</v>
      </c>
      <c r="P153" s="515" t="e">
        <f>LN(K153)</f>
        <v>#DIV/0!</v>
      </c>
      <c r="Q153" s="600" t="e">
        <f>K153</f>
        <v>#DIV/0!</v>
      </c>
      <c r="R153" s="517" t="e">
        <f t="shared" ref="R153:R158" si="89">SQRT(1/M153)</f>
        <v>#DIV/0!</v>
      </c>
      <c r="S153" s="518">
        <f t="shared" ref="S153:S158" si="90">$H$2</f>
        <v>1.9599639845400536</v>
      </c>
      <c r="T153" s="519" t="e">
        <f t="shared" ref="T153:T158" si="91">P153-(R153*S153)</f>
        <v>#DIV/0!</v>
      </c>
      <c r="U153" s="519" t="e">
        <f t="shared" ref="U153:U158" si="92">P153+(R153*S153)</f>
        <v>#DIV/0!</v>
      </c>
      <c r="V153" s="520" t="e">
        <f>EXP(T153)</f>
        <v>#DIV/0!</v>
      </c>
      <c r="W153" s="521" t="e">
        <f>EXP(U153)</f>
        <v>#DIV/0!</v>
      </c>
      <c r="X153" s="522"/>
      <c r="Z153" s="523" t="e">
        <f>(N153-P158)^2</f>
        <v>#DIV/0!</v>
      </c>
      <c r="AA153" s="521" t="e">
        <f>M153*Z153</f>
        <v>#DIV/0!</v>
      </c>
      <c r="AB153" s="473">
        <v>1</v>
      </c>
      <c r="AC153" s="506"/>
      <c r="AD153" s="506"/>
      <c r="AE153" s="514" t="e">
        <f>M153^2</f>
        <v>#DIV/0!</v>
      </c>
      <c r="AF153" s="524"/>
      <c r="AG153" s="525" t="e">
        <f>AG158</f>
        <v>#DIV/0!</v>
      </c>
      <c r="AH153" s="525" t="e">
        <f>AH158</f>
        <v>#DIV/0!</v>
      </c>
      <c r="AI153" s="521" t="e">
        <f>1/M153</f>
        <v>#DIV/0!</v>
      </c>
      <c r="AJ153" s="526" t="e">
        <f>1/(AH153+AI153)</f>
        <v>#DIV/0!</v>
      </c>
      <c r="AK153" s="527" t="e">
        <f>AJ153/AJ158</f>
        <v>#DIV/0!</v>
      </c>
      <c r="AL153" s="528" t="e">
        <f>AJ153*N153</f>
        <v>#DIV/0!</v>
      </c>
      <c r="AM153" s="528" t="e">
        <f t="shared" ref="AM153:AM158" si="93">AL153/AJ153</f>
        <v>#DIV/0!</v>
      </c>
      <c r="AN153" s="521" t="e">
        <f t="shared" ref="AN153:AN158" si="94">EXP(AM153)</f>
        <v>#DIV/0!</v>
      </c>
      <c r="AO153" s="529" t="e">
        <f t="shared" ref="AO153:AO158" si="95">1/AJ153</f>
        <v>#DIV/0!</v>
      </c>
      <c r="AP153" s="521" t="e">
        <f t="shared" ref="AP153:AP158" si="96">SQRT(AO153)</f>
        <v>#DIV/0!</v>
      </c>
      <c r="AQ153" s="518">
        <f t="shared" ref="AQ153:AQ158" si="97">$H$2</f>
        <v>1.9599639845400536</v>
      </c>
      <c r="AR153" s="519" t="e">
        <f t="shared" ref="AR153:AR158" si="98">AM153-(AQ153*AP153)</f>
        <v>#DIV/0!</v>
      </c>
      <c r="AS153" s="519" t="e">
        <f t="shared" ref="AS153:AS158" si="99">AM153+(1.96*AP153)</f>
        <v>#DIV/0!</v>
      </c>
      <c r="AT153" s="530" t="e">
        <f>EXP(AR153)</f>
        <v>#DIV/0!</v>
      </c>
      <c r="AU153" s="530" t="e">
        <f>EXP(AS153)</f>
        <v>#DIV/0!</v>
      </c>
      <c r="AV153" s="491"/>
      <c r="AX153" s="531"/>
      <c r="AY153" s="531">
        <v>1</v>
      </c>
      <c r="AZ153" s="532"/>
      <c r="BA153" s="532"/>
      <c r="BC153" s="506"/>
      <c r="BD153" s="506"/>
      <c r="BE153" s="473"/>
      <c r="BF153" s="473"/>
      <c r="BG153" s="473"/>
      <c r="BH153" s="473"/>
      <c r="BI153" s="473"/>
      <c r="BJ153" s="473"/>
      <c r="BK153" s="473"/>
      <c r="BL153" s="473"/>
      <c r="BM153" s="506"/>
      <c r="BN153" s="506"/>
      <c r="BO153" s="506"/>
      <c r="BP153" s="506"/>
      <c r="BQ153" s="506"/>
      <c r="BR153" s="506"/>
      <c r="BS153" s="506"/>
      <c r="BT153" s="506"/>
      <c r="BU153" s="506"/>
      <c r="BV153" s="506"/>
      <c r="BW153" s="506"/>
    </row>
    <row r="154" spans="1:75">
      <c r="B154" s="507" t="s">
        <v>79</v>
      </c>
      <c r="C154" s="508"/>
      <c r="D154" s="509">
        <f>E154-C154</f>
        <v>0</v>
      </c>
      <c r="E154" s="510"/>
      <c r="F154" s="508"/>
      <c r="G154" s="509">
        <f>H154-F154</f>
        <v>0</v>
      </c>
      <c r="H154" s="510"/>
      <c r="I154" s="511"/>
      <c r="K154" s="512" t="e">
        <f>(C154/E154)/(F154/H154)</f>
        <v>#DIV/0!</v>
      </c>
      <c r="L154" s="513" t="e">
        <f>(D154/(C154*E154)+(G154/(F154*H154)))</f>
        <v>#DIV/0!</v>
      </c>
      <c r="M154" s="514" t="e">
        <f>1/L154</f>
        <v>#DIV/0!</v>
      </c>
      <c r="N154" s="515" t="e">
        <f>LN(K154)</f>
        <v>#DIV/0!</v>
      </c>
      <c r="O154" s="515" t="e">
        <f>M154*N154</f>
        <v>#DIV/0!</v>
      </c>
      <c r="P154" s="515" t="e">
        <f>LN(K154)</f>
        <v>#DIV/0!</v>
      </c>
      <c r="Q154" s="600" t="e">
        <f>K154</f>
        <v>#DIV/0!</v>
      </c>
      <c r="R154" s="517" t="e">
        <f t="shared" si="89"/>
        <v>#DIV/0!</v>
      </c>
      <c r="S154" s="518">
        <f t="shared" si="90"/>
        <v>1.9599639845400536</v>
      </c>
      <c r="T154" s="519" t="e">
        <f t="shared" si="91"/>
        <v>#DIV/0!</v>
      </c>
      <c r="U154" s="519" t="e">
        <f t="shared" si="92"/>
        <v>#DIV/0!</v>
      </c>
      <c r="V154" s="520" t="e">
        <f t="shared" ref="V154:W157" si="100">EXP(T154)</f>
        <v>#DIV/0!</v>
      </c>
      <c r="W154" s="521" t="e">
        <f t="shared" si="100"/>
        <v>#DIV/0!</v>
      </c>
      <c r="X154" s="522"/>
      <c r="Z154" s="523" t="e">
        <f>(N154-P158)^2</f>
        <v>#DIV/0!</v>
      </c>
      <c r="AA154" s="521" t="e">
        <f>M154*Z154</f>
        <v>#DIV/0!</v>
      </c>
      <c r="AB154" s="473">
        <v>1</v>
      </c>
      <c r="AC154" s="506"/>
      <c r="AD154" s="506"/>
      <c r="AE154" s="514" t="e">
        <f>M154^2</f>
        <v>#DIV/0!</v>
      </c>
      <c r="AF154" s="524"/>
      <c r="AG154" s="525" t="e">
        <f>AG158</f>
        <v>#DIV/0!</v>
      </c>
      <c r="AH154" s="525" t="e">
        <f>AH158</f>
        <v>#DIV/0!</v>
      </c>
      <c r="AI154" s="521" t="e">
        <f>1/M154</f>
        <v>#DIV/0!</v>
      </c>
      <c r="AJ154" s="526" t="e">
        <f>1/(AH154+AI154)</f>
        <v>#DIV/0!</v>
      </c>
      <c r="AK154" s="527" t="e">
        <f>AJ154/AJ158</f>
        <v>#DIV/0!</v>
      </c>
      <c r="AL154" s="528" t="e">
        <f>AJ154*N154</f>
        <v>#DIV/0!</v>
      </c>
      <c r="AM154" s="528" t="e">
        <f t="shared" si="93"/>
        <v>#DIV/0!</v>
      </c>
      <c r="AN154" s="521" t="e">
        <f t="shared" si="94"/>
        <v>#DIV/0!</v>
      </c>
      <c r="AO154" s="529" t="e">
        <f t="shared" si="95"/>
        <v>#DIV/0!</v>
      </c>
      <c r="AP154" s="521" t="e">
        <f t="shared" si="96"/>
        <v>#DIV/0!</v>
      </c>
      <c r="AQ154" s="518">
        <f t="shared" si="97"/>
        <v>1.9599639845400536</v>
      </c>
      <c r="AR154" s="519" t="e">
        <f t="shared" si="98"/>
        <v>#DIV/0!</v>
      </c>
      <c r="AS154" s="519" t="e">
        <f t="shared" si="99"/>
        <v>#DIV/0!</v>
      </c>
      <c r="AT154" s="530" t="e">
        <f t="shared" ref="AT154:AU157" si="101">EXP(AR154)</f>
        <v>#DIV/0!</v>
      </c>
      <c r="AU154" s="530" t="e">
        <f t="shared" si="101"/>
        <v>#DIV/0!</v>
      </c>
      <c r="AV154" s="491"/>
      <c r="AX154" s="531"/>
      <c r="AY154" s="531">
        <v>1</v>
      </c>
      <c r="AZ154" s="532"/>
      <c r="BA154" s="532"/>
      <c r="BC154" s="506"/>
      <c r="BD154" s="506"/>
      <c r="BE154" s="473"/>
      <c r="BF154" s="473"/>
      <c r="BG154" s="473"/>
      <c r="BH154" s="473"/>
      <c r="BI154" s="473"/>
      <c r="BJ154" s="473"/>
      <c r="BK154" s="473"/>
      <c r="BL154" s="473"/>
      <c r="BM154" s="506"/>
      <c r="BN154" s="506"/>
      <c r="BO154" s="506"/>
      <c r="BP154" s="506"/>
      <c r="BQ154" s="506"/>
      <c r="BR154" s="506"/>
      <c r="BS154" s="506"/>
      <c r="BT154" s="506"/>
      <c r="BU154" s="506"/>
      <c r="BV154" s="506"/>
      <c r="BW154" s="506"/>
    </row>
    <row r="155" spans="1:75">
      <c r="B155" s="507" t="s">
        <v>80</v>
      </c>
      <c r="C155" s="508"/>
      <c r="D155" s="509">
        <f>E155-C155</f>
        <v>0</v>
      </c>
      <c r="E155" s="510"/>
      <c r="F155" s="508"/>
      <c r="G155" s="509">
        <f>H155-F155</f>
        <v>0</v>
      </c>
      <c r="H155" s="510"/>
      <c r="I155" s="511"/>
      <c r="K155" s="512" t="e">
        <f>(C155/E155)/(F155/H155)</f>
        <v>#DIV/0!</v>
      </c>
      <c r="L155" s="513" t="e">
        <f>(D155/(C155*E155)+(G155/(F155*H155)))</f>
        <v>#DIV/0!</v>
      </c>
      <c r="M155" s="514" t="e">
        <f>1/L155</f>
        <v>#DIV/0!</v>
      </c>
      <c r="N155" s="515" t="e">
        <f>LN(K155)</f>
        <v>#DIV/0!</v>
      </c>
      <c r="O155" s="515" t="e">
        <f>M155*N155</f>
        <v>#DIV/0!</v>
      </c>
      <c r="P155" s="515" t="e">
        <f>LN(K155)</f>
        <v>#DIV/0!</v>
      </c>
      <c r="Q155" s="600" t="e">
        <f>K155</f>
        <v>#DIV/0!</v>
      </c>
      <c r="R155" s="517" t="e">
        <f t="shared" si="89"/>
        <v>#DIV/0!</v>
      </c>
      <c r="S155" s="518">
        <f t="shared" si="90"/>
        <v>1.9599639845400536</v>
      </c>
      <c r="T155" s="519" t="e">
        <f t="shared" si="91"/>
        <v>#DIV/0!</v>
      </c>
      <c r="U155" s="519" t="e">
        <f t="shared" si="92"/>
        <v>#DIV/0!</v>
      </c>
      <c r="V155" s="520" t="e">
        <f t="shared" si="100"/>
        <v>#DIV/0!</v>
      </c>
      <c r="W155" s="521" t="e">
        <f t="shared" si="100"/>
        <v>#DIV/0!</v>
      </c>
      <c r="X155" s="522"/>
      <c r="Z155" s="523" t="e">
        <f>(N155-P158)^2</f>
        <v>#DIV/0!</v>
      </c>
      <c r="AA155" s="521" t="e">
        <f>M155*Z155</f>
        <v>#DIV/0!</v>
      </c>
      <c r="AB155" s="473">
        <v>1</v>
      </c>
      <c r="AC155" s="506"/>
      <c r="AD155" s="506"/>
      <c r="AE155" s="514" t="e">
        <f>M155^2</f>
        <v>#DIV/0!</v>
      </c>
      <c r="AF155" s="524"/>
      <c r="AG155" s="525" t="e">
        <f>AG158</f>
        <v>#DIV/0!</v>
      </c>
      <c r="AH155" s="525" t="e">
        <f>AH158</f>
        <v>#DIV/0!</v>
      </c>
      <c r="AI155" s="521" t="e">
        <f>1/M155</f>
        <v>#DIV/0!</v>
      </c>
      <c r="AJ155" s="526" t="e">
        <f>1/(AH155+AI155)</f>
        <v>#DIV/0!</v>
      </c>
      <c r="AK155" s="527" t="e">
        <f>AJ155/AJ158</f>
        <v>#DIV/0!</v>
      </c>
      <c r="AL155" s="528" t="e">
        <f>AJ155*N155</f>
        <v>#DIV/0!</v>
      </c>
      <c r="AM155" s="528" t="e">
        <f t="shared" si="93"/>
        <v>#DIV/0!</v>
      </c>
      <c r="AN155" s="521" t="e">
        <f t="shared" si="94"/>
        <v>#DIV/0!</v>
      </c>
      <c r="AO155" s="529" t="e">
        <f t="shared" si="95"/>
        <v>#DIV/0!</v>
      </c>
      <c r="AP155" s="521" t="e">
        <f t="shared" si="96"/>
        <v>#DIV/0!</v>
      </c>
      <c r="AQ155" s="518">
        <f t="shared" si="97"/>
        <v>1.9599639845400536</v>
      </c>
      <c r="AR155" s="519" t="e">
        <f t="shared" si="98"/>
        <v>#DIV/0!</v>
      </c>
      <c r="AS155" s="519" t="e">
        <f t="shared" si="99"/>
        <v>#DIV/0!</v>
      </c>
      <c r="AT155" s="530" t="e">
        <f t="shared" si="101"/>
        <v>#DIV/0!</v>
      </c>
      <c r="AU155" s="530" t="e">
        <f t="shared" si="101"/>
        <v>#DIV/0!</v>
      </c>
      <c r="AV155" s="491"/>
      <c r="AX155" s="531"/>
      <c r="AY155" s="531">
        <v>1</v>
      </c>
      <c r="AZ155" s="532"/>
      <c r="BA155" s="532"/>
      <c r="BC155" s="506"/>
      <c r="BD155" s="506"/>
      <c r="BE155" s="473"/>
      <c r="BF155" s="473"/>
      <c r="BG155" s="473"/>
      <c r="BH155" s="473"/>
      <c r="BI155" s="473"/>
      <c r="BJ155" s="473"/>
      <c r="BK155" s="473"/>
      <c r="BL155" s="473"/>
      <c r="BM155" s="506"/>
      <c r="BN155" s="506"/>
      <c r="BO155" s="506"/>
      <c r="BP155" s="506"/>
      <c r="BQ155" s="506"/>
      <c r="BR155" s="506"/>
      <c r="BS155" s="506"/>
      <c r="BT155" s="506"/>
      <c r="BU155" s="506"/>
      <c r="BV155" s="506"/>
      <c r="BW155" s="506"/>
    </row>
    <row r="156" spans="1:75">
      <c r="B156" s="507" t="s">
        <v>81</v>
      </c>
      <c r="C156" s="508"/>
      <c r="D156" s="509">
        <f>E156-C156</f>
        <v>0</v>
      </c>
      <c r="E156" s="510"/>
      <c r="F156" s="508"/>
      <c r="G156" s="509">
        <f>H156-F156</f>
        <v>0</v>
      </c>
      <c r="H156" s="510"/>
      <c r="I156" s="511"/>
      <c r="K156" s="512" t="e">
        <f>(C156/E156)/(F156/H156)</f>
        <v>#DIV/0!</v>
      </c>
      <c r="L156" s="513" t="e">
        <f>(D156/(C156*E156)+(G156/(F156*H156)))</f>
        <v>#DIV/0!</v>
      </c>
      <c r="M156" s="514" t="e">
        <f>1/L156</f>
        <v>#DIV/0!</v>
      </c>
      <c r="N156" s="515" t="e">
        <f>LN(K156)</f>
        <v>#DIV/0!</v>
      </c>
      <c r="O156" s="515" t="e">
        <f>M156*N156</f>
        <v>#DIV/0!</v>
      </c>
      <c r="P156" s="515" t="e">
        <f>LN(K156)</f>
        <v>#DIV/0!</v>
      </c>
      <c r="Q156" s="600" t="e">
        <f>K156</f>
        <v>#DIV/0!</v>
      </c>
      <c r="R156" s="517" t="e">
        <f t="shared" si="89"/>
        <v>#DIV/0!</v>
      </c>
      <c r="S156" s="518">
        <f t="shared" si="90"/>
        <v>1.9599639845400536</v>
      </c>
      <c r="T156" s="519" t="e">
        <f t="shared" si="91"/>
        <v>#DIV/0!</v>
      </c>
      <c r="U156" s="519" t="e">
        <f t="shared" si="92"/>
        <v>#DIV/0!</v>
      </c>
      <c r="V156" s="520" t="e">
        <f t="shared" si="100"/>
        <v>#DIV/0!</v>
      </c>
      <c r="W156" s="521" t="e">
        <f t="shared" si="100"/>
        <v>#DIV/0!</v>
      </c>
      <c r="X156" s="522"/>
      <c r="Z156" s="523" t="e">
        <f>(N156-P158)^2</f>
        <v>#DIV/0!</v>
      </c>
      <c r="AA156" s="521" t="e">
        <f>M156*Z156</f>
        <v>#DIV/0!</v>
      </c>
      <c r="AB156" s="473">
        <v>1</v>
      </c>
      <c r="AC156" s="506"/>
      <c r="AD156" s="506"/>
      <c r="AE156" s="514" t="e">
        <f>M156^2</f>
        <v>#DIV/0!</v>
      </c>
      <c r="AF156" s="524"/>
      <c r="AG156" s="525" t="e">
        <f>AG158</f>
        <v>#DIV/0!</v>
      </c>
      <c r="AH156" s="525" t="e">
        <f>AH158</f>
        <v>#DIV/0!</v>
      </c>
      <c r="AI156" s="521" t="e">
        <f>1/M156</f>
        <v>#DIV/0!</v>
      </c>
      <c r="AJ156" s="526" t="e">
        <f>1/(AH156+AI156)</f>
        <v>#DIV/0!</v>
      </c>
      <c r="AK156" s="527" t="e">
        <f>AJ156/AJ158</f>
        <v>#DIV/0!</v>
      </c>
      <c r="AL156" s="528" t="e">
        <f>AJ156*N156</f>
        <v>#DIV/0!</v>
      </c>
      <c r="AM156" s="528" t="e">
        <f t="shared" si="93"/>
        <v>#DIV/0!</v>
      </c>
      <c r="AN156" s="521" t="e">
        <f t="shared" si="94"/>
        <v>#DIV/0!</v>
      </c>
      <c r="AO156" s="529" t="e">
        <f t="shared" si="95"/>
        <v>#DIV/0!</v>
      </c>
      <c r="AP156" s="521" t="e">
        <f t="shared" si="96"/>
        <v>#DIV/0!</v>
      </c>
      <c r="AQ156" s="518">
        <f t="shared" si="97"/>
        <v>1.9599639845400536</v>
      </c>
      <c r="AR156" s="519" t="e">
        <f t="shared" si="98"/>
        <v>#DIV/0!</v>
      </c>
      <c r="AS156" s="519" t="e">
        <f t="shared" si="99"/>
        <v>#DIV/0!</v>
      </c>
      <c r="AT156" s="530" t="e">
        <f t="shared" si="101"/>
        <v>#DIV/0!</v>
      </c>
      <c r="AU156" s="530" t="e">
        <f t="shared" si="101"/>
        <v>#DIV/0!</v>
      </c>
      <c r="AV156" s="491"/>
      <c r="AX156" s="531"/>
      <c r="AY156" s="531">
        <v>1</v>
      </c>
      <c r="AZ156" s="532"/>
      <c r="BA156" s="532"/>
      <c r="BC156" s="506"/>
      <c r="BD156" s="506"/>
      <c r="BE156" s="473"/>
      <c r="BF156" s="473"/>
      <c r="BG156" s="473"/>
      <c r="BH156" s="473"/>
      <c r="BI156" s="473"/>
      <c r="BJ156" s="473"/>
      <c r="BK156" s="473"/>
      <c r="BL156" s="473"/>
      <c r="BM156" s="506"/>
      <c r="BN156" s="506"/>
      <c r="BO156" s="506"/>
      <c r="BP156" s="506"/>
      <c r="BQ156" s="506"/>
      <c r="BR156" s="506"/>
      <c r="BS156" s="506"/>
      <c r="BT156" s="506"/>
      <c r="BU156" s="506"/>
      <c r="BV156" s="506"/>
      <c r="BW156" s="506"/>
    </row>
    <row r="157" spans="1:75">
      <c r="B157" s="507" t="s">
        <v>82</v>
      </c>
      <c r="C157" s="508"/>
      <c r="D157" s="509">
        <f>E157-C157</f>
        <v>0</v>
      </c>
      <c r="E157" s="510"/>
      <c r="F157" s="508"/>
      <c r="G157" s="509">
        <f>H157-F157</f>
        <v>0</v>
      </c>
      <c r="H157" s="510"/>
      <c r="I157" s="511"/>
      <c r="K157" s="512" t="e">
        <f>(C157/E157)/(F157/H157)</f>
        <v>#DIV/0!</v>
      </c>
      <c r="L157" s="513" t="e">
        <f>(D157/(C157*E157)+(G157/(F157*H157)))</f>
        <v>#DIV/0!</v>
      </c>
      <c r="M157" s="514" t="e">
        <f>1/L157</f>
        <v>#DIV/0!</v>
      </c>
      <c r="N157" s="515" t="e">
        <f>LN(K157)</f>
        <v>#DIV/0!</v>
      </c>
      <c r="O157" s="515" t="e">
        <f>M157*N157</f>
        <v>#DIV/0!</v>
      </c>
      <c r="P157" s="515" t="e">
        <f>LN(K157)</f>
        <v>#DIV/0!</v>
      </c>
      <c r="Q157" s="600" t="e">
        <f>K157</f>
        <v>#DIV/0!</v>
      </c>
      <c r="R157" s="517" t="e">
        <f t="shared" si="89"/>
        <v>#DIV/0!</v>
      </c>
      <c r="S157" s="518">
        <f t="shared" si="90"/>
        <v>1.9599639845400536</v>
      </c>
      <c r="T157" s="519" t="e">
        <f t="shared" si="91"/>
        <v>#DIV/0!</v>
      </c>
      <c r="U157" s="519" t="e">
        <f t="shared" si="92"/>
        <v>#DIV/0!</v>
      </c>
      <c r="V157" s="520" t="e">
        <f t="shared" si="100"/>
        <v>#DIV/0!</v>
      </c>
      <c r="W157" s="521" t="e">
        <f t="shared" si="100"/>
        <v>#DIV/0!</v>
      </c>
      <c r="X157" s="522"/>
      <c r="Z157" s="523" t="e">
        <f>(N157-P158)^2</f>
        <v>#DIV/0!</v>
      </c>
      <c r="AA157" s="521" t="e">
        <f>M157*Z157</f>
        <v>#DIV/0!</v>
      </c>
      <c r="AB157" s="473">
        <v>1</v>
      </c>
      <c r="AC157" s="506"/>
      <c r="AD157" s="506"/>
      <c r="AE157" s="514" t="e">
        <f>M157^2</f>
        <v>#DIV/0!</v>
      </c>
      <c r="AF157" s="524"/>
      <c r="AG157" s="525" t="e">
        <f>AG158</f>
        <v>#DIV/0!</v>
      </c>
      <c r="AH157" s="525" t="e">
        <f>AH158</f>
        <v>#DIV/0!</v>
      </c>
      <c r="AI157" s="521" t="e">
        <f>1/M157</f>
        <v>#DIV/0!</v>
      </c>
      <c r="AJ157" s="526" t="e">
        <f>1/(AH157+AI157)</f>
        <v>#DIV/0!</v>
      </c>
      <c r="AK157" s="527" t="e">
        <f>AJ157/AJ158</f>
        <v>#DIV/0!</v>
      </c>
      <c r="AL157" s="528" t="e">
        <f>AJ157*N157</f>
        <v>#DIV/0!</v>
      </c>
      <c r="AM157" s="528" t="e">
        <f t="shared" si="93"/>
        <v>#DIV/0!</v>
      </c>
      <c r="AN157" s="521" t="e">
        <f t="shared" si="94"/>
        <v>#DIV/0!</v>
      </c>
      <c r="AO157" s="529" t="e">
        <f t="shared" si="95"/>
        <v>#DIV/0!</v>
      </c>
      <c r="AP157" s="521" t="e">
        <f t="shared" si="96"/>
        <v>#DIV/0!</v>
      </c>
      <c r="AQ157" s="518">
        <f t="shared" si="97"/>
        <v>1.9599639845400536</v>
      </c>
      <c r="AR157" s="519" t="e">
        <f t="shared" si="98"/>
        <v>#DIV/0!</v>
      </c>
      <c r="AS157" s="519" t="e">
        <f t="shared" si="99"/>
        <v>#DIV/0!</v>
      </c>
      <c r="AT157" s="530" t="e">
        <f t="shared" si="101"/>
        <v>#DIV/0!</v>
      </c>
      <c r="AU157" s="530" t="e">
        <f t="shared" si="101"/>
        <v>#DIV/0!</v>
      </c>
      <c r="AV157" s="491"/>
      <c r="AX157" s="531"/>
      <c r="AY157" s="531">
        <v>1</v>
      </c>
      <c r="AZ157" s="532"/>
      <c r="BA157" s="532"/>
      <c r="BC157" s="506"/>
      <c r="BD157" s="506"/>
      <c r="BE157" s="473"/>
      <c r="BF157" s="473"/>
      <c r="BG157" s="473"/>
      <c r="BH157" s="473"/>
      <c r="BI157" s="473"/>
      <c r="BJ157" s="473"/>
      <c r="BK157" s="473"/>
      <c r="BL157" s="473"/>
      <c r="BM157" s="506"/>
      <c r="BN157" s="506"/>
      <c r="BO157" s="506"/>
      <c r="BP157" s="506"/>
      <c r="BQ157" s="506"/>
      <c r="BR157" s="506"/>
      <c r="BS157" s="506"/>
      <c r="BT157" s="506"/>
      <c r="BU157" s="506"/>
      <c r="BV157" s="506"/>
      <c r="BW157" s="506"/>
    </row>
    <row r="158" spans="1:75">
      <c r="B158" s="533">
        <f>COUNT(D153:D157)</f>
        <v>5</v>
      </c>
      <c r="C158" s="534">
        <f t="shared" ref="C158:H158" si="102">SUM(C153:C157)</f>
        <v>0</v>
      </c>
      <c r="D158" s="534">
        <f t="shared" si="102"/>
        <v>0</v>
      </c>
      <c r="E158" s="534">
        <f t="shared" si="102"/>
        <v>0</v>
      </c>
      <c r="F158" s="534">
        <f t="shared" si="102"/>
        <v>0</v>
      </c>
      <c r="G158" s="534">
        <f t="shared" si="102"/>
        <v>0</v>
      </c>
      <c r="H158" s="534">
        <f t="shared" si="102"/>
        <v>0</v>
      </c>
      <c r="I158" s="535"/>
      <c r="K158" s="536"/>
      <c r="L158" s="607"/>
      <c r="M158" s="538" t="e">
        <f>SUM(M153:M157)</f>
        <v>#DIV/0!</v>
      </c>
      <c r="N158" s="539"/>
      <c r="O158" s="540" t="e">
        <f>SUM(O153:O157)</f>
        <v>#DIV/0!</v>
      </c>
      <c r="P158" s="541" t="e">
        <f>O158/M158</f>
        <v>#DIV/0!</v>
      </c>
      <c r="Q158" s="542" t="e">
        <f>EXP(P158)</f>
        <v>#DIV/0!</v>
      </c>
      <c r="R158" s="543" t="e">
        <f t="shared" si="89"/>
        <v>#DIV/0!</v>
      </c>
      <c r="S158" s="518">
        <f t="shared" si="90"/>
        <v>1.9599639845400536</v>
      </c>
      <c r="T158" s="544" t="e">
        <f t="shared" si="91"/>
        <v>#DIV/0!</v>
      </c>
      <c r="U158" s="544" t="e">
        <f t="shared" si="92"/>
        <v>#DIV/0!</v>
      </c>
      <c r="V158" s="545" t="e">
        <f>EXP(T158)</f>
        <v>#DIV/0!</v>
      </c>
      <c r="W158" s="546" t="e">
        <f>EXP(U158)</f>
        <v>#DIV/0!</v>
      </c>
      <c r="X158" s="547"/>
      <c r="Y158" s="547"/>
      <c r="Z158" s="548"/>
      <c r="AA158" s="549" t="e">
        <f>SUM(AA153:AA157)</f>
        <v>#DIV/0!</v>
      </c>
      <c r="AB158" s="550">
        <f>SUM(AB153:AB157)</f>
        <v>5</v>
      </c>
      <c r="AC158" s="551" t="e">
        <f>AA158-(AB158-1)</f>
        <v>#DIV/0!</v>
      </c>
      <c r="AD158" s="538" t="e">
        <f>M158</f>
        <v>#DIV/0!</v>
      </c>
      <c r="AE158" s="538" t="e">
        <f>SUM(AE153:AE157)</f>
        <v>#DIV/0!</v>
      </c>
      <c r="AF158" s="552" t="e">
        <f>AE158/AD158</f>
        <v>#DIV/0!</v>
      </c>
      <c r="AG158" s="553" t="e">
        <f>AC158/(AD158-AF158)</f>
        <v>#DIV/0!</v>
      </c>
      <c r="AH158" s="553" t="e">
        <f>IF(AA158&lt;AB158-1,"0",AG158)</f>
        <v>#DIV/0!</v>
      </c>
      <c r="AI158" s="548"/>
      <c r="AJ158" s="538" t="e">
        <f>SUM(AJ153:AJ157)</f>
        <v>#DIV/0!</v>
      </c>
      <c r="AK158" s="554" t="e">
        <f>SUM(AK153:AK157)</f>
        <v>#DIV/0!</v>
      </c>
      <c r="AL158" s="551" t="e">
        <f>SUM(AL153:AL157)</f>
        <v>#DIV/0!</v>
      </c>
      <c r="AM158" s="551" t="e">
        <f t="shared" si="93"/>
        <v>#DIV/0!</v>
      </c>
      <c r="AN158" s="608" t="e">
        <f t="shared" si="94"/>
        <v>#DIV/0!</v>
      </c>
      <c r="AO158" s="556" t="e">
        <f t="shared" si="95"/>
        <v>#DIV/0!</v>
      </c>
      <c r="AP158" s="557" t="e">
        <f t="shared" si="96"/>
        <v>#DIV/0!</v>
      </c>
      <c r="AQ158" s="518">
        <f t="shared" si="97"/>
        <v>1.9599639845400536</v>
      </c>
      <c r="AR158" s="544" t="e">
        <f t="shared" si="98"/>
        <v>#DIV/0!</v>
      </c>
      <c r="AS158" s="544" t="e">
        <f t="shared" si="99"/>
        <v>#DIV/0!</v>
      </c>
      <c r="AT158" s="558" t="e">
        <f>EXP(AR158)</f>
        <v>#DIV/0!</v>
      </c>
      <c r="AU158" s="559" t="e">
        <f>EXP(AS158)</f>
        <v>#DIV/0!</v>
      </c>
      <c r="AV158" s="609"/>
      <c r="AW158" s="468"/>
      <c r="AX158" s="561" t="e">
        <f>AA158</f>
        <v>#DIV/0!</v>
      </c>
      <c r="AY158" s="533">
        <f>SUM(AY153:AY157)</f>
        <v>5</v>
      </c>
      <c r="AZ158" s="562" t="e">
        <f>(AX158-(AY158-1))/AX158</f>
        <v>#DIV/0!</v>
      </c>
      <c r="BA158" s="563" t="e">
        <f>IF(AA158&lt;AB158-1,"0%",AZ158)</f>
        <v>#DIV/0!</v>
      </c>
      <c r="BB158" s="468"/>
      <c r="BC158" s="540" t="e">
        <f>AX158/(AY158-1)</f>
        <v>#DIV/0!</v>
      </c>
      <c r="BD158" s="564" t="e">
        <f>LN(BC158)</f>
        <v>#DIV/0!</v>
      </c>
      <c r="BE158" s="540" t="e">
        <f>LN(AX158)</f>
        <v>#DIV/0!</v>
      </c>
      <c r="BF158" s="540">
        <f>LN(AY158-1)</f>
        <v>1.3862943611198906</v>
      </c>
      <c r="BG158" s="540" t="e">
        <f>SQRT(2*AX158)</f>
        <v>#DIV/0!</v>
      </c>
      <c r="BH158" s="540">
        <f>SQRT(2*AY158-3)</f>
        <v>2.6457513110645907</v>
      </c>
      <c r="BI158" s="540">
        <f>2*(AY158-2)</f>
        <v>6</v>
      </c>
      <c r="BJ158" s="540">
        <f>3*(AY158-2)^2</f>
        <v>27</v>
      </c>
      <c r="BK158" s="540">
        <f>1/BI158</f>
        <v>0.16666666666666666</v>
      </c>
      <c r="BL158" s="540">
        <f>1/BJ158</f>
        <v>3.7037037037037035E-2</v>
      </c>
      <c r="BM158" s="540">
        <f>SQRT(BK158*(1-BL158))</f>
        <v>0.40061680838488767</v>
      </c>
      <c r="BN158" s="564" t="e">
        <f>0.5*(BE158-BF158)/(BG158-BH158)</f>
        <v>#DIV/0!</v>
      </c>
      <c r="BO158" s="564" t="e">
        <f>IF(AA158&lt;=AB158,BM158,BN158)</f>
        <v>#DIV/0!</v>
      </c>
      <c r="BP158" s="551" t="e">
        <f>BD158-(1.96*BO158)</f>
        <v>#DIV/0!</v>
      </c>
      <c r="BQ158" s="551" t="e">
        <f>BD158+(1.96*BO158)</f>
        <v>#DIV/0!</v>
      </c>
      <c r="BR158" s="551"/>
      <c r="BS158" s="564" t="e">
        <f>EXP(BP158)</f>
        <v>#DIV/0!</v>
      </c>
      <c r="BT158" s="564" t="e">
        <f>EXP(BQ158)</f>
        <v>#DIV/0!</v>
      </c>
      <c r="BU158" s="565" t="e">
        <f>BA158</f>
        <v>#DIV/0!</v>
      </c>
      <c r="BV158" s="565" t="e">
        <f>(BS158-1)/BS158</f>
        <v>#DIV/0!</v>
      </c>
      <c r="BW158" s="565" t="e">
        <f>(BT158-1)/BT158</f>
        <v>#DIV/0!</v>
      </c>
    </row>
    <row r="159" spans="1:75" ht="13.5" thickBot="1">
      <c r="C159" s="566"/>
      <c r="D159" s="566"/>
      <c r="E159" s="566"/>
      <c r="F159" s="566"/>
      <c r="G159" s="566"/>
      <c r="H159" s="566"/>
      <c r="I159" s="567"/>
      <c r="R159" s="568"/>
      <c r="S159" s="568"/>
      <c r="T159" s="568"/>
      <c r="U159" s="568"/>
      <c r="V159" s="568"/>
      <c r="W159" s="568"/>
      <c r="X159" s="568"/>
      <c r="AB159" s="569"/>
      <c r="AC159" s="570"/>
      <c r="AD159" s="570"/>
      <c r="AE159" s="570"/>
      <c r="AF159" s="572"/>
      <c r="AG159" s="572"/>
      <c r="AH159" s="572"/>
      <c r="AI159" s="572"/>
      <c r="AT159" s="573"/>
      <c r="AU159" s="573"/>
      <c r="AV159" s="573"/>
      <c r="AX159" s="480" t="s">
        <v>35</v>
      </c>
      <c r="BG159" s="483"/>
      <c r="BN159" s="570" t="s">
        <v>36</v>
      </c>
      <c r="BT159" s="574" t="s">
        <v>37</v>
      </c>
      <c r="BU159" s="575" t="e">
        <f>BU158</f>
        <v>#DIV/0!</v>
      </c>
      <c r="BV159" s="576" t="e">
        <f>IF(BV158&lt;0,"0%",BV158)</f>
        <v>#DIV/0!</v>
      </c>
      <c r="BW159" s="577" t="e">
        <f>IF(BW158&lt;0,"0%",BW158)</f>
        <v>#DIV/0!</v>
      </c>
    </row>
    <row r="160" spans="1:75" ht="26.5" thickBot="1">
      <c r="B160" s="480"/>
      <c r="C160" s="580"/>
      <c r="D160" s="580"/>
      <c r="E160" s="580"/>
      <c r="F160" s="580"/>
      <c r="G160" s="580"/>
      <c r="H160" s="580"/>
      <c r="I160" s="581"/>
      <c r="J160" s="480"/>
      <c r="K160" s="480"/>
      <c r="R160" s="582"/>
      <c r="S160" s="582"/>
      <c r="T160" s="582"/>
      <c r="U160" s="582"/>
      <c r="V160" s="582"/>
      <c r="W160" s="582"/>
      <c r="X160" s="582"/>
      <c r="AF160" s="472"/>
      <c r="AI160" s="483"/>
      <c r="AJ160" s="583"/>
      <c r="AK160" s="583"/>
      <c r="AL160" s="584"/>
      <c r="AM160" s="585"/>
      <c r="AN160" s="610"/>
      <c r="AO160" s="587" t="s">
        <v>453</v>
      </c>
      <c r="AP160" s="588">
        <f>TINV((1-$H$1),(AB158-2))</f>
        <v>3.1824463052837078</v>
      </c>
      <c r="AR160" s="589" t="s">
        <v>38</v>
      </c>
      <c r="AS160" s="590">
        <f>$H$1</f>
        <v>0.95</v>
      </c>
      <c r="AT160" s="591" t="e">
        <f>EXP(AM158-AP160*SQRT((1/AD158)+AH158))</f>
        <v>#DIV/0!</v>
      </c>
      <c r="AU160" s="592" t="e">
        <f>EXP(AM158+AP160*SQRT((1/AD158)+AH158))</f>
        <v>#DIV/0!</v>
      </c>
      <c r="AV160" s="491"/>
      <c r="AX160" s="593" t="e">
        <f>_xlfn.CHISQ.DIST.RT(AX158,AY158-1)</f>
        <v>#DIV/0!</v>
      </c>
      <c r="AY160" s="594" t="e">
        <f>IF(AX160&lt;0.05,"heterogeneidad","homogeneidad")</f>
        <v>#DIV/0!</v>
      </c>
      <c r="BF160" s="595"/>
      <c r="BG160" s="483"/>
      <c r="BH160" s="483"/>
      <c r="BJ160" s="522"/>
      <c r="BL160" s="483"/>
      <c r="BM160" s="596"/>
      <c r="BQ160" s="483"/>
    </row>
    <row r="161" spans="1:256" ht="14.5">
      <c r="B161" s="480"/>
      <c r="C161" s="580"/>
      <c r="D161" s="580"/>
      <c r="E161" s="580"/>
      <c r="F161" s="580"/>
      <c r="G161" s="580"/>
      <c r="H161" s="580"/>
      <c r="I161" s="581"/>
      <c r="J161" s="480"/>
      <c r="K161" s="480"/>
      <c r="R161" s="582"/>
      <c r="S161" s="582"/>
      <c r="T161" s="582"/>
      <c r="U161" s="582"/>
      <c r="V161" s="582"/>
      <c r="W161" s="582"/>
      <c r="X161" s="582"/>
      <c r="AF161" s="472"/>
      <c r="AI161" s="483"/>
      <c r="AJ161" s="583"/>
      <c r="AK161" s="583"/>
      <c r="AL161" s="584"/>
      <c r="AM161" s="585"/>
      <c r="AN161" s="597"/>
      <c r="AO161" s="598"/>
      <c r="AP161" s="487"/>
      <c r="AS161" s="599"/>
      <c r="AT161" s="491"/>
      <c r="AU161" s="491"/>
      <c r="AV161" s="491"/>
      <c r="BF161" s="595"/>
      <c r="BG161" s="483"/>
      <c r="BH161" s="483"/>
      <c r="BJ161" s="522"/>
      <c r="BL161" s="483"/>
      <c r="BM161" s="596"/>
      <c r="BQ161" s="483"/>
    </row>
    <row r="162" spans="1:256">
      <c r="C162" s="566"/>
      <c r="D162" s="566"/>
      <c r="E162" s="566"/>
      <c r="F162" s="566"/>
      <c r="G162" s="566"/>
      <c r="H162" s="566"/>
      <c r="I162" s="567"/>
      <c r="J162" s="624" t="s">
        <v>4</v>
      </c>
      <c r="K162" s="625"/>
      <c r="L162" s="625"/>
      <c r="M162" s="625"/>
      <c r="N162" s="625"/>
      <c r="O162" s="625"/>
      <c r="P162" s="625"/>
      <c r="Q162" s="625"/>
      <c r="R162" s="625"/>
      <c r="S162" s="625"/>
      <c r="T162" s="625"/>
      <c r="U162" s="625"/>
      <c r="V162" s="625"/>
      <c r="W162" s="626"/>
      <c r="X162" s="484"/>
      <c r="Y162" s="624" t="s">
        <v>5</v>
      </c>
      <c r="Z162" s="625"/>
      <c r="AA162" s="625"/>
      <c r="AB162" s="625"/>
      <c r="AC162" s="625"/>
      <c r="AD162" s="625"/>
      <c r="AE162" s="625"/>
      <c r="AF162" s="625"/>
      <c r="AG162" s="625"/>
      <c r="AH162" s="625"/>
      <c r="AI162" s="625"/>
      <c r="AJ162" s="625"/>
      <c r="AK162" s="625"/>
      <c r="AL162" s="625"/>
      <c r="AM162" s="625"/>
      <c r="AN162" s="625"/>
      <c r="AO162" s="625"/>
      <c r="AP162" s="625"/>
      <c r="AQ162" s="625"/>
      <c r="AR162" s="625"/>
      <c r="AS162" s="625"/>
      <c r="AT162" s="625"/>
      <c r="AU162" s="626"/>
      <c r="AV162" s="484"/>
      <c r="AW162" s="624" t="s">
        <v>6</v>
      </c>
      <c r="AX162" s="625"/>
      <c r="AY162" s="625"/>
      <c r="AZ162" s="625"/>
      <c r="BA162" s="625"/>
      <c r="BB162" s="625"/>
      <c r="BC162" s="625"/>
      <c r="BD162" s="625"/>
      <c r="BE162" s="625"/>
      <c r="BF162" s="625"/>
      <c r="BG162" s="625"/>
      <c r="BH162" s="625"/>
      <c r="BI162" s="625"/>
      <c r="BJ162" s="625"/>
      <c r="BK162" s="625"/>
      <c r="BL162" s="625"/>
      <c r="BM162" s="625"/>
      <c r="BN162" s="625"/>
      <c r="BO162" s="625"/>
      <c r="BP162" s="625"/>
      <c r="BQ162" s="625"/>
      <c r="BR162" s="625"/>
      <c r="BS162" s="625"/>
      <c r="BT162" s="625"/>
      <c r="BU162" s="625"/>
      <c r="BV162" s="625"/>
      <c r="BW162" s="626"/>
    </row>
    <row r="163" spans="1:256">
      <c r="A163" s="614"/>
      <c r="B163" s="486" t="s">
        <v>8</v>
      </c>
      <c r="C163" s="623" t="s">
        <v>9</v>
      </c>
      <c r="D163" s="623"/>
      <c r="E163" s="623"/>
      <c r="F163" s="623" t="s">
        <v>10</v>
      </c>
      <c r="G163" s="623"/>
      <c r="H163" s="623"/>
      <c r="I163" s="487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8"/>
      <c r="AC163" s="488"/>
      <c r="AD163" s="488"/>
      <c r="AE163" s="488"/>
      <c r="AF163" s="488"/>
      <c r="AG163" s="488"/>
      <c r="AH163" s="488"/>
      <c r="AI163" s="488"/>
      <c r="AJ163" s="488"/>
      <c r="AK163" s="488"/>
      <c r="AL163" s="488"/>
      <c r="AM163" s="488"/>
      <c r="AN163" s="488"/>
      <c r="AO163" s="488"/>
      <c r="AP163" s="488"/>
      <c r="AQ163" s="488"/>
      <c r="AR163" s="488"/>
      <c r="AS163" s="488"/>
      <c r="AT163" s="488"/>
      <c r="AU163" s="488"/>
      <c r="AV163" s="488"/>
      <c r="AW163" s="488"/>
      <c r="AX163" s="488"/>
      <c r="AY163" s="488"/>
      <c r="AZ163" s="488"/>
      <c r="BA163" s="488"/>
      <c r="BB163" s="488"/>
      <c r="BC163" s="488"/>
      <c r="BD163" s="488"/>
      <c r="BE163" s="488"/>
      <c r="BF163" s="488"/>
      <c r="BG163" s="488"/>
      <c r="BH163" s="488"/>
      <c r="BI163" s="488"/>
      <c r="BJ163" s="488"/>
      <c r="BK163" s="488"/>
      <c r="BL163" s="488"/>
      <c r="BM163" s="488"/>
      <c r="BN163" s="488"/>
      <c r="BO163" s="488"/>
      <c r="BP163" s="488"/>
      <c r="BQ163" s="488"/>
      <c r="BR163" s="488"/>
      <c r="BS163" s="488"/>
      <c r="BT163" s="488"/>
      <c r="BU163" s="488"/>
      <c r="BV163" s="488"/>
      <c r="BW163" s="488"/>
    </row>
    <row r="164" spans="1:256" ht="60">
      <c r="B164" s="489"/>
      <c r="C164" s="490" t="s">
        <v>12</v>
      </c>
      <c r="D164" s="490" t="s">
        <v>13</v>
      </c>
      <c r="E164" s="490" t="s">
        <v>14</v>
      </c>
      <c r="F164" s="490" t="s">
        <v>12</v>
      </c>
      <c r="G164" s="490" t="s">
        <v>13</v>
      </c>
      <c r="H164" s="490" t="s">
        <v>14</v>
      </c>
      <c r="I164" s="491"/>
      <c r="K164" s="492" t="s">
        <v>416</v>
      </c>
      <c r="L164" s="492" t="s">
        <v>417</v>
      </c>
      <c r="M164" s="492" t="s">
        <v>418</v>
      </c>
      <c r="N164" s="493" t="s">
        <v>419</v>
      </c>
      <c r="O164" s="493" t="s">
        <v>15</v>
      </c>
      <c r="P164" s="493" t="s">
        <v>420</v>
      </c>
      <c r="Q164" s="494" t="s">
        <v>421</v>
      </c>
      <c r="R164" s="492" t="s">
        <v>422</v>
      </c>
      <c r="S164" s="475" t="s">
        <v>415</v>
      </c>
      <c r="T164" s="493" t="s">
        <v>423</v>
      </c>
      <c r="U164" s="493" t="s">
        <v>424</v>
      </c>
      <c r="V164" s="495" t="s">
        <v>16</v>
      </c>
      <c r="W164" s="496" t="s">
        <v>16</v>
      </c>
      <c r="X164" s="497"/>
      <c r="Y164" s="498"/>
      <c r="Z164" s="499" t="s">
        <v>425</v>
      </c>
      <c r="AA164" s="493" t="s">
        <v>426</v>
      </c>
      <c r="AB164" s="475" t="s">
        <v>17</v>
      </c>
      <c r="AC164" s="475" t="s">
        <v>18</v>
      </c>
      <c r="AD164" s="475" t="s">
        <v>427</v>
      </c>
      <c r="AE164" s="493" t="s">
        <v>428</v>
      </c>
      <c r="AF164" s="493" t="s">
        <v>429</v>
      </c>
      <c r="AG164" s="500" t="s">
        <v>19</v>
      </c>
      <c r="AH164" s="500" t="s">
        <v>20</v>
      </c>
      <c r="AI164" s="475" t="s">
        <v>430</v>
      </c>
      <c r="AJ164" s="493" t="s">
        <v>431</v>
      </c>
      <c r="AK164" s="493" t="s">
        <v>432</v>
      </c>
      <c r="AL164" s="493" t="s">
        <v>433</v>
      </c>
      <c r="AM164" s="475" t="s">
        <v>434</v>
      </c>
      <c r="AN164" s="501" t="s">
        <v>435</v>
      </c>
      <c r="AO164" s="493" t="s">
        <v>436</v>
      </c>
      <c r="AP164" s="493" t="s">
        <v>437</v>
      </c>
      <c r="AQ164" s="475" t="s">
        <v>415</v>
      </c>
      <c r="AR164" s="493" t="s">
        <v>438</v>
      </c>
      <c r="AS164" s="493" t="s">
        <v>439</v>
      </c>
      <c r="AT164" s="495" t="s">
        <v>16</v>
      </c>
      <c r="AU164" s="496" t="s">
        <v>16</v>
      </c>
      <c r="AV164" s="497"/>
      <c r="AX164" s="502" t="s">
        <v>21</v>
      </c>
      <c r="AY164" s="502" t="s">
        <v>17</v>
      </c>
      <c r="AZ164" s="503" t="s">
        <v>22</v>
      </c>
      <c r="BA164" s="504" t="s">
        <v>23</v>
      </c>
      <c r="BC164" s="475" t="s">
        <v>440</v>
      </c>
      <c r="BD164" s="475" t="s">
        <v>441</v>
      </c>
      <c r="BE164" s="475" t="s">
        <v>24</v>
      </c>
      <c r="BF164" s="475" t="s">
        <v>25</v>
      </c>
      <c r="BG164" s="475" t="s">
        <v>26</v>
      </c>
      <c r="BH164" s="475" t="s">
        <v>27</v>
      </c>
      <c r="BI164" s="475" t="s">
        <v>28</v>
      </c>
      <c r="BJ164" s="475" t="s">
        <v>442</v>
      </c>
      <c r="BK164" s="475" t="s">
        <v>29</v>
      </c>
      <c r="BL164" s="475" t="s">
        <v>30</v>
      </c>
      <c r="BM164" s="505" t="s">
        <v>443</v>
      </c>
      <c r="BN164" s="505" t="s">
        <v>444</v>
      </c>
      <c r="BO164" s="505" t="s">
        <v>445</v>
      </c>
      <c r="BP164" s="505" t="s">
        <v>446</v>
      </c>
      <c r="BQ164" s="505" t="s">
        <v>447</v>
      </c>
      <c r="BR164" s="506"/>
      <c r="BS164" s="493" t="s">
        <v>448</v>
      </c>
      <c r="BT164" s="493" t="s">
        <v>449</v>
      </c>
      <c r="BU164" s="494" t="s">
        <v>450</v>
      </c>
      <c r="BV164" s="495" t="s">
        <v>451</v>
      </c>
      <c r="BW164" s="496" t="s">
        <v>452</v>
      </c>
    </row>
    <row r="165" spans="1:256">
      <c r="B165" s="507" t="s">
        <v>78</v>
      </c>
      <c r="C165" s="508"/>
      <c r="D165" s="509">
        <f>E165-C165</f>
        <v>0</v>
      </c>
      <c r="E165" s="510"/>
      <c r="F165" s="508"/>
      <c r="G165" s="509">
        <f>H165-F165</f>
        <v>0</v>
      </c>
      <c r="H165" s="510"/>
      <c r="I165" s="511"/>
      <c r="K165" s="512" t="e">
        <f>(C165/E165)/(F165/H165)</f>
        <v>#DIV/0!</v>
      </c>
      <c r="L165" s="513" t="e">
        <f>(D165/(C165*E165)+(G165/(F165*H165)))</f>
        <v>#DIV/0!</v>
      </c>
      <c r="M165" s="514" t="e">
        <f>1/L165</f>
        <v>#DIV/0!</v>
      </c>
      <c r="N165" s="515" t="e">
        <f>LN(K165)</f>
        <v>#DIV/0!</v>
      </c>
      <c r="O165" s="515" t="e">
        <f>M165*N165</f>
        <v>#DIV/0!</v>
      </c>
      <c r="P165" s="515" t="e">
        <f>LN(K165)</f>
        <v>#DIV/0!</v>
      </c>
      <c r="Q165" s="517" t="e">
        <f>EXP(P165)</f>
        <v>#DIV/0!</v>
      </c>
      <c r="R165" s="517" t="e">
        <f>SQRT(1/M165)</f>
        <v>#DIV/0!</v>
      </c>
      <c r="S165" s="518">
        <f>$H$2</f>
        <v>1.9599639845400536</v>
      </c>
      <c r="T165" s="519" t="e">
        <f>P165-(R165*S165)</f>
        <v>#DIV/0!</v>
      </c>
      <c r="U165" s="519" t="e">
        <f>P165+(R165*S165)</f>
        <v>#DIV/0!</v>
      </c>
      <c r="V165" s="520" t="e">
        <f>EXP(T165)</f>
        <v>#DIV/0!</v>
      </c>
      <c r="W165" s="521" t="e">
        <f>EXP(U165)</f>
        <v>#DIV/0!</v>
      </c>
      <c r="X165" s="522"/>
      <c r="Z165" s="523" t="e">
        <f>(N165-P169)^2</f>
        <v>#DIV/0!</v>
      </c>
      <c r="AA165" s="521" t="e">
        <f>M165*Z165</f>
        <v>#DIV/0!</v>
      </c>
      <c r="AB165" s="473">
        <v>1</v>
      </c>
      <c r="AC165" s="506"/>
      <c r="AD165" s="506"/>
      <c r="AE165" s="514" t="e">
        <f>M165^2</f>
        <v>#DIV/0!</v>
      </c>
      <c r="AF165" s="524"/>
      <c r="AG165" s="525" t="e">
        <f>AG169</f>
        <v>#DIV/0!</v>
      </c>
      <c r="AH165" s="525" t="e">
        <f>AH169</f>
        <v>#DIV/0!</v>
      </c>
      <c r="AI165" s="521" t="e">
        <f>1/M165</f>
        <v>#DIV/0!</v>
      </c>
      <c r="AJ165" s="526" t="e">
        <f>1/(AH165+AI165)</f>
        <v>#DIV/0!</v>
      </c>
      <c r="AK165" s="527" t="e">
        <f>AJ165/AJ169</f>
        <v>#DIV/0!</v>
      </c>
      <c r="AL165" s="528" t="e">
        <f>AJ165*N165</f>
        <v>#DIV/0!</v>
      </c>
      <c r="AM165" s="528" t="e">
        <f>AL165/AJ165</f>
        <v>#DIV/0!</v>
      </c>
      <c r="AN165" s="521" t="e">
        <f>EXP(AM165)</f>
        <v>#DIV/0!</v>
      </c>
      <c r="AO165" s="529" t="e">
        <f>1/AJ165</f>
        <v>#DIV/0!</v>
      </c>
      <c r="AP165" s="521" t="e">
        <f>SQRT(AO165)</f>
        <v>#DIV/0!</v>
      </c>
      <c r="AQ165" s="518">
        <f>$H$2</f>
        <v>1.9599639845400536</v>
      </c>
      <c r="AR165" s="519" t="e">
        <f>AM165-(AQ165*AP165)</f>
        <v>#DIV/0!</v>
      </c>
      <c r="AS165" s="519" t="e">
        <f>AM165+(1.96*AP165)</f>
        <v>#DIV/0!</v>
      </c>
      <c r="AT165" s="530" t="e">
        <f>EXP(AR165)</f>
        <v>#DIV/0!</v>
      </c>
      <c r="AU165" s="530" t="e">
        <f>EXP(AS165)</f>
        <v>#DIV/0!</v>
      </c>
      <c r="AV165" s="491"/>
      <c r="AX165" s="531"/>
      <c r="AY165" s="531">
        <v>1</v>
      </c>
      <c r="AZ165" s="532"/>
      <c r="BA165" s="532"/>
      <c r="BC165" s="506"/>
      <c r="BD165" s="506"/>
      <c r="BE165" s="473"/>
      <c r="BF165" s="473"/>
      <c r="BG165" s="473"/>
      <c r="BH165" s="473"/>
      <c r="BI165" s="473"/>
      <c r="BJ165" s="473"/>
      <c r="BK165" s="473"/>
      <c r="BL165" s="473"/>
      <c r="BM165" s="506"/>
      <c r="BN165" s="506"/>
      <c r="BO165" s="506"/>
      <c r="BP165" s="506"/>
      <c r="BQ165" s="506"/>
      <c r="BR165" s="506"/>
      <c r="BS165" s="506"/>
      <c r="BT165" s="506"/>
      <c r="BU165" s="506"/>
      <c r="BV165" s="506"/>
      <c r="BW165" s="506"/>
    </row>
    <row r="166" spans="1:256">
      <c r="B166" s="507" t="s">
        <v>79</v>
      </c>
      <c r="C166" s="508"/>
      <c r="D166" s="509">
        <f>E166-C166</f>
        <v>0</v>
      </c>
      <c r="E166" s="510"/>
      <c r="F166" s="508"/>
      <c r="G166" s="509">
        <f>H166-F166</f>
        <v>0</v>
      </c>
      <c r="H166" s="510"/>
      <c r="I166" s="511"/>
      <c r="K166" s="512" t="e">
        <f>(C166/E166)/(F166/H166)</f>
        <v>#DIV/0!</v>
      </c>
      <c r="L166" s="513" t="e">
        <f>(D166/(C166*E166)+(G166/(F166*H166)))</f>
        <v>#DIV/0!</v>
      </c>
      <c r="M166" s="514" t="e">
        <f>1/L166</f>
        <v>#DIV/0!</v>
      </c>
      <c r="N166" s="515" t="e">
        <f>LN(K166)</f>
        <v>#DIV/0!</v>
      </c>
      <c r="O166" s="515" t="e">
        <f>M166*N166</f>
        <v>#DIV/0!</v>
      </c>
      <c r="P166" s="515" t="e">
        <f>LN(K166)</f>
        <v>#DIV/0!</v>
      </c>
      <c r="Q166" s="517" t="e">
        <f>EXP(P166)</f>
        <v>#DIV/0!</v>
      </c>
      <c r="R166" s="517" t="e">
        <f>SQRT(1/M166)</f>
        <v>#DIV/0!</v>
      </c>
      <c r="S166" s="518">
        <f>$H$2</f>
        <v>1.9599639845400536</v>
      </c>
      <c r="T166" s="519" t="e">
        <f>P166-(R166*S166)</f>
        <v>#DIV/0!</v>
      </c>
      <c r="U166" s="519" t="e">
        <f>P166+(R166*S166)</f>
        <v>#DIV/0!</v>
      </c>
      <c r="V166" s="520" t="e">
        <f t="shared" ref="V166:W168" si="103">EXP(T166)</f>
        <v>#DIV/0!</v>
      </c>
      <c r="W166" s="521" t="e">
        <f t="shared" si="103"/>
        <v>#DIV/0!</v>
      </c>
      <c r="X166" s="522"/>
      <c r="Z166" s="523" t="e">
        <f>(N166-P169)^2</f>
        <v>#DIV/0!</v>
      </c>
      <c r="AA166" s="521" t="e">
        <f>M166*Z166</f>
        <v>#DIV/0!</v>
      </c>
      <c r="AB166" s="473">
        <v>1</v>
      </c>
      <c r="AC166" s="506"/>
      <c r="AD166" s="506"/>
      <c r="AE166" s="514" t="e">
        <f>M166^2</f>
        <v>#DIV/0!</v>
      </c>
      <c r="AF166" s="524"/>
      <c r="AG166" s="525" t="e">
        <f>AG169</f>
        <v>#DIV/0!</v>
      </c>
      <c r="AH166" s="525" t="e">
        <f>AH169</f>
        <v>#DIV/0!</v>
      </c>
      <c r="AI166" s="521" t="e">
        <f>1/M166</f>
        <v>#DIV/0!</v>
      </c>
      <c r="AJ166" s="526" t="e">
        <f>1/(AH166+AI166)</f>
        <v>#DIV/0!</v>
      </c>
      <c r="AK166" s="527" t="e">
        <f>AJ166/AJ169</f>
        <v>#DIV/0!</v>
      </c>
      <c r="AL166" s="528" t="e">
        <f>AJ166*N166</f>
        <v>#DIV/0!</v>
      </c>
      <c r="AM166" s="528" t="e">
        <f>AL166/AJ166</f>
        <v>#DIV/0!</v>
      </c>
      <c r="AN166" s="521" t="e">
        <f>EXP(AM166)</f>
        <v>#DIV/0!</v>
      </c>
      <c r="AO166" s="529" t="e">
        <f>1/AJ166</f>
        <v>#DIV/0!</v>
      </c>
      <c r="AP166" s="521" t="e">
        <f>SQRT(AO166)</f>
        <v>#DIV/0!</v>
      </c>
      <c r="AQ166" s="518">
        <f>$H$2</f>
        <v>1.9599639845400536</v>
      </c>
      <c r="AR166" s="519" t="e">
        <f>AM166-(AQ166*AP166)</f>
        <v>#DIV/0!</v>
      </c>
      <c r="AS166" s="519" t="e">
        <f>AM166+(1.96*AP166)</f>
        <v>#DIV/0!</v>
      </c>
      <c r="AT166" s="530" t="e">
        <f t="shared" ref="AT166:AU168" si="104">EXP(AR166)</f>
        <v>#DIV/0!</v>
      </c>
      <c r="AU166" s="530" t="e">
        <f t="shared" si="104"/>
        <v>#DIV/0!</v>
      </c>
      <c r="AV166" s="491"/>
      <c r="AX166" s="531"/>
      <c r="AY166" s="531">
        <v>1</v>
      </c>
      <c r="AZ166" s="532"/>
      <c r="BA166" s="532"/>
      <c r="BC166" s="506"/>
      <c r="BD166" s="506"/>
      <c r="BE166" s="473"/>
      <c r="BF166" s="473"/>
      <c r="BG166" s="473"/>
      <c r="BH166" s="473"/>
      <c r="BI166" s="473"/>
      <c r="BJ166" s="473"/>
      <c r="BK166" s="473"/>
      <c r="BL166" s="473"/>
      <c r="BM166" s="506"/>
      <c r="BN166" s="506"/>
      <c r="BO166" s="506"/>
      <c r="BP166" s="506"/>
      <c r="BQ166" s="506"/>
      <c r="BR166" s="506"/>
      <c r="BS166" s="506"/>
      <c r="BT166" s="506"/>
      <c r="BU166" s="506"/>
      <c r="BV166" s="506"/>
      <c r="BW166" s="506"/>
    </row>
    <row r="167" spans="1:256">
      <c r="B167" s="507" t="s">
        <v>80</v>
      </c>
      <c r="C167" s="508"/>
      <c r="D167" s="509">
        <f>E167-C167</f>
        <v>0</v>
      </c>
      <c r="E167" s="510"/>
      <c r="F167" s="508"/>
      <c r="G167" s="509">
        <f>H167-F167</f>
        <v>0</v>
      </c>
      <c r="H167" s="510"/>
      <c r="I167" s="511"/>
      <c r="K167" s="512" t="e">
        <f>(C167/E167)/(F167/H167)</f>
        <v>#DIV/0!</v>
      </c>
      <c r="L167" s="513" t="e">
        <f>(D167/(C167*E167)+(G167/(F167*H167)))</f>
        <v>#DIV/0!</v>
      </c>
      <c r="M167" s="514" t="e">
        <f>1/L167</f>
        <v>#DIV/0!</v>
      </c>
      <c r="N167" s="515" t="e">
        <f>LN(K167)</f>
        <v>#DIV/0!</v>
      </c>
      <c r="O167" s="515" t="e">
        <f>M167*N167</f>
        <v>#DIV/0!</v>
      </c>
      <c r="P167" s="515" t="e">
        <f>LN(K167)</f>
        <v>#DIV/0!</v>
      </c>
      <c r="Q167" s="517" t="e">
        <f>EXP(P167)</f>
        <v>#DIV/0!</v>
      </c>
      <c r="R167" s="517" t="e">
        <f>SQRT(1/M167)</f>
        <v>#DIV/0!</v>
      </c>
      <c r="S167" s="518">
        <f>$H$2</f>
        <v>1.9599639845400536</v>
      </c>
      <c r="T167" s="519" t="e">
        <f>P167-(R167*S167)</f>
        <v>#DIV/0!</v>
      </c>
      <c r="U167" s="519" t="e">
        <f>P167+(R167*S167)</f>
        <v>#DIV/0!</v>
      </c>
      <c r="V167" s="520" t="e">
        <f t="shared" si="103"/>
        <v>#DIV/0!</v>
      </c>
      <c r="W167" s="521" t="e">
        <f t="shared" si="103"/>
        <v>#DIV/0!</v>
      </c>
      <c r="X167" s="522"/>
      <c r="Z167" s="523" t="e">
        <f>(N167-P169)^2</f>
        <v>#DIV/0!</v>
      </c>
      <c r="AA167" s="521" t="e">
        <f>M167*Z167</f>
        <v>#DIV/0!</v>
      </c>
      <c r="AB167" s="473">
        <v>1</v>
      </c>
      <c r="AC167" s="506"/>
      <c r="AD167" s="506"/>
      <c r="AE167" s="514" t="e">
        <f>M167^2</f>
        <v>#DIV/0!</v>
      </c>
      <c r="AF167" s="524"/>
      <c r="AG167" s="525" t="e">
        <f>AG169</f>
        <v>#DIV/0!</v>
      </c>
      <c r="AH167" s="525" t="e">
        <f>AH169</f>
        <v>#DIV/0!</v>
      </c>
      <c r="AI167" s="521" t="e">
        <f>1/M167</f>
        <v>#DIV/0!</v>
      </c>
      <c r="AJ167" s="526" t="e">
        <f>1/(AH167+AI167)</f>
        <v>#DIV/0!</v>
      </c>
      <c r="AK167" s="527" t="e">
        <f>AJ167/AJ169</f>
        <v>#DIV/0!</v>
      </c>
      <c r="AL167" s="528" t="e">
        <f>AJ167*N167</f>
        <v>#DIV/0!</v>
      </c>
      <c r="AM167" s="528" t="e">
        <f>AL167/AJ167</f>
        <v>#DIV/0!</v>
      </c>
      <c r="AN167" s="521" t="e">
        <f>EXP(AM167)</f>
        <v>#DIV/0!</v>
      </c>
      <c r="AO167" s="529" t="e">
        <f>1/AJ167</f>
        <v>#DIV/0!</v>
      </c>
      <c r="AP167" s="521" t="e">
        <f>SQRT(AO167)</f>
        <v>#DIV/0!</v>
      </c>
      <c r="AQ167" s="518">
        <f>$H$2</f>
        <v>1.9599639845400536</v>
      </c>
      <c r="AR167" s="519" t="e">
        <f>AM167-(AQ167*AP167)</f>
        <v>#DIV/0!</v>
      </c>
      <c r="AS167" s="519" t="e">
        <f>AM167+(1.96*AP167)</f>
        <v>#DIV/0!</v>
      </c>
      <c r="AT167" s="530" t="e">
        <f t="shared" si="104"/>
        <v>#DIV/0!</v>
      </c>
      <c r="AU167" s="530" t="e">
        <f t="shared" si="104"/>
        <v>#DIV/0!</v>
      </c>
      <c r="AV167" s="491"/>
      <c r="AX167" s="531"/>
      <c r="AY167" s="531">
        <v>1</v>
      </c>
      <c r="AZ167" s="532"/>
      <c r="BA167" s="532"/>
      <c r="BC167" s="506"/>
      <c r="BD167" s="506"/>
      <c r="BE167" s="473"/>
      <c r="BF167" s="473"/>
      <c r="BG167" s="473"/>
      <c r="BH167" s="473"/>
      <c r="BI167" s="473"/>
      <c r="BJ167" s="473"/>
      <c r="BK167" s="473"/>
      <c r="BL167" s="473"/>
      <c r="BM167" s="506"/>
      <c r="BN167" s="506"/>
      <c r="BO167" s="506"/>
      <c r="BP167" s="506"/>
      <c r="BQ167" s="506"/>
      <c r="BR167" s="506"/>
      <c r="BS167" s="506"/>
      <c r="BT167" s="506"/>
      <c r="BU167" s="506"/>
      <c r="BV167" s="506"/>
      <c r="BW167" s="506"/>
    </row>
    <row r="168" spans="1:256">
      <c r="B168" s="507" t="s">
        <v>81</v>
      </c>
      <c r="C168" s="508"/>
      <c r="D168" s="509">
        <f>E168-C168</f>
        <v>0</v>
      </c>
      <c r="E168" s="510"/>
      <c r="F168" s="508"/>
      <c r="G168" s="509">
        <f>H168-F168</f>
        <v>0</v>
      </c>
      <c r="H168" s="510"/>
      <c r="I168" s="511"/>
      <c r="K168" s="512" t="e">
        <f>(C168/E168)/(F168/H168)</f>
        <v>#DIV/0!</v>
      </c>
      <c r="L168" s="513" t="e">
        <f>(D168/(C168*E168)+(G168/(F168*H168)))</f>
        <v>#DIV/0!</v>
      </c>
      <c r="M168" s="514" t="e">
        <f>1/L168</f>
        <v>#DIV/0!</v>
      </c>
      <c r="N168" s="515" t="e">
        <f>LN(K168)</f>
        <v>#DIV/0!</v>
      </c>
      <c r="O168" s="515" t="e">
        <f>M168*N168</f>
        <v>#DIV/0!</v>
      </c>
      <c r="P168" s="515" t="e">
        <f>LN(K168)</f>
        <v>#DIV/0!</v>
      </c>
      <c r="Q168" s="517" t="e">
        <f>EXP(P168)</f>
        <v>#DIV/0!</v>
      </c>
      <c r="R168" s="517" t="e">
        <f>SQRT(1/M168)</f>
        <v>#DIV/0!</v>
      </c>
      <c r="S168" s="518">
        <f>$H$2</f>
        <v>1.9599639845400536</v>
      </c>
      <c r="T168" s="519" t="e">
        <f>P168-(R168*S168)</f>
        <v>#DIV/0!</v>
      </c>
      <c r="U168" s="519" t="e">
        <f>P168+(R168*S168)</f>
        <v>#DIV/0!</v>
      </c>
      <c r="V168" s="520" t="e">
        <f t="shared" si="103"/>
        <v>#DIV/0!</v>
      </c>
      <c r="W168" s="521" t="e">
        <f t="shared" si="103"/>
        <v>#DIV/0!</v>
      </c>
      <c r="X168" s="522"/>
      <c r="Z168" s="523" t="e">
        <f>(N168-P169)^2</f>
        <v>#DIV/0!</v>
      </c>
      <c r="AA168" s="521" t="e">
        <f>M168*Z168</f>
        <v>#DIV/0!</v>
      </c>
      <c r="AB168" s="473">
        <v>1</v>
      </c>
      <c r="AC168" s="506"/>
      <c r="AD168" s="506"/>
      <c r="AE168" s="514" t="e">
        <f>M168^2</f>
        <v>#DIV/0!</v>
      </c>
      <c r="AF168" s="524"/>
      <c r="AG168" s="525" t="e">
        <f>AG169</f>
        <v>#DIV/0!</v>
      </c>
      <c r="AH168" s="525" t="e">
        <f>AH169</f>
        <v>#DIV/0!</v>
      </c>
      <c r="AI168" s="521" t="e">
        <f>1/M168</f>
        <v>#DIV/0!</v>
      </c>
      <c r="AJ168" s="526" t="e">
        <f>1/(AH168+AI168)</f>
        <v>#DIV/0!</v>
      </c>
      <c r="AK168" s="527" t="e">
        <f>AJ168/AJ169</f>
        <v>#DIV/0!</v>
      </c>
      <c r="AL168" s="528" t="e">
        <f>AJ168*N168</f>
        <v>#DIV/0!</v>
      </c>
      <c r="AM168" s="528" t="e">
        <f>AL168/AJ168</f>
        <v>#DIV/0!</v>
      </c>
      <c r="AN168" s="521" t="e">
        <f>EXP(AM168)</f>
        <v>#DIV/0!</v>
      </c>
      <c r="AO168" s="529" t="e">
        <f>1/AJ168</f>
        <v>#DIV/0!</v>
      </c>
      <c r="AP168" s="521" t="e">
        <f>SQRT(AO168)</f>
        <v>#DIV/0!</v>
      </c>
      <c r="AQ168" s="518">
        <f>$H$2</f>
        <v>1.9599639845400536</v>
      </c>
      <c r="AR168" s="519" t="e">
        <f>AM168-(AQ168*AP168)</f>
        <v>#DIV/0!</v>
      </c>
      <c r="AS168" s="519" t="e">
        <f>AM168+(1.96*AP168)</f>
        <v>#DIV/0!</v>
      </c>
      <c r="AT168" s="530" t="e">
        <f t="shared" si="104"/>
        <v>#DIV/0!</v>
      </c>
      <c r="AU168" s="530" t="e">
        <f t="shared" si="104"/>
        <v>#DIV/0!</v>
      </c>
      <c r="AV168" s="491"/>
      <c r="AX168" s="531"/>
      <c r="AY168" s="531">
        <v>1</v>
      </c>
      <c r="AZ168" s="532"/>
      <c r="BA168" s="532"/>
      <c r="BC168" s="506"/>
      <c r="BD168" s="506"/>
      <c r="BE168" s="473"/>
      <c r="BF168" s="473"/>
      <c r="BG168" s="473"/>
      <c r="BH168" s="473"/>
      <c r="BI168" s="473"/>
      <c r="BJ168" s="473"/>
      <c r="BK168" s="473"/>
      <c r="BL168" s="473"/>
      <c r="BM168" s="506"/>
      <c r="BN168" s="506"/>
      <c r="BO168" s="506"/>
      <c r="BP168" s="506"/>
      <c r="BQ168" s="506"/>
      <c r="BR168" s="506"/>
      <c r="BS168" s="506"/>
      <c r="BT168" s="506"/>
      <c r="BU168" s="506"/>
      <c r="BV168" s="506"/>
      <c r="BW168" s="506"/>
    </row>
    <row r="169" spans="1:256">
      <c r="B169" s="533">
        <f>COUNT(D165:D168)</f>
        <v>4</v>
      </c>
      <c r="C169" s="534">
        <f t="shared" ref="C169:H169" si="105">SUM(C165:C168)</f>
        <v>0</v>
      </c>
      <c r="D169" s="534">
        <f t="shared" si="105"/>
        <v>0</v>
      </c>
      <c r="E169" s="534">
        <f t="shared" si="105"/>
        <v>0</v>
      </c>
      <c r="F169" s="534">
        <f t="shared" si="105"/>
        <v>0</v>
      </c>
      <c r="G169" s="534">
        <f t="shared" si="105"/>
        <v>0</v>
      </c>
      <c r="H169" s="534">
        <f t="shared" si="105"/>
        <v>0</v>
      </c>
      <c r="I169" s="535"/>
      <c r="K169" s="536"/>
      <c r="L169" s="607"/>
      <c r="M169" s="538" t="e">
        <f>SUM(M165:M168)</f>
        <v>#DIV/0!</v>
      </c>
      <c r="N169" s="539"/>
      <c r="O169" s="540" t="e">
        <f>SUM(O165:O168)</f>
        <v>#DIV/0!</v>
      </c>
      <c r="P169" s="541" t="e">
        <f>O169/M169</f>
        <v>#DIV/0!</v>
      </c>
      <c r="Q169" s="542" t="e">
        <f>EXP(P169)</f>
        <v>#DIV/0!</v>
      </c>
      <c r="R169" s="543" t="e">
        <f>SQRT(1/M169)</f>
        <v>#DIV/0!</v>
      </c>
      <c r="S169" s="518">
        <f>$H$2</f>
        <v>1.9599639845400536</v>
      </c>
      <c r="T169" s="544" t="e">
        <f>P169-(R169*S169)</f>
        <v>#DIV/0!</v>
      </c>
      <c r="U169" s="544" t="e">
        <f>P169+(R169*S169)</f>
        <v>#DIV/0!</v>
      </c>
      <c r="V169" s="545" t="e">
        <f>EXP(T169)</f>
        <v>#DIV/0!</v>
      </c>
      <c r="W169" s="546" t="e">
        <f>EXP(U169)</f>
        <v>#DIV/0!</v>
      </c>
      <c r="X169" s="547"/>
      <c r="Y169" s="547"/>
      <c r="Z169" s="548"/>
      <c r="AA169" s="549" t="e">
        <f>SUM(AA165:AA168)</f>
        <v>#DIV/0!</v>
      </c>
      <c r="AB169" s="550">
        <f>SUM(AB165:AB168)</f>
        <v>4</v>
      </c>
      <c r="AC169" s="551" t="e">
        <f>AA169-(AB169-1)</f>
        <v>#DIV/0!</v>
      </c>
      <c r="AD169" s="538" t="e">
        <f>M169</f>
        <v>#DIV/0!</v>
      </c>
      <c r="AE169" s="538" t="e">
        <f>SUM(AE165:AE168)</f>
        <v>#DIV/0!</v>
      </c>
      <c r="AF169" s="552" t="e">
        <f>AE169/AD169</f>
        <v>#DIV/0!</v>
      </c>
      <c r="AG169" s="553" t="e">
        <f>AC169/(AD169-AF169)</f>
        <v>#DIV/0!</v>
      </c>
      <c r="AH169" s="553" t="e">
        <f>IF(AA169&lt;AB169-1,"0",AG169)</f>
        <v>#DIV/0!</v>
      </c>
      <c r="AI169" s="548"/>
      <c r="AJ169" s="538" t="e">
        <f>SUM(AJ165:AJ168)</f>
        <v>#DIV/0!</v>
      </c>
      <c r="AK169" s="554" t="e">
        <f>SUM(AK165:AK168)</f>
        <v>#DIV/0!</v>
      </c>
      <c r="AL169" s="551" t="e">
        <f>SUM(AL165:AL168)</f>
        <v>#DIV/0!</v>
      </c>
      <c r="AM169" s="551" t="e">
        <f>AL169/AJ169</f>
        <v>#DIV/0!</v>
      </c>
      <c r="AN169" s="608" t="e">
        <f>EXP(AM169)</f>
        <v>#DIV/0!</v>
      </c>
      <c r="AO169" s="556" t="e">
        <f>1/AJ169</f>
        <v>#DIV/0!</v>
      </c>
      <c r="AP169" s="557" t="e">
        <f>SQRT(AO169)</f>
        <v>#DIV/0!</v>
      </c>
      <c r="AQ169" s="518">
        <f>$H$2</f>
        <v>1.9599639845400536</v>
      </c>
      <c r="AR169" s="544" t="e">
        <f>AM169-(AQ169*AP169)</f>
        <v>#DIV/0!</v>
      </c>
      <c r="AS169" s="544" t="e">
        <f>AM169+(1.96*AP169)</f>
        <v>#DIV/0!</v>
      </c>
      <c r="AT169" s="558" t="e">
        <f>EXP(AR169)</f>
        <v>#DIV/0!</v>
      </c>
      <c r="AU169" s="559" t="e">
        <f>EXP(AS169)</f>
        <v>#DIV/0!</v>
      </c>
      <c r="AV169" s="609"/>
      <c r="AW169" s="468"/>
      <c r="AX169" s="561" t="e">
        <f>AA169</f>
        <v>#DIV/0!</v>
      </c>
      <c r="AY169" s="533">
        <f>SUM(AY165:AY168)</f>
        <v>4</v>
      </c>
      <c r="AZ169" s="562" t="e">
        <f>(AX169-(AY169-1))/AX169</f>
        <v>#DIV/0!</v>
      </c>
      <c r="BA169" s="563" t="e">
        <f>IF(AA169&lt;AB169-1,"0%",AZ169)</f>
        <v>#DIV/0!</v>
      </c>
      <c r="BB169" s="468"/>
      <c r="BC169" s="540" t="e">
        <f>AX169/(AY169-1)</f>
        <v>#DIV/0!</v>
      </c>
      <c r="BD169" s="564" t="e">
        <f>LN(BC169)</f>
        <v>#DIV/0!</v>
      </c>
      <c r="BE169" s="540" t="e">
        <f>LN(AX169)</f>
        <v>#DIV/0!</v>
      </c>
      <c r="BF169" s="540">
        <f>LN(AY169-1)</f>
        <v>1.0986122886681098</v>
      </c>
      <c r="BG169" s="540" t="e">
        <f>SQRT(2*AX169)</f>
        <v>#DIV/0!</v>
      </c>
      <c r="BH169" s="540">
        <f>SQRT(2*AY169-3)</f>
        <v>2.2360679774997898</v>
      </c>
      <c r="BI169" s="540">
        <f>2*(AY169-2)</f>
        <v>4</v>
      </c>
      <c r="BJ169" s="540">
        <f>3*(AY169-2)^2</f>
        <v>12</v>
      </c>
      <c r="BK169" s="540">
        <f>1/BI169</f>
        <v>0.25</v>
      </c>
      <c r="BL169" s="540">
        <f>1/BJ169</f>
        <v>8.3333333333333329E-2</v>
      </c>
      <c r="BM169" s="540">
        <f>SQRT(BK169*(1-BL169))</f>
        <v>0.47871355387816905</v>
      </c>
      <c r="BN169" s="564" t="e">
        <f>0.5*(BE169-BF169)/(BG169-BH169)</f>
        <v>#DIV/0!</v>
      </c>
      <c r="BO169" s="564" t="e">
        <f>IF(AA169&lt;=AB169,BM169,BN169)</f>
        <v>#DIV/0!</v>
      </c>
      <c r="BP169" s="551" t="e">
        <f>BD169-(1.96*BO169)</f>
        <v>#DIV/0!</v>
      </c>
      <c r="BQ169" s="551" t="e">
        <f>BD169+(1.96*BO169)</f>
        <v>#DIV/0!</v>
      </c>
      <c r="BR169" s="551"/>
      <c r="BS169" s="564" t="e">
        <f>EXP(BP169)</f>
        <v>#DIV/0!</v>
      </c>
      <c r="BT169" s="564" t="e">
        <f>EXP(BQ169)</f>
        <v>#DIV/0!</v>
      </c>
      <c r="BU169" s="565" t="e">
        <f>BA169</f>
        <v>#DIV/0!</v>
      </c>
      <c r="BV169" s="565" t="e">
        <f>(BS169-1)/BS169</f>
        <v>#DIV/0!</v>
      </c>
      <c r="BW169" s="565" t="e">
        <f>(BT169-1)/BT169</f>
        <v>#DIV/0!</v>
      </c>
    </row>
    <row r="170" spans="1:256" ht="13.5" thickBot="1">
      <c r="C170" s="566"/>
      <c r="D170" s="566"/>
      <c r="E170" s="566"/>
      <c r="F170" s="566"/>
      <c r="G170" s="566"/>
      <c r="H170" s="566"/>
      <c r="I170" s="567"/>
      <c r="R170" s="568"/>
      <c r="S170" s="568"/>
      <c r="T170" s="568"/>
      <c r="U170" s="568"/>
      <c r="V170" s="568"/>
      <c r="W170" s="568"/>
      <c r="X170" s="568"/>
      <c r="AB170" s="569"/>
      <c r="AC170" s="570"/>
      <c r="AD170" s="570"/>
      <c r="AE170" s="570"/>
      <c r="AF170" s="572"/>
      <c r="AG170" s="572"/>
      <c r="AH170" s="572"/>
      <c r="AI170" s="572"/>
      <c r="AT170" s="573"/>
      <c r="AU170" s="573"/>
      <c r="AV170" s="573"/>
      <c r="AX170" s="480" t="s">
        <v>35</v>
      </c>
      <c r="BG170" s="483"/>
      <c r="BN170" s="570" t="s">
        <v>36</v>
      </c>
      <c r="BT170" s="574" t="s">
        <v>37</v>
      </c>
      <c r="BU170" s="575" t="e">
        <f>BU169</f>
        <v>#DIV/0!</v>
      </c>
      <c r="BV170" s="576" t="e">
        <f>IF(BV169&lt;0,"0%",BV169)</f>
        <v>#DIV/0!</v>
      </c>
      <c r="BW170" s="577" t="e">
        <f>IF(BW169&lt;0,"0%",BW169)</f>
        <v>#DIV/0!</v>
      </c>
    </row>
    <row r="171" spans="1:256" ht="26.5" thickBot="1">
      <c r="B171" s="480"/>
      <c r="C171" s="580"/>
      <c r="D171" s="580"/>
      <c r="E171" s="580"/>
      <c r="F171" s="580"/>
      <c r="G171" s="580"/>
      <c r="H171" s="580"/>
      <c r="I171" s="581"/>
      <c r="J171" s="480"/>
      <c r="K171" s="480"/>
      <c r="R171" s="582"/>
      <c r="S171" s="582"/>
      <c r="T171" s="582"/>
      <c r="U171" s="582"/>
      <c r="V171" s="582"/>
      <c r="W171" s="582"/>
      <c r="X171" s="582"/>
      <c r="AF171" s="472"/>
      <c r="AI171" s="483"/>
      <c r="AJ171" s="583"/>
      <c r="AK171" s="583"/>
      <c r="AL171" s="584"/>
      <c r="AM171" s="585"/>
      <c r="AN171" s="610"/>
      <c r="AO171" s="587" t="s">
        <v>453</v>
      </c>
      <c r="AP171" s="588">
        <f>TINV((1-$H$1),(AB169-2))</f>
        <v>4.3026527297494619</v>
      </c>
      <c r="AR171" s="589" t="s">
        <v>38</v>
      </c>
      <c r="AS171" s="590">
        <f>$H$1</f>
        <v>0.95</v>
      </c>
      <c r="AT171" s="591" t="e">
        <f>EXP(AM169-AP171*SQRT((1/AD169)+AH169))</f>
        <v>#DIV/0!</v>
      </c>
      <c r="AU171" s="592" t="e">
        <f>EXP(AM169+AP171*SQRT((1/AD169)+AH169))</f>
        <v>#DIV/0!</v>
      </c>
      <c r="AV171" s="491"/>
      <c r="AX171" s="593" t="e">
        <f>_xlfn.CHISQ.DIST.RT(AX169,AY169-1)</f>
        <v>#DIV/0!</v>
      </c>
      <c r="AY171" s="594" t="e">
        <f>IF(AX171&lt;0.05,"heterogeneidad","homogeneidad")</f>
        <v>#DIV/0!</v>
      </c>
      <c r="BF171" s="595"/>
      <c r="BG171" s="483"/>
      <c r="BH171" s="483"/>
      <c r="BJ171" s="522"/>
      <c r="BL171" s="483"/>
      <c r="BM171" s="596"/>
      <c r="BQ171" s="483"/>
    </row>
    <row r="172" spans="1:256">
      <c r="C172" s="566"/>
      <c r="D172" s="566"/>
      <c r="E172" s="566"/>
      <c r="F172" s="566"/>
      <c r="G172" s="566"/>
      <c r="H172" s="566"/>
      <c r="I172" s="567"/>
      <c r="R172" s="568"/>
      <c r="S172" s="568"/>
      <c r="T172" s="568"/>
      <c r="U172" s="568"/>
      <c r="V172" s="568"/>
      <c r="W172" s="568"/>
      <c r="X172" s="568"/>
      <c r="AF172" s="472"/>
      <c r="AJ172" s="585"/>
      <c r="AK172" s="585"/>
      <c r="AR172" s="605"/>
      <c r="AS172" s="605"/>
      <c r="BP172" s="483"/>
    </row>
    <row r="173" spans="1:256">
      <c r="C173" s="566"/>
      <c r="D173" s="566"/>
      <c r="E173" s="566"/>
      <c r="F173" s="566"/>
      <c r="G173" s="566"/>
      <c r="H173" s="566"/>
      <c r="I173" s="567"/>
      <c r="J173" s="624" t="s">
        <v>4</v>
      </c>
      <c r="K173" s="625"/>
      <c r="L173" s="625"/>
      <c r="M173" s="625"/>
      <c r="N173" s="625"/>
      <c r="O173" s="625"/>
      <c r="P173" s="625"/>
      <c r="Q173" s="625"/>
      <c r="R173" s="625"/>
      <c r="S173" s="625"/>
      <c r="T173" s="625"/>
      <c r="U173" s="625"/>
      <c r="V173" s="625"/>
      <c r="W173" s="626"/>
      <c r="X173" s="484"/>
      <c r="Y173" s="624" t="s">
        <v>5</v>
      </c>
      <c r="Z173" s="625"/>
      <c r="AA173" s="625"/>
      <c r="AB173" s="625"/>
      <c r="AC173" s="625"/>
      <c r="AD173" s="625"/>
      <c r="AE173" s="625"/>
      <c r="AF173" s="625"/>
      <c r="AG173" s="625"/>
      <c r="AH173" s="625"/>
      <c r="AI173" s="625"/>
      <c r="AJ173" s="625"/>
      <c r="AK173" s="625"/>
      <c r="AL173" s="625"/>
      <c r="AM173" s="625"/>
      <c r="AN173" s="625"/>
      <c r="AO173" s="625"/>
      <c r="AP173" s="625"/>
      <c r="AQ173" s="625"/>
      <c r="AR173" s="625"/>
      <c r="AS173" s="625"/>
      <c r="AT173" s="625"/>
      <c r="AU173" s="626"/>
      <c r="AV173" s="484"/>
      <c r="AW173" s="624" t="s">
        <v>6</v>
      </c>
      <c r="AX173" s="625"/>
      <c r="AY173" s="625"/>
      <c r="AZ173" s="625"/>
      <c r="BA173" s="625"/>
      <c r="BB173" s="625"/>
      <c r="BC173" s="625"/>
      <c r="BD173" s="625"/>
      <c r="BE173" s="625"/>
      <c r="BF173" s="625"/>
      <c r="BG173" s="625"/>
      <c r="BH173" s="625"/>
      <c r="BI173" s="625"/>
      <c r="BJ173" s="625"/>
      <c r="BK173" s="625"/>
      <c r="BL173" s="625"/>
      <c r="BM173" s="625"/>
      <c r="BN173" s="625"/>
      <c r="BO173" s="625"/>
      <c r="BP173" s="625"/>
      <c r="BQ173" s="625"/>
      <c r="BR173" s="625"/>
      <c r="BS173" s="625"/>
      <c r="BT173" s="625"/>
      <c r="BU173" s="625"/>
      <c r="BV173" s="625"/>
      <c r="BW173" s="626"/>
    </row>
    <row r="174" spans="1:256">
      <c r="A174" s="615"/>
      <c r="B174" s="486" t="s">
        <v>8</v>
      </c>
      <c r="C174" s="623" t="s">
        <v>9</v>
      </c>
      <c r="D174" s="623"/>
      <c r="E174" s="623"/>
      <c r="F174" s="623" t="s">
        <v>10</v>
      </c>
      <c r="G174" s="623"/>
      <c r="H174" s="623"/>
      <c r="I174" s="487"/>
      <c r="J174" s="488"/>
      <c r="K174" s="488"/>
      <c r="L174" s="488"/>
      <c r="M174" s="488"/>
      <c r="N174" s="488"/>
      <c r="O174" s="488"/>
      <c r="P174" s="488"/>
      <c r="Q174" s="488"/>
      <c r="R174" s="488"/>
      <c r="S174" s="488"/>
      <c r="T174" s="488"/>
      <c r="U174" s="488"/>
      <c r="V174" s="488"/>
      <c r="W174" s="488"/>
      <c r="X174" s="488"/>
      <c r="Y174" s="488"/>
      <c r="Z174" s="488"/>
      <c r="AA174" s="488"/>
      <c r="AB174" s="488"/>
      <c r="AC174" s="488"/>
      <c r="AD174" s="488"/>
      <c r="AE174" s="488"/>
      <c r="AF174" s="488"/>
      <c r="AG174" s="488"/>
      <c r="AH174" s="488"/>
      <c r="AI174" s="488"/>
      <c r="AJ174" s="488"/>
      <c r="AK174" s="488"/>
      <c r="AL174" s="488"/>
      <c r="AM174" s="488"/>
      <c r="AN174" s="488"/>
      <c r="AO174" s="488"/>
      <c r="AP174" s="488"/>
      <c r="AQ174" s="488"/>
      <c r="AR174" s="488"/>
      <c r="AS174" s="488"/>
      <c r="AT174" s="488"/>
      <c r="AU174" s="488"/>
      <c r="AV174" s="488"/>
      <c r="AW174" s="488"/>
      <c r="AX174" s="488"/>
      <c r="AY174" s="488"/>
      <c r="AZ174" s="488"/>
      <c r="BA174" s="488"/>
      <c r="BB174" s="488"/>
      <c r="BC174" s="488"/>
      <c r="BD174" s="488"/>
      <c r="BE174" s="488"/>
      <c r="BF174" s="488"/>
      <c r="BG174" s="488"/>
      <c r="BH174" s="488"/>
      <c r="BI174" s="488"/>
      <c r="BJ174" s="488"/>
      <c r="BK174" s="488"/>
      <c r="BL174" s="488"/>
      <c r="BM174" s="488"/>
      <c r="BN174" s="488"/>
      <c r="BO174" s="488"/>
      <c r="BP174" s="488"/>
      <c r="BQ174" s="488"/>
      <c r="BR174" s="488"/>
      <c r="BS174" s="488"/>
      <c r="BT174" s="488"/>
      <c r="BU174" s="488"/>
      <c r="BV174" s="488"/>
      <c r="BW174" s="488"/>
      <c r="BX174" s="488"/>
      <c r="BY174" s="488"/>
      <c r="BZ174" s="488"/>
      <c r="CA174" s="488"/>
      <c r="CB174" s="488"/>
      <c r="CC174" s="488"/>
      <c r="CD174" s="488"/>
      <c r="CE174" s="488"/>
      <c r="CF174" s="488"/>
      <c r="CG174" s="488"/>
      <c r="CH174" s="488"/>
      <c r="CI174" s="488"/>
      <c r="CJ174" s="488"/>
      <c r="CK174" s="488"/>
      <c r="CL174" s="488"/>
      <c r="CM174" s="488"/>
      <c r="CN174" s="488"/>
      <c r="CO174" s="488"/>
      <c r="CP174" s="488"/>
      <c r="CQ174" s="488"/>
      <c r="CR174" s="488"/>
      <c r="CS174" s="488"/>
      <c r="CT174" s="488"/>
      <c r="CU174" s="488"/>
      <c r="CV174" s="488"/>
      <c r="CW174" s="488"/>
      <c r="CX174" s="488"/>
      <c r="CY174" s="488"/>
      <c r="CZ174" s="488"/>
      <c r="DA174" s="488"/>
      <c r="DB174" s="488"/>
      <c r="DC174" s="488"/>
      <c r="DD174" s="488"/>
      <c r="DE174" s="488"/>
      <c r="DF174" s="488"/>
      <c r="DG174" s="488"/>
      <c r="DH174" s="488"/>
      <c r="DI174" s="488"/>
      <c r="DJ174" s="488"/>
      <c r="DK174" s="488"/>
      <c r="DL174" s="488"/>
      <c r="DM174" s="488"/>
      <c r="DN174" s="488"/>
      <c r="DO174" s="488"/>
      <c r="DP174" s="488"/>
      <c r="DQ174" s="488"/>
      <c r="DR174" s="488"/>
      <c r="DS174" s="488"/>
      <c r="DT174" s="488"/>
      <c r="DU174" s="488"/>
      <c r="DV174" s="488"/>
      <c r="DW174" s="488"/>
      <c r="DX174" s="488"/>
      <c r="DY174" s="488"/>
      <c r="DZ174" s="488"/>
      <c r="EA174" s="488"/>
      <c r="EB174" s="488"/>
      <c r="EC174" s="488"/>
      <c r="ED174" s="488"/>
      <c r="EE174" s="488"/>
      <c r="EF174" s="488"/>
      <c r="EG174" s="488"/>
      <c r="EH174" s="488"/>
      <c r="EI174" s="488"/>
      <c r="EJ174" s="488"/>
      <c r="EK174" s="488"/>
      <c r="EL174" s="488"/>
      <c r="EM174" s="488"/>
      <c r="EN174" s="488"/>
      <c r="EO174" s="488"/>
      <c r="EP174" s="488"/>
      <c r="EQ174" s="488"/>
      <c r="ER174" s="488"/>
      <c r="ES174" s="488"/>
      <c r="ET174" s="488"/>
      <c r="EU174" s="488"/>
      <c r="EV174" s="488"/>
      <c r="EW174" s="488"/>
      <c r="EX174" s="488"/>
      <c r="EY174" s="488"/>
      <c r="EZ174" s="488"/>
      <c r="FA174" s="488"/>
      <c r="FB174" s="488"/>
      <c r="FC174" s="488"/>
      <c r="FD174" s="488"/>
      <c r="FE174" s="488"/>
      <c r="FF174" s="488"/>
      <c r="FG174" s="488"/>
      <c r="FH174" s="488"/>
      <c r="FI174" s="488"/>
      <c r="FJ174" s="488"/>
      <c r="FK174" s="488"/>
      <c r="FL174" s="488"/>
      <c r="FM174" s="488"/>
      <c r="FN174" s="488"/>
      <c r="FO174" s="488"/>
      <c r="FP174" s="488"/>
      <c r="FQ174" s="488"/>
      <c r="FR174" s="488"/>
      <c r="FS174" s="488"/>
      <c r="FT174" s="488"/>
      <c r="FU174" s="488"/>
      <c r="FV174" s="488"/>
      <c r="FW174" s="488"/>
      <c r="FX174" s="488"/>
      <c r="FY174" s="488"/>
      <c r="FZ174" s="488"/>
      <c r="GA174" s="488"/>
      <c r="GB174" s="488"/>
      <c r="GC174" s="488"/>
      <c r="GD174" s="488"/>
      <c r="GE174" s="488"/>
      <c r="GF174" s="488"/>
      <c r="GG174" s="488"/>
      <c r="GH174" s="488"/>
      <c r="GI174" s="488"/>
      <c r="GJ174" s="488"/>
      <c r="GK174" s="488"/>
      <c r="GL174" s="488"/>
      <c r="GM174" s="488"/>
      <c r="GN174" s="488"/>
      <c r="GO174" s="488"/>
      <c r="GP174" s="488"/>
      <c r="GQ174" s="488"/>
      <c r="GR174" s="488"/>
      <c r="GS174" s="488"/>
      <c r="GT174" s="488"/>
      <c r="GU174" s="488"/>
      <c r="GV174" s="488"/>
      <c r="GW174" s="488"/>
      <c r="GX174" s="488"/>
      <c r="GY174" s="488"/>
      <c r="GZ174" s="488"/>
      <c r="HA174" s="488"/>
      <c r="HB174" s="488"/>
      <c r="HC174" s="488"/>
      <c r="HD174" s="488"/>
      <c r="HE174" s="488"/>
      <c r="HF174" s="488"/>
      <c r="HG174" s="488"/>
      <c r="HH174" s="488"/>
      <c r="HI174" s="488"/>
      <c r="HJ174" s="488"/>
      <c r="HK174" s="488"/>
      <c r="HL174" s="488"/>
      <c r="HM174" s="488"/>
      <c r="HN174" s="488"/>
      <c r="HO174" s="488"/>
      <c r="HP174" s="488"/>
      <c r="HQ174" s="488"/>
      <c r="HR174" s="488"/>
      <c r="HS174" s="488"/>
      <c r="HT174" s="488"/>
      <c r="HU174" s="488"/>
      <c r="HV174" s="488"/>
      <c r="HW174" s="488"/>
      <c r="HX174" s="488"/>
      <c r="HY174" s="488"/>
      <c r="HZ174" s="488"/>
      <c r="IA174" s="488"/>
      <c r="IB174" s="488"/>
      <c r="IC174" s="488"/>
      <c r="ID174" s="488"/>
      <c r="IE174" s="488"/>
      <c r="IF174" s="488"/>
      <c r="IG174" s="488"/>
      <c r="IH174" s="488"/>
      <c r="II174" s="488"/>
      <c r="IJ174" s="488"/>
      <c r="IK174" s="488"/>
      <c r="IL174" s="488"/>
      <c r="IM174" s="488"/>
      <c r="IN174" s="488"/>
      <c r="IO174" s="488"/>
      <c r="IP174" s="488"/>
      <c r="IQ174" s="488"/>
      <c r="IR174" s="488"/>
      <c r="IS174" s="488"/>
      <c r="IT174" s="488"/>
      <c r="IU174" s="488"/>
      <c r="IV174" s="488"/>
    </row>
    <row r="175" spans="1:256" ht="60">
      <c r="B175" s="489"/>
      <c r="C175" s="490" t="s">
        <v>12</v>
      </c>
      <c r="D175" s="490" t="s">
        <v>13</v>
      </c>
      <c r="E175" s="490" t="s">
        <v>14</v>
      </c>
      <c r="F175" s="490" t="s">
        <v>12</v>
      </c>
      <c r="G175" s="490" t="s">
        <v>13</v>
      </c>
      <c r="H175" s="490" t="s">
        <v>14</v>
      </c>
      <c r="I175" s="491"/>
      <c r="K175" s="492" t="s">
        <v>416</v>
      </c>
      <c r="L175" s="492" t="s">
        <v>417</v>
      </c>
      <c r="M175" s="492" t="s">
        <v>418</v>
      </c>
      <c r="N175" s="493" t="s">
        <v>419</v>
      </c>
      <c r="O175" s="493" t="s">
        <v>15</v>
      </c>
      <c r="P175" s="493" t="s">
        <v>420</v>
      </c>
      <c r="Q175" s="494" t="s">
        <v>421</v>
      </c>
      <c r="R175" s="492" t="s">
        <v>422</v>
      </c>
      <c r="S175" s="475" t="s">
        <v>415</v>
      </c>
      <c r="T175" s="493" t="s">
        <v>423</v>
      </c>
      <c r="U175" s="493" t="s">
        <v>424</v>
      </c>
      <c r="V175" s="495" t="s">
        <v>16</v>
      </c>
      <c r="W175" s="496" t="s">
        <v>16</v>
      </c>
      <c r="X175" s="497"/>
      <c r="Y175" s="498"/>
      <c r="Z175" s="499" t="s">
        <v>425</v>
      </c>
      <c r="AA175" s="493" t="s">
        <v>426</v>
      </c>
      <c r="AB175" s="475" t="s">
        <v>17</v>
      </c>
      <c r="AC175" s="475" t="s">
        <v>18</v>
      </c>
      <c r="AD175" s="475" t="s">
        <v>427</v>
      </c>
      <c r="AE175" s="493" t="s">
        <v>428</v>
      </c>
      <c r="AF175" s="493" t="s">
        <v>429</v>
      </c>
      <c r="AG175" s="500" t="s">
        <v>19</v>
      </c>
      <c r="AH175" s="500" t="s">
        <v>20</v>
      </c>
      <c r="AI175" s="475" t="s">
        <v>430</v>
      </c>
      <c r="AJ175" s="493" t="s">
        <v>431</v>
      </c>
      <c r="AK175" s="493" t="s">
        <v>432</v>
      </c>
      <c r="AL175" s="493" t="s">
        <v>433</v>
      </c>
      <c r="AM175" s="475" t="s">
        <v>434</v>
      </c>
      <c r="AN175" s="501" t="s">
        <v>435</v>
      </c>
      <c r="AO175" s="493" t="s">
        <v>436</v>
      </c>
      <c r="AP175" s="493" t="s">
        <v>437</v>
      </c>
      <c r="AQ175" s="475" t="s">
        <v>415</v>
      </c>
      <c r="AR175" s="493" t="s">
        <v>438</v>
      </c>
      <c r="AS175" s="493" t="s">
        <v>439</v>
      </c>
      <c r="AT175" s="495" t="s">
        <v>16</v>
      </c>
      <c r="AU175" s="496" t="s">
        <v>16</v>
      </c>
      <c r="AV175" s="497"/>
      <c r="AX175" s="502" t="s">
        <v>21</v>
      </c>
      <c r="AY175" s="502" t="s">
        <v>17</v>
      </c>
      <c r="AZ175" s="503" t="s">
        <v>22</v>
      </c>
      <c r="BA175" s="504" t="s">
        <v>23</v>
      </c>
      <c r="BC175" s="475" t="s">
        <v>440</v>
      </c>
      <c r="BD175" s="475" t="s">
        <v>441</v>
      </c>
      <c r="BE175" s="475" t="s">
        <v>24</v>
      </c>
      <c r="BF175" s="475" t="s">
        <v>25</v>
      </c>
      <c r="BG175" s="475" t="s">
        <v>26</v>
      </c>
      <c r="BH175" s="475" t="s">
        <v>27</v>
      </c>
      <c r="BI175" s="475" t="s">
        <v>28</v>
      </c>
      <c r="BJ175" s="475" t="s">
        <v>442</v>
      </c>
      <c r="BK175" s="475" t="s">
        <v>29</v>
      </c>
      <c r="BL175" s="475" t="s">
        <v>30</v>
      </c>
      <c r="BM175" s="505" t="s">
        <v>443</v>
      </c>
      <c r="BN175" s="505" t="s">
        <v>444</v>
      </c>
      <c r="BO175" s="505" t="s">
        <v>445</v>
      </c>
      <c r="BP175" s="505" t="s">
        <v>446</v>
      </c>
      <c r="BQ175" s="505" t="s">
        <v>447</v>
      </c>
      <c r="BR175" s="506"/>
      <c r="BS175" s="493" t="s">
        <v>448</v>
      </c>
      <c r="BT175" s="493" t="s">
        <v>449</v>
      </c>
      <c r="BU175" s="494" t="s">
        <v>450</v>
      </c>
      <c r="BV175" s="495" t="s">
        <v>451</v>
      </c>
      <c r="BW175" s="496" t="s">
        <v>452</v>
      </c>
    </row>
    <row r="176" spans="1:256">
      <c r="A176" s="477"/>
      <c r="B176" s="507" t="s">
        <v>78</v>
      </c>
      <c r="C176" s="508"/>
      <c r="D176" s="509">
        <f>E176-C176</f>
        <v>0</v>
      </c>
      <c r="E176" s="510"/>
      <c r="F176" s="508"/>
      <c r="G176" s="509">
        <f>H176-F176</f>
        <v>0</v>
      </c>
      <c r="H176" s="510"/>
      <c r="I176" s="511"/>
      <c r="K176" s="512" t="e">
        <f>(C176/E176)/(F176/H176)</f>
        <v>#DIV/0!</v>
      </c>
      <c r="L176" s="513" t="e">
        <f>(D176/(C176*E176)+(G176/(F176*H176)))</f>
        <v>#DIV/0!</v>
      </c>
      <c r="M176" s="514" t="e">
        <f>1/L176</f>
        <v>#DIV/0!</v>
      </c>
      <c r="N176" s="515" t="e">
        <f>LN(K176)</f>
        <v>#DIV/0!</v>
      </c>
      <c r="O176" s="515" t="e">
        <f>M176*N176</f>
        <v>#DIV/0!</v>
      </c>
      <c r="P176" s="515" t="e">
        <f>LN(K176)</f>
        <v>#DIV/0!</v>
      </c>
      <c r="Q176" s="600" t="e">
        <f>K176</f>
        <v>#DIV/0!</v>
      </c>
      <c r="R176" s="517" t="e">
        <f>SQRT(1/M176)</f>
        <v>#DIV/0!</v>
      </c>
      <c r="S176" s="518">
        <f>$H$2</f>
        <v>1.9599639845400536</v>
      </c>
      <c r="T176" s="519" t="e">
        <f>P176-(R176*S176)</f>
        <v>#DIV/0!</v>
      </c>
      <c r="U176" s="519" t="e">
        <f>P176+(R176*S176)</f>
        <v>#DIV/0!</v>
      </c>
      <c r="V176" s="520" t="e">
        <f t="shared" ref="V176:W179" si="106">EXP(T176)</f>
        <v>#DIV/0!</v>
      </c>
      <c r="W176" s="521" t="e">
        <f t="shared" si="106"/>
        <v>#DIV/0!</v>
      </c>
      <c r="X176" s="522"/>
      <c r="Z176" s="523" t="e">
        <f>(N176-P179)^2</f>
        <v>#DIV/0!</v>
      </c>
      <c r="AA176" s="521" t="e">
        <f>M176*Z176</f>
        <v>#DIV/0!</v>
      </c>
      <c r="AB176" s="473">
        <v>1</v>
      </c>
      <c r="AC176" s="506"/>
      <c r="AD176" s="506"/>
      <c r="AE176" s="514" t="e">
        <f>M176^2</f>
        <v>#DIV/0!</v>
      </c>
      <c r="AF176" s="524"/>
      <c r="AG176" s="525" t="e">
        <f>AG179</f>
        <v>#DIV/0!</v>
      </c>
      <c r="AH176" s="525" t="e">
        <f>AH179</f>
        <v>#DIV/0!</v>
      </c>
      <c r="AI176" s="521" t="e">
        <f>1/M176</f>
        <v>#DIV/0!</v>
      </c>
      <c r="AJ176" s="526" t="e">
        <f>1/(AH176+AI176)</f>
        <v>#DIV/0!</v>
      </c>
      <c r="AK176" s="527" t="e">
        <f>AJ176/AJ179</f>
        <v>#DIV/0!</v>
      </c>
      <c r="AL176" s="528" t="e">
        <f>AJ176*N176</f>
        <v>#DIV/0!</v>
      </c>
      <c r="AM176" s="528" t="e">
        <f>AL176/AJ176</f>
        <v>#DIV/0!</v>
      </c>
      <c r="AN176" s="521" t="e">
        <f>EXP(AM176)</f>
        <v>#DIV/0!</v>
      </c>
      <c r="AO176" s="529" t="e">
        <f>1/AJ176</f>
        <v>#DIV/0!</v>
      </c>
      <c r="AP176" s="521" t="e">
        <f>SQRT(AO176)</f>
        <v>#DIV/0!</v>
      </c>
      <c r="AQ176" s="518">
        <f>$H$2</f>
        <v>1.9599639845400536</v>
      </c>
      <c r="AR176" s="519" t="e">
        <f>AM176-(AQ176*AP176)</f>
        <v>#DIV/0!</v>
      </c>
      <c r="AS176" s="519" t="e">
        <f>AM176+(1.96*AP176)</f>
        <v>#DIV/0!</v>
      </c>
      <c r="AT176" s="530" t="e">
        <f t="shared" ref="AT176:AU179" si="107">EXP(AR176)</f>
        <v>#DIV/0!</v>
      </c>
      <c r="AU176" s="530" t="e">
        <f t="shared" si="107"/>
        <v>#DIV/0!</v>
      </c>
      <c r="AV176" s="491"/>
      <c r="AX176" s="531"/>
      <c r="AY176" s="531">
        <v>1</v>
      </c>
      <c r="AZ176" s="532"/>
      <c r="BA176" s="532"/>
      <c r="BC176" s="506"/>
      <c r="BD176" s="506"/>
      <c r="BE176" s="473"/>
      <c r="BF176" s="473"/>
      <c r="BG176" s="473"/>
      <c r="BH176" s="473"/>
      <c r="BI176" s="473"/>
      <c r="BJ176" s="473"/>
      <c r="BK176" s="473"/>
      <c r="BL176" s="473"/>
      <c r="BM176" s="506"/>
      <c r="BN176" s="506"/>
      <c r="BO176" s="506"/>
      <c r="BP176" s="506"/>
      <c r="BQ176" s="506"/>
      <c r="BR176" s="506"/>
      <c r="BS176" s="506"/>
      <c r="BT176" s="506"/>
      <c r="BU176" s="506"/>
      <c r="BV176" s="506"/>
      <c r="BW176" s="506"/>
    </row>
    <row r="177" spans="1:256">
      <c r="B177" s="507" t="s">
        <v>79</v>
      </c>
      <c r="C177" s="508"/>
      <c r="D177" s="509">
        <f>E177-C177</f>
        <v>0</v>
      </c>
      <c r="E177" s="510"/>
      <c r="F177" s="508"/>
      <c r="G177" s="509">
        <f>H177-F177</f>
        <v>0</v>
      </c>
      <c r="H177" s="510"/>
      <c r="I177" s="511"/>
      <c r="K177" s="512" t="e">
        <f>(C177/E177)/(F177/H177)</f>
        <v>#DIV/0!</v>
      </c>
      <c r="L177" s="513" t="e">
        <f>(D177/(C177*E177)+(G177/(F177*H177)))</f>
        <v>#DIV/0!</v>
      </c>
      <c r="M177" s="514" t="e">
        <f>1/L177</f>
        <v>#DIV/0!</v>
      </c>
      <c r="N177" s="515" t="e">
        <f>LN(K177)</f>
        <v>#DIV/0!</v>
      </c>
      <c r="O177" s="515" t="e">
        <f>M177*N177</f>
        <v>#DIV/0!</v>
      </c>
      <c r="P177" s="515" t="e">
        <f>LN(K177)</f>
        <v>#DIV/0!</v>
      </c>
      <c r="Q177" s="600" t="e">
        <f>K177</f>
        <v>#DIV/0!</v>
      </c>
      <c r="R177" s="517" t="e">
        <f>SQRT(1/M177)</f>
        <v>#DIV/0!</v>
      </c>
      <c r="S177" s="518">
        <f>$H$2</f>
        <v>1.9599639845400536</v>
      </c>
      <c r="T177" s="519" t="e">
        <f>P177-(R177*S177)</f>
        <v>#DIV/0!</v>
      </c>
      <c r="U177" s="519" t="e">
        <f>P177+(R177*S177)</f>
        <v>#DIV/0!</v>
      </c>
      <c r="V177" s="520" t="e">
        <f t="shared" si="106"/>
        <v>#DIV/0!</v>
      </c>
      <c r="W177" s="521" t="e">
        <f t="shared" si="106"/>
        <v>#DIV/0!</v>
      </c>
      <c r="X177" s="522"/>
      <c r="Z177" s="523" t="e">
        <f>(N177-P179)^2</f>
        <v>#DIV/0!</v>
      </c>
      <c r="AA177" s="521" t="e">
        <f>M177*Z177</f>
        <v>#DIV/0!</v>
      </c>
      <c r="AB177" s="473">
        <v>1</v>
      </c>
      <c r="AC177" s="506"/>
      <c r="AD177" s="506"/>
      <c r="AE177" s="514" t="e">
        <f>M177^2</f>
        <v>#DIV/0!</v>
      </c>
      <c r="AF177" s="524"/>
      <c r="AG177" s="525" t="e">
        <f>AG179</f>
        <v>#DIV/0!</v>
      </c>
      <c r="AH177" s="525" t="e">
        <f>AH179</f>
        <v>#DIV/0!</v>
      </c>
      <c r="AI177" s="521" t="e">
        <f>1/M177</f>
        <v>#DIV/0!</v>
      </c>
      <c r="AJ177" s="526" t="e">
        <f>1/(AH177+AI177)</f>
        <v>#DIV/0!</v>
      </c>
      <c r="AK177" s="527" t="e">
        <f>AJ177/AJ179</f>
        <v>#DIV/0!</v>
      </c>
      <c r="AL177" s="528" t="e">
        <f>AJ177*N177</f>
        <v>#DIV/0!</v>
      </c>
      <c r="AM177" s="528" t="e">
        <f>AL177/AJ177</f>
        <v>#DIV/0!</v>
      </c>
      <c r="AN177" s="521" t="e">
        <f>EXP(AM177)</f>
        <v>#DIV/0!</v>
      </c>
      <c r="AO177" s="529" t="e">
        <f>1/AJ177</f>
        <v>#DIV/0!</v>
      </c>
      <c r="AP177" s="521" t="e">
        <f>SQRT(AO177)</f>
        <v>#DIV/0!</v>
      </c>
      <c r="AQ177" s="518">
        <f>$H$2</f>
        <v>1.9599639845400536</v>
      </c>
      <c r="AR177" s="519" t="e">
        <f>AM177-(AQ177*AP177)</f>
        <v>#DIV/0!</v>
      </c>
      <c r="AS177" s="519" t="e">
        <f>AM177+(1.96*AP177)</f>
        <v>#DIV/0!</v>
      </c>
      <c r="AT177" s="530" t="e">
        <f t="shared" si="107"/>
        <v>#DIV/0!</v>
      </c>
      <c r="AU177" s="530" t="e">
        <f t="shared" si="107"/>
        <v>#DIV/0!</v>
      </c>
      <c r="AV177" s="491"/>
      <c r="AX177" s="531"/>
      <c r="AY177" s="531">
        <v>1</v>
      </c>
      <c r="AZ177" s="532"/>
      <c r="BA177" s="532"/>
      <c r="BC177" s="506"/>
      <c r="BD177" s="506"/>
      <c r="BE177" s="473"/>
      <c r="BF177" s="473"/>
      <c r="BG177" s="473"/>
      <c r="BH177" s="473"/>
      <c r="BI177" s="473"/>
      <c r="BJ177" s="473"/>
      <c r="BK177" s="473"/>
      <c r="BL177" s="473"/>
      <c r="BM177" s="506"/>
      <c r="BN177" s="506"/>
      <c r="BO177" s="506"/>
      <c r="BP177" s="506"/>
      <c r="BQ177" s="506"/>
      <c r="BR177" s="506"/>
      <c r="BS177" s="506"/>
      <c r="BT177" s="506"/>
      <c r="BU177" s="506"/>
      <c r="BV177" s="506"/>
      <c r="BW177" s="506"/>
    </row>
    <row r="178" spans="1:256">
      <c r="B178" s="507" t="s">
        <v>80</v>
      </c>
      <c r="C178" s="508"/>
      <c r="D178" s="509">
        <f>E178-C178</f>
        <v>0</v>
      </c>
      <c r="E178" s="510"/>
      <c r="F178" s="508"/>
      <c r="G178" s="509">
        <f>H178-F178</f>
        <v>0</v>
      </c>
      <c r="H178" s="510"/>
      <c r="I178" s="511"/>
      <c r="K178" s="512" t="e">
        <f>(C178/E178)/(F178/H178)</f>
        <v>#DIV/0!</v>
      </c>
      <c r="L178" s="513" t="e">
        <f>(D178/(C178*E178)+(G178/(F178*H178)))</f>
        <v>#DIV/0!</v>
      </c>
      <c r="M178" s="514" t="e">
        <f>1/L178</f>
        <v>#DIV/0!</v>
      </c>
      <c r="N178" s="515" t="e">
        <f>LN(K178)</f>
        <v>#DIV/0!</v>
      </c>
      <c r="O178" s="515" t="e">
        <f>M178*N178</f>
        <v>#DIV/0!</v>
      </c>
      <c r="P178" s="515" t="e">
        <f>LN(K178)</f>
        <v>#DIV/0!</v>
      </c>
      <c r="Q178" s="600" t="e">
        <f>K178</f>
        <v>#DIV/0!</v>
      </c>
      <c r="R178" s="517" t="e">
        <f>SQRT(1/M178)</f>
        <v>#DIV/0!</v>
      </c>
      <c r="S178" s="518">
        <f>$H$2</f>
        <v>1.9599639845400536</v>
      </c>
      <c r="T178" s="519" t="e">
        <f>P178-(R178*S178)</f>
        <v>#DIV/0!</v>
      </c>
      <c r="U178" s="519" t="e">
        <f>P178+(R178*S178)</f>
        <v>#DIV/0!</v>
      </c>
      <c r="V178" s="520" t="e">
        <f t="shared" si="106"/>
        <v>#DIV/0!</v>
      </c>
      <c r="W178" s="521" t="e">
        <f t="shared" si="106"/>
        <v>#DIV/0!</v>
      </c>
      <c r="X178" s="522"/>
      <c r="Z178" s="523" t="e">
        <f>(N178-P179)^2</f>
        <v>#DIV/0!</v>
      </c>
      <c r="AA178" s="521" t="e">
        <f>M178*Z178</f>
        <v>#DIV/0!</v>
      </c>
      <c r="AB178" s="473">
        <v>1</v>
      </c>
      <c r="AC178" s="506"/>
      <c r="AD178" s="506"/>
      <c r="AE178" s="514" t="e">
        <f>M178^2</f>
        <v>#DIV/0!</v>
      </c>
      <c r="AF178" s="524"/>
      <c r="AG178" s="525" t="e">
        <f>AG179</f>
        <v>#DIV/0!</v>
      </c>
      <c r="AH178" s="525" t="e">
        <f>AH179</f>
        <v>#DIV/0!</v>
      </c>
      <c r="AI178" s="521" t="e">
        <f>1/M178</f>
        <v>#DIV/0!</v>
      </c>
      <c r="AJ178" s="526" t="e">
        <f>1/(AH178+AI178)</f>
        <v>#DIV/0!</v>
      </c>
      <c r="AK178" s="527" t="e">
        <f>AJ178/AJ179</f>
        <v>#DIV/0!</v>
      </c>
      <c r="AL178" s="528" t="e">
        <f>AJ178*N178</f>
        <v>#DIV/0!</v>
      </c>
      <c r="AM178" s="528" t="e">
        <f>AL178/AJ178</f>
        <v>#DIV/0!</v>
      </c>
      <c r="AN178" s="521" t="e">
        <f>EXP(AM178)</f>
        <v>#DIV/0!</v>
      </c>
      <c r="AO178" s="529" t="e">
        <f>1/AJ178</f>
        <v>#DIV/0!</v>
      </c>
      <c r="AP178" s="521" t="e">
        <f>SQRT(AO178)</f>
        <v>#DIV/0!</v>
      </c>
      <c r="AQ178" s="518">
        <f>$H$2</f>
        <v>1.9599639845400536</v>
      </c>
      <c r="AR178" s="519" t="e">
        <f>AM178-(AQ178*AP178)</f>
        <v>#DIV/0!</v>
      </c>
      <c r="AS178" s="519" t="e">
        <f>AM178+(1.96*AP178)</f>
        <v>#DIV/0!</v>
      </c>
      <c r="AT178" s="530" t="e">
        <f t="shared" si="107"/>
        <v>#DIV/0!</v>
      </c>
      <c r="AU178" s="530" t="e">
        <f t="shared" si="107"/>
        <v>#DIV/0!</v>
      </c>
      <c r="AV178" s="491"/>
      <c r="AX178" s="531"/>
      <c r="AY178" s="531">
        <v>1</v>
      </c>
      <c r="AZ178" s="532"/>
      <c r="BA178" s="532"/>
      <c r="BC178" s="506"/>
      <c r="BD178" s="506"/>
      <c r="BE178" s="473"/>
      <c r="BF178" s="473"/>
      <c r="BG178" s="473"/>
      <c r="BH178" s="473"/>
      <c r="BI178" s="473"/>
      <c r="BJ178" s="473"/>
      <c r="BK178" s="473"/>
      <c r="BL178" s="473"/>
      <c r="BM178" s="506"/>
      <c r="BN178" s="506"/>
      <c r="BO178" s="506"/>
      <c r="BP178" s="506"/>
      <c r="BQ178" s="506"/>
      <c r="BR178" s="506"/>
      <c r="BS178" s="506"/>
      <c r="BT178" s="506"/>
      <c r="BU178" s="506"/>
      <c r="BV178" s="506"/>
      <c r="BW178" s="506"/>
    </row>
    <row r="179" spans="1:256">
      <c r="A179" s="477"/>
      <c r="B179" s="533">
        <f>COUNT(D176:D178)</f>
        <v>3</v>
      </c>
      <c r="C179" s="534">
        <f t="shared" ref="C179:H179" si="108">SUM(C176:C178)</f>
        <v>0</v>
      </c>
      <c r="D179" s="534">
        <f t="shared" si="108"/>
        <v>0</v>
      </c>
      <c r="E179" s="534">
        <f t="shared" si="108"/>
        <v>0</v>
      </c>
      <c r="F179" s="534">
        <f t="shared" si="108"/>
        <v>0</v>
      </c>
      <c r="G179" s="534">
        <f t="shared" si="108"/>
        <v>0</v>
      </c>
      <c r="H179" s="534">
        <f t="shared" si="108"/>
        <v>0</v>
      </c>
      <c r="I179" s="535"/>
      <c r="K179" s="536"/>
      <c r="L179" s="537"/>
      <c r="M179" s="538" t="e">
        <f>SUM(M176:M178)</f>
        <v>#DIV/0!</v>
      </c>
      <c r="N179" s="539"/>
      <c r="O179" s="540" t="e">
        <f>SUM(O176:O178)</f>
        <v>#DIV/0!</v>
      </c>
      <c r="P179" s="541" t="e">
        <f>O179/M179</f>
        <v>#DIV/0!</v>
      </c>
      <c r="Q179" s="542" t="e">
        <f>EXP(P179)</f>
        <v>#DIV/0!</v>
      </c>
      <c r="R179" s="543" t="e">
        <f>SQRT(1/M179)</f>
        <v>#DIV/0!</v>
      </c>
      <c r="S179" s="518">
        <f>$H$2</f>
        <v>1.9599639845400536</v>
      </c>
      <c r="T179" s="544" t="e">
        <f>P179-(R179*S179)</f>
        <v>#DIV/0!</v>
      </c>
      <c r="U179" s="544" t="e">
        <f>P179+(R179*S179)</f>
        <v>#DIV/0!</v>
      </c>
      <c r="V179" s="545" t="e">
        <f t="shared" si="106"/>
        <v>#DIV/0!</v>
      </c>
      <c r="W179" s="546" t="e">
        <f t="shared" si="106"/>
        <v>#DIV/0!</v>
      </c>
      <c r="X179" s="547"/>
      <c r="Y179" s="547"/>
      <c r="Z179" s="548"/>
      <c r="AA179" s="549" t="e">
        <f>SUM(AA176:AA178)</f>
        <v>#DIV/0!</v>
      </c>
      <c r="AB179" s="550">
        <f>SUM(AB176:AB178)</f>
        <v>3</v>
      </c>
      <c r="AC179" s="551" t="e">
        <f>AA179-(AB179-1)</f>
        <v>#DIV/0!</v>
      </c>
      <c r="AD179" s="538" t="e">
        <f>M179</f>
        <v>#DIV/0!</v>
      </c>
      <c r="AE179" s="538" t="e">
        <f>SUM(AE176:AE178)</f>
        <v>#DIV/0!</v>
      </c>
      <c r="AF179" s="552" t="e">
        <f>AE179/AD179</f>
        <v>#DIV/0!</v>
      </c>
      <c r="AG179" s="553" t="e">
        <f>AC179/(AD179-AF179)</f>
        <v>#DIV/0!</v>
      </c>
      <c r="AH179" s="553" t="e">
        <f>IF(AA179&lt;AB179-1,"0",AG179)</f>
        <v>#DIV/0!</v>
      </c>
      <c r="AI179" s="548"/>
      <c r="AJ179" s="538" t="e">
        <f>SUM(AJ176:AJ178)</f>
        <v>#DIV/0!</v>
      </c>
      <c r="AK179" s="554" t="e">
        <f>SUM(AK176:AK178)</f>
        <v>#DIV/0!</v>
      </c>
      <c r="AL179" s="551" t="e">
        <f>SUM(AL176:AL178)</f>
        <v>#DIV/0!</v>
      </c>
      <c r="AM179" s="551" t="e">
        <f>AL179/AJ179</f>
        <v>#DIV/0!</v>
      </c>
      <c r="AN179" s="616" t="e">
        <f>EXP(AM179)</f>
        <v>#DIV/0!</v>
      </c>
      <c r="AO179" s="556" t="e">
        <f>1/AJ179</f>
        <v>#DIV/0!</v>
      </c>
      <c r="AP179" s="557" t="e">
        <f>SQRT(AO179)</f>
        <v>#DIV/0!</v>
      </c>
      <c r="AQ179" s="518">
        <f>$H$2</f>
        <v>1.9599639845400536</v>
      </c>
      <c r="AR179" s="544" t="e">
        <f>AM179-(AQ179*AP179)</f>
        <v>#DIV/0!</v>
      </c>
      <c r="AS179" s="544" t="e">
        <f>AM179+(1.96*AP179)</f>
        <v>#DIV/0!</v>
      </c>
      <c r="AT179" s="603" t="e">
        <f t="shared" si="107"/>
        <v>#DIV/0!</v>
      </c>
      <c r="AU179" s="604" t="e">
        <f t="shared" si="107"/>
        <v>#DIV/0!</v>
      </c>
      <c r="AV179" s="560"/>
      <c r="AW179" s="468"/>
      <c r="AX179" s="561" t="e">
        <f>AA179</f>
        <v>#DIV/0!</v>
      </c>
      <c r="AY179" s="533">
        <f>SUM(AY176:AY178)</f>
        <v>3</v>
      </c>
      <c r="AZ179" s="562" t="e">
        <f>(AX179-(AY179-1))/AX179</f>
        <v>#DIV/0!</v>
      </c>
      <c r="BA179" s="563" t="e">
        <f>IF(AA179&lt;AB179-1,"0%",AZ179)</f>
        <v>#DIV/0!</v>
      </c>
      <c r="BB179" s="468"/>
      <c r="BC179" s="540" t="e">
        <f>AX179/(AY179-1)</f>
        <v>#DIV/0!</v>
      </c>
      <c r="BD179" s="564" t="e">
        <f>LN(BC179)</f>
        <v>#DIV/0!</v>
      </c>
      <c r="BE179" s="540" t="e">
        <f>LN(AX179)</f>
        <v>#DIV/0!</v>
      </c>
      <c r="BF179" s="540">
        <f>LN(AY179-1)</f>
        <v>0.69314718055994529</v>
      </c>
      <c r="BG179" s="540" t="e">
        <f>SQRT(2*AX179)</f>
        <v>#DIV/0!</v>
      </c>
      <c r="BH179" s="540">
        <f>SQRT(2*AY179-3)</f>
        <v>1.7320508075688772</v>
      </c>
      <c r="BI179" s="540">
        <f>2*(AY179-2)</f>
        <v>2</v>
      </c>
      <c r="BJ179" s="540">
        <f>3*(AY179-2)^2</f>
        <v>3</v>
      </c>
      <c r="BK179" s="540">
        <f>1/BI179</f>
        <v>0.5</v>
      </c>
      <c r="BL179" s="540">
        <f>1/BJ179</f>
        <v>0.33333333333333331</v>
      </c>
      <c r="BM179" s="540">
        <f>SQRT(BK179*(1-BL179))</f>
        <v>0.57735026918962584</v>
      </c>
      <c r="BN179" s="564" t="e">
        <f>0.5*(BE179-BF179)/(BG179-BH179)</f>
        <v>#DIV/0!</v>
      </c>
      <c r="BO179" s="564" t="e">
        <f>IF(AA179&lt;=AB179,BM179,BN179)</f>
        <v>#DIV/0!</v>
      </c>
      <c r="BP179" s="551" t="e">
        <f>BD179-(1.96*BO179)</f>
        <v>#DIV/0!</v>
      </c>
      <c r="BQ179" s="551" t="e">
        <f>BD179+(1.96*BO179)</f>
        <v>#DIV/0!</v>
      </c>
      <c r="BR179" s="551"/>
      <c r="BS179" s="564" t="e">
        <f>EXP(BP179)</f>
        <v>#DIV/0!</v>
      </c>
      <c r="BT179" s="564" t="e">
        <f>EXP(BQ179)</f>
        <v>#DIV/0!</v>
      </c>
      <c r="BU179" s="565" t="e">
        <f>BA179</f>
        <v>#DIV/0!</v>
      </c>
      <c r="BV179" s="565" t="e">
        <f>(BS179-1)/BS179</f>
        <v>#DIV/0!</v>
      </c>
      <c r="BW179" s="565" t="e">
        <f>(BT179-1)/BT179</f>
        <v>#DIV/0!</v>
      </c>
    </row>
    <row r="180" spans="1:256" ht="13.5" thickBot="1">
      <c r="C180" s="566"/>
      <c r="D180" s="566"/>
      <c r="E180" s="566"/>
      <c r="F180" s="566"/>
      <c r="G180" s="566"/>
      <c r="H180" s="566"/>
      <c r="I180" s="567"/>
      <c r="R180" s="568"/>
      <c r="S180" s="568"/>
      <c r="T180" s="568"/>
      <c r="U180" s="568"/>
      <c r="V180" s="568"/>
      <c r="W180" s="568"/>
      <c r="X180" s="568"/>
      <c r="AB180" s="569"/>
      <c r="AC180" s="570"/>
      <c r="AD180" s="571"/>
      <c r="AE180" s="570"/>
      <c r="AF180" s="572"/>
      <c r="AG180" s="572"/>
      <c r="AH180" s="572"/>
      <c r="AI180" s="572"/>
      <c r="AT180" s="573"/>
      <c r="AU180" s="573"/>
      <c r="AV180" s="573"/>
      <c r="AX180" s="480" t="s">
        <v>35</v>
      </c>
      <c r="BG180" s="483"/>
      <c r="BN180" s="570" t="s">
        <v>36</v>
      </c>
      <c r="BT180" s="574" t="s">
        <v>37</v>
      </c>
      <c r="BU180" s="575" t="e">
        <f>BU179</f>
        <v>#DIV/0!</v>
      </c>
      <c r="BV180" s="576" t="e">
        <f>IF(BV179&lt;0,"0%",BV179)</f>
        <v>#DIV/0!</v>
      </c>
      <c r="BW180" s="577" t="e">
        <f>IF(BW179&lt;0,"0%",BW179)</f>
        <v>#DIV/0!</v>
      </c>
    </row>
    <row r="181" spans="1:256" ht="26.5" thickBot="1">
      <c r="A181" s="477"/>
      <c r="B181" s="480"/>
      <c r="C181" s="580"/>
      <c r="D181" s="580"/>
      <c r="E181" s="580"/>
      <c r="F181" s="580"/>
      <c r="G181" s="580"/>
      <c r="H181" s="580"/>
      <c r="I181" s="581"/>
      <c r="J181" s="480"/>
      <c r="K181" s="480"/>
      <c r="L181" s="480"/>
      <c r="R181" s="582"/>
      <c r="S181" s="582"/>
      <c r="T181" s="582"/>
      <c r="U181" s="582"/>
      <c r="V181" s="582"/>
      <c r="W181" s="582"/>
      <c r="X181" s="582"/>
      <c r="AF181" s="472"/>
      <c r="AI181" s="483"/>
      <c r="AJ181" s="583"/>
      <c r="AK181" s="583"/>
      <c r="AL181" s="584"/>
      <c r="AM181" s="585"/>
      <c r="AN181" s="610"/>
      <c r="AO181" s="587" t="s">
        <v>453</v>
      </c>
      <c r="AP181" s="588">
        <f>TINV((1-$H$1),(AB179-2))</f>
        <v>12.706204736174694</v>
      </c>
      <c r="AR181" s="589" t="s">
        <v>38</v>
      </c>
      <c r="AS181" s="590">
        <f>$H$1</f>
        <v>0.95</v>
      </c>
      <c r="AT181" s="591" t="e">
        <f>EXP(AM179-AP181*SQRT((1/AD179)+AH179))</f>
        <v>#DIV/0!</v>
      </c>
      <c r="AU181" s="592" t="e">
        <f>EXP(AM179+AP181*SQRT((1/AD179)+AH179))</f>
        <v>#DIV/0!</v>
      </c>
      <c r="AV181" s="491"/>
      <c r="AX181" s="593" t="e">
        <f>_xlfn.CHISQ.DIST.RT(AX179,AY179-1)</f>
        <v>#DIV/0!</v>
      </c>
      <c r="AY181" s="594" t="e">
        <f>IF(AX181&lt;0.05,"heterogeneidad","homogeneidad")</f>
        <v>#DIV/0!</v>
      </c>
      <c r="BF181" s="595"/>
      <c r="BG181" s="483"/>
      <c r="BH181" s="483"/>
      <c r="BJ181" s="522"/>
      <c r="BL181" s="483"/>
      <c r="BM181" s="596"/>
      <c r="BQ181" s="483"/>
    </row>
    <row r="182" spans="1:256">
      <c r="C182" s="566"/>
      <c r="D182" s="566"/>
      <c r="E182" s="566"/>
      <c r="F182" s="566"/>
      <c r="G182" s="566"/>
      <c r="H182" s="566"/>
      <c r="I182" s="567"/>
      <c r="R182" s="568"/>
      <c r="S182" s="568"/>
      <c r="T182" s="568"/>
      <c r="U182" s="568"/>
      <c r="V182" s="568"/>
      <c r="W182" s="568"/>
      <c r="X182" s="568"/>
      <c r="AF182" s="472"/>
      <c r="AL182" s="585"/>
      <c r="AM182" s="585"/>
      <c r="AR182" s="605"/>
      <c r="AS182" s="605"/>
      <c r="BP182" s="483"/>
    </row>
    <row r="183" spans="1:256">
      <c r="C183" s="566"/>
      <c r="D183" s="566"/>
      <c r="E183" s="566"/>
      <c r="F183" s="566"/>
      <c r="G183" s="566"/>
      <c r="H183" s="566"/>
      <c r="I183" s="567"/>
      <c r="J183" s="624" t="s">
        <v>4</v>
      </c>
      <c r="K183" s="625"/>
      <c r="L183" s="625"/>
      <c r="M183" s="625"/>
      <c r="N183" s="625"/>
      <c r="O183" s="625"/>
      <c r="P183" s="625"/>
      <c r="Q183" s="625"/>
      <c r="R183" s="625"/>
      <c r="S183" s="625"/>
      <c r="T183" s="625"/>
      <c r="U183" s="625"/>
      <c r="V183" s="625"/>
      <c r="W183" s="626"/>
      <c r="X183" s="484"/>
      <c r="Y183" s="624" t="s">
        <v>5</v>
      </c>
      <c r="Z183" s="625"/>
      <c r="AA183" s="625"/>
      <c r="AB183" s="625"/>
      <c r="AC183" s="625"/>
      <c r="AD183" s="625"/>
      <c r="AE183" s="625"/>
      <c r="AF183" s="625"/>
      <c r="AG183" s="625"/>
      <c r="AH183" s="625"/>
      <c r="AI183" s="625"/>
      <c r="AJ183" s="625"/>
      <c r="AK183" s="625"/>
      <c r="AL183" s="625"/>
      <c r="AM183" s="625"/>
      <c r="AN183" s="625"/>
      <c r="AO183" s="625"/>
      <c r="AP183" s="625"/>
      <c r="AQ183" s="625"/>
      <c r="AR183" s="625"/>
      <c r="AS183" s="625"/>
      <c r="AT183" s="625"/>
      <c r="AU183" s="626"/>
      <c r="AV183" s="484"/>
      <c r="AW183" s="624" t="s">
        <v>6</v>
      </c>
      <c r="AX183" s="625"/>
      <c r="AY183" s="625"/>
      <c r="AZ183" s="625"/>
      <c r="BA183" s="625"/>
      <c r="BB183" s="625"/>
      <c r="BC183" s="625"/>
      <c r="BD183" s="625"/>
      <c r="BE183" s="625"/>
      <c r="BF183" s="625"/>
      <c r="BG183" s="625"/>
      <c r="BH183" s="625"/>
      <c r="BI183" s="625"/>
      <c r="BJ183" s="625"/>
      <c r="BK183" s="625"/>
      <c r="BL183" s="625"/>
      <c r="BM183" s="625"/>
      <c r="BN183" s="625"/>
      <c r="BO183" s="625"/>
      <c r="BP183" s="625"/>
      <c r="BQ183" s="625"/>
      <c r="BR183" s="625"/>
      <c r="BS183" s="625"/>
      <c r="BT183" s="625"/>
      <c r="BU183" s="625"/>
      <c r="BV183" s="625"/>
      <c r="BW183" s="626"/>
    </row>
    <row r="184" spans="1:256">
      <c r="A184" s="615"/>
      <c r="B184" s="486" t="s">
        <v>8</v>
      </c>
      <c r="C184" s="623" t="s">
        <v>9</v>
      </c>
      <c r="D184" s="623"/>
      <c r="E184" s="623"/>
      <c r="F184" s="623" t="s">
        <v>10</v>
      </c>
      <c r="G184" s="623"/>
      <c r="H184" s="623"/>
      <c r="I184" s="487"/>
      <c r="J184" s="488"/>
      <c r="K184" s="488"/>
      <c r="L184" s="488"/>
      <c r="M184" s="488"/>
      <c r="N184" s="488"/>
      <c r="O184" s="488"/>
      <c r="P184" s="488"/>
      <c r="Q184" s="488"/>
      <c r="R184" s="488"/>
      <c r="S184" s="488"/>
      <c r="T184" s="488"/>
      <c r="U184" s="488"/>
      <c r="V184" s="488"/>
      <c r="W184" s="488"/>
      <c r="X184" s="488"/>
      <c r="Y184" s="488"/>
      <c r="Z184" s="488"/>
      <c r="AA184" s="488"/>
      <c r="AB184" s="488"/>
      <c r="AC184" s="488"/>
      <c r="AD184" s="488"/>
      <c r="AE184" s="488"/>
      <c r="AF184" s="488"/>
      <c r="AG184" s="488"/>
      <c r="AH184" s="488"/>
      <c r="AI184" s="488"/>
      <c r="AJ184" s="488"/>
      <c r="AK184" s="488"/>
      <c r="AL184" s="488"/>
      <c r="AM184" s="488"/>
      <c r="AN184" s="488"/>
      <c r="AO184" s="488"/>
      <c r="AP184" s="488"/>
      <c r="AQ184" s="488"/>
      <c r="AR184" s="488"/>
      <c r="AS184" s="488"/>
      <c r="AT184" s="488"/>
      <c r="AU184" s="488"/>
      <c r="AV184" s="488"/>
      <c r="AW184" s="488"/>
      <c r="AX184" s="488"/>
      <c r="AY184" s="488"/>
      <c r="AZ184" s="488"/>
      <c r="BA184" s="488"/>
      <c r="BB184" s="488"/>
      <c r="BC184" s="488"/>
      <c r="BD184" s="488"/>
      <c r="BE184" s="488"/>
      <c r="BF184" s="488"/>
      <c r="BG184" s="488"/>
      <c r="BH184" s="488"/>
      <c r="BI184" s="488"/>
      <c r="BJ184" s="488"/>
      <c r="BK184" s="488"/>
      <c r="BL184" s="488"/>
      <c r="BM184" s="488"/>
      <c r="BN184" s="488"/>
      <c r="BO184" s="488"/>
      <c r="BP184" s="488"/>
      <c r="BQ184" s="488"/>
      <c r="BR184" s="488"/>
      <c r="BS184" s="488"/>
      <c r="BT184" s="488"/>
      <c r="BU184" s="488"/>
      <c r="BV184" s="488"/>
      <c r="BW184" s="488"/>
      <c r="BX184" s="488"/>
      <c r="BY184" s="488"/>
      <c r="BZ184" s="488"/>
      <c r="CA184" s="488"/>
      <c r="CB184" s="488"/>
      <c r="CC184" s="488"/>
      <c r="CD184" s="488"/>
      <c r="CE184" s="488"/>
      <c r="CF184" s="488"/>
      <c r="CG184" s="488"/>
      <c r="CH184" s="488"/>
      <c r="CI184" s="488"/>
      <c r="CJ184" s="488"/>
      <c r="CK184" s="488"/>
      <c r="CL184" s="488"/>
      <c r="CM184" s="488"/>
      <c r="CN184" s="488"/>
      <c r="CO184" s="488"/>
      <c r="CP184" s="488"/>
      <c r="CQ184" s="488"/>
      <c r="CR184" s="488"/>
      <c r="CS184" s="488"/>
      <c r="CT184" s="488"/>
      <c r="CU184" s="488"/>
      <c r="CV184" s="488"/>
      <c r="CW184" s="488"/>
      <c r="CX184" s="488"/>
      <c r="CY184" s="488"/>
      <c r="CZ184" s="488"/>
      <c r="DA184" s="488"/>
      <c r="DB184" s="488"/>
      <c r="DC184" s="488"/>
      <c r="DD184" s="488"/>
      <c r="DE184" s="488"/>
      <c r="DF184" s="488"/>
      <c r="DG184" s="488"/>
      <c r="DH184" s="488"/>
      <c r="DI184" s="488"/>
      <c r="DJ184" s="488"/>
      <c r="DK184" s="488"/>
      <c r="DL184" s="488"/>
      <c r="DM184" s="488"/>
      <c r="DN184" s="488"/>
      <c r="DO184" s="488"/>
      <c r="DP184" s="488"/>
      <c r="DQ184" s="488"/>
      <c r="DR184" s="488"/>
      <c r="DS184" s="488"/>
      <c r="DT184" s="488"/>
      <c r="DU184" s="488"/>
      <c r="DV184" s="488"/>
      <c r="DW184" s="488"/>
      <c r="DX184" s="488"/>
      <c r="DY184" s="488"/>
      <c r="DZ184" s="488"/>
      <c r="EA184" s="488"/>
      <c r="EB184" s="488"/>
      <c r="EC184" s="488"/>
      <c r="ED184" s="488"/>
      <c r="EE184" s="488"/>
      <c r="EF184" s="488"/>
      <c r="EG184" s="488"/>
      <c r="EH184" s="488"/>
      <c r="EI184" s="488"/>
      <c r="EJ184" s="488"/>
      <c r="EK184" s="488"/>
      <c r="EL184" s="488"/>
      <c r="EM184" s="488"/>
      <c r="EN184" s="488"/>
      <c r="EO184" s="488"/>
      <c r="EP184" s="488"/>
      <c r="EQ184" s="488"/>
      <c r="ER184" s="488"/>
      <c r="ES184" s="488"/>
      <c r="ET184" s="488"/>
      <c r="EU184" s="488"/>
      <c r="EV184" s="488"/>
      <c r="EW184" s="488"/>
      <c r="EX184" s="488"/>
      <c r="EY184" s="488"/>
      <c r="EZ184" s="488"/>
      <c r="FA184" s="488"/>
      <c r="FB184" s="488"/>
      <c r="FC184" s="488"/>
      <c r="FD184" s="488"/>
      <c r="FE184" s="488"/>
      <c r="FF184" s="488"/>
      <c r="FG184" s="488"/>
      <c r="FH184" s="488"/>
      <c r="FI184" s="488"/>
      <c r="FJ184" s="488"/>
      <c r="FK184" s="488"/>
      <c r="FL184" s="488"/>
      <c r="FM184" s="488"/>
      <c r="FN184" s="488"/>
      <c r="FO184" s="488"/>
      <c r="FP184" s="488"/>
      <c r="FQ184" s="488"/>
      <c r="FR184" s="488"/>
      <c r="FS184" s="488"/>
      <c r="FT184" s="488"/>
      <c r="FU184" s="488"/>
      <c r="FV184" s="488"/>
      <c r="FW184" s="488"/>
      <c r="FX184" s="488"/>
      <c r="FY184" s="488"/>
      <c r="FZ184" s="488"/>
      <c r="GA184" s="488"/>
      <c r="GB184" s="488"/>
      <c r="GC184" s="488"/>
      <c r="GD184" s="488"/>
      <c r="GE184" s="488"/>
      <c r="GF184" s="488"/>
      <c r="GG184" s="488"/>
      <c r="GH184" s="488"/>
      <c r="GI184" s="488"/>
      <c r="GJ184" s="488"/>
      <c r="GK184" s="488"/>
      <c r="GL184" s="488"/>
      <c r="GM184" s="488"/>
      <c r="GN184" s="488"/>
      <c r="GO184" s="488"/>
      <c r="GP184" s="488"/>
      <c r="GQ184" s="488"/>
      <c r="GR184" s="488"/>
      <c r="GS184" s="488"/>
      <c r="GT184" s="488"/>
      <c r="GU184" s="488"/>
      <c r="GV184" s="488"/>
      <c r="GW184" s="488"/>
      <c r="GX184" s="488"/>
      <c r="GY184" s="488"/>
      <c r="GZ184" s="488"/>
      <c r="HA184" s="488"/>
      <c r="HB184" s="488"/>
      <c r="HC184" s="488"/>
      <c r="HD184" s="488"/>
      <c r="HE184" s="488"/>
      <c r="HF184" s="488"/>
      <c r="HG184" s="488"/>
      <c r="HH184" s="488"/>
      <c r="HI184" s="488"/>
      <c r="HJ184" s="488"/>
      <c r="HK184" s="488"/>
      <c r="HL184" s="488"/>
      <c r="HM184" s="488"/>
      <c r="HN184" s="488"/>
      <c r="HO184" s="488"/>
      <c r="HP184" s="488"/>
      <c r="HQ184" s="488"/>
      <c r="HR184" s="488"/>
      <c r="HS184" s="488"/>
      <c r="HT184" s="488"/>
      <c r="HU184" s="488"/>
      <c r="HV184" s="488"/>
      <c r="HW184" s="488"/>
      <c r="HX184" s="488"/>
      <c r="HY184" s="488"/>
      <c r="HZ184" s="488"/>
      <c r="IA184" s="488"/>
      <c r="IB184" s="488"/>
      <c r="IC184" s="488"/>
      <c r="ID184" s="488"/>
      <c r="IE184" s="488"/>
      <c r="IF184" s="488"/>
      <c r="IG184" s="488"/>
      <c r="IH184" s="488"/>
      <c r="II184" s="488"/>
      <c r="IJ184" s="488"/>
      <c r="IK184" s="488"/>
      <c r="IL184" s="488"/>
      <c r="IM184" s="488"/>
      <c r="IN184" s="488"/>
      <c r="IO184" s="488"/>
      <c r="IP184" s="488"/>
      <c r="IQ184" s="488"/>
      <c r="IR184" s="488"/>
      <c r="IS184" s="488"/>
      <c r="IT184" s="488"/>
      <c r="IU184" s="488"/>
      <c r="IV184" s="488"/>
    </row>
    <row r="185" spans="1:256" ht="60">
      <c r="B185" s="489"/>
      <c r="C185" s="490" t="s">
        <v>12</v>
      </c>
      <c r="D185" s="490" t="s">
        <v>13</v>
      </c>
      <c r="E185" s="490" t="s">
        <v>14</v>
      </c>
      <c r="F185" s="490" t="s">
        <v>12</v>
      </c>
      <c r="G185" s="490" t="s">
        <v>13</v>
      </c>
      <c r="H185" s="490" t="s">
        <v>14</v>
      </c>
      <c r="I185" s="491"/>
      <c r="K185" s="492" t="s">
        <v>416</v>
      </c>
      <c r="L185" s="492" t="s">
        <v>417</v>
      </c>
      <c r="M185" s="492" t="s">
        <v>418</v>
      </c>
      <c r="N185" s="493" t="s">
        <v>419</v>
      </c>
      <c r="O185" s="493" t="s">
        <v>15</v>
      </c>
      <c r="P185" s="493" t="s">
        <v>420</v>
      </c>
      <c r="Q185" s="494" t="s">
        <v>421</v>
      </c>
      <c r="R185" s="492" t="s">
        <v>422</v>
      </c>
      <c r="S185" s="475" t="s">
        <v>415</v>
      </c>
      <c r="T185" s="493" t="s">
        <v>423</v>
      </c>
      <c r="U185" s="493" t="s">
        <v>424</v>
      </c>
      <c r="V185" s="495" t="s">
        <v>16</v>
      </c>
      <c r="W185" s="496" t="s">
        <v>16</v>
      </c>
      <c r="X185" s="497"/>
      <c r="Y185" s="498"/>
      <c r="Z185" s="499" t="s">
        <v>425</v>
      </c>
      <c r="AA185" s="493" t="s">
        <v>426</v>
      </c>
      <c r="AB185" s="475" t="s">
        <v>17</v>
      </c>
      <c r="AC185" s="475" t="s">
        <v>18</v>
      </c>
      <c r="AD185" s="475" t="s">
        <v>427</v>
      </c>
      <c r="AE185" s="493" t="s">
        <v>428</v>
      </c>
      <c r="AF185" s="493" t="s">
        <v>429</v>
      </c>
      <c r="AG185" s="500" t="s">
        <v>19</v>
      </c>
      <c r="AH185" s="500" t="s">
        <v>20</v>
      </c>
      <c r="AI185" s="475" t="s">
        <v>430</v>
      </c>
      <c r="AJ185" s="493" t="s">
        <v>431</v>
      </c>
      <c r="AK185" s="493" t="s">
        <v>432</v>
      </c>
      <c r="AL185" s="493" t="s">
        <v>433</v>
      </c>
      <c r="AM185" s="475" t="s">
        <v>434</v>
      </c>
      <c r="AN185" s="501" t="s">
        <v>435</v>
      </c>
      <c r="AO185" s="493" t="s">
        <v>436</v>
      </c>
      <c r="AP185" s="493" t="s">
        <v>437</v>
      </c>
      <c r="AQ185" s="475" t="s">
        <v>415</v>
      </c>
      <c r="AR185" s="493" t="s">
        <v>438</v>
      </c>
      <c r="AS185" s="493" t="s">
        <v>439</v>
      </c>
      <c r="AT185" s="495" t="s">
        <v>16</v>
      </c>
      <c r="AU185" s="496" t="s">
        <v>16</v>
      </c>
      <c r="AV185" s="497"/>
      <c r="AX185" s="502" t="s">
        <v>21</v>
      </c>
      <c r="AY185" s="502" t="s">
        <v>17</v>
      </c>
      <c r="AZ185" s="503" t="s">
        <v>22</v>
      </c>
      <c r="BA185" s="504" t="s">
        <v>23</v>
      </c>
      <c r="BC185" s="475" t="s">
        <v>440</v>
      </c>
      <c r="BD185" s="475" t="s">
        <v>441</v>
      </c>
      <c r="BE185" s="475" t="s">
        <v>24</v>
      </c>
      <c r="BF185" s="475" t="s">
        <v>25</v>
      </c>
      <c r="BG185" s="475" t="s">
        <v>26</v>
      </c>
      <c r="BH185" s="475" t="s">
        <v>27</v>
      </c>
      <c r="BI185" s="475" t="s">
        <v>28</v>
      </c>
      <c r="BJ185" s="475" t="s">
        <v>442</v>
      </c>
      <c r="BK185" s="475" t="s">
        <v>29</v>
      </c>
      <c r="BL185" s="475" t="s">
        <v>30</v>
      </c>
      <c r="BM185" s="505" t="s">
        <v>443</v>
      </c>
      <c r="BN185" s="505" t="s">
        <v>444</v>
      </c>
      <c r="BO185" s="505" t="s">
        <v>445</v>
      </c>
      <c r="BP185" s="505" t="s">
        <v>446</v>
      </c>
      <c r="BQ185" s="505" t="s">
        <v>447</v>
      </c>
      <c r="BR185" s="506"/>
      <c r="BS185" s="493" t="s">
        <v>448</v>
      </c>
      <c r="BT185" s="493" t="s">
        <v>449</v>
      </c>
      <c r="BU185" s="494" t="s">
        <v>450</v>
      </c>
      <c r="BV185" s="495" t="s">
        <v>451</v>
      </c>
      <c r="BW185" s="496" t="s">
        <v>452</v>
      </c>
    </row>
    <row r="186" spans="1:256">
      <c r="A186" s="477"/>
      <c r="B186" s="507" t="s">
        <v>78</v>
      </c>
      <c r="C186" s="508"/>
      <c r="D186" s="509">
        <f>E186-C186</f>
        <v>0</v>
      </c>
      <c r="E186" s="510"/>
      <c r="F186" s="508"/>
      <c r="G186" s="509">
        <f>H186-F186</f>
        <v>0</v>
      </c>
      <c r="H186" s="510"/>
      <c r="I186" s="511"/>
      <c r="K186" s="512" t="e">
        <f>(C186/E186)/(F186/H186)</f>
        <v>#DIV/0!</v>
      </c>
      <c r="L186" s="513" t="e">
        <f>(D186/(C186*E186)+(G186/(F186*H186)))</f>
        <v>#DIV/0!</v>
      </c>
      <c r="M186" s="514" t="e">
        <f>1/L186</f>
        <v>#DIV/0!</v>
      </c>
      <c r="N186" s="515" t="e">
        <f>LN(K186)</f>
        <v>#DIV/0!</v>
      </c>
      <c r="O186" s="515" t="e">
        <f>M186*N186</f>
        <v>#DIV/0!</v>
      </c>
      <c r="P186" s="515" t="e">
        <f>LN(K186)</f>
        <v>#DIV/0!</v>
      </c>
      <c r="Q186" s="600" t="e">
        <f>K186</f>
        <v>#DIV/0!</v>
      </c>
      <c r="R186" s="517" t="e">
        <f>SQRT(1/M186)</f>
        <v>#DIV/0!</v>
      </c>
      <c r="S186" s="518">
        <f>$H$2</f>
        <v>1.9599639845400536</v>
      </c>
      <c r="T186" s="519" t="e">
        <f>P186-(R186*S186)</f>
        <v>#DIV/0!</v>
      </c>
      <c r="U186" s="519" t="e">
        <f>P186+(R186*S186)</f>
        <v>#DIV/0!</v>
      </c>
      <c r="V186" s="520" t="e">
        <f t="shared" ref="V186:W188" si="109">EXP(T186)</f>
        <v>#DIV/0!</v>
      </c>
      <c r="W186" s="521" t="e">
        <f t="shared" si="109"/>
        <v>#DIV/0!</v>
      </c>
      <c r="X186" s="522"/>
      <c r="Z186" s="523" t="e">
        <f>(N186-P188)^2</f>
        <v>#DIV/0!</v>
      </c>
      <c r="AA186" s="521" t="e">
        <f>M186*Z186</f>
        <v>#DIV/0!</v>
      </c>
      <c r="AB186" s="473">
        <v>1</v>
      </c>
      <c r="AC186" s="506"/>
      <c r="AD186" s="506"/>
      <c r="AE186" s="514" t="e">
        <f>M186^2</f>
        <v>#DIV/0!</v>
      </c>
      <c r="AF186" s="524"/>
      <c r="AG186" s="525" t="e">
        <f>AG188</f>
        <v>#DIV/0!</v>
      </c>
      <c r="AH186" s="525" t="e">
        <f>AH188</f>
        <v>#DIV/0!</v>
      </c>
      <c r="AI186" s="521" t="e">
        <f>1/M186</f>
        <v>#DIV/0!</v>
      </c>
      <c r="AJ186" s="526" t="e">
        <f>1/(AH186+AI186)</f>
        <v>#DIV/0!</v>
      </c>
      <c r="AK186" s="527" t="e">
        <f>AJ186/AJ188</f>
        <v>#DIV/0!</v>
      </c>
      <c r="AL186" s="528" t="e">
        <f>AJ186*N186</f>
        <v>#DIV/0!</v>
      </c>
      <c r="AM186" s="528" t="e">
        <f>AL186/AJ186</f>
        <v>#DIV/0!</v>
      </c>
      <c r="AN186" s="521" t="e">
        <f>EXP(AM186)</f>
        <v>#DIV/0!</v>
      </c>
      <c r="AO186" s="529" t="e">
        <f>1/AJ186</f>
        <v>#DIV/0!</v>
      </c>
      <c r="AP186" s="521" t="e">
        <f>SQRT(AO186)</f>
        <v>#DIV/0!</v>
      </c>
      <c r="AQ186" s="518">
        <f>$H$2</f>
        <v>1.9599639845400536</v>
      </c>
      <c r="AR186" s="519" t="e">
        <f>AM186-(AQ186*AP186)</f>
        <v>#DIV/0!</v>
      </c>
      <c r="AS186" s="519" t="e">
        <f>AM186+(1.96*AP186)</f>
        <v>#DIV/0!</v>
      </c>
      <c r="AT186" s="530" t="e">
        <f t="shared" ref="AT186:AU188" si="110">EXP(AR186)</f>
        <v>#DIV/0!</v>
      </c>
      <c r="AU186" s="530" t="e">
        <f t="shared" si="110"/>
        <v>#DIV/0!</v>
      </c>
      <c r="AV186" s="491"/>
      <c r="AX186" s="531"/>
      <c r="AY186" s="531">
        <v>1</v>
      </c>
      <c r="AZ186" s="532"/>
      <c r="BA186" s="532"/>
      <c r="BC186" s="506"/>
      <c r="BD186" s="506"/>
      <c r="BE186" s="473"/>
      <c r="BF186" s="473"/>
      <c r="BG186" s="473"/>
      <c r="BH186" s="473"/>
      <c r="BI186" s="473"/>
      <c r="BJ186" s="473"/>
      <c r="BK186" s="473"/>
      <c r="BL186" s="473"/>
      <c r="BM186" s="506"/>
      <c r="BN186" s="506"/>
      <c r="BO186" s="506"/>
      <c r="BP186" s="506"/>
      <c r="BQ186" s="506"/>
      <c r="BR186" s="506"/>
      <c r="BS186" s="506"/>
      <c r="BT186" s="506"/>
      <c r="BU186" s="506"/>
      <c r="BV186" s="506"/>
      <c r="BW186" s="506"/>
    </row>
    <row r="187" spans="1:256">
      <c r="B187" s="507" t="s">
        <v>79</v>
      </c>
      <c r="C187" s="508"/>
      <c r="D187" s="509">
        <f>E187-C187</f>
        <v>0</v>
      </c>
      <c r="E187" s="510"/>
      <c r="F187" s="508"/>
      <c r="G187" s="509">
        <f>H187-F187</f>
        <v>0</v>
      </c>
      <c r="H187" s="510"/>
      <c r="I187" s="511"/>
      <c r="K187" s="512" t="e">
        <f>(C187/E187)/(F187/H187)</f>
        <v>#DIV/0!</v>
      </c>
      <c r="L187" s="513" t="e">
        <f>(D187/(C187*E187)+(G187/(F187*H187)))</f>
        <v>#DIV/0!</v>
      </c>
      <c r="M187" s="514" t="e">
        <f>1/L187</f>
        <v>#DIV/0!</v>
      </c>
      <c r="N187" s="515" t="e">
        <f>LN(K187)</f>
        <v>#DIV/0!</v>
      </c>
      <c r="O187" s="515" t="e">
        <f>M187*N187</f>
        <v>#DIV/0!</v>
      </c>
      <c r="P187" s="515" t="e">
        <f>LN(K187)</f>
        <v>#DIV/0!</v>
      </c>
      <c r="Q187" s="600" t="e">
        <f>K187</f>
        <v>#DIV/0!</v>
      </c>
      <c r="R187" s="517" t="e">
        <f>SQRT(1/M187)</f>
        <v>#DIV/0!</v>
      </c>
      <c r="S187" s="518">
        <f>$H$2</f>
        <v>1.9599639845400536</v>
      </c>
      <c r="T187" s="519" t="e">
        <f>P187-(R187*S187)</f>
        <v>#DIV/0!</v>
      </c>
      <c r="U187" s="519" t="e">
        <f>P187+(R187*S187)</f>
        <v>#DIV/0!</v>
      </c>
      <c r="V187" s="520" t="e">
        <f t="shared" si="109"/>
        <v>#DIV/0!</v>
      </c>
      <c r="W187" s="521" t="e">
        <f t="shared" si="109"/>
        <v>#DIV/0!</v>
      </c>
      <c r="X187" s="522"/>
      <c r="Z187" s="523" t="e">
        <f>(N187-P188)^2</f>
        <v>#DIV/0!</v>
      </c>
      <c r="AA187" s="521" t="e">
        <f>M187*Z187</f>
        <v>#DIV/0!</v>
      </c>
      <c r="AB187" s="473">
        <v>1</v>
      </c>
      <c r="AC187" s="506"/>
      <c r="AD187" s="506"/>
      <c r="AE187" s="514" t="e">
        <f>M187^2</f>
        <v>#DIV/0!</v>
      </c>
      <c r="AF187" s="524"/>
      <c r="AG187" s="525" t="e">
        <f>AG188</f>
        <v>#DIV/0!</v>
      </c>
      <c r="AH187" s="525" t="e">
        <f>AH188</f>
        <v>#DIV/0!</v>
      </c>
      <c r="AI187" s="521" t="e">
        <f>1/M187</f>
        <v>#DIV/0!</v>
      </c>
      <c r="AJ187" s="526" t="e">
        <f>1/(AH187+AI187)</f>
        <v>#DIV/0!</v>
      </c>
      <c r="AK187" s="527" t="e">
        <f>AJ187/AJ188</f>
        <v>#DIV/0!</v>
      </c>
      <c r="AL187" s="528" t="e">
        <f>AJ187*N187</f>
        <v>#DIV/0!</v>
      </c>
      <c r="AM187" s="528" t="e">
        <f>AL187/AJ187</f>
        <v>#DIV/0!</v>
      </c>
      <c r="AN187" s="521" t="e">
        <f>EXP(AM187)</f>
        <v>#DIV/0!</v>
      </c>
      <c r="AO187" s="529" t="e">
        <f>1/AJ187</f>
        <v>#DIV/0!</v>
      </c>
      <c r="AP187" s="521" t="e">
        <f>SQRT(AO187)</f>
        <v>#DIV/0!</v>
      </c>
      <c r="AQ187" s="518">
        <f>$H$2</f>
        <v>1.9599639845400536</v>
      </c>
      <c r="AR187" s="519" t="e">
        <f>AM187-(AQ187*AP187)</f>
        <v>#DIV/0!</v>
      </c>
      <c r="AS187" s="519" t="e">
        <f>AM187+(1.96*AP187)</f>
        <v>#DIV/0!</v>
      </c>
      <c r="AT187" s="530" t="e">
        <f t="shared" si="110"/>
        <v>#DIV/0!</v>
      </c>
      <c r="AU187" s="530" t="e">
        <f t="shared" si="110"/>
        <v>#DIV/0!</v>
      </c>
      <c r="AV187" s="491"/>
      <c r="AX187" s="531"/>
      <c r="AY187" s="531">
        <v>1</v>
      </c>
      <c r="AZ187" s="532"/>
      <c r="BA187" s="532"/>
      <c r="BC187" s="506"/>
      <c r="BD187" s="506"/>
      <c r="BE187" s="473"/>
      <c r="BF187" s="473"/>
      <c r="BG187" s="473"/>
      <c r="BH187" s="473"/>
      <c r="BI187" s="473"/>
      <c r="BJ187" s="473"/>
      <c r="BK187" s="473"/>
      <c r="BL187" s="473"/>
      <c r="BM187" s="506"/>
      <c r="BN187" s="506"/>
      <c r="BO187" s="506"/>
      <c r="BP187" s="506"/>
      <c r="BQ187" s="506"/>
      <c r="BR187" s="506"/>
      <c r="BS187" s="506"/>
      <c r="BT187" s="506"/>
      <c r="BU187" s="506"/>
      <c r="BV187" s="506"/>
      <c r="BW187" s="506"/>
    </row>
    <row r="188" spans="1:256">
      <c r="A188" s="477"/>
      <c r="B188" s="533">
        <f>COUNT(D186:D187)</f>
        <v>2</v>
      </c>
      <c r="C188" s="534">
        <f t="shared" ref="C188:H188" si="111">SUM(C186:C187)</f>
        <v>0</v>
      </c>
      <c r="D188" s="534">
        <f t="shared" si="111"/>
        <v>0</v>
      </c>
      <c r="E188" s="534">
        <f t="shared" si="111"/>
        <v>0</v>
      </c>
      <c r="F188" s="534">
        <f t="shared" si="111"/>
        <v>0</v>
      </c>
      <c r="G188" s="534">
        <f t="shared" si="111"/>
        <v>0</v>
      </c>
      <c r="H188" s="534">
        <f t="shared" si="111"/>
        <v>0</v>
      </c>
      <c r="I188" s="535"/>
      <c r="K188" s="536"/>
      <c r="L188" s="537"/>
      <c r="M188" s="538" t="e">
        <f>SUM(M186:M187)</f>
        <v>#DIV/0!</v>
      </c>
      <c r="N188" s="539"/>
      <c r="O188" s="540" t="e">
        <f>SUM(O186:O187)</f>
        <v>#DIV/0!</v>
      </c>
      <c r="P188" s="541" t="e">
        <f>O188/M188</f>
        <v>#DIV/0!</v>
      </c>
      <c r="Q188" s="542" t="e">
        <f>EXP(P188)</f>
        <v>#DIV/0!</v>
      </c>
      <c r="R188" s="543" t="e">
        <f>SQRT(1/M188)</f>
        <v>#DIV/0!</v>
      </c>
      <c r="S188" s="518">
        <f>$H$2</f>
        <v>1.9599639845400536</v>
      </c>
      <c r="T188" s="544" t="e">
        <f>P188-(R188*S188)</f>
        <v>#DIV/0!</v>
      </c>
      <c r="U188" s="544" t="e">
        <f>P188+(R188*S188)</f>
        <v>#DIV/0!</v>
      </c>
      <c r="V188" s="545" t="e">
        <f t="shared" si="109"/>
        <v>#DIV/0!</v>
      </c>
      <c r="W188" s="546" t="e">
        <f t="shared" si="109"/>
        <v>#DIV/0!</v>
      </c>
      <c r="X188" s="547"/>
      <c r="Y188" s="547"/>
      <c r="Z188" s="548"/>
      <c r="AA188" s="549" t="e">
        <f>SUM(AA186:AA187)</f>
        <v>#DIV/0!</v>
      </c>
      <c r="AB188" s="550">
        <f>SUM(AB186:AB187)</f>
        <v>2</v>
      </c>
      <c r="AC188" s="551" t="e">
        <f>AA188-(AB188-1)</f>
        <v>#DIV/0!</v>
      </c>
      <c r="AD188" s="538" t="e">
        <f>M188</f>
        <v>#DIV/0!</v>
      </c>
      <c r="AE188" s="538" t="e">
        <f>SUM(AE186:AE187)</f>
        <v>#DIV/0!</v>
      </c>
      <c r="AF188" s="552" t="e">
        <f>AE188/AD188</f>
        <v>#DIV/0!</v>
      </c>
      <c r="AG188" s="553" t="e">
        <f>AC188/(AD188-AF188)</f>
        <v>#DIV/0!</v>
      </c>
      <c r="AH188" s="553" t="e">
        <f>IF(AA188&lt;AB188-1,"0",AG188)</f>
        <v>#DIV/0!</v>
      </c>
      <c r="AI188" s="548"/>
      <c r="AJ188" s="538" t="e">
        <f>SUM(AJ186:AJ187)</f>
        <v>#DIV/0!</v>
      </c>
      <c r="AK188" s="554" t="e">
        <f>SUM(AK186:AK187)</f>
        <v>#DIV/0!</v>
      </c>
      <c r="AL188" s="551" t="e">
        <f>SUM(AL186:AL187)</f>
        <v>#DIV/0!</v>
      </c>
      <c r="AM188" s="551" t="e">
        <f>AL188/AJ188</f>
        <v>#DIV/0!</v>
      </c>
      <c r="AN188" s="616" t="e">
        <f>EXP(AM188)</f>
        <v>#DIV/0!</v>
      </c>
      <c r="AO188" s="556" t="e">
        <f>1/AJ188</f>
        <v>#DIV/0!</v>
      </c>
      <c r="AP188" s="557" t="e">
        <f>SQRT(AO188)</f>
        <v>#DIV/0!</v>
      </c>
      <c r="AQ188" s="518">
        <f>$H$2</f>
        <v>1.9599639845400536</v>
      </c>
      <c r="AR188" s="544" t="e">
        <f>AM188-(AQ188*AP188)</f>
        <v>#DIV/0!</v>
      </c>
      <c r="AS188" s="544" t="e">
        <f>AM188+(1.96*AP188)</f>
        <v>#DIV/0!</v>
      </c>
      <c r="AT188" s="603" t="e">
        <f t="shared" si="110"/>
        <v>#DIV/0!</v>
      </c>
      <c r="AU188" s="604" t="e">
        <f t="shared" si="110"/>
        <v>#DIV/0!</v>
      </c>
      <c r="AV188" s="560"/>
      <c r="AW188" s="468"/>
      <c r="AX188" s="561" t="e">
        <f>AA188</f>
        <v>#DIV/0!</v>
      </c>
      <c r="AY188" s="533">
        <f>SUM(AY186:AY187)</f>
        <v>2</v>
      </c>
      <c r="AZ188" s="562" t="e">
        <f>(AX188-(AY188-1))/AX188</f>
        <v>#DIV/0!</v>
      </c>
      <c r="BA188" s="563" t="e">
        <f>IF(AA188&lt;AB188-1,"0%",AZ188)</f>
        <v>#DIV/0!</v>
      </c>
      <c r="BB188" s="468"/>
      <c r="BC188" s="540" t="e">
        <f>AX188/(AY188-1)</f>
        <v>#DIV/0!</v>
      </c>
      <c r="BD188" s="564" t="e">
        <f>LN(BC188)</f>
        <v>#DIV/0!</v>
      </c>
      <c r="BE188" s="540" t="e">
        <f>LN(AX188)</f>
        <v>#DIV/0!</v>
      </c>
      <c r="BF188" s="540">
        <f>LN(AY188-1)</f>
        <v>0</v>
      </c>
      <c r="BG188" s="540" t="e">
        <f>SQRT(2*AX188)</f>
        <v>#DIV/0!</v>
      </c>
      <c r="BH188" s="540">
        <f>SQRT(2*AY188-3)</f>
        <v>1</v>
      </c>
      <c r="BI188" s="540">
        <f>2*(AY188-2)</f>
        <v>0</v>
      </c>
      <c r="BJ188" s="540">
        <f>3*(AY188-2)^2</f>
        <v>0</v>
      </c>
      <c r="BK188" s="540" t="e">
        <f>1/BI188</f>
        <v>#DIV/0!</v>
      </c>
      <c r="BL188" s="540" t="e">
        <f>1/BJ188</f>
        <v>#DIV/0!</v>
      </c>
      <c r="BM188" s="540" t="e">
        <f>SQRT(BK188*(1-BL188))</f>
        <v>#DIV/0!</v>
      </c>
      <c r="BN188" s="564" t="e">
        <f>0.5*(BE188-BF188)/(BG188-BH188)</f>
        <v>#DIV/0!</v>
      </c>
      <c r="BO188" s="564" t="e">
        <f>IF(AA188&lt;=AB188,BM188,BN188)</f>
        <v>#DIV/0!</v>
      </c>
      <c r="BP188" s="551" t="e">
        <f>BD188-(1.96*BO188)</f>
        <v>#DIV/0!</v>
      </c>
      <c r="BQ188" s="551" t="e">
        <f>BD188+(1.96*BO188)</f>
        <v>#DIV/0!</v>
      </c>
      <c r="BR188" s="551"/>
      <c r="BS188" s="564" t="e">
        <f>EXP(BP188)</f>
        <v>#DIV/0!</v>
      </c>
      <c r="BT188" s="564" t="e">
        <f>EXP(BQ188)</f>
        <v>#DIV/0!</v>
      </c>
      <c r="BU188" s="565" t="e">
        <f>BA188</f>
        <v>#DIV/0!</v>
      </c>
      <c r="BV188" s="565" t="e">
        <f>(BS188-1)/BS188</f>
        <v>#DIV/0!</v>
      </c>
      <c r="BW188" s="565" t="e">
        <f>(BT188-1)/BT188</f>
        <v>#DIV/0!</v>
      </c>
    </row>
    <row r="189" spans="1:256" ht="13.5" thickBot="1">
      <c r="C189" s="566"/>
      <c r="D189" s="566"/>
      <c r="E189" s="566"/>
      <c r="F189" s="566"/>
      <c r="G189" s="566"/>
      <c r="H189" s="566"/>
      <c r="I189" s="567"/>
      <c r="R189" s="568"/>
      <c r="S189" s="568"/>
      <c r="T189" s="568"/>
      <c r="U189" s="568"/>
      <c r="V189" s="568"/>
      <c r="W189" s="568"/>
      <c r="X189" s="568"/>
      <c r="AB189" s="569"/>
      <c r="AC189" s="570"/>
      <c r="AD189" s="571"/>
      <c r="AE189" s="570"/>
      <c r="AF189" s="572"/>
      <c r="AG189" s="572"/>
      <c r="AH189" s="572"/>
      <c r="AI189" s="572"/>
      <c r="AT189" s="573"/>
      <c r="AU189" s="573"/>
      <c r="AV189" s="573"/>
      <c r="AX189" s="480" t="s">
        <v>35</v>
      </c>
      <c r="BG189" s="483"/>
      <c r="BN189" s="570" t="s">
        <v>36</v>
      </c>
      <c r="BT189" s="574" t="s">
        <v>37</v>
      </c>
      <c r="BU189" s="575" t="e">
        <f>BU188</f>
        <v>#DIV/0!</v>
      </c>
      <c r="BV189" s="576" t="e">
        <f>IF(BV188&lt;0,"0%",BV188)</f>
        <v>#DIV/0!</v>
      </c>
      <c r="BW189" s="577" t="e">
        <f>IF(BW188&lt;0,"0%",BW188)</f>
        <v>#DIV/0!</v>
      </c>
    </row>
    <row r="190" spans="1:256" ht="27.75" customHeight="1" thickBot="1">
      <c r="A190" s="477"/>
      <c r="B190" s="480"/>
      <c r="C190" s="580"/>
      <c r="D190" s="580"/>
      <c r="E190" s="580"/>
      <c r="F190" s="580"/>
      <c r="G190" s="580"/>
      <c r="H190" s="580"/>
      <c r="I190" s="581"/>
      <c r="J190" s="480"/>
      <c r="K190" s="480"/>
      <c r="L190" s="480"/>
      <c r="R190" s="582"/>
      <c r="S190" s="582"/>
      <c r="T190" s="582"/>
      <c r="U190" s="582"/>
      <c r="V190" s="582"/>
      <c r="W190" s="582"/>
      <c r="X190" s="582"/>
      <c r="AF190" s="472"/>
      <c r="AI190" s="483"/>
      <c r="AJ190" s="583"/>
      <c r="AK190" s="583"/>
      <c r="AL190" s="584"/>
      <c r="AM190" s="585"/>
      <c r="AN190" s="610"/>
      <c r="AO190" s="587" t="s">
        <v>453</v>
      </c>
      <c r="AP190" s="588" t="e">
        <f>TINV((1-$H$1),(AB188-2))</f>
        <v>#NUM!</v>
      </c>
      <c r="AR190" s="589" t="s">
        <v>38</v>
      </c>
      <c r="AS190" s="590">
        <f>$H$1</f>
        <v>0.95</v>
      </c>
      <c r="AT190" s="591" t="e">
        <f>EXP(AM188-AP190*SQRT((1/AD188)+AH188))</f>
        <v>#DIV/0!</v>
      </c>
      <c r="AU190" s="592" t="e">
        <f>EXP(AM188+AP190*SQRT((1/AD188)+AH188))</f>
        <v>#DIV/0!</v>
      </c>
      <c r="AV190" s="491"/>
      <c r="AX190" s="593" t="e">
        <f>_xlfn.CHISQ.DIST.RT(AX188,AY188-1)</f>
        <v>#DIV/0!</v>
      </c>
      <c r="AY190" s="594" t="e">
        <f>IF(AX190&lt;0.05,"heterogeneidad","homogeneidad")</f>
        <v>#DIV/0!</v>
      </c>
      <c r="BF190" s="595"/>
      <c r="BG190" s="483"/>
      <c r="BH190" s="483"/>
      <c r="BJ190" s="522"/>
      <c r="BL190" s="483"/>
      <c r="BM190" s="596"/>
      <c r="BQ190" s="483"/>
    </row>
    <row r="191" spans="1:256">
      <c r="C191" s="566"/>
      <c r="D191" s="566"/>
      <c r="E191" s="566"/>
      <c r="F191" s="566"/>
      <c r="G191" s="566"/>
      <c r="H191" s="566"/>
      <c r="I191" s="567"/>
      <c r="R191" s="568"/>
      <c r="S191" s="568"/>
      <c r="T191" s="568"/>
      <c r="U191" s="568"/>
      <c r="V191" s="568"/>
      <c r="W191" s="568"/>
      <c r="X191" s="568"/>
      <c r="AF191" s="472"/>
      <c r="AL191" s="585"/>
      <c r="AM191" s="585"/>
      <c r="AR191" s="605"/>
      <c r="AS191" s="605"/>
      <c r="BP191" s="483"/>
    </row>
    <row r="192" spans="1:256">
      <c r="C192" s="566"/>
      <c r="D192" s="566"/>
      <c r="E192" s="566"/>
      <c r="F192" s="566"/>
      <c r="G192" s="566"/>
      <c r="H192" s="566"/>
      <c r="I192" s="567"/>
      <c r="M192" s="11"/>
      <c r="AE192" s="32"/>
      <c r="AF192" s="472"/>
    </row>
    <row r="193" spans="3:9">
      <c r="C193" s="566"/>
      <c r="D193" s="566"/>
      <c r="E193" s="566"/>
      <c r="F193" s="566"/>
      <c r="G193" s="566"/>
      <c r="H193" s="566"/>
      <c r="I193" s="567"/>
    </row>
    <row r="194" spans="3:9">
      <c r="C194" s="566"/>
      <c r="D194" s="566"/>
      <c r="E194" s="566"/>
      <c r="F194" s="566"/>
      <c r="G194" s="566"/>
      <c r="H194" s="566"/>
      <c r="I194" s="567"/>
    </row>
    <row r="195" spans="3:9">
      <c r="C195" s="566"/>
      <c r="D195" s="566"/>
      <c r="E195" s="566"/>
      <c r="F195" s="566"/>
      <c r="G195" s="566"/>
      <c r="H195" s="566"/>
      <c r="I195" s="567"/>
    </row>
    <row r="196" spans="3:9">
      <c r="C196" s="618"/>
      <c r="D196" s="618"/>
      <c r="E196" s="618"/>
      <c r="F196" s="618"/>
      <c r="G196" s="618"/>
      <c r="H196" s="618"/>
      <c r="I196" s="567"/>
    </row>
    <row r="197" spans="3:9">
      <c r="C197" s="566"/>
      <c r="D197" s="566"/>
      <c r="E197" s="566"/>
      <c r="F197" s="566"/>
      <c r="G197" s="566"/>
      <c r="H197" s="566"/>
      <c r="I197" s="567"/>
    </row>
    <row r="198" spans="3:9">
      <c r="C198" s="619"/>
      <c r="D198" s="566"/>
      <c r="E198" s="566"/>
      <c r="F198" s="619"/>
      <c r="G198" s="566"/>
      <c r="H198" s="566"/>
      <c r="I198" s="567"/>
    </row>
    <row r="199" spans="3:9">
      <c r="C199" s="619"/>
      <c r="D199" s="566"/>
      <c r="E199" s="566"/>
      <c r="F199" s="619"/>
      <c r="G199" s="566"/>
      <c r="H199" s="566"/>
      <c r="I199" s="567"/>
    </row>
    <row r="200" spans="3:9">
      <c r="C200" s="619"/>
      <c r="D200" s="566"/>
      <c r="E200" s="566"/>
      <c r="F200" s="619"/>
      <c r="G200" s="566"/>
      <c r="H200" s="566"/>
      <c r="I200" s="567"/>
    </row>
    <row r="201" spans="3:9">
      <c r="C201" s="619"/>
      <c r="D201" s="566"/>
      <c r="E201" s="566"/>
      <c r="F201" s="619"/>
      <c r="G201" s="566"/>
      <c r="H201" s="566"/>
      <c r="I201" s="567"/>
    </row>
    <row r="202" spans="3:9">
      <c r="C202" s="566"/>
      <c r="D202" s="566"/>
      <c r="E202" s="566"/>
      <c r="F202" s="566"/>
      <c r="G202" s="566"/>
      <c r="H202" s="566"/>
      <c r="I202" s="567"/>
    </row>
    <row r="203" spans="3:9">
      <c r="C203" s="566"/>
      <c r="D203" s="566"/>
      <c r="E203" s="566"/>
      <c r="F203" s="566"/>
      <c r="G203" s="566"/>
      <c r="H203" s="566"/>
      <c r="I203" s="567"/>
    </row>
    <row r="204" spans="3:9">
      <c r="C204" s="620"/>
      <c r="D204" s="566"/>
      <c r="E204" s="566"/>
      <c r="F204" s="566"/>
      <c r="G204" s="566"/>
      <c r="H204" s="566"/>
      <c r="I204" s="567"/>
    </row>
    <row r="205" spans="3:9">
      <c r="C205" s="620"/>
      <c r="D205" s="566"/>
      <c r="E205" s="566"/>
      <c r="F205" s="566"/>
      <c r="G205" s="566"/>
      <c r="H205" s="566"/>
      <c r="I205" s="567"/>
    </row>
    <row r="206" spans="3:9">
      <c r="C206" s="620"/>
      <c r="D206" s="566"/>
      <c r="E206" s="566"/>
      <c r="F206" s="566"/>
      <c r="G206" s="566"/>
      <c r="H206" s="566"/>
      <c r="I206" s="567"/>
    </row>
    <row r="207" spans="3:9">
      <c r="C207" s="620"/>
      <c r="D207" s="566"/>
      <c r="E207" s="566"/>
      <c r="F207" s="566"/>
      <c r="G207" s="566"/>
      <c r="H207" s="566"/>
      <c r="I207" s="567"/>
    </row>
    <row r="208" spans="3:9">
      <c r="C208" s="620"/>
      <c r="D208" s="566"/>
      <c r="E208" s="566"/>
      <c r="F208" s="566"/>
      <c r="G208" s="566"/>
      <c r="H208" s="566"/>
      <c r="I208" s="567"/>
    </row>
    <row r="209" spans="3:9">
      <c r="C209" s="566"/>
      <c r="D209" s="566"/>
      <c r="E209" s="566"/>
      <c r="F209" s="566"/>
      <c r="G209" s="566"/>
      <c r="H209" s="566"/>
      <c r="I209" s="567"/>
    </row>
    <row r="210" spans="3:9">
      <c r="C210" s="566"/>
      <c r="D210" s="566"/>
      <c r="E210" s="566"/>
      <c r="F210" s="566"/>
      <c r="G210" s="566"/>
      <c r="H210" s="566"/>
      <c r="I210" s="567"/>
    </row>
    <row r="211" spans="3:9">
      <c r="C211" s="566"/>
      <c r="D211" s="566"/>
      <c r="E211" s="566"/>
      <c r="F211" s="566"/>
      <c r="G211" s="566"/>
      <c r="H211" s="566"/>
      <c r="I211" s="567"/>
    </row>
    <row r="212" spans="3:9">
      <c r="C212" s="566"/>
      <c r="D212" s="566"/>
      <c r="E212" s="566"/>
      <c r="F212" s="566"/>
      <c r="G212" s="566"/>
      <c r="H212" s="566"/>
      <c r="I212" s="567"/>
    </row>
    <row r="213" spans="3:9">
      <c r="C213" s="566"/>
      <c r="D213" s="566"/>
      <c r="E213" s="566"/>
      <c r="F213" s="566"/>
      <c r="G213" s="566"/>
      <c r="H213" s="566"/>
      <c r="I213" s="567"/>
    </row>
    <row r="214" spans="3:9">
      <c r="C214" s="566"/>
      <c r="D214" s="566"/>
      <c r="E214" s="566"/>
      <c r="F214" s="566"/>
      <c r="G214" s="566"/>
      <c r="H214" s="566"/>
      <c r="I214" s="567"/>
    </row>
    <row r="215" spans="3:9">
      <c r="C215" s="566"/>
      <c r="D215" s="566"/>
      <c r="E215" s="566"/>
      <c r="F215" s="566"/>
      <c r="G215" s="566"/>
      <c r="H215" s="566"/>
      <c r="I215" s="567"/>
    </row>
    <row r="216" spans="3:9">
      <c r="C216" s="566"/>
      <c r="D216" s="566"/>
      <c r="E216" s="566"/>
      <c r="F216" s="566"/>
      <c r="G216" s="566"/>
      <c r="H216" s="566"/>
      <c r="I216" s="567"/>
    </row>
    <row r="217" spans="3:9">
      <c r="C217" s="566"/>
      <c r="D217" s="566"/>
      <c r="E217" s="566"/>
      <c r="F217" s="566"/>
      <c r="G217" s="566"/>
      <c r="H217" s="566"/>
      <c r="I217" s="567"/>
    </row>
    <row r="218" spans="3:9">
      <c r="C218" s="566"/>
      <c r="D218" s="566"/>
      <c r="E218" s="566"/>
      <c r="F218" s="566"/>
      <c r="G218" s="566"/>
      <c r="H218" s="566"/>
      <c r="I218" s="567"/>
    </row>
    <row r="219" spans="3:9">
      <c r="C219" s="566"/>
      <c r="D219" s="566"/>
      <c r="E219" s="566"/>
      <c r="F219" s="566"/>
      <c r="G219" s="566"/>
      <c r="H219" s="566"/>
      <c r="I219" s="567"/>
    </row>
    <row r="220" spans="3:9">
      <c r="C220" s="566"/>
      <c r="D220" s="566"/>
      <c r="E220" s="566"/>
      <c r="F220" s="566"/>
      <c r="G220" s="566"/>
      <c r="H220" s="566"/>
      <c r="I220" s="567"/>
    </row>
    <row r="221" spans="3:9">
      <c r="C221" s="566"/>
      <c r="D221" s="566"/>
      <c r="E221" s="566"/>
      <c r="F221" s="566"/>
      <c r="G221" s="566"/>
      <c r="H221" s="566"/>
      <c r="I221" s="567"/>
    </row>
    <row r="222" spans="3:9">
      <c r="C222" s="566"/>
      <c r="D222" s="566"/>
      <c r="E222" s="566"/>
      <c r="F222" s="566"/>
      <c r="G222" s="566"/>
      <c r="H222" s="566"/>
      <c r="I222" s="567"/>
    </row>
    <row r="223" spans="3:9">
      <c r="C223" s="566"/>
      <c r="D223" s="566"/>
      <c r="E223" s="566"/>
      <c r="F223" s="566"/>
      <c r="G223" s="566"/>
      <c r="H223" s="566"/>
      <c r="I223" s="567"/>
    </row>
    <row r="224" spans="3:9">
      <c r="C224" s="566"/>
      <c r="D224" s="566"/>
      <c r="E224" s="566"/>
      <c r="F224" s="566"/>
      <c r="G224" s="566"/>
      <c r="H224" s="566"/>
      <c r="I224" s="567"/>
    </row>
    <row r="225" spans="3:9">
      <c r="C225" s="566"/>
      <c r="D225" s="566"/>
      <c r="E225" s="566"/>
      <c r="F225" s="566"/>
      <c r="G225" s="566"/>
      <c r="H225" s="566"/>
      <c r="I225" s="567"/>
    </row>
    <row r="226" spans="3:9">
      <c r="C226" s="566"/>
      <c r="D226" s="566"/>
      <c r="E226" s="566"/>
      <c r="F226" s="566"/>
      <c r="G226" s="566"/>
      <c r="H226" s="566"/>
      <c r="I226" s="567"/>
    </row>
    <row r="227" spans="3:9">
      <c r="C227" s="566"/>
      <c r="D227" s="566"/>
      <c r="E227" s="566"/>
      <c r="F227" s="566"/>
      <c r="G227" s="566"/>
      <c r="H227" s="566"/>
      <c r="I227" s="567"/>
    </row>
    <row r="228" spans="3:9">
      <c r="C228" s="566"/>
      <c r="D228" s="566"/>
      <c r="E228" s="566"/>
      <c r="F228" s="566"/>
      <c r="G228" s="566"/>
      <c r="H228" s="566"/>
      <c r="I228" s="567"/>
    </row>
    <row r="229" spans="3:9">
      <c r="C229" s="566"/>
      <c r="D229" s="566"/>
      <c r="E229" s="566"/>
      <c r="F229" s="566"/>
      <c r="G229" s="566"/>
      <c r="H229" s="566"/>
      <c r="I229" s="567"/>
    </row>
    <row r="230" spans="3:9">
      <c r="C230" s="566"/>
      <c r="D230" s="566"/>
      <c r="E230" s="566"/>
      <c r="F230" s="566"/>
      <c r="G230" s="566"/>
      <c r="H230" s="566"/>
      <c r="I230" s="567"/>
    </row>
    <row r="231" spans="3:9">
      <c r="C231" s="566"/>
      <c r="D231" s="566"/>
      <c r="E231" s="566"/>
      <c r="F231" s="566"/>
      <c r="G231" s="566"/>
      <c r="H231" s="566"/>
      <c r="I231" s="567"/>
    </row>
    <row r="232" spans="3:9">
      <c r="C232" s="566"/>
      <c r="D232" s="566"/>
      <c r="E232" s="566"/>
      <c r="F232" s="566"/>
      <c r="G232" s="566"/>
      <c r="H232" s="566"/>
      <c r="I232" s="567"/>
    </row>
    <row r="233" spans="3:9">
      <c r="C233" s="566"/>
      <c r="D233" s="566"/>
      <c r="E233" s="566"/>
      <c r="F233" s="566"/>
      <c r="G233" s="566"/>
      <c r="H233" s="566"/>
      <c r="I233" s="567"/>
    </row>
    <row r="234" spans="3:9">
      <c r="C234" s="566"/>
      <c r="D234" s="566"/>
      <c r="E234" s="566"/>
      <c r="F234" s="566"/>
      <c r="G234" s="566"/>
      <c r="H234" s="566"/>
      <c r="I234" s="567"/>
    </row>
    <row r="235" spans="3:9">
      <c r="C235" s="566"/>
      <c r="D235" s="566"/>
      <c r="E235" s="566"/>
      <c r="F235" s="566"/>
      <c r="G235" s="566"/>
      <c r="H235" s="566"/>
      <c r="I235" s="567"/>
    </row>
    <row r="236" spans="3:9">
      <c r="C236" s="566"/>
      <c r="D236" s="566"/>
      <c r="E236" s="566"/>
      <c r="F236" s="566"/>
      <c r="G236" s="566"/>
      <c r="H236" s="566"/>
      <c r="I236" s="567"/>
    </row>
    <row r="237" spans="3:9">
      <c r="C237" s="566"/>
      <c r="D237" s="566"/>
      <c r="E237" s="566"/>
      <c r="F237" s="566"/>
      <c r="G237" s="566"/>
      <c r="H237" s="566"/>
      <c r="I237" s="567"/>
    </row>
    <row r="238" spans="3:9">
      <c r="C238" s="566"/>
      <c r="D238" s="566"/>
      <c r="E238" s="566"/>
      <c r="F238" s="566"/>
      <c r="G238" s="566"/>
      <c r="H238" s="566"/>
      <c r="I238" s="567"/>
    </row>
    <row r="239" spans="3:9">
      <c r="C239" s="566"/>
      <c r="D239" s="566"/>
      <c r="E239" s="566"/>
      <c r="F239" s="566"/>
      <c r="G239" s="566"/>
      <c r="H239" s="566"/>
      <c r="I239" s="567"/>
    </row>
    <row r="240" spans="3:9">
      <c r="C240" s="566"/>
      <c r="D240" s="566"/>
      <c r="E240" s="566"/>
      <c r="F240" s="566"/>
      <c r="G240" s="566"/>
      <c r="H240" s="566"/>
      <c r="I240" s="567"/>
    </row>
    <row r="241" spans="3:9">
      <c r="C241" s="566"/>
      <c r="D241" s="566"/>
      <c r="E241" s="566"/>
      <c r="F241" s="566"/>
      <c r="G241" s="566"/>
      <c r="H241" s="566"/>
      <c r="I241" s="567"/>
    </row>
    <row r="242" spans="3:9">
      <c r="C242" s="566"/>
      <c r="D242" s="566"/>
      <c r="E242" s="566"/>
      <c r="F242" s="566"/>
      <c r="G242" s="566"/>
      <c r="H242" s="566"/>
      <c r="I242" s="567"/>
    </row>
    <row r="243" spans="3:9">
      <c r="C243" s="566"/>
      <c r="D243" s="566"/>
      <c r="E243" s="566"/>
      <c r="F243" s="566"/>
      <c r="G243" s="566"/>
      <c r="H243" s="566"/>
      <c r="I243" s="567"/>
    </row>
    <row r="244" spans="3:9">
      <c r="C244" s="566"/>
      <c r="D244" s="566"/>
      <c r="E244" s="566"/>
      <c r="F244" s="566"/>
      <c r="G244" s="566"/>
      <c r="H244" s="566"/>
      <c r="I244" s="567"/>
    </row>
    <row r="245" spans="3:9">
      <c r="C245" s="566"/>
      <c r="D245" s="566"/>
      <c r="E245" s="566"/>
      <c r="F245" s="566"/>
      <c r="G245" s="566"/>
      <c r="H245" s="566"/>
      <c r="I245" s="567"/>
    </row>
    <row r="246" spans="3:9">
      <c r="C246" s="566"/>
      <c r="D246" s="566"/>
      <c r="E246" s="566"/>
      <c r="F246" s="566"/>
      <c r="G246" s="566"/>
      <c r="H246" s="566"/>
      <c r="I246" s="567"/>
    </row>
    <row r="247" spans="3:9">
      <c r="C247" s="566"/>
      <c r="D247" s="566"/>
      <c r="E247" s="566"/>
      <c r="F247" s="566"/>
      <c r="G247" s="566"/>
      <c r="H247" s="566"/>
      <c r="I247" s="567"/>
    </row>
    <row r="248" spans="3:9">
      <c r="C248" s="566"/>
      <c r="D248" s="566"/>
      <c r="E248" s="566"/>
      <c r="F248" s="566"/>
      <c r="G248" s="566"/>
      <c r="H248" s="566"/>
      <c r="I248" s="567"/>
    </row>
    <row r="249" spans="3:9">
      <c r="C249" s="566"/>
      <c r="D249" s="566"/>
      <c r="E249" s="566"/>
      <c r="F249" s="566"/>
      <c r="G249" s="566"/>
      <c r="H249" s="566"/>
      <c r="I249" s="567"/>
    </row>
    <row r="250" spans="3:9">
      <c r="C250" s="567"/>
      <c r="D250" s="567"/>
      <c r="E250" s="566"/>
      <c r="F250" s="567"/>
      <c r="G250" s="567"/>
      <c r="H250" s="567"/>
      <c r="I250" s="567"/>
    </row>
    <row r="251" spans="3:9">
      <c r="C251" s="567"/>
      <c r="D251" s="567"/>
      <c r="E251" s="567"/>
      <c r="F251" s="567"/>
      <c r="G251" s="567"/>
      <c r="H251" s="567"/>
      <c r="I251" s="567"/>
    </row>
    <row r="252" spans="3:9">
      <c r="C252" s="567"/>
      <c r="D252" s="567"/>
      <c r="E252" s="567"/>
      <c r="F252" s="567"/>
      <c r="G252" s="567"/>
      <c r="H252" s="567"/>
      <c r="I252" s="567"/>
    </row>
    <row r="253" spans="3:9">
      <c r="C253" s="567"/>
      <c r="D253" s="567"/>
      <c r="E253" s="567"/>
      <c r="F253" s="567"/>
      <c r="G253" s="567"/>
      <c r="H253" s="567"/>
      <c r="I253" s="567"/>
    </row>
    <row r="254" spans="3:9">
      <c r="C254" s="567"/>
      <c r="D254" s="567"/>
      <c r="E254" s="567"/>
      <c r="F254" s="567"/>
      <c r="G254" s="567"/>
      <c r="H254" s="567"/>
      <c r="I254" s="567"/>
    </row>
    <row r="255" spans="3:9">
      <c r="C255" s="567"/>
      <c r="D255" s="567"/>
      <c r="E255" s="567"/>
      <c r="F255" s="567"/>
      <c r="G255" s="567"/>
      <c r="H255" s="567"/>
      <c r="I255" s="567"/>
    </row>
    <row r="256" spans="3:9">
      <c r="C256" s="567"/>
      <c r="D256" s="567"/>
      <c r="E256" s="567"/>
      <c r="F256" s="567"/>
      <c r="G256" s="567"/>
      <c r="H256" s="567"/>
      <c r="I256" s="567"/>
    </row>
    <row r="257" spans="3:9">
      <c r="C257" s="567"/>
      <c r="D257" s="567"/>
      <c r="E257" s="567"/>
      <c r="F257" s="567"/>
      <c r="G257" s="567"/>
      <c r="H257" s="567"/>
      <c r="I257" s="567"/>
    </row>
    <row r="258" spans="3:9">
      <c r="C258" s="567"/>
      <c r="D258" s="567"/>
      <c r="E258" s="567"/>
      <c r="F258" s="567"/>
      <c r="G258" s="567"/>
      <c r="H258" s="567"/>
      <c r="I258" s="567"/>
    </row>
    <row r="259" spans="3:9">
      <c r="C259" s="567"/>
      <c r="D259" s="567"/>
      <c r="E259" s="567"/>
      <c r="F259" s="567"/>
      <c r="G259" s="567"/>
      <c r="H259" s="567"/>
      <c r="I259" s="567"/>
    </row>
    <row r="260" spans="3:9">
      <c r="C260" s="567"/>
      <c r="D260" s="567"/>
      <c r="E260" s="567"/>
      <c r="F260" s="567"/>
      <c r="G260" s="567"/>
      <c r="H260" s="567"/>
      <c r="I260" s="567"/>
    </row>
    <row r="261" spans="3:9">
      <c r="C261" s="567"/>
      <c r="D261" s="567"/>
      <c r="E261" s="567"/>
      <c r="F261" s="567"/>
      <c r="G261" s="567"/>
      <c r="H261" s="567"/>
      <c r="I261" s="567"/>
    </row>
    <row r="262" spans="3:9">
      <c r="C262" s="567"/>
      <c r="D262" s="567"/>
      <c r="E262" s="567"/>
      <c r="F262" s="567"/>
      <c r="G262" s="567"/>
      <c r="H262" s="567"/>
      <c r="I262" s="567"/>
    </row>
    <row r="263" spans="3:9">
      <c r="C263" s="567"/>
      <c r="D263" s="567"/>
      <c r="E263" s="567"/>
      <c r="F263" s="567"/>
      <c r="G263" s="567"/>
      <c r="H263" s="567"/>
      <c r="I263" s="567"/>
    </row>
    <row r="264" spans="3:9">
      <c r="C264" s="567"/>
      <c r="D264" s="567"/>
      <c r="E264" s="567"/>
      <c r="F264" s="567"/>
      <c r="G264" s="567"/>
      <c r="H264" s="567"/>
      <c r="I264" s="567"/>
    </row>
    <row r="265" spans="3:9">
      <c r="C265" s="567"/>
      <c r="D265" s="567"/>
      <c r="E265" s="567"/>
      <c r="F265" s="567"/>
      <c r="G265" s="567"/>
      <c r="H265" s="567"/>
      <c r="I265" s="567"/>
    </row>
    <row r="266" spans="3:9">
      <c r="C266" s="567"/>
      <c r="D266" s="567"/>
      <c r="E266" s="567"/>
      <c r="F266" s="567"/>
      <c r="G266" s="567"/>
      <c r="H266" s="567"/>
      <c r="I266" s="567"/>
    </row>
    <row r="267" spans="3:9">
      <c r="C267" s="567"/>
      <c r="D267" s="567"/>
      <c r="E267" s="567"/>
      <c r="F267" s="567"/>
      <c r="G267" s="567"/>
      <c r="H267" s="567"/>
      <c r="I267" s="567"/>
    </row>
    <row r="268" spans="3:9">
      <c r="C268" s="567"/>
      <c r="D268" s="567"/>
      <c r="E268" s="567"/>
      <c r="F268" s="567"/>
      <c r="G268" s="567"/>
      <c r="H268" s="567"/>
      <c r="I268" s="567"/>
    </row>
    <row r="269" spans="3:9">
      <c r="C269" s="567"/>
      <c r="D269" s="567"/>
      <c r="E269" s="567"/>
      <c r="F269" s="567"/>
      <c r="G269" s="567"/>
      <c r="H269" s="567"/>
      <c r="I269" s="567"/>
    </row>
    <row r="270" spans="3:9">
      <c r="C270" s="567"/>
      <c r="D270" s="567"/>
      <c r="E270" s="567"/>
      <c r="F270" s="567"/>
      <c r="G270" s="567"/>
      <c r="H270" s="567"/>
      <c r="I270" s="567"/>
    </row>
    <row r="271" spans="3:9">
      <c r="C271" s="567"/>
      <c r="D271" s="567"/>
      <c r="E271" s="567"/>
      <c r="F271" s="567"/>
      <c r="G271" s="567"/>
      <c r="H271" s="567"/>
      <c r="I271" s="567"/>
    </row>
    <row r="272" spans="3:9">
      <c r="C272" s="567"/>
      <c r="D272" s="567"/>
      <c r="E272" s="567"/>
      <c r="F272" s="567"/>
      <c r="G272" s="567"/>
      <c r="H272" s="567"/>
      <c r="I272" s="567"/>
    </row>
    <row r="273" spans="3:9">
      <c r="C273" s="567"/>
      <c r="D273" s="567"/>
      <c r="E273" s="567"/>
      <c r="F273" s="567"/>
      <c r="G273" s="567"/>
      <c r="H273" s="567"/>
      <c r="I273" s="567"/>
    </row>
    <row r="274" spans="3:9">
      <c r="C274" s="567"/>
      <c r="D274" s="567"/>
      <c r="E274" s="567"/>
      <c r="F274" s="567"/>
      <c r="G274" s="567"/>
      <c r="H274" s="567"/>
      <c r="I274" s="567"/>
    </row>
    <row r="275" spans="3:9">
      <c r="C275" s="567"/>
      <c r="D275" s="567"/>
      <c r="E275" s="567"/>
      <c r="F275" s="567"/>
      <c r="G275" s="567"/>
      <c r="H275" s="567"/>
      <c r="I275" s="567"/>
    </row>
    <row r="276" spans="3:9">
      <c r="C276" s="567"/>
      <c r="D276" s="567"/>
      <c r="E276" s="567"/>
      <c r="F276" s="567"/>
      <c r="G276" s="567"/>
      <c r="H276" s="567"/>
      <c r="I276" s="567"/>
    </row>
    <row r="277" spans="3:9">
      <c r="C277" s="567"/>
      <c r="D277" s="567"/>
      <c r="E277" s="567"/>
      <c r="F277" s="567"/>
      <c r="G277" s="567"/>
      <c r="H277" s="567"/>
      <c r="I277" s="567"/>
    </row>
    <row r="278" spans="3:9">
      <c r="C278" s="567"/>
      <c r="D278" s="567"/>
      <c r="E278" s="567"/>
      <c r="F278" s="567"/>
      <c r="G278" s="567"/>
      <c r="H278" s="567"/>
      <c r="I278" s="567"/>
    </row>
    <row r="279" spans="3:9">
      <c r="C279" s="567"/>
      <c r="D279" s="567"/>
      <c r="E279" s="567"/>
      <c r="F279" s="567"/>
      <c r="G279" s="567"/>
      <c r="H279" s="567"/>
      <c r="I279" s="567"/>
    </row>
    <row r="280" spans="3:9">
      <c r="C280" s="567"/>
      <c r="D280" s="567"/>
      <c r="E280" s="567"/>
      <c r="F280" s="567"/>
      <c r="G280" s="567"/>
      <c r="H280" s="567"/>
      <c r="I280" s="567"/>
    </row>
    <row r="281" spans="3:9">
      <c r="C281" s="567"/>
      <c r="D281" s="567"/>
      <c r="E281" s="567"/>
      <c r="F281" s="567"/>
      <c r="G281" s="567"/>
      <c r="H281" s="567"/>
      <c r="I281" s="567"/>
    </row>
    <row r="282" spans="3:9">
      <c r="C282" s="567"/>
      <c r="D282" s="567"/>
      <c r="E282" s="567"/>
      <c r="F282" s="567"/>
      <c r="G282" s="567"/>
      <c r="H282" s="567"/>
      <c r="I282" s="567"/>
    </row>
    <row r="283" spans="3:9">
      <c r="C283" s="567"/>
      <c r="D283" s="567"/>
      <c r="E283" s="567"/>
      <c r="F283" s="567"/>
      <c r="G283" s="567"/>
      <c r="H283" s="567"/>
      <c r="I283" s="567"/>
    </row>
    <row r="284" spans="3:9">
      <c r="C284" s="567"/>
      <c r="D284" s="567"/>
      <c r="E284" s="567"/>
      <c r="F284" s="567"/>
      <c r="G284" s="567"/>
      <c r="H284" s="567"/>
      <c r="I284" s="567"/>
    </row>
    <row r="285" spans="3:9">
      <c r="C285" s="567"/>
      <c r="D285" s="567"/>
      <c r="E285" s="567"/>
      <c r="F285" s="567"/>
      <c r="G285" s="567"/>
      <c r="H285" s="567"/>
      <c r="I285" s="567"/>
    </row>
    <row r="286" spans="3:9">
      <c r="C286" s="567"/>
      <c r="D286" s="567"/>
      <c r="E286" s="567"/>
      <c r="F286" s="567"/>
      <c r="G286" s="567"/>
      <c r="H286" s="567"/>
      <c r="I286" s="567"/>
    </row>
    <row r="287" spans="3:9">
      <c r="C287" s="567"/>
      <c r="D287" s="567"/>
      <c r="E287" s="567"/>
      <c r="F287" s="567"/>
      <c r="G287" s="567"/>
      <c r="H287" s="567"/>
      <c r="I287" s="567"/>
    </row>
    <row r="288" spans="3:9">
      <c r="C288" s="567"/>
      <c r="D288" s="567"/>
      <c r="E288" s="567"/>
      <c r="F288" s="567"/>
      <c r="G288" s="567"/>
      <c r="H288" s="567"/>
      <c r="I288" s="567"/>
    </row>
    <row r="289" spans="3:9">
      <c r="C289" s="567"/>
      <c r="D289" s="567"/>
      <c r="E289" s="567"/>
      <c r="F289" s="567"/>
      <c r="G289" s="567"/>
      <c r="H289" s="567"/>
      <c r="I289" s="567"/>
    </row>
    <row r="290" spans="3:9">
      <c r="C290" s="567"/>
      <c r="D290" s="567"/>
      <c r="E290" s="567"/>
      <c r="F290" s="567"/>
      <c r="G290" s="567"/>
      <c r="H290" s="567"/>
      <c r="I290" s="567"/>
    </row>
    <row r="291" spans="3:9">
      <c r="C291" s="567"/>
      <c r="D291" s="567"/>
      <c r="E291" s="567"/>
      <c r="F291" s="567"/>
      <c r="G291" s="567"/>
      <c r="H291" s="567"/>
      <c r="I291" s="567"/>
    </row>
    <row r="292" spans="3:9">
      <c r="C292" s="567"/>
      <c r="D292" s="567"/>
      <c r="E292" s="567"/>
      <c r="F292" s="567"/>
      <c r="G292" s="567"/>
      <c r="H292" s="567"/>
      <c r="I292" s="567"/>
    </row>
    <row r="293" spans="3:9">
      <c r="C293" s="567"/>
      <c r="D293" s="567"/>
      <c r="E293" s="567"/>
      <c r="F293" s="567"/>
      <c r="G293" s="567"/>
      <c r="H293" s="567"/>
      <c r="I293" s="567"/>
    </row>
    <row r="294" spans="3:9">
      <c r="C294" s="567"/>
      <c r="D294" s="567"/>
      <c r="E294" s="567"/>
      <c r="F294" s="567"/>
      <c r="G294" s="567"/>
      <c r="H294" s="567"/>
      <c r="I294" s="567"/>
    </row>
    <row r="295" spans="3:9">
      <c r="C295" s="567"/>
      <c r="D295" s="567"/>
      <c r="E295" s="567"/>
      <c r="F295" s="567"/>
      <c r="G295" s="567"/>
      <c r="H295" s="567"/>
      <c r="I295" s="567"/>
    </row>
    <row r="296" spans="3:9">
      <c r="C296" s="567"/>
      <c r="D296" s="567"/>
      <c r="E296" s="567"/>
      <c r="F296" s="567"/>
      <c r="G296" s="567"/>
      <c r="H296" s="567"/>
      <c r="I296" s="567"/>
    </row>
    <row r="297" spans="3:9">
      <c r="C297" s="567"/>
      <c r="D297" s="567"/>
      <c r="E297" s="567"/>
      <c r="F297" s="567"/>
      <c r="G297" s="567"/>
      <c r="H297" s="567"/>
      <c r="I297" s="567"/>
    </row>
    <row r="298" spans="3:9">
      <c r="C298" s="567"/>
      <c r="D298" s="567"/>
      <c r="E298" s="567"/>
      <c r="F298" s="567"/>
      <c r="G298" s="567"/>
      <c r="H298" s="567"/>
      <c r="I298" s="567"/>
    </row>
    <row r="299" spans="3:9">
      <c r="C299" s="567"/>
      <c r="D299" s="567"/>
      <c r="E299" s="567"/>
      <c r="F299" s="567"/>
      <c r="G299" s="567"/>
      <c r="H299" s="567"/>
      <c r="I299" s="567"/>
    </row>
    <row r="300" spans="3:9">
      <c r="C300" s="567"/>
      <c r="D300" s="567"/>
      <c r="E300" s="567"/>
      <c r="F300" s="567"/>
      <c r="G300" s="567"/>
      <c r="H300" s="567"/>
      <c r="I300" s="567"/>
    </row>
    <row r="301" spans="3:9">
      <c r="C301" s="567"/>
      <c r="D301" s="567"/>
      <c r="E301" s="567"/>
      <c r="F301" s="567"/>
      <c r="G301" s="567"/>
      <c r="H301" s="567"/>
      <c r="I301" s="567"/>
    </row>
    <row r="302" spans="3:9">
      <c r="C302" s="567"/>
      <c r="D302" s="567"/>
      <c r="E302" s="567"/>
      <c r="F302" s="567"/>
      <c r="G302" s="567"/>
      <c r="H302" s="567"/>
      <c r="I302" s="567"/>
    </row>
    <row r="303" spans="3:9">
      <c r="C303" s="567"/>
      <c r="D303" s="567"/>
      <c r="E303" s="567"/>
      <c r="F303" s="567"/>
      <c r="G303" s="567"/>
      <c r="H303" s="567"/>
      <c r="I303" s="567"/>
    </row>
    <row r="304" spans="3:9">
      <c r="C304" s="567"/>
      <c r="D304" s="567"/>
      <c r="E304" s="567"/>
      <c r="F304" s="567"/>
      <c r="G304" s="567"/>
      <c r="H304" s="567"/>
      <c r="I304" s="567"/>
    </row>
    <row r="305" spans="3:9">
      <c r="C305" s="567"/>
      <c r="D305" s="567"/>
      <c r="E305" s="567"/>
      <c r="F305" s="567"/>
      <c r="G305" s="567"/>
      <c r="H305" s="567"/>
      <c r="I305" s="567"/>
    </row>
    <row r="306" spans="3:9">
      <c r="C306" s="567"/>
      <c r="D306" s="567"/>
      <c r="E306" s="567"/>
      <c r="F306" s="567"/>
      <c r="G306" s="567"/>
      <c r="H306" s="567"/>
      <c r="I306" s="567"/>
    </row>
    <row r="307" spans="3:9">
      <c r="C307" s="567"/>
      <c r="D307" s="567"/>
      <c r="E307" s="567"/>
      <c r="F307" s="567"/>
      <c r="G307" s="567"/>
      <c r="H307" s="567"/>
      <c r="I307" s="567"/>
    </row>
    <row r="308" spans="3:9">
      <c r="C308" s="567"/>
      <c r="D308" s="567"/>
      <c r="E308" s="567"/>
      <c r="F308" s="567"/>
      <c r="G308" s="567"/>
      <c r="H308" s="567"/>
      <c r="I308" s="567"/>
    </row>
    <row r="309" spans="3:9">
      <c r="C309" s="567"/>
      <c r="D309" s="567"/>
      <c r="E309" s="567"/>
      <c r="F309" s="567"/>
      <c r="G309" s="567"/>
      <c r="H309" s="567"/>
      <c r="I309" s="567"/>
    </row>
    <row r="310" spans="3:9">
      <c r="C310" s="567"/>
      <c r="D310" s="567"/>
      <c r="E310" s="567"/>
      <c r="F310" s="567"/>
      <c r="G310" s="567"/>
      <c r="H310" s="567"/>
      <c r="I310" s="567"/>
    </row>
    <row r="311" spans="3:9">
      <c r="C311" s="567"/>
      <c r="D311" s="567"/>
      <c r="E311" s="567"/>
      <c r="F311" s="567"/>
      <c r="G311" s="567"/>
      <c r="H311" s="567"/>
      <c r="I311" s="567"/>
    </row>
    <row r="312" spans="3:9">
      <c r="C312" s="567"/>
      <c r="D312" s="567"/>
      <c r="E312" s="567"/>
      <c r="F312" s="567"/>
      <c r="G312" s="567"/>
      <c r="H312" s="567"/>
      <c r="I312" s="567"/>
    </row>
    <row r="313" spans="3:9">
      <c r="C313" s="567"/>
      <c r="D313" s="567"/>
      <c r="E313" s="567"/>
      <c r="F313" s="567"/>
      <c r="G313" s="567"/>
      <c r="H313" s="567"/>
      <c r="I313" s="567"/>
    </row>
    <row r="314" spans="3:9">
      <c r="C314" s="567"/>
      <c r="D314" s="567"/>
      <c r="E314" s="567"/>
      <c r="F314" s="567"/>
      <c r="G314" s="567"/>
      <c r="H314" s="567"/>
      <c r="I314" s="567"/>
    </row>
    <row r="315" spans="3:9">
      <c r="C315" s="567"/>
      <c r="D315" s="567"/>
      <c r="E315" s="567"/>
      <c r="F315" s="567"/>
      <c r="G315" s="567"/>
      <c r="H315" s="567"/>
      <c r="I315" s="567"/>
    </row>
    <row r="316" spans="3:9">
      <c r="C316" s="567"/>
      <c r="D316" s="567"/>
      <c r="E316" s="567"/>
      <c r="F316" s="567"/>
      <c r="G316" s="567"/>
      <c r="H316" s="567"/>
      <c r="I316" s="567"/>
    </row>
    <row r="317" spans="3:9">
      <c r="C317" s="567"/>
      <c r="D317" s="567"/>
      <c r="E317" s="567"/>
      <c r="F317" s="567"/>
      <c r="G317" s="567"/>
      <c r="H317" s="567"/>
      <c r="I317" s="567"/>
    </row>
    <row r="318" spans="3:9">
      <c r="C318" s="567"/>
      <c r="D318" s="567"/>
      <c r="E318" s="567"/>
      <c r="F318" s="567"/>
      <c r="G318" s="567"/>
      <c r="H318" s="567"/>
      <c r="I318" s="567"/>
    </row>
    <row r="319" spans="3:9">
      <c r="C319" s="567"/>
      <c r="D319" s="567"/>
      <c r="E319" s="567"/>
      <c r="F319" s="567"/>
      <c r="G319" s="567"/>
      <c r="H319" s="567"/>
      <c r="I319" s="567"/>
    </row>
    <row r="320" spans="3:9">
      <c r="C320" s="567"/>
      <c r="D320" s="567"/>
      <c r="E320" s="567"/>
      <c r="F320" s="567"/>
      <c r="G320" s="567"/>
      <c r="H320" s="567"/>
      <c r="I320" s="567"/>
    </row>
    <row r="321" spans="3:9">
      <c r="C321" s="567"/>
      <c r="D321" s="567"/>
      <c r="E321" s="567"/>
      <c r="F321" s="567"/>
      <c r="G321" s="567"/>
      <c r="H321" s="567"/>
      <c r="I321" s="567"/>
    </row>
    <row r="322" spans="3:9">
      <c r="C322" s="567"/>
      <c r="D322" s="567"/>
      <c r="E322" s="567"/>
      <c r="F322" s="567"/>
      <c r="G322" s="567"/>
      <c r="H322" s="567"/>
      <c r="I322" s="567"/>
    </row>
    <row r="323" spans="3:9">
      <c r="C323" s="567"/>
      <c r="D323" s="567"/>
      <c r="E323" s="567"/>
      <c r="F323" s="567"/>
      <c r="G323" s="567"/>
      <c r="H323" s="567"/>
      <c r="I323" s="567"/>
    </row>
    <row r="324" spans="3:9">
      <c r="C324" s="567"/>
      <c r="D324" s="567"/>
      <c r="E324" s="567"/>
      <c r="F324" s="567"/>
      <c r="G324" s="567"/>
      <c r="H324" s="567"/>
      <c r="I324" s="567"/>
    </row>
    <row r="325" spans="3:9">
      <c r="C325" s="567"/>
      <c r="D325" s="567"/>
      <c r="E325" s="567"/>
      <c r="F325" s="567"/>
      <c r="G325" s="567"/>
      <c r="H325" s="567"/>
      <c r="I325" s="567"/>
    </row>
    <row r="326" spans="3:9">
      <c r="C326" s="567"/>
      <c r="D326" s="567"/>
      <c r="E326" s="567"/>
      <c r="F326" s="567"/>
      <c r="G326" s="567"/>
      <c r="H326" s="567"/>
      <c r="I326" s="567"/>
    </row>
    <row r="327" spans="3:9">
      <c r="C327" s="567"/>
      <c r="D327" s="567"/>
      <c r="E327" s="567"/>
      <c r="F327" s="567"/>
      <c r="G327" s="567"/>
      <c r="H327" s="567"/>
      <c r="I327" s="567"/>
    </row>
    <row r="328" spans="3:9">
      <c r="C328" s="567"/>
      <c r="D328" s="567"/>
      <c r="E328" s="567"/>
      <c r="F328" s="567"/>
      <c r="G328" s="567"/>
      <c r="H328" s="567"/>
      <c r="I328" s="567"/>
    </row>
    <row r="329" spans="3:9">
      <c r="C329" s="567"/>
      <c r="D329" s="567"/>
      <c r="E329" s="567"/>
      <c r="F329" s="567"/>
      <c r="G329" s="567"/>
      <c r="H329" s="567"/>
      <c r="I329" s="567"/>
    </row>
    <row r="330" spans="3:9">
      <c r="C330" s="567"/>
      <c r="D330" s="567"/>
      <c r="E330" s="567"/>
      <c r="F330" s="567"/>
      <c r="G330" s="567"/>
      <c r="H330" s="567"/>
      <c r="I330" s="567"/>
    </row>
    <row r="331" spans="3:9">
      <c r="C331" s="567"/>
      <c r="D331" s="567"/>
      <c r="E331" s="567"/>
      <c r="F331" s="567"/>
      <c r="G331" s="567"/>
      <c r="H331" s="567"/>
      <c r="I331" s="567"/>
    </row>
    <row r="332" spans="3:9">
      <c r="C332" s="567"/>
      <c r="D332" s="567"/>
      <c r="E332" s="567"/>
      <c r="F332" s="567"/>
      <c r="G332" s="567"/>
      <c r="H332" s="567"/>
      <c r="I332" s="567"/>
    </row>
    <row r="333" spans="3:9">
      <c r="C333" s="567"/>
      <c r="D333" s="567"/>
      <c r="E333" s="567"/>
      <c r="F333" s="567"/>
      <c r="G333" s="567"/>
      <c r="H333" s="567"/>
      <c r="I333" s="567"/>
    </row>
    <row r="334" spans="3:9">
      <c r="C334" s="567"/>
      <c r="D334" s="567"/>
      <c r="E334" s="567"/>
      <c r="F334" s="567"/>
      <c r="G334" s="567"/>
      <c r="H334" s="567"/>
      <c r="I334" s="567"/>
    </row>
    <row r="335" spans="3:9">
      <c r="C335" s="567"/>
      <c r="D335" s="567"/>
      <c r="E335" s="567"/>
      <c r="F335" s="567"/>
      <c r="G335" s="567"/>
      <c r="H335" s="567"/>
      <c r="I335" s="567"/>
    </row>
    <row r="336" spans="3:9">
      <c r="C336" s="567"/>
      <c r="D336" s="567"/>
      <c r="E336" s="567"/>
      <c r="F336" s="567"/>
      <c r="G336" s="567"/>
      <c r="H336" s="567"/>
      <c r="I336" s="567"/>
    </row>
    <row r="337" spans="3:9">
      <c r="C337" s="567"/>
      <c r="D337" s="567"/>
      <c r="E337" s="567"/>
      <c r="F337" s="567"/>
      <c r="G337" s="567"/>
      <c r="H337" s="567"/>
      <c r="I337" s="567"/>
    </row>
    <row r="338" spans="3:9">
      <c r="C338" s="567"/>
      <c r="D338" s="567"/>
      <c r="E338" s="567"/>
      <c r="F338" s="567"/>
      <c r="G338" s="567"/>
      <c r="H338" s="567"/>
      <c r="I338" s="567"/>
    </row>
    <row r="339" spans="3:9">
      <c r="C339" s="567"/>
      <c r="D339" s="567"/>
      <c r="E339" s="567"/>
      <c r="F339" s="567"/>
      <c r="G339" s="567"/>
      <c r="H339" s="567"/>
      <c r="I339" s="567"/>
    </row>
    <row r="340" spans="3:9">
      <c r="C340" s="567"/>
      <c r="D340" s="567"/>
      <c r="E340" s="567"/>
      <c r="F340" s="567"/>
      <c r="G340" s="567"/>
      <c r="H340" s="567"/>
      <c r="I340" s="567"/>
    </row>
    <row r="341" spans="3:9">
      <c r="C341" s="567"/>
      <c r="D341" s="567"/>
      <c r="E341" s="567"/>
      <c r="F341" s="567"/>
      <c r="G341" s="567"/>
      <c r="H341" s="567"/>
      <c r="I341" s="567"/>
    </row>
    <row r="342" spans="3:9">
      <c r="C342" s="567"/>
      <c r="D342" s="567"/>
      <c r="E342" s="567"/>
      <c r="F342" s="567"/>
      <c r="G342" s="567"/>
      <c r="H342" s="567"/>
      <c r="I342" s="567"/>
    </row>
    <row r="343" spans="3:9">
      <c r="C343" s="567"/>
      <c r="D343" s="567"/>
      <c r="E343" s="567"/>
      <c r="F343" s="567"/>
      <c r="G343" s="567"/>
      <c r="H343" s="567"/>
      <c r="I343" s="567"/>
    </row>
    <row r="344" spans="3:9">
      <c r="C344" s="567"/>
      <c r="D344" s="567"/>
      <c r="E344" s="567"/>
      <c r="F344" s="567"/>
      <c r="G344" s="567"/>
      <c r="H344" s="567"/>
      <c r="I344" s="567"/>
    </row>
    <row r="345" spans="3:9">
      <c r="C345" s="567"/>
      <c r="D345" s="567"/>
      <c r="E345" s="567"/>
      <c r="F345" s="567"/>
      <c r="G345" s="567"/>
      <c r="H345" s="567"/>
      <c r="I345" s="567"/>
    </row>
    <row r="346" spans="3:9">
      <c r="C346" s="567"/>
      <c r="D346" s="567"/>
      <c r="E346" s="567"/>
      <c r="F346" s="567"/>
      <c r="G346" s="567"/>
      <c r="H346" s="567"/>
      <c r="I346" s="567"/>
    </row>
    <row r="347" spans="3:9">
      <c r="C347" s="567"/>
      <c r="D347" s="567"/>
      <c r="E347" s="567"/>
      <c r="F347" s="567"/>
      <c r="G347" s="567"/>
      <c r="H347" s="567"/>
      <c r="I347" s="567"/>
    </row>
    <row r="348" spans="3:9">
      <c r="C348" s="567"/>
      <c r="D348" s="567"/>
      <c r="E348" s="567"/>
      <c r="F348" s="567"/>
      <c r="G348" s="567"/>
      <c r="H348" s="567"/>
      <c r="I348" s="567"/>
    </row>
    <row r="349" spans="3:9">
      <c r="C349" s="567"/>
      <c r="D349" s="567"/>
      <c r="E349" s="567"/>
      <c r="F349" s="567"/>
      <c r="G349" s="567"/>
      <c r="H349" s="567"/>
      <c r="I349" s="567"/>
    </row>
    <row r="350" spans="3:9">
      <c r="C350" s="567"/>
      <c r="D350" s="567"/>
      <c r="E350" s="567"/>
      <c r="F350" s="567"/>
      <c r="G350" s="567"/>
      <c r="H350" s="567"/>
      <c r="I350" s="567"/>
    </row>
    <row r="351" spans="3:9">
      <c r="C351" s="567"/>
      <c r="D351" s="567"/>
      <c r="E351" s="567"/>
      <c r="F351" s="567"/>
      <c r="G351" s="567"/>
      <c r="H351" s="567"/>
      <c r="I351" s="567"/>
    </row>
    <row r="352" spans="3:9">
      <c r="C352" s="567"/>
      <c r="D352" s="567"/>
      <c r="E352" s="567"/>
      <c r="F352" s="567"/>
      <c r="G352" s="567"/>
      <c r="H352" s="567"/>
      <c r="I352" s="567"/>
    </row>
    <row r="353" spans="3:9">
      <c r="C353" s="567"/>
      <c r="D353" s="567"/>
      <c r="E353" s="567"/>
      <c r="F353" s="567"/>
      <c r="G353" s="567"/>
      <c r="H353" s="567"/>
      <c r="I353" s="567"/>
    </row>
    <row r="354" spans="3:9">
      <c r="C354" s="567"/>
      <c r="D354" s="567"/>
      <c r="E354" s="567"/>
      <c r="F354" s="567"/>
      <c r="G354" s="567"/>
      <c r="H354" s="567"/>
      <c r="I354" s="567"/>
    </row>
    <row r="355" spans="3:9">
      <c r="C355" s="567"/>
      <c r="D355" s="567"/>
      <c r="E355" s="567"/>
      <c r="F355" s="567"/>
      <c r="G355" s="567"/>
      <c r="H355" s="567"/>
      <c r="I355" s="567"/>
    </row>
    <row r="356" spans="3:9">
      <c r="C356" s="567"/>
      <c r="D356" s="567"/>
      <c r="E356" s="567"/>
      <c r="F356" s="567"/>
      <c r="G356" s="567"/>
      <c r="H356" s="567"/>
      <c r="I356" s="567"/>
    </row>
    <row r="357" spans="3:9">
      <c r="C357" s="567"/>
      <c r="D357" s="567"/>
      <c r="E357" s="567"/>
      <c r="F357" s="567"/>
      <c r="G357" s="567"/>
      <c r="H357" s="567"/>
      <c r="I357" s="567"/>
    </row>
    <row r="358" spans="3:9">
      <c r="C358" s="567"/>
      <c r="D358" s="567"/>
      <c r="E358" s="567"/>
      <c r="F358" s="567"/>
      <c r="G358" s="567"/>
      <c r="H358" s="567"/>
      <c r="I358" s="567"/>
    </row>
    <row r="359" spans="3:9">
      <c r="C359" s="567"/>
      <c r="D359" s="567"/>
      <c r="E359" s="567"/>
      <c r="F359" s="567"/>
      <c r="G359" s="567"/>
      <c r="H359" s="567"/>
      <c r="I359" s="567"/>
    </row>
    <row r="360" spans="3:9">
      <c r="C360" s="567"/>
      <c r="D360" s="567"/>
      <c r="E360" s="567"/>
      <c r="F360" s="567"/>
      <c r="G360" s="567"/>
      <c r="H360" s="567"/>
      <c r="I360" s="567"/>
    </row>
    <row r="361" spans="3:9">
      <c r="C361" s="567"/>
      <c r="D361" s="567"/>
      <c r="E361" s="567"/>
      <c r="F361" s="567"/>
      <c r="G361" s="567"/>
      <c r="H361" s="567"/>
      <c r="I361" s="567"/>
    </row>
    <row r="362" spans="3:9">
      <c r="C362" s="567"/>
      <c r="D362" s="567"/>
      <c r="E362" s="567"/>
      <c r="F362" s="567"/>
      <c r="G362" s="567"/>
      <c r="H362" s="567"/>
      <c r="I362" s="567"/>
    </row>
    <row r="363" spans="3:9">
      <c r="C363" s="567"/>
      <c r="D363" s="567"/>
      <c r="E363" s="567"/>
      <c r="F363" s="567"/>
      <c r="G363" s="567"/>
      <c r="H363" s="567"/>
      <c r="I363" s="567"/>
    </row>
    <row r="364" spans="3:9">
      <c r="C364" s="567"/>
      <c r="D364" s="567"/>
      <c r="E364" s="567"/>
      <c r="F364" s="567"/>
      <c r="G364" s="567"/>
      <c r="H364" s="567"/>
      <c r="I364" s="567"/>
    </row>
    <row r="365" spans="3:9">
      <c r="C365" s="567"/>
      <c r="D365" s="567"/>
      <c r="E365" s="567"/>
      <c r="F365" s="567"/>
      <c r="G365" s="567"/>
      <c r="H365" s="567"/>
      <c r="I365" s="567"/>
    </row>
    <row r="366" spans="3:9">
      <c r="C366" s="567"/>
      <c r="D366" s="567"/>
      <c r="E366" s="567"/>
      <c r="F366" s="567"/>
      <c r="G366" s="567"/>
      <c r="H366" s="567"/>
      <c r="I366" s="567"/>
    </row>
    <row r="367" spans="3:9">
      <c r="C367" s="567"/>
      <c r="D367" s="567"/>
      <c r="E367" s="567"/>
      <c r="F367" s="567"/>
      <c r="G367" s="567"/>
      <c r="H367" s="567"/>
      <c r="I367" s="567"/>
    </row>
    <row r="368" spans="3:9">
      <c r="C368" s="567"/>
      <c r="D368" s="567"/>
      <c r="E368" s="567"/>
      <c r="F368" s="567"/>
      <c r="G368" s="567"/>
      <c r="H368" s="567"/>
      <c r="I368" s="567"/>
    </row>
    <row r="369" spans="3:9">
      <c r="C369" s="567"/>
      <c r="D369" s="567"/>
      <c r="E369" s="567"/>
      <c r="F369" s="567"/>
      <c r="G369" s="567"/>
      <c r="H369" s="567"/>
      <c r="I369" s="567"/>
    </row>
    <row r="370" spans="3:9">
      <c r="C370" s="567"/>
      <c r="D370" s="567"/>
      <c r="E370" s="567"/>
      <c r="F370" s="567"/>
      <c r="G370" s="567"/>
      <c r="H370" s="567"/>
      <c r="I370" s="567"/>
    </row>
    <row r="371" spans="3:9">
      <c r="C371" s="567"/>
      <c r="D371" s="567"/>
      <c r="E371" s="567"/>
      <c r="F371" s="567"/>
      <c r="G371" s="567"/>
      <c r="H371" s="567"/>
      <c r="I371" s="567"/>
    </row>
    <row r="372" spans="3:9">
      <c r="C372" s="567"/>
      <c r="D372" s="567"/>
      <c r="E372" s="567"/>
      <c r="F372" s="567"/>
      <c r="G372" s="567"/>
      <c r="H372" s="567"/>
      <c r="I372" s="567"/>
    </row>
    <row r="373" spans="3:9">
      <c r="C373" s="567"/>
      <c r="D373" s="567"/>
      <c r="E373" s="567"/>
      <c r="F373" s="567"/>
      <c r="G373" s="567"/>
      <c r="H373" s="567"/>
      <c r="I373" s="567"/>
    </row>
    <row r="374" spans="3:9">
      <c r="C374" s="567"/>
      <c r="D374" s="567"/>
      <c r="E374" s="567"/>
      <c r="F374" s="567"/>
      <c r="G374" s="567"/>
      <c r="H374" s="567"/>
      <c r="I374" s="567"/>
    </row>
    <row r="375" spans="3:9">
      <c r="C375" s="567"/>
      <c r="D375" s="567"/>
      <c r="E375" s="567"/>
      <c r="F375" s="567"/>
      <c r="G375" s="567"/>
      <c r="H375" s="567"/>
      <c r="I375" s="567"/>
    </row>
    <row r="376" spans="3:9">
      <c r="C376" s="567"/>
      <c r="D376" s="567"/>
      <c r="E376" s="567"/>
      <c r="F376" s="567"/>
      <c r="G376" s="567"/>
      <c r="H376" s="567"/>
      <c r="I376" s="567"/>
    </row>
    <row r="377" spans="3:9">
      <c r="C377" s="567"/>
      <c r="D377" s="567"/>
      <c r="E377" s="567"/>
      <c r="F377" s="567"/>
      <c r="G377" s="567"/>
      <c r="H377" s="567"/>
      <c r="I377" s="567"/>
    </row>
    <row r="378" spans="3:9">
      <c r="C378" s="567"/>
      <c r="D378" s="567"/>
      <c r="E378" s="567"/>
      <c r="F378" s="567"/>
      <c r="G378" s="567"/>
      <c r="H378" s="567"/>
      <c r="I378" s="567"/>
    </row>
    <row r="379" spans="3:9">
      <c r="C379" s="567"/>
      <c r="D379" s="567"/>
      <c r="E379" s="567"/>
      <c r="F379" s="567"/>
      <c r="G379" s="567"/>
      <c r="H379" s="567"/>
      <c r="I379" s="567"/>
    </row>
    <row r="380" spans="3:9">
      <c r="C380" s="567"/>
      <c r="D380" s="567"/>
      <c r="E380" s="567"/>
      <c r="F380" s="567"/>
      <c r="G380" s="567"/>
      <c r="H380" s="567"/>
      <c r="I380" s="567"/>
    </row>
    <row r="381" spans="3:9">
      <c r="C381" s="567"/>
      <c r="D381" s="567"/>
      <c r="E381" s="567"/>
      <c r="F381" s="567"/>
      <c r="G381" s="567"/>
      <c r="H381" s="567"/>
      <c r="I381" s="567"/>
    </row>
    <row r="382" spans="3:9">
      <c r="C382" s="567"/>
      <c r="D382" s="567"/>
      <c r="E382" s="567"/>
      <c r="F382" s="567"/>
      <c r="G382" s="567"/>
      <c r="H382" s="567"/>
      <c r="I382" s="567"/>
    </row>
    <row r="383" spans="3:9">
      <c r="C383" s="567"/>
      <c r="D383" s="567"/>
      <c r="E383" s="567"/>
      <c r="F383" s="567"/>
      <c r="G383" s="567"/>
      <c r="H383" s="567"/>
      <c r="I383" s="567"/>
    </row>
    <row r="384" spans="3:9">
      <c r="C384" s="567"/>
      <c r="D384" s="567"/>
      <c r="E384" s="567"/>
      <c r="F384" s="567"/>
      <c r="G384" s="567"/>
      <c r="H384" s="567"/>
      <c r="I384" s="567"/>
    </row>
    <row r="385" spans="3:9">
      <c r="C385" s="567"/>
      <c r="D385" s="567"/>
      <c r="E385" s="567"/>
      <c r="F385" s="567"/>
      <c r="G385" s="567"/>
      <c r="H385" s="567"/>
      <c r="I385" s="567"/>
    </row>
    <row r="386" spans="3:9">
      <c r="C386" s="567"/>
      <c r="D386" s="567"/>
      <c r="E386" s="567"/>
      <c r="F386" s="567"/>
      <c r="G386" s="567"/>
      <c r="H386" s="567"/>
      <c r="I386" s="567"/>
    </row>
    <row r="387" spans="3:9">
      <c r="C387" s="567"/>
      <c r="D387" s="567"/>
      <c r="E387" s="567"/>
      <c r="F387" s="567"/>
      <c r="G387" s="567"/>
      <c r="H387" s="567"/>
      <c r="I387" s="567"/>
    </row>
    <row r="388" spans="3:9">
      <c r="C388" s="567"/>
      <c r="D388" s="567"/>
      <c r="E388" s="567"/>
      <c r="F388" s="567"/>
      <c r="G388" s="567"/>
      <c r="H388" s="567"/>
      <c r="I388" s="567"/>
    </row>
    <row r="389" spans="3:9">
      <c r="C389" s="567"/>
      <c r="D389" s="567"/>
      <c r="E389" s="567"/>
      <c r="F389" s="567"/>
      <c r="G389" s="567"/>
      <c r="H389" s="567"/>
      <c r="I389" s="567"/>
    </row>
    <row r="390" spans="3:9">
      <c r="C390" s="567"/>
      <c r="D390" s="567"/>
      <c r="E390" s="567"/>
      <c r="F390" s="567"/>
      <c r="G390" s="567"/>
      <c r="H390" s="567"/>
      <c r="I390" s="567"/>
    </row>
    <row r="391" spans="3:9">
      <c r="C391" s="567"/>
      <c r="D391" s="567"/>
      <c r="E391" s="567"/>
      <c r="F391" s="567"/>
      <c r="G391" s="567"/>
      <c r="H391" s="567"/>
      <c r="I391" s="567"/>
    </row>
    <row r="392" spans="3:9">
      <c r="C392" s="567"/>
      <c r="D392" s="567"/>
      <c r="E392" s="567"/>
      <c r="F392" s="567"/>
      <c r="G392" s="567"/>
      <c r="H392" s="567"/>
      <c r="I392" s="567"/>
    </row>
    <row r="393" spans="3:9">
      <c r="C393" s="567"/>
      <c r="D393" s="567"/>
      <c r="E393" s="567"/>
      <c r="F393" s="567"/>
      <c r="G393" s="567"/>
      <c r="H393" s="567"/>
      <c r="I393" s="567"/>
    </row>
    <row r="394" spans="3:9">
      <c r="C394" s="567"/>
      <c r="D394" s="567"/>
      <c r="E394" s="567"/>
      <c r="F394" s="567"/>
      <c r="G394" s="567"/>
      <c r="H394" s="567"/>
      <c r="I394" s="567"/>
    </row>
    <row r="395" spans="3:9">
      <c r="C395" s="567"/>
      <c r="D395" s="567"/>
      <c r="E395" s="567"/>
      <c r="F395" s="567"/>
      <c r="G395" s="567"/>
      <c r="H395" s="567"/>
      <c r="I395" s="567"/>
    </row>
    <row r="396" spans="3:9">
      <c r="C396" s="567"/>
      <c r="D396" s="567"/>
      <c r="E396" s="567"/>
      <c r="F396" s="567"/>
      <c r="G396" s="567"/>
      <c r="H396" s="567"/>
      <c r="I396" s="567"/>
    </row>
    <row r="397" spans="3:9">
      <c r="C397" s="567"/>
      <c r="D397" s="567"/>
      <c r="E397" s="567"/>
      <c r="F397" s="567"/>
      <c r="G397" s="567"/>
      <c r="H397" s="567"/>
      <c r="I397" s="567"/>
    </row>
    <row r="398" spans="3:9">
      <c r="C398" s="567"/>
      <c r="D398" s="567"/>
      <c r="E398" s="567"/>
      <c r="F398" s="567"/>
      <c r="G398" s="567"/>
      <c r="H398" s="567"/>
      <c r="I398" s="567"/>
    </row>
    <row r="399" spans="3:9">
      <c r="C399" s="567"/>
      <c r="D399" s="567"/>
      <c r="E399" s="567"/>
      <c r="F399" s="567"/>
      <c r="G399" s="567"/>
      <c r="H399" s="567"/>
      <c r="I399" s="567"/>
    </row>
    <row r="400" spans="3:9">
      <c r="C400" s="567"/>
      <c r="D400" s="567"/>
      <c r="E400" s="567"/>
      <c r="F400" s="567"/>
      <c r="G400" s="567"/>
      <c r="H400" s="567"/>
      <c r="I400" s="567"/>
    </row>
    <row r="401" spans="3:9">
      <c r="C401" s="567"/>
      <c r="D401" s="567"/>
      <c r="E401" s="567"/>
      <c r="F401" s="567"/>
      <c r="G401" s="567"/>
      <c r="H401" s="567"/>
      <c r="I401" s="567"/>
    </row>
    <row r="402" spans="3:9">
      <c r="C402" s="567"/>
      <c r="D402" s="567"/>
      <c r="E402" s="567"/>
      <c r="F402" s="567"/>
      <c r="G402" s="567"/>
      <c r="H402" s="567"/>
      <c r="I402" s="567"/>
    </row>
    <row r="403" spans="3:9">
      <c r="C403" s="567"/>
      <c r="D403" s="567"/>
      <c r="E403" s="567"/>
      <c r="F403" s="567"/>
      <c r="G403" s="567"/>
      <c r="H403" s="567"/>
      <c r="I403" s="567"/>
    </row>
    <row r="404" spans="3:9">
      <c r="C404" s="567"/>
      <c r="D404" s="567"/>
      <c r="E404" s="567"/>
      <c r="F404" s="567"/>
      <c r="G404" s="567"/>
      <c r="H404" s="567"/>
      <c r="I404" s="567"/>
    </row>
    <row r="405" spans="3:9">
      <c r="C405" s="567"/>
      <c r="D405" s="567"/>
      <c r="E405" s="567"/>
      <c r="F405" s="567"/>
      <c r="G405" s="567"/>
      <c r="H405" s="567"/>
      <c r="I405" s="567"/>
    </row>
    <row r="406" spans="3:9">
      <c r="C406" s="567"/>
      <c r="D406" s="567"/>
      <c r="E406" s="567"/>
      <c r="F406" s="567"/>
      <c r="G406" s="567"/>
      <c r="H406" s="567"/>
      <c r="I406" s="567"/>
    </row>
    <row r="407" spans="3:9">
      <c r="C407" s="567"/>
      <c r="D407" s="567"/>
      <c r="E407" s="567"/>
      <c r="F407" s="567"/>
      <c r="G407" s="567"/>
      <c r="H407" s="567"/>
      <c r="I407" s="567"/>
    </row>
    <row r="408" spans="3:9">
      <c r="C408" s="567"/>
      <c r="D408" s="567"/>
      <c r="E408" s="567"/>
      <c r="F408" s="567"/>
      <c r="G408" s="567"/>
      <c r="H408" s="567"/>
      <c r="I408" s="567"/>
    </row>
    <row r="409" spans="3:9">
      <c r="C409" s="567"/>
      <c r="D409" s="567"/>
      <c r="E409" s="567"/>
      <c r="F409" s="567"/>
      <c r="G409" s="567"/>
      <c r="H409" s="567"/>
      <c r="I409" s="567"/>
    </row>
    <row r="410" spans="3:9">
      <c r="C410" s="567"/>
      <c r="D410" s="567"/>
      <c r="E410" s="567"/>
      <c r="F410" s="567"/>
      <c r="G410" s="567"/>
      <c r="H410" s="567"/>
      <c r="I410" s="567"/>
    </row>
    <row r="411" spans="3:9">
      <c r="C411" s="567"/>
      <c r="D411" s="567"/>
      <c r="E411" s="567"/>
      <c r="F411" s="567"/>
      <c r="G411" s="567"/>
      <c r="H411" s="567"/>
      <c r="I411" s="567"/>
    </row>
    <row r="412" spans="3:9">
      <c r="C412" s="567"/>
      <c r="D412" s="567"/>
      <c r="E412" s="567"/>
      <c r="F412" s="567"/>
      <c r="G412" s="567"/>
      <c r="H412" s="567"/>
      <c r="I412" s="567"/>
    </row>
    <row r="413" spans="3:9">
      <c r="C413" s="567"/>
      <c r="D413" s="567"/>
      <c r="E413" s="567"/>
      <c r="F413" s="567"/>
      <c r="G413" s="567"/>
      <c r="H413" s="567"/>
      <c r="I413" s="567"/>
    </row>
    <row r="414" spans="3:9">
      <c r="C414" s="567"/>
      <c r="D414" s="567"/>
      <c r="E414" s="567"/>
      <c r="F414" s="567"/>
      <c r="G414" s="567"/>
      <c r="H414" s="567"/>
      <c r="I414" s="567"/>
    </row>
    <row r="415" spans="3:9">
      <c r="C415" s="567"/>
      <c r="D415" s="567"/>
      <c r="E415" s="567"/>
      <c r="F415" s="567"/>
      <c r="G415" s="567"/>
      <c r="H415" s="567"/>
      <c r="I415" s="567"/>
    </row>
    <row r="416" spans="3:9">
      <c r="C416" s="567"/>
      <c r="D416" s="567"/>
      <c r="E416" s="567"/>
      <c r="F416" s="567"/>
      <c r="G416" s="567"/>
      <c r="H416" s="567"/>
      <c r="I416" s="567"/>
    </row>
    <row r="417" spans="5:5">
      <c r="E417" s="567"/>
    </row>
  </sheetData>
  <mergeCells count="85">
    <mergeCell ref="C27:E27"/>
    <mergeCell ref="F27:H27"/>
    <mergeCell ref="J5:W5"/>
    <mergeCell ref="Y5:AU5"/>
    <mergeCell ref="AW5:BW5"/>
    <mergeCell ref="C6:E6"/>
    <mergeCell ref="F6:H6"/>
    <mergeCell ref="J16:W16"/>
    <mergeCell ref="Y16:AU16"/>
    <mergeCell ref="AW16:BW16"/>
    <mergeCell ref="C17:E17"/>
    <mergeCell ref="F17:H17"/>
    <mergeCell ref="J26:W26"/>
    <mergeCell ref="Y26:AU26"/>
    <mergeCell ref="AW26:BW26"/>
    <mergeCell ref="C60:E60"/>
    <mergeCell ref="F60:H60"/>
    <mergeCell ref="J37:W37"/>
    <mergeCell ref="Y37:AU37"/>
    <mergeCell ref="AW37:BW37"/>
    <mergeCell ref="C38:E38"/>
    <mergeCell ref="F38:H38"/>
    <mergeCell ref="J48:W48"/>
    <mergeCell ref="Y48:AU48"/>
    <mergeCell ref="AW48:BW48"/>
    <mergeCell ref="C49:E49"/>
    <mergeCell ref="F49:H49"/>
    <mergeCell ref="J59:W59"/>
    <mergeCell ref="Y59:AU59"/>
    <mergeCell ref="AW59:BW59"/>
    <mergeCell ref="C93:E93"/>
    <mergeCell ref="F93:H93"/>
    <mergeCell ref="J70:W70"/>
    <mergeCell ref="Y70:AU70"/>
    <mergeCell ref="AW70:BW70"/>
    <mergeCell ref="C71:E71"/>
    <mergeCell ref="F71:H71"/>
    <mergeCell ref="J81:W81"/>
    <mergeCell ref="Y81:AU81"/>
    <mergeCell ref="AW81:BW81"/>
    <mergeCell ref="C82:E82"/>
    <mergeCell ref="F82:H82"/>
    <mergeCell ref="J92:W92"/>
    <mergeCell ref="Y92:AU92"/>
    <mergeCell ref="AW92:BW92"/>
    <mergeCell ref="C124:E124"/>
    <mergeCell ref="F124:H124"/>
    <mergeCell ref="J103:W103"/>
    <mergeCell ref="Y103:AU103"/>
    <mergeCell ref="AW103:BW103"/>
    <mergeCell ref="C104:E104"/>
    <mergeCell ref="F104:H104"/>
    <mergeCell ref="J112:W112"/>
    <mergeCell ref="Y112:AU112"/>
    <mergeCell ref="AW112:BW112"/>
    <mergeCell ref="C113:E113"/>
    <mergeCell ref="F113:H113"/>
    <mergeCell ref="J123:W123"/>
    <mergeCell ref="Y123:AU123"/>
    <mergeCell ref="AW123:BW123"/>
    <mergeCell ref="C163:E163"/>
    <mergeCell ref="F163:H163"/>
    <mergeCell ref="J137:W137"/>
    <mergeCell ref="Y137:AU137"/>
    <mergeCell ref="AW137:BW137"/>
    <mergeCell ref="C138:E138"/>
    <mergeCell ref="F138:H138"/>
    <mergeCell ref="J150:W150"/>
    <mergeCell ref="Y150:AU150"/>
    <mergeCell ref="AW150:BW150"/>
    <mergeCell ref="C151:E151"/>
    <mergeCell ref="F151:H151"/>
    <mergeCell ref="J162:W162"/>
    <mergeCell ref="Y162:AU162"/>
    <mergeCell ref="AW162:BW162"/>
    <mergeCell ref="C184:E184"/>
    <mergeCell ref="F184:H184"/>
    <mergeCell ref="J173:W173"/>
    <mergeCell ref="Y173:AU173"/>
    <mergeCell ref="AW173:BW173"/>
    <mergeCell ref="C174:E174"/>
    <mergeCell ref="F174:H174"/>
    <mergeCell ref="J183:W183"/>
    <mergeCell ref="Y183:AU183"/>
    <mergeCell ref="AW183:BW18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110"/>
  <sheetViews>
    <sheetView zoomScale="70" zoomScaleNormal="70" workbookViewId="0">
      <selection activeCell="A63" sqref="A63:K71"/>
    </sheetView>
  </sheetViews>
  <sheetFormatPr baseColWidth="10" defaultColWidth="11.453125" defaultRowHeight="14.5"/>
  <cols>
    <col min="1" max="1" width="22.26953125" style="34" customWidth="1"/>
    <col min="2" max="2" width="19.81640625" style="34" customWidth="1"/>
    <col min="3" max="3" width="20.1796875" style="34" customWidth="1"/>
    <col min="4" max="4" width="17" style="34" customWidth="1"/>
    <col min="5" max="5" width="17.453125" style="34" customWidth="1"/>
    <col min="6" max="6" width="17.7265625" style="34" customWidth="1"/>
    <col min="7" max="7" width="11.453125" style="34"/>
    <col min="8" max="8" width="2.7265625" style="34" customWidth="1"/>
    <col min="9" max="9" width="15.54296875" style="34" customWidth="1"/>
    <col min="10" max="10" width="22.54296875" style="34" customWidth="1"/>
    <col min="11" max="11" width="19.7265625" style="34" customWidth="1"/>
    <col min="12" max="12" width="10.26953125" style="34" customWidth="1"/>
    <col min="13" max="13" width="12.7265625" style="34" customWidth="1"/>
    <col min="14" max="14" width="12.453125" style="236" customWidth="1"/>
    <col min="15" max="15" width="11.453125" style="236"/>
    <col min="16" max="16" width="12.1796875" style="34" customWidth="1"/>
    <col min="17" max="17" width="11.453125" style="34"/>
    <col min="18" max="18" width="12.1796875" style="34" customWidth="1"/>
    <col min="19" max="19" width="11.453125" style="34"/>
    <col min="20" max="21" width="11.453125" style="236"/>
    <col min="22" max="22" width="11.453125" style="34"/>
    <col min="23" max="23" width="11.1796875" style="34" customWidth="1"/>
    <col min="24" max="257" width="11.453125" style="34"/>
  </cols>
  <sheetData>
    <row r="1" spans="1:256" ht="7.5" customHeight="1"/>
    <row r="2" spans="1:256" ht="26.25" customHeight="1">
      <c r="A2" s="640" t="s">
        <v>323</v>
      </c>
      <c r="B2" s="640"/>
      <c r="C2" s="640"/>
      <c r="D2" s="640"/>
      <c r="E2" s="640"/>
      <c r="F2" s="640"/>
      <c r="G2" s="237"/>
      <c r="H2" s="238"/>
      <c r="I2" s="239"/>
      <c r="J2" s="240"/>
      <c r="K2" s="241"/>
      <c r="L2" s="241"/>
      <c r="M2" s="242"/>
      <c r="N2" s="243"/>
      <c r="O2" s="243"/>
      <c r="P2" s="244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  <c r="IQ2" s="245"/>
      <c r="IR2" s="245"/>
      <c r="IS2" s="245"/>
      <c r="IT2" s="245"/>
      <c r="IU2" s="245"/>
      <c r="IV2" s="245"/>
    </row>
    <row r="3" spans="1:256" ht="30" customHeight="1">
      <c r="A3" s="641" t="s">
        <v>324</v>
      </c>
      <c r="B3" s="641"/>
      <c r="C3" s="641"/>
      <c r="D3" s="641"/>
      <c r="E3" s="641"/>
      <c r="F3" s="641"/>
      <c r="G3" s="246"/>
      <c r="H3" s="246"/>
      <c r="I3" s="237"/>
      <c r="J3" s="240"/>
      <c r="K3" s="241"/>
      <c r="L3" s="241"/>
      <c r="M3" s="242"/>
      <c r="O3" s="247"/>
      <c r="P3" s="248"/>
      <c r="Q3" s="247"/>
      <c r="R3" s="247"/>
      <c r="S3" s="247"/>
      <c r="T3" s="247"/>
      <c r="U3" s="247"/>
      <c r="V3" s="247"/>
      <c r="W3" s="236"/>
      <c r="X3" s="236"/>
      <c r="Y3" s="236"/>
      <c r="Z3" s="236"/>
      <c r="AA3" s="236"/>
      <c r="AB3" s="236"/>
      <c r="AC3" s="236"/>
    </row>
    <row r="4" spans="1:256">
      <c r="A4" s="249"/>
      <c r="B4" s="250"/>
      <c r="C4" s="250"/>
      <c r="D4" s="250"/>
      <c r="E4" s="250"/>
      <c r="F4" s="250"/>
      <c r="G4" s="240"/>
      <c r="H4" s="251"/>
      <c r="I4" s="237"/>
      <c r="J4" s="252"/>
      <c r="K4" s="253"/>
      <c r="L4" s="254"/>
      <c r="O4" s="254"/>
      <c r="P4" s="254"/>
      <c r="Q4" s="236"/>
      <c r="R4" s="236"/>
      <c r="S4" s="254"/>
      <c r="U4" s="254"/>
      <c r="V4" s="254"/>
      <c r="W4" s="236"/>
      <c r="X4" s="254"/>
      <c r="Y4" s="255"/>
      <c r="Z4" s="236"/>
      <c r="AA4" s="236"/>
      <c r="AB4" s="236"/>
      <c r="AC4" s="236"/>
    </row>
    <row r="5" spans="1:256" ht="26">
      <c r="A5" s="256"/>
      <c r="B5" s="257"/>
      <c r="C5" s="258" t="s">
        <v>325</v>
      </c>
      <c r="D5" s="258" t="s">
        <v>326</v>
      </c>
      <c r="E5" s="258" t="s">
        <v>14</v>
      </c>
      <c r="F5" s="252"/>
      <c r="G5" s="252"/>
      <c r="H5" s="252"/>
      <c r="I5" s="237"/>
      <c r="J5" s="252"/>
      <c r="K5" s="252"/>
      <c r="L5" s="252"/>
      <c r="M5" s="252"/>
      <c r="N5" s="252"/>
      <c r="O5" s="252"/>
      <c r="P5" s="252"/>
      <c r="Q5" s="252"/>
      <c r="R5" s="252"/>
      <c r="S5" s="259"/>
      <c r="T5" s="11"/>
      <c r="U5" s="259"/>
      <c r="V5" s="259"/>
      <c r="W5" s="11"/>
      <c r="X5" s="259"/>
      <c r="Y5" s="260"/>
      <c r="Z5" s="11"/>
      <c r="AA5" s="11"/>
      <c r="AB5" s="11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>
      <c r="A6" s="2"/>
      <c r="B6" s="261" t="s">
        <v>93</v>
      </c>
      <c r="C6" s="262">
        <f>B64</f>
        <v>61</v>
      </c>
      <c r="D6" s="263">
        <f>E6-C6</f>
        <v>6951</v>
      </c>
      <c r="E6" s="264">
        <f>D64</f>
        <v>7012</v>
      </c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9"/>
      <c r="T6" s="11"/>
      <c r="U6" s="259"/>
      <c r="V6" s="259"/>
      <c r="W6" s="11"/>
      <c r="X6" s="259"/>
      <c r="Y6" s="11"/>
      <c r="Z6" s="11"/>
      <c r="AA6" s="11"/>
      <c r="AB6" s="11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>
      <c r="A7" s="265"/>
      <c r="B7" s="261" t="s">
        <v>94</v>
      </c>
      <c r="C7" s="262">
        <f>E64</f>
        <v>132</v>
      </c>
      <c r="D7" s="263">
        <f>E7-C7</f>
        <v>6880</v>
      </c>
      <c r="E7" s="264">
        <f>G64</f>
        <v>7012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9"/>
      <c r="T7" s="11"/>
      <c r="U7" s="259"/>
      <c r="V7" s="259"/>
      <c r="W7" s="11"/>
      <c r="X7" s="259"/>
      <c r="Y7" s="11"/>
      <c r="Z7" s="11"/>
      <c r="AA7" s="11"/>
      <c r="AB7" s="11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2"/>
      <c r="B8" s="266" t="s">
        <v>14</v>
      </c>
      <c r="C8" s="267">
        <f>SUM(C6:C7)</f>
        <v>193</v>
      </c>
      <c r="D8" s="267">
        <f>SUM(D6:D7)</f>
        <v>13831</v>
      </c>
      <c r="E8" s="267">
        <f>SUM(E6:E7)</f>
        <v>14024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9"/>
      <c r="T8" s="11"/>
      <c r="U8" s="259"/>
      <c r="V8" s="259"/>
      <c r="W8" s="11"/>
      <c r="X8" s="259"/>
      <c r="Y8" s="11"/>
      <c r="Z8" s="11"/>
      <c r="AA8" s="11"/>
      <c r="AB8" s="11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2"/>
      <c r="B9" s="268"/>
      <c r="C9" s="269"/>
      <c r="D9" s="270"/>
      <c r="E9" s="270"/>
      <c r="F9" s="2"/>
      <c r="G9" s="271"/>
      <c r="H9" s="272"/>
      <c r="I9" s="272"/>
      <c r="J9" s="272"/>
      <c r="K9" s="2"/>
      <c r="L9" s="22"/>
      <c r="M9" s="2"/>
      <c r="N9" s="3"/>
      <c r="O9" s="63"/>
      <c r="P9" s="273"/>
      <c r="Q9" s="273"/>
      <c r="R9" s="273"/>
      <c r="S9" s="22"/>
      <c r="T9" s="3"/>
      <c r="U9" s="22"/>
      <c r="V9" s="22"/>
      <c r="W9" s="3"/>
      <c r="X9" s="22"/>
      <c r="Y9" s="3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idden="1">
      <c r="A10" s="1" t="s">
        <v>327</v>
      </c>
      <c r="B10" s="15"/>
      <c r="C10" s="27"/>
      <c r="D10" s="30"/>
      <c r="E10" s="22"/>
      <c r="F10" s="25"/>
      <c r="G10" s="22"/>
      <c r="H10" s="274"/>
      <c r="I10" s="22"/>
      <c r="J10" s="4"/>
      <c r="K10" s="4"/>
      <c r="L10" s="25"/>
      <c r="M10" s="4"/>
      <c r="N10" s="4"/>
      <c r="O10" s="30"/>
      <c r="P10" s="275"/>
      <c r="Q10" s="275"/>
      <c r="R10" s="275"/>
      <c r="S10" s="30"/>
      <c r="T10" s="30"/>
      <c r="U10" s="30"/>
      <c r="V10" s="3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idden="1">
      <c r="A11" s="2" t="s">
        <v>328</v>
      </c>
      <c r="B11" s="15"/>
      <c r="C11" s="27"/>
      <c r="D11" s="30"/>
      <c r="E11" s="22"/>
      <c r="F11" s="25"/>
      <c r="G11" s="22"/>
      <c r="H11" s="274"/>
      <c r="I11" s="22"/>
      <c r="J11" s="63"/>
      <c r="K11" s="4"/>
      <c r="L11" s="4"/>
      <c r="M11" s="4"/>
      <c r="N11" s="4"/>
      <c r="O11" s="30"/>
      <c r="P11" s="276"/>
      <c r="Q11" s="276"/>
      <c r="R11" s="276"/>
      <c r="S11" s="30"/>
      <c r="T11" s="30"/>
      <c r="U11" s="30"/>
      <c r="V11" s="30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0" hidden="1">
      <c r="A12" s="46" t="s">
        <v>329</v>
      </c>
      <c r="B12" s="46" t="s">
        <v>330</v>
      </c>
      <c r="C12" s="46" t="s">
        <v>331</v>
      </c>
      <c r="D12" s="46" t="s">
        <v>332</v>
      </c>
      <c r="E12" s="46" t="s">
        <v>333</v>
      </c>
      <c r="F12" s="46" t="s">
        <v>334</v>
      </c>
      <c r="G12" s="46" t="s">
        <v>335</v>
      </c>
      <c r="H12" s="46" t="s">
        <v>336</v>
      </c>
      <c r="I12" s="22"/>
      <c r="J12" s="277" t="s">
        <v>337</v>
      </c>
      <c r="K12" s="277" t="s">
        <v>335</v>
      </c>
      <c r="L12" s="277" t="s">
        <v>336</v>
      </c>
      <c r="M12" s="4"/>
      <c r="N12" s="4"/>
      <c r="O12" s="30"/>
      <c r="P12" s="30"/>
      <c r="Q12" s="30"/>
      <c r="R12" s="30"/>
      <c r="S12" s="30"/>
      <c r="T12" s="30"/>
      <c r="U12" s="30"/>
      <c r="V12" s="30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idden="1">
      <c r="A13" s="20">
        <f>LN((C6/E6)/(C7/E7))</f>
        <v>-0.77192805841305967</v>
      </c>
      <c r="B13" s="20">
        <f>SQRT((D6/(C6*E6)+(D7/(C7*E7))))</f>
        <v>0.15389598718192515</v>
      </c>
      <c r="C13" s="20">
        <f>-NORMSINV(2.5/100)</f>
        <v>1.9599639845400538</v>
      </c>
      <c r="D13" s="20">
        <f>A13-(C13*B13)</f>
        <v>-1.0735586506548707</v>
      </c>
      <c r="E13" s="278">
        <f>A13+(C13*B13)</f>
        <v>-0.47029746617124862</v>
      </c>
      <c r="F13" s="279">
        <f>(C6/E6)/(C7/E7)</f>
        <v>0.4621212121212121</v>
      </c>
      <c r="G13" s="280">
        <f>EXP(D13)</f>
        <v>0.34179003928846619</v>
      </c>
      <c r="H13" s="281">
        <f>EXP(E13)</f>
        <v>0.62481637890020525</v>
      </c>
      <c r="I13" s="22"/>
      <c r="J13" s="23">
        <f>1-F13</f>
        <v>0.53787878787878785</v>
      </c>
      <c r="K13" s="23">
        <f>1-G13</f>
        <v>0.65820996071153381</v>
      </c>
      <c r="L13" s="23">
        <f>1-H13</f>
        <v>0.37518362109979475</v>
      </c>
      <c r="M13" s="282"/>
      <c r="N13" s="4"/>
      <c r="O13" s="30"/>
      <c r="P13" s="30"/>
      <c r="Q13" s="30"/>
      <c r="R13" s="30"/>
      <c r="S13" s="30"/>
      <c r="T13" s="30"/>
      <c r="U13" s="30"/>
      <c r="V13" s="30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idden="1">
      <c r="A14" s="4"/>
      <c r="B14" s="15"/>
      <c r="C14" s="283"/>
      <c r="D14" s="284"/>
      <c r="E14" s="285"/>
      <c r="F14" s="286"/>
      <c r="G14" s="285"/>
      <c r="H14" s="287"/>
      <c r="I14" s="22"/>
      <c r="J14" s="25"/>
      <c r="K14" s="25"/>
      <c r="L14" s="25"/>
      <c r="M14" s="4"/>
      <c r="N14" s="4"/>
      <c r="O14" s="30"/>
      <c r="P14" s="30"/>
      <c r="Q14" s="30"/>
      <c r="R14" s="30"/>
      <c r="S14" s="30"/>
      <c r="T14" s="30"/>
      <c r="U14" s="30"/>
      <c r="V14" s="30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idden="1">
      <c r="A15" s="3"/>
      <c r="B15" s="288"/>
      <c r="C15" s="289"/>
      <c r="D15" s="290"/>
      <c r="E15" s="291"/>
      <c r="F15" s="292"/>
      <c r="G15" s="293"/>
      <c r="H15" s="294"/>
      <c r="I15" s="295"/>
      <c r="J15" s="3"/>
      <c r="K15" s="3"/>
      <c r="L15" s="296"/>
      <c r="M15" s="29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idden="1">
      <c r="A16" s="297" t="s">
        <v>338</v>
      </c>
      <c r="B16" s="31"/>
      <c r="C16" s="298"/>
      <c r="D16" s="7"/>
      <c r="E16" s="295"/>
      <c r="F16" s="295"/>
      <c r="G16" s="295"/>
      <c r="H16" s="299"/>
      <c r="I16" s="295"/>
      <c r="J16" s="3"/>
      <c r="K16" s="300"/>
      <c r="L16" s="30"/>
      <c r="M16" s="5"/>
      <c r="N16" s="5"/>
      <c r="O16" s="30"/>
      <c r="P16" s="30"/>
      <c r="Q16" s="301"/>
      <c r="R16" s="5"/>
      <c r="S16" s="24"/>
      <c r="T16" s="24"/>
      <c r="U16" s="24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idden="1">
      <c r="A17" s="302" t="s">
        <v>339</v>
      </c>
      <c r="B17" s="303" t="s">
        <v>340</v>
      </c>
      <c r="C17" s="304"/>
      <c r="D17" s="305"/>
      <c r="E17" s="306"/>
      <c r="F17" s="306"/>
      <c r="G17" s="306"/>
      <c r="H17" s="307"/>
      <c r="I17" s="306"/>
      <c r="J17" s="308"/>
      <c r="K17" s="309"/>
      <c r="L17" s="310"/>
      <c r="M17" s="5"/>
      <c r="N17" s="5"/>
      <c r="O17" s="30"/>
      <c r="P17" s="30"/>
      <c r="Q17" s="301"/>
      <c r="R17" s="5"/>
      <c r="S17" s="24"/>
      <c r="T17" s="24"/>
      <c r="U17" s="24"/>
      <c r="V17" s="3"/>
      <c r="W17" s="3" t="s">
        <v>341</v>
      </c>
      <c r="X17" s="3"/>
      <c r="Y17" s="3"/>
      <c r="Z17" s="3"/>
      <c r="AA17" s="3"/>
      <c r="AB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idden="1">
      <c r="A18" s="311" t="s">
        <v>342</v>
      </c>
      <c r="B18" s="312" t="s">
        <v>343</v>
      </c>
      <c r="C18" s="313"/>
      <c r="D18" s="312" t="s">
        <v>344</v>
      </c>
      <c r="E18" s="312"/>
      <c r="F18" s="312" t="s">
        <v>345</v>
      </c>
      <c r="G18" s="312"/>
      <c r="H18" s="312" t="s">
        <v>346</v>
      </c>
      <c r="I18" s="314"/>
      <c r="J18" s="314"/>
      <c r="K18" s="314"/>
      <c r="L18" s="310"/>
      <c r="M18" s="5"/>
      <c r="N18" s="3"/>
      <c r="O18" s="3"/>
      <c r="P18" s="2"/>
      <c r="Q18" s="2"/>
      <c r="R18" s="2"/>
      <c r="S18" s="2"/>
      <c r="T18" s="3"/>
      <c r="U18" s="3"/>
      <c r="V18" s="2"/>
      <c r="W18" s="2" t="s">
        <v>347</v>
      </c>
      <c r="X18" s="2"/>
      <c r="Y18" s="315"/>
      <c r="Z18" s="315"/>
      <c r="AA18" s="315"/>
      <c r="AB18" s="315"/>
      <c r="AC18" s="315"/>
      <c r="AD18" s="31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7.75" hidden="1" customHeight="1">
      <c r="A19" s="316" t="s">
        <v>348</v>
      </c>
      <c r="B19" s="316" t="s">
        <v>349</v>
      </c>
      <c r="C19" s="317" t="s">
        <v>350</v>
      </c>
      <c r="D19" s="317" t="s">
        <v>343</v>
      </c>
      <c r="E19" s="317" t="s">
        <v>351</v>
      </c>
      <c r="F19" s="317" t="s">
        <v>345</v>
      </c>
      <c r="G19" s="317" t="s">
        <v>346</v>
      </c>
      <c r="H19" s="318" t="s">
        <v>331</v>
      </c>
      <c r="I19" s="319" t="s">
        <v>352</v>
      </c>
      <c r="J19" s="319" t="s">
        <v>335</v>
      </c>
      <c r="K19" s="320" t="s">
        <v>336</v>
      </c>
      <c r="L19" s="642" t="s">
        <v>353</v>
      </c>
      <c r="M19" s="5"/>
      <c r="N19" s="321" t="s">
        <v>354</v>
      </c>
      <c r="O19" s="322"/>
      <c r="P19" s="322"/>
      <c r="Q19" s="322"/>
      <c r="R19" s="322"/>
      <c r="S19" s="322"/>
      <c r="T19" s="322"/>
      <c r="U19" s="323"/>
      <c r="V19" s="3"/>
      <c r="W19" s="324" t="s">
        <v>355</v>
      </c>
      <c r="X19" s="325"/>
      <c r="Y19" s="326"/>
      <c r="Z19" s="327"/>
      <c r="AA19" s="327"/>
      <c r="AB19" s="327"/>
      <c r="AC19" s="327"/>
      <c r="AD19" s="32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hidden="1" customHeight="1">
      <c r="A20" s="329">
        <f>C6</f>
        <v>61</v>
      </c>
      <c r="B20" s="329">
        <f>E6</f>
        <v>7012</v>
      </c>
      <c r="C20" s="330">
        <f>A20/B20</f>
        <v>8.6993725042783798E-3</v>
      </c>
      <c r="D20" s="331">
        <f>2*A20+H20^2</f>
        <v>125.84145882069413</v>
      </c>
      <c r="E20" s="331">
        <f>H20*SQRT((H20^2)+(4*A20*(1-C20)))</f>
        <v>30.723259877454989</v>
      </c>
      <c r="F20" s="332">
        <f>2*(B20+H20^2)</f>
        <v>14031.682917641388</v>
      </c>
      <c r="G20" s="333" t="s">
        <v>356</v>
      </c>
      <c r="H20" s="334">
        <f>-NORMSINV(2.5/100)</f>
        <v>1.9599639845400538</v>
      </c>
      <c r="I20" s="335">
        <f>C20</f>
        <v>8.6993725042783798E-3</v>
      </c>
      <c r="J20" s="336">
        <f>(D20-E20)/F20</f>
        <v>6.7788161620764252E-3</v>
      </c>
      <c r="K20" s="337">
        <f>(D20+E20)/F20</f>
        <v>1.1157943036277387E-2</v>
      </c>
      <c r="L20" s="642"/>
      <c r="M20" s="5"/>
      <c r="N20" s="338">
        <f>B20</f>
        <v>7012</v>
      </c>
      <c r="O20" s="8" t="s">
        <v>357</v>
      </c>
      <c r="P20" s="30"/>
      <c r="Q20" s="301"/>
      <c r="R20" s="5"/>
      <c r="S20" s="24"/>
      <c r="T20" s="24"/>
      <c r="U20" s="339"/>
      <c r="V20" s="3"/>
      <c r="W20" s="340">
        <f>ABS(C20-C21)</f>
        <v>1.0125499144324018E-2</v>
      </c>
      <c r="X20" s="8" t="s">
        <v>358</v>
      </c>
      <c r="Y20" s="30"/>
      <c r="Z20" s="8"/>
      <c r="AA20" s="8"/>
      <c r="AB20" s="8"/>
      <c r="AC20" s="8"/>
      <c r="AD20" s="34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idden="1">
      <c r="A21" s="329">
        <f>C7</f>
        <v>132</v>
      </c>
      <c r="B21" s="329">
        <f>E7</f>
        <v>7012</v>
      </c>
      <c r="C21" s="330">
        <f>A21/B21</f>
        <v>1.8824871648602397E-2</v>
      </c>
      <c r="D21" s="331">
        <f>2*A21+H21^2</f>
        <v>267.84145882069413</v>
      </c>
      <c r="E21" s="331">
        <f>H21*SQRT((H21^2)+(4*A21*(1-C21)))</f>
        <v>44.775716180060193</v>
      </c>
      <c r="F21" s="332">
        <f>2*(B21+H21^2)</f>
        <v>14031.682917641388</v>
      </c>
      <c r="G21" s="333" t="s">
        <v>356</v>
      </c>
      <c r="H21" s="334">
        <f>-NORMSINV(2.5/100)</f>
        <v>1.9599639845400538</v>
      </c>
      <c r="I21" s="335">
        <f>C21</f>
        <v>1.8824871648602397E-2</v>
      </c>
      <c r="J21" s="336">
        <f>(D21-E21)/F21</f>
        <v>1.5897290720572346E-2</v>
      </c>
      <c r="K21" s="337">
        <f>(D21+E21)/F21</f>
        <v>2.227937852042788E-2</v>
      </c>
      <c r="L21" s="642"/>
      <c r="M21" s="2"/>
      <c r="N21" s="342">
        <f>I25</f>
        <v>1.0125499144324018E-2</v>
      </c>
      <c r="O21" s="8" t="s">
        <v>359</v>
      </c>
      <c r="P21" s="8"/>
      <c r="Q21" s="8"/>
      <c r="R21" s="8"/>
      <c r="S21" s="8"/>
      <c r="T21" s="8"/>
      <c r="U21" s="343"/>
      <c r="V21" s="3"/>
      <c r="W21" s="344">
        <f>SQRT((C22*(1-C22)/B20)+(C22*(1-C22)/B21))</f>
        <v>1.9675581937966869E-3</v>
      </c>
      <c r="X21" s="29" t="s">
        <v>360</v>
      </c>
      <c r="Y21" s="8"/>
      <c r="Z21" s="8"/>
      <c r="AA21" s="8"/>
      <c r="AB21" s="8"/>
      <c r="AC21" s="8"/>
      <c r="AD21" s="34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idden="1">
      <c r="A22" s="345">
        <f>A20+A21</f>
        <v>193</v>
      </c>
      <c r="B22" s="345">
        <f>B20+B21</f>
        <v>14024</v>
      </c>
      <c r="C22" s="346">
        <f>A22/B22</f>
        <v>1.3762122076440389E-2</v>
      </c>
      <c r="D22" s="347"/>
      <c r="E22" s="347"/>
      <c r="F22" s="348"/>
      <c r="G22" s="349"/>
      <c r="H22" s="347"/>
      <c r="I22" s="350"/>
      <c r="J22" s="350"/>
      <c r="K22" s="350"/>
      <c r="L22" s="642"/>
      <c r="M22" s="2"/>
      <c r="N22" s="351">
        <f>(A20+A21)/(B20+B21)</f>
        <v>1.3762122076440389E-2</v>
      </c>
      <c r="O22" s="8" t="s">
        <v>361</v>
      </c>
      <c r="P22" s="30"/>
      <c r="Q22" s="301"/>
      <c r="R22" s="5"/>
      <c r="S22" s="24"/>
      <c r="T22" s="24"/>
      <c r="U22" s="341"/>
      <c r="V22" s="3"/>
      <c r="W22" s="352">
        <f>W20/W21</f>
        <v>5.1462260055370503</v>
      </c>
      <c r="X22" s="8" t="s">
        <v>362</v>
      </c>
      <c r="Y22" s="30"/>
      <c r="Z22" s="8"/>
      <c r="AA22" s="8"/>
      <c r="AB22" s="8"/>
      <c r="AC22" s="8"/>
      <c r="AD22" s="34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idden="1">
      <c r="A23" s="312"/>
      <c r="B23" s="303" t="s">
        <v>363</v>
      </c>
      <c r="C23" s="312"/>
      <c r="D23" s="312"/>
      <c r="E23" s="306"/>
      <c r="F23" s="306"/>
      <c r="G23" s="306"/>
      <c r="H23" s="307"/>
      <c r="I23" s="306"/>
      <c r="J23" s="308"/>
      <c r="K23" s="312"/>
      <c r="L23" s="642"/>
      <c r="M23" s="2"/>
      <c r="N23" s="353">
        <f>SQRT(N20*N21^2/(2*N22*(1-N22)))-H20</f>
        <v>3.1862620209969963</v>
      </c>
      <c r="O23" s="8" t="s">
        <v>364</v>
      </c>
      <c r="P23" s="8"/>
      <c r="Q23" s="8"/>
      <c r="R23" s="8"/>
      <c r="S23" s="8"/>
      <c r="T23" s="4"/>
      <c r="U23" s="339"/>
      <c r="V23" s="3"/>
      <c r="W23" s="354">
        <f>NORMSDIST(-W22)</f>
        <v>1.3288959557759543E-7</v>
      </c>
      <c r="X23" s="300" t="s">
        <v>365</v>
      </c>
      <c r="Y23" s="8"/>
      <c r="Z23" s="4"/>
      <c r="AA23" s="4"/>
      <c r="AB23" s="4"/>
      <c r="AC23" s="4"/>
      <c r="AD23" s="34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idden="1">
      <c r="A24" s="312"/>
      <c r="B24" s="303" t="s">
        <v>366</v>
      </c>
      <c r="C24" s="304"/>
      <c r="D24" s="305"/>
      <c r="E24" s="306"/>
      <c r="F24" s="306"/>
      <c r="G24" s="2"/>
      <c r="H24" s="2"/>
      <c r="I24" s="355"/>
      <c r="J24" s="355"/>
      <c r="K24" s="355"/>
      <c r="L24" s="642"/>
      <c r="M24" s="2"/>
      <c r="N24" s="356">
        <f>NORMSDIST(N23)</f>
        <v>0.99927937998032679</v>
      </c>
      <c r="O24" s="300" t="s">
        <v>367</v>
      </c>
      <c r="P24" s="357"/>
      <c r="Q24" s="8"/>
      <c r="R24" s="8"/>
      <c r="S24" s="8"/>
      <c r="T24" s="8"/>
      <c r="U24" s="341"/>
      <c r="V24" s="3"/>
      <c r="W24" s="358">
        <f>1-W23</f>
        <v>0.99999986711040445</v>
      </c>
      <c r="X24" s="359" t="s">
        <v>368</v>
      </c>
      <c r="Y24" s="357"/>
      <c r="Z24" s="4"/>
      <c r="AA24" s="4"/>
      <c r="AB24" s="4"/>
      <c r="AC24" s="4"/>
      <c r="AD24" s="343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idden="1">
      <c r="A25" s="297" t="s">
        <v>369</v>
      </c>
      <c r="B25" s="360"/>
      <c r="C25" s="2"/>
      <c r="D25" s="304"/>
      <c r="E25" s="361" t="s">
        <v>370</v>
      </c>
      <c r="F25" s="312"/>
      <c r="G25" s="304"/>
      <c r="H25" s="362" t="s">
        <v>371</v>
      </c>
      <c r="I25" s="363">
        <f>C21-C20</f>
        <v>1.0125499144324018E-2</v>
      </c>
      <c r="J25" s="364">
        <f>I25+SQRT((C21-J21)^2+(K20-C20)^2)</f>
        <v>1.3948495240447997E-2</v>
      </c>
      <c r="K25" s="365">
        <f>I25-SQRT((C20-J20)^2+(K21-C21)^2)</f>
        <v>6.1730120297262183E-3</v>
      </c>
      <c r="L25" s="642"/>
      <c r="M25" s="2"/>
      <c r="N25" s="366">
        <f>1-N24</f>
        <v>7.2062001967321265E-4</v>
      </c>
      <c r="O25" s="367" t="s">
        <v>372</v>
      </c>
      <c r="P25" s="368"/>
      <c r="Q25" s="369"/>
      <c r="R25" s="368"/>
      <c r="S25" s="368"/>
      <c r="T25" s="368"/>
      <c r="U25" s="370"/>
      <c r="V25" s="3"/>
      <c r="W25" s="371"/>
      <c r="X25" s="372"/>
      <c r="Y25" s="368"/>
      <c r="Z25" s="372"/>
      <c r="AA25" s="372"/>
      <c r="AB25" s="372"/>
      <c r="AC25" s="372"/>
      <c r="AD25" s="373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idden="1">
      <c r="A26" s="2"/>
      <c r="B26" s="2"/>
      <c r="C26" s="63"/>
      <c r="D26" s="2"/>
      <c r="E26" s="374"/>
      <c r="F26" s="2"/>
      <c r="G26" s="2"/>
      <c r="H26" s="375" t="s">
        <v>373</v>
      </c>
      <c r="I26" s="376">
        <f>1/I25</f>
        <v>98.760563380281667</v>
      </c>
      <c r="J26" s="377">
        <f>1/J25</f>
        <v>71.692321125807837</v>
      </c>
      <c r="K26" s="378">
        <f>1/K25</f>
        <v>161.99547241840568</v>
      </c>
      <c r="L26" s="64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  <c r="AA26" s="3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idden="1">
      <c r="A27" s="4"/>
      <c r="B27" s="379"/>
      <c r="C27" s="63"/>
      <c r="D27" s="380"/>
      <c r="E27" s="374"/>
      <c r="F27" s="2"/>
      <c r="G27" s="2"/>
      <c r="H27" s="2"/>
      <c r="I27" s="381"/>
      <c r="J27" s="382"/>
      <c r="K27" s="38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idden="1">
      <c r="A28" s="63"/>
      <c r="B28" s="63"/>
      <c r="C28" s="379"/>
      <c r="D28" s="380"/>
      <c r="E28" s="374"/>
      <c r="F28" s="383"/>
      <c r="G28" s="384" t="s">
        <v>374</v>
      </c>
      <c r="H28" s="385" t="s">
        <v>375</v>
      </c>
      <c r="I28" s="386">
        <f>I26</f>
        <v>98.760563380281667</v>
      </c>
      <c r="J28" s="386">
        <f>J26</f>
        <v>71.692321125807837</v>
      </c>
      <c r="K28" s="386">
        <f>K26</f>
        <v>161.99547241840568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idden="1">
      <c r="A29" s="22"/>
      <c r="B29" s="380"/>
      <c r="C29" s="380"/>
      <c r="D29" s="387"/>
      <c r="E29" s="374"/>
      <c r="F29" s="643" t="s">
        <v>376</v>
      </c>
      <c r="G29" s="643"/>
      <c r="H29" s="643"/>
      <c r="I29" s="388">
        <f>(1-C21)*I26</f>
        <v>96.90140845070421</v>
      </c>
      <c r="J29" s="388">
        <f>(1-C21)*J26</f>
        <v>70.342722382424114</v>
      </c>
      <c r="K29" s="388">
        <f>(1-C21)*K26</f>
        <v>158.9459284424745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idden="1">
      <c r="A30" s="4"/>
      <c r="B30" s="379"/>
      <c r="C30" s="379"/>
      <c r="D30" s="379"/>
      <c r="E30" s="374"/>
      <c r="F30" s="644" t="s">
        <v>377</v>
      </c>
      <c r="G30" s="644"/>
      <c r="H30" s="644"/>
      <c r="I30" s="389">
        <f>I26*I25</f>
        <v>0.99999999999999989</v>
      </c>
      <c r="J30" s="389">
        <f>J26*J25</f>
        <v>1</v>
      </c>
      <c r="K30" s="389">
        <f>K26*K25</f>
        <v>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idden="1">
      <c r="A31" s="25"/>
      <c r="B31" s="390"/>
      <c r="C31" s="4"/>
      <c r="D31" s="25"/>
      <c r="E31" s="374"/>
      <c r="F31" s="645" t="s">
        <v>378</v>
      </c>
      <c r="G31" s="645"/>
      <c r="H31" s="645"/>
      <c r="I31" s="391">
        <f>(C21-I25)*I26</f>
        <v>0.85915492957746453</v>
      </c>
      <c r="J31" s="391">
        <f>(C21-J25)*J26</f>
        <v>0.34959874338371871</v>
      </c>
      <c r="K31" s="391">
        <f>(C21-K25)*K26</f>
        <v>2.0495439759311966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idden="1">
      <c r="A32" s="25"/>
      <c r="B32" s="4"/>
      <c r="C32" s="4"/>
      <c r="D32" s="4"/>
      <c r="E32" s="374"/>
      <c r="F32" s="392"/>
      <c r="G32" s="392"/>
      <c r="H32" s="392"/>
      <c r="I32" s="393"/>
      <c r="J32" s="393"/>
      <c r="K32" s="393"/>
      <c r="L32" s="4"/>
      <c r="M32" s="394"/>
      <c r="N32" s="394"/>
      <c r="O32" s="394"/>
      <c r="P32" s="39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idden="1">
      <c r="A33" s="4"/>
      <c r="B33" s="4"/>
      <c r="C33" s="4"/>
      <c r="D33" s="4"/>
      <c r="E33" s="374"/>
      <c r="F33" s="396"/>
      <c r="G33" s="384" t="s">
        <v>379</v>
      </c>
      <c r="H33" s="385" t="s">
        <v>380</v>
      </c>
      <c r="I33" s="386">
        <f>ABS(I26)</f>
        <v>98.760563380281667</v>
      </c>
      <c r="J33" s="386">
        <f>ABS(K26)</f>
        <v>161.99547241840568</v>
      </c>
      <c r="K33" s="386">
        <f>ABS(J26)</f>
        <v>71.692321125807837</v>
      </c>
      <c r="L33" s="4"/>
      <c r="M33" s="394"/>
      <c r="N33" s="394"/>
      <c r="O33" s="397"/>
      <c r="P33" s="39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idden="1">
      <c r="A34" s="4"/>
      <c r="B34" s="4"/>
      <c r="C34" s="4"/>
      <c r="D34" s="4"/>
      <c r="E34" s="374"/>
      <c r="F34" s="643" t="s">
        <v>376</v>
      </c>
      <c r="G34" s="643"/>
      <c r="H34" s="643"/>
      <c r="I34" s="388">
        <f>ABS((1-(C21-I25))*I26)</f>
        <v>97.90140845070421</v>
      </c>
      <c r="J34" s="388">
        <f>ABS((1-(C21-K25))*K26)</f>
        <v>159.9459284424745</v>
      </c>
      <c r="K34" s="388">
        <f>ABS((1-(C21-J25))*J26)</f>
        <v>71.342722382424114</v>
      </c>
      <c r="L34" s="4"/>
      <c r="M34" s="394"/>
      <c r="N34" s="394"/>
      <c r="O34" s="394"/>
      <c r="P34" s="39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idden="1">
      <c r="A35" s="4"/>
      <c r="B35" s="4"/>
      <c r="C35" s="4"/>
      <c r="D35" s="4"/>
      <c r="E35" s="374"/>
      <c r="F35" s="646" t="s">
        <v>381</v>
      </c>
      <c r="G35" s="646"/>
      <c r="H35" s="646"/>
      <c r="I35" s="398">
        <f>I26*I25</f>
        <v>0.99999999999999989</v>
      </c>
      <c r="J35" s="398">
        <f>K26*K25</f>
        <v>1</v>
      </c>
      <c r="K35" s="398">
        <f>J26*J25</f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idden="1">
      <c r="A36" s="399" t="s">
        <v>382</v>
      </c>
      <c r="B36" s="4"/>
      <c r="C36" s="4"/>
      <c r="D36" s="4"/>
      <c r="E36" s="374"/>
      <c r="F36" s="645" t="s">
        <v>383</v>
      </c>
      <c r="G36" s="645"/>
      <c r="H36" s="645"/>
      <c r="I36" s="391">
        <f>ABS(C21*I26)</f>
        <v>1.8591549295774645</v>
      </c>
      <c r="J36" s="391">
        <f>ABS(C21*K26)</f>
        <v>3.0495439759311966</v>
      </c>
      <c r="K36" s="391">
        <f>ABS(C21*J26)</f>
        <v>1.3495987433837187</v>
      </c>
      <c r="L36" s="2"/>
      <c r="M36" s="4"/>
      <c r="N36" s="4"/>
      <c r="O36" s="4"/>
      <c r="P36" s="4"/>
      <c r="Q36" s="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idden="1">
      <c r="A37" s="2"/>
      <c r="B37" s="400" t="s">
        <v>384</v>
      </c>
      <c r="C37" s="401" t="s">
        <v>385</v>
      </c>
      <c r="D37" s="8"/>
      <c r="E37" s="374"/>
      <c r="F37" s="392"/>
      <c r="G37" s="22"/>
      <c r="H37" s="107"/>
      <c r="I37" s="402"/>
      <c r="J37" s="402"/>
      <c r="K37" s="402"/>
      <c r="L37" s="3"/>
      <c r="M37" s="4"/>
      <c r="N37" s="4"/>
      <c r="O37" s="4"/>
      <c r="P37" s="4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idden="1">
      <c r="A38" s="403" t="s">
        <v>386</v>
      </c>
      <c r="B38" s="404" t="s">
        <v>387</v>
      </c>
      <c r="C38" s="405" t="s">
        <v>388</v>
      </c>
      <c r="D38" s="406" t="s">
        <v>14</v>
      </c>
      <c r="E38" s="374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idden="1">
      <c r="A39" s="407" t="s">
        <v>389</v>
      </c>
      <c r="B39" s="408">
        <f>E6*C8/E8</f>
        <v>96.5</v>
      </c>
      <c r="C39" s="408">
        <f>E6*D8/E8</f>
        <v>6915.5</v>
      </c>
      <c r="D39" s="408">
        <f>E6</f>
        <v>7012</v>
      </c>
      <c r="E39" s="2"/>
      <c r="F39" s="409"/>
      <c r="G39" s="410" t="s">
        <v>390</v>
      </c>
      <c r="H39" s="21">
        <f>CHIINV(0.05,J40)</f>
        <v>3.8414588206941236</v>
      </c>
      <c r="I39" s="2"/>
      <c r="J39" s="2"/>
      <c r="K39" s="2"/>
      <c r="L39" s="2"/>
      <c r="M39" s="4"/>
      <c r="N39" s="394"/>
      <c r="O39" s="394"/>
      <c r="P39" s="394"/>
      <c r="Q39" s="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idden="1">
      <c r="A40" s="411" t="s">
        <v>391</v>
      </c>
      <c r="B40" s="408">
        <f>E7*C8/E8</f>
        <v>96.5</v>
      </c>
      <c r="C40" s="408">
        <f>E7*D8/E8</f>
        <v>6915.5</v>
      </c>
      <c r="D40" s="408">
        <f>E7</f>
        <v>7012</v>
      </c>
      <c r="E40" s="3"/>
      <c r="F40" s="412"/>
      <c r="G40" s="412"/>
      <c r="H40" s="413"/>
      <c r="I40" s="414" t="s">
        <v>392</v>
      </c>
      <c r="J40" s="415">
        <f>(COUNT(B39:C39)-1)*(COUNT(B39:B40)-1)</f>
        <v>1</v>
      </c>
      <c r="K40" s="2"/>
      <c r="L40" s="2"/>
      <c r="M40" s="2"/>
      <c r="N40" s="394"/>
      <c r="O40" s="394"/>
      <c r="P40" s="394"/>
      <c r="Q40" s="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idden="1">
      <c r="A41" s="304" t="s">
        <v>393</v>
      </c>
      <c r="B41" s="408">
        <f>SUM(B39:B40)</f>
        <v>193</v>
      </c>
      <c r="C41" s="408">
        <f>SUM(C39:C40)</f>
        <v>13831</v>
      </c>
      <c r="D41" s="416">
        <f>SUM(D39:D40)</f>
        <v>14024</v>
      </c>
      <c r="E41" s="3"/>
      <c r="F41" s="3"/>
      <c r="G41" s="417" t="s">
        <v>394</v>
      </c>
      <c r="H41" s="8" t="s">
        <v>395</v>
      </c>
      <c r="I41" s="2"/>
      <c r="J41" s="2"/>
      <c r="K41" s="2"/>
      <c r="L41" s="2"/>
      <c r="M41" s="2"/>
      <c r="N41" s="394"/>
      <c r="O41" s="397"/>
      <c r="P41" s="394"/>
      <c r="Q41" s="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idden="1">
      <c r="A42" s="304"/>
      <c r="B42" s="418"/>
      <c r="C42" s="418"/>
      <c r="D42" s="419"/>
      <c r="E42" s="3"/>
      <c r="F42" s="3"/>
      <c r="G42" s="417" t="s">
        <v>396</v>
      </c>
      <c r="H42" s="8" t="s">
        <v>397</v>
      </c>
      <c r="I42" s="2"/>
      <c r="J42" s="2"/>
      <c r="K42" s="2"/>
      <c r="L42" s="2"/>
      <c r="M42" s="2"/>
      <c r="N42" s="395"/>
      <c r="O42" s="395"/>
      <c r="P42" s="395"/>
      <c r="Q42" s="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4.5" hidden="1" customHeight="1">
      <c r="A43" s="420"/>
      <c r="B43" s="647" t="s">
        <v>398</v>
      </c>
      <c r="C43" s="647"/>
      <c r="D43" s="2"/>
      <c r="E43" s="2"/>
      <c r="F43" s="304"/>
      <c r="G43" s="418"/>
      <c r="H43" s="31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idden="1">
      <c r="A44" s="420"/>
      <c r="B44" s="421">
        <f>(C6-B39)^2/B39</f>
        <v>13.059585492227979</v>
      </c>
      <c r="C44" s="421">
        <f>(D6-C39)^2/C39</f>
        <v>0.18223555780493095</v>
      </c>
      <c r="D44" s="2"/>
      <c r="E44" s="403"/>
      <c r="F44" s="314"/>
      <c r="G44" s="2"/>
      <c r="H44" s="2"/>
      <c r="I44" s="4"/>
      <c r="J44" s="4"/>
      <c r="K44" s="26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idden="1">
      <c r="A45" s="420"/>
      <c r="B45" s="421">
        <f>(C7-B40)^2/B40</f>
        <v>13.059585492227979</v>
      </c>
      <c r="C45" s="421">
        <f>(D7-C40)^2/C40</f>
        <v>0.18223555780493095</v>
      </c>
      <c r="D45" s="26"/>
      <c r="E45" s="422" t="s">
        <v>399</v>
      </c>
      <c r="F45" s="423">
        <f>B47-H39</f>
        <v>22.6421832793717</v>
      </c>
      <c r="G45" s="2"/>
      <c r="H45" s="2"/>
      <c r="I45" s="4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idden="1">
      <c r="A46" s="8" t="s">
        <v>400</v>
      </c>
      <c r="B46" s="2"/>
      <c r="C46" s="22"/>
      <c r="D46" s="2"/>
      <c r="E46" s="2"/>
      <c r="F46" s="312" t="s">
        <v>401</v>
      </c>
      <c r="G46" s="2"/>
      <c r="H46" s="2"/>
      <c r="I46" s="4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idden="1">
      <c r="A47" s="424" t="s">
        <v>402</v>
      </c>
      <c r="B47" s="425">
        <f>SUM(B44:C45)</f>
        <v>26.483642100065822</v>
      </c>
      <c r="C47" s="8"/>
      <c r="D47" s="2"/>
      <c r="E47" s="2"/>
      <c r="F47" s="312" t="s">
        <v>403</v>
      </c>
      <c r="G47" s="2"/>
      <c r="H47" s="426"/>
      <c r="I47" s="4"/>
      <c r="J47" s="4"/>
      <c r="K47" s="42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idden="1">
      <c r="A48" s="428" t="s">
        <v>404</v>
      </c>
      <c r="B48" s="429">
        <f>CHIDIST(B47,1)</f>
        <v>2.657791911551917E-7</v>
      </c>
      <c r="C48" s="2"/>
      <c r="D48" s="8"/>
      <c r="E48" s="8"/>
      <c r="F48" s="8"/>
      <c r="G48" s="430"/>
      <c r="H48" s="8"/>
      <c r="I48" s="4"/>
      <c r="J48" s="4"/>
      <c r="K48" s="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idden="1">
      <c r="A49" s="4"/>
      <c r="B49" s="4"/>
      <c r="C49" s="4"/>
      <c r="D49" s="431"/>
      <c r="E49" s="431"/>
      <c r="F49" s="4"/>
      <c r="G49" s="4"/>
      <c r="H49" s="43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idden="1">
      <c r="A50" s="2"/>
      <c r="B50" s="2"/>
      <c r="C50" s="2"/>
      <c r="D50" s="2"/>
      <c r="E50" s="2"/>
      <c r="F50" s="2"/>
      <c r="G50" s="2"/>
      <c r="H50" s="2"/>
      <c r="I50" s="4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idden="1">
      <c r="A51" s="2"/>
      <c r="B51" s="2"/>
      <c r="C51" s="2"/>
      <c r="D51" s="2"/>
      <c r="E51" s="2"/>
      <c r="F51" s="381"/>
      <c r="G51" s="2"/>
      <c r="H51" s="2"/>
      <c r="I51" s="4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idden="1">
      <c r="A52" s="433" t="s">
        <v>405</v>
      </c>
      <c r="B52" s="434"/>
      <c r="C52" s="434"/>
      <c r="D52" s="435" t="s">
        <v>406</v>
      </c>
      <c r="E52" s="436"/>
      <c r="F52" s="436"/>
      <c r="G52" s="437"/>
      <c r="I52" s="4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idden="1">
      <c r="A53" s="438" t="s">
        <v>106</v>
      </c>
      <c r="B53" s="439">
        <f>ROUND(E6,0)</f>
        <v>7012</v>
      </c>
      <c r="C53" s="439">
        <f>ROUND(E7,0)</f>
        <v>7012</v>
      </c>
      <c r="D53" s="440">
        <f>ROUND(F13,2)</f>
        <v>0.46</v>
      </c>
      <c r="E53" s="441">
        <f>ROUND(I25,4)</f>
        <v>1.01E-2</v>
      </c>
      <c r="F53" s="442">
        <f>ROUND(I26,0)</f>
        <v>99</v>
      </c>
      <c r="G53" s="443"/>
      <c r="I53" s="4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idden="1">
      <c r="A54" s="438" t="s">
        <v>107</v>
      </c>
      <c r="B54" s="439">
        <f>ROUND(C6,0)</f>
        <v>61</v>
      </c>
      <c r="C54" s="439">
        <f>ROUND(C7,0)</f>
        <v>132</v>
      </c>
      <c r="D54" s="440">
        <f>ROUND(G13,2)</f>
        <v>0.34</v>
      </c>
      <c r="E54" s="441">
        <f>ROUND(K25,4)</f>
        <v>6.1999999999999998E-3</v>
      </c>
      <c r="F54" s="442">
        <f>ROUND(J26,0)</f>
        <v>72</v>
      </c>
      <c r="G54" s="443"/>
      <c r="I54" s="4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idden="1">
      <c r="A55" s="438" t="s">
        <v>108</v>
      </c>
      <c r="B55" s="441">
        <f>ROUND(C20,4)</f>
        <v>8.6999999999999994E-3</v>
      </c>
      <c r="C55" s="441">
        <f>ROUND(C21,4)</f>
        <v>1.8800000000000001E-2</v>
      </c>
      <c r="D55" s="440">
        <f>ROUND(H13,2)</f>
        <v>0.62</v>
      </c>
      <c r="E55" s="441">
        <f>ROUND(J25,4)</f>
        <v>1.3899999999999999E-2</v>
      </c>
      <c r="F55" s="442">
        <f>ROUND(K26,0)</f>
        <v>162</v>
      </c>
      <c r="G55" s="444">
        <f>ROUND(N24,4)</f>
        <v>0.99929999999999997</v>
      </c>
      <c r="I55" s="445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idden="1">
      <c r="A56" s="438" t="s">
        <v>109</v>
      </c>
      <c r="B56" s="446" t="s">
        <v>407</v>
      </c>
      <c r="C56" s="446" t="s">
        <v>408</v>
      </c>
      <c r="D56" s="446" t="s">
        <v>334</v>
      </c>
      <c r="E56" s="446" t="s">
        <v>409</v>
      </c>
      <c r="F56" s="447" t="s">
        <v>410</v>
      </c>
      <c r="G56" s="104" t="s">
        <v>411</v>
      </c>
      <c r="I56" s="445"/>
      <c r="J56" s="4"/>
      <c r="K56" s="2"/>
      <c r="L56" s="2"/>
      <c r="M56" s="2"/>
      <c r="N56" s="3"/>
      <c r="O56" s="3"/>
      <c r="P56" s="2"/>
      <c r="Q56" s="2"/>
      <c r="R56" s="2"/>
      <c r="S56" s="2"/>
      <c r="T56" s="3"/>
      <c r="U56" s="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idden="1">
      <c r="A57" s="448" t="s">
        <v>114</v>
      </c>
      <c r="B57" s="104" t="str">
        <f>CONCATENATE(B54,A58,B53," ",A53,B55*100,A56,A55)</f>
        <v>61/7012 (0,87%)</v>
      </c>
      <c r="C57" s="104" t="str">
        <f>CONCATENATE(C54,A58,C53," ",A53,C55*100,A56,A55)</f>
        <v>132/7012 (1,88%)</v>
      </c>
      <c r="D57" s="104" t="str">
        <f>CONCATENATE(D53," ",A53,D54,A54,D55,A55)</f>
        <v>0,46 (0,34-0,62)</v>
      </c>
      <c r="E57" s="104" t="str">
        <f>CONCATENATE(E53*100,A56," ",A53,E54*100,A56," ",A57," ",E55*100,A56,A55)</f>
        <v>1,01% (0,62% a 1,39%)</v>
      </c>
      <c r="F57" s="104" t="str">
        <f>CONCATENATE(F53," ",A53,F54," ",A57," ",F55,A55)</f>
        <v>99 (72 a 162)</v>
      </c>
      <c r="G57" s="104" t="str">
        <f>CONCATENATE(G55*100,A56)</f>
        <v>99,93%</v>
      </c>
      <c r="I57" s="4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idden="1">
      <c r="A58" s="449" t="s">
        <v>96</v>
      </c>
      <c r="B58" s="450"/>
      <c r="C58" s="450"/>
      <c r="D58" s="450"/>
      <c r="E58" s="450"/>
      <c r="F58" s="450"/>
      <c r="G58" s="451"/>
      <c r="I58" s="4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6">
      <c r="A60" s="2"/>
      <c r="B60" s="452" t="s">
        <v>407</v>
      </c>
      <c r="C60" s="452" t="s">
        <v>408</v>
      </c>
      <c r="D60" s="453" t="s">
        <v>112</v>
      </c>
      <c r="E60" s="453" t="s">
        <v>104</v>
      </c>
      <c r="F60" s="453" t="s">
        <v>105</v>
      </c>
      <c r="G60" s="453" t="s">
        <v>412</v>
      </c>
      <c r="I60" s="453" t="s">
        <v>413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9.5" customHeight="1">
      <c r="A61" s="2"/>
      <c r="B61" s="454" t="str">
        <f t="shared" ref="B61:G61" si="0">B57</f>
        <v>61/7012 (0,87%)</v>
      </c>
      <c r="C61" s="454" t="str">
        <f t="shared" si="0"/>
        <v>132/7012 (1,88%)</v>
      </c>
      <c r="D61" s="454" t="str">
        <f t="shared" si="0"/>
        <v>0,46 (0,34-0,62)</v>
      </c>
      <c r="E61" s="454" t="str">
        <f t="shared" si="0"/>
        <v>1,01% (0,62% a 1,39%)</v>
      </c>
      <c r="F61" s="454" t="str">
        <f t="shared" si="0"/>
        <v>99 (72 a 162)</v>
      </c>
      <c r="G61" s="454" t="str">
        <f t="shared" si="0"/>
        <v>99,93%</v>
      </c>
      <c r="I61" s="455">
        <f>B48</f>
        <v>2.657791911551917E-7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>
      <c r="A62" s="406"/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33"/>
      <c r="O62" s="33"/>
      <c r="P62" s="406"/>
      <c r="Q62" s="406"/>
      <c r="R62" s="406"/>
      <c r="S62" s="406"/>
      <c r="T62" s="33"/>
      <c r="U62" s="33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406"/>
      <c r="BW62" s="406"/>
      <c r="BX62" s="406"/>
      <c r="BY62" s="406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06"/>
      <c r="CK62" s="406"/>
      <c r="CL62" s="406"/>
      <c r="CM62" s="406"/>
      <c r="CN62" s="406"/>
      <c r="CO62" s="406"/>
      <c r="CP62" s="406"/>
      <c r="CQ62" s="406"/>
      <c r="CR62" s="406"/>
      <c r="CS62" s="406"/>
      <c r="CT62" s="406"/>
      <c r="CU62" s="406"/>
      <c r="CV62" s="406"/>
      <c r="CW62" s="406"/>
      <c r="CX62" s="406"/>
      <c r="CY62" s="406"/>
      <c r="CZ62" s="406"/>
      <c r="DA62" s="406"/>
      <c r="DB62" s="406"/>
      <c r="DC62" s="406"/>
      <c r="DD62" s="406"/>
      <c r="DE62" s="406"/>
      <c r="DF62" s="406"/>
      <c r="DG62" s="406"/>
      <c r="DH62" s="406"/>
      <c r="DI62" s="406"/>
      <c r="DJ62" s="406"/>
      <c r="DK62" s="406"/>
      <c r="DL62" s="406"/>
      <c r="DM62" s="406"/>
      <c r="DN62" s="406"/>
      <c r="DO62" s="406"/>
      <c r="DP62" s="406"/>
      <c r="DQ62" s="406"/>
      <c r="DR62" s="406"/>
      <c r="DS62" s="406"/>
      <c r="DT62" s="406"/>
      <c r="DU62" s="406"/>
      <c r="DV62" s="406"/>
      <c r="DW62" s="406"/>
      <c r="DX62" s="406"/>
      <c r="DY62" s="406"/>
      <c r="DZ62" s="406"/>
      <c r="EA62" s="406"/>
      <c r="EB62" s="406"/>
      <c r="EC62" s="406"/>
      <c r="ED62" s="406"/>
      <c r="EE62" s="406"/>
      <c r="EF62" s="406"/>
      <c r="EG62" s="406"/>
      <c r="EH62" s="406"/>
      <c r="EI62" s="406"/>
      <c r="EJ62" s="406"/>
      <c r="EK62" s="406"/>
      <c r="EL62" s="406"/>
      <c r="EM62" s="406"/>
      <c r="EN62" s="406"/>
      <c r="EO62" s="406"/>
      <c r="EP62" s="406"/>
      <c r="EQ62" s="406"/>
      <c r="ER62" s="406"/>
      <c r="ES62" s="406"/>
      <c r="ET62" s="406"/>
      <c r="EU62" s="406"/>
      <c r="EV62" s="406"/>
      <c r="EW62" s="406"/>
      <c r="EX62" s="406"/>
      <c r="EY62" s="406"/>
      <c r="EZ62" s="406"/>
      <c r="FA62" s="406"/>
      <c r="FB62" s="406"/>
      <c r="FC62" s="406"/>
      <c r="FD62" s="406"/>
      <c r="FE62" s="406"/>
      <c r="FF62" s="406"/>
      <c r="FG62" s="406"/>
      <c r="FH62" s="406"/>
      <c r="FI62" s="406"/>
      <c r="FJ62" s="406"/>
      <c r="FK62" s="406"/>
      <c r="FL62" s="406"/>
      <c r="FM62" s="406"/>
      <c r="FN62" s="406"/>
      <c r="FO62" s="406"/>
      <c r="FP62" s="406"/>
      <c r="FQ62" s="406"/>
      <c r="FR62" s="406"/>
      <c r="FS62" s="406"/>
      <c r="FT62" s="406"/>
      <c r="FU62" s="406"/>
      <c r="FV62" s="406"/>
      <c r="FW62" s="406"/>
      <c r="FX62" s="406"/>
      <c r="FY62" s="406"/>
      <c r="FZ62" s="406"/>
      <c r="GA62" s="406"/>
      <c r="GB62" s="406"/>
      <c r="GC62" s="406"/>
      <c r="GD62" s="406"/>
      <c r="GE62" s="406"/>
      <c r="GF62" s="406"/>
      <c r="GG62" s="406"/>
      <c r="GH62" s="406"/>
      <c r="GI62" s="406"/>
      <c r="GJ62" s="406"/>
      <c r="GK62" s="406"/>
      <c r="GL62" s="406"/>
      <c r="GM62" s="406"/>
      <c r="GN62" s="406"/>
      <c r="GO62" s="406"/>
      <c r="GP62" s="406"/>
      <c r="GQ62" s="406"/>
      <c r="GR62" s="406"/>
      <c r="GS62" s="406"/>
      <c r="GT62" s="406"/>
      <c r="GU62" s="406"/>
      <c r="GV62" s="406"/>
      <c r="GW62" s="406"/>
      <c r="GX62" s="406"/>
      <c r="GY62" s="406"/>
      <c r="GZ62" s="406"/>
      <c r="HA62" s="406"/>
      <c r="HB62" s="406"/>
      <c r="HC62" s="406"/>
      <c r="HD62" s="406"/>
      <c r="HE62" s="406"/>
      <c r="HF62" s="406"/>
      <c r="HG62" s="406"/>
      <c r="HH62" s="406"/>
      <c r="HI62" s="406"/>
      <c r="HJ62" s="406"/>
      <c r="HK62" s="406"/>
      <c r="HL62" s="406"/>
      <c r="HM62" s="406"/>
      <c r="HN62" s="406"/>
      <c r="HO62" s="406"/>
      <c r="HP62" s="406"/>
      <c r="HQ62" s="406"/>
      <c r="HR62" s="406"/>
      <c r="HS62" s="406"/>
      <c r="HT62" s="406"/>
      <c r="HU62" s="406"/>
      <c r="HV62" s="406"/>
      <c r="HW62" s="406"/>
      <c r="HX62" s="406"/>
      <c r="HY62" s="406"/>
      <c r="HZ62" s="406"/>
      <c r="IA62" s="406"/>
      <c r="IB62" s="406"/>
      <c r="IC62" s="406"/>
      <c r="ID62" s="406"/>
      <c r="IE62" s="406"/>
      <c r="IF62" s="406"/>
      <c r="IG62" s="406"/>
      <c r="IH62" s="406"/>
      <c r="II62" s="406"/>
      <c r="IJ62" s="406"/>
      <c r="IK62" s="406"/>
      <c r="IL62" s="406"/>
      <c r="IM62" s="406"/>
      <c r="IN62" s="406"/>
      <c r="IO62" s="406"/>
      <c r="IP62" s="406"/>
      <c r="IQ62" s="406"/>
      <c r="IR62" s="406"/>
      <c r="IS62" s="406"/>
      <c r="IT62" s="406"/>
      <c r="IU62" s="406"/>
      <c r="IV62" s="406"/>
    </row>
    <row r="63" spans="1:256">
      <c r="A63" s="456" t="s">
        <v>414</v>
      </c>
    </row>
    <row r="64" spans="1:256" ht="22.5" customHeight="1">
      <c r="A64" s="457" t="s">
        <v>34</v>
      </c>
      <c r="B64" s="458">
        <v>61</v>
      </c>
      <c r="C64" s="459">
        <v>6951</v>
      </c>
      <c r="D64" s="460">
        <v>7012</v>
      </c>
      <c r="E64" s="458">
        <v>132</v>
      </c>
      <c r="F64" s="459">
        <v>6880</v>
      </c>
      <c r="G64" s="461">
        <v>7012</v>
      </c>
    </row>
    <row r="65" spans="1:11">
      <c r="A65" s="462"/>
    </row>
    <row r="66" spans="1:11">
      <c r="A66" s="462"/>
    </row>
    <row r="67" spans="1:11">
      <c r="A67" s="462" t="s">
        <v>74</v>
      </c>
      <c r="B67" s="34" t="s">
        <v>12</v>
      </c>
      <c r="C67" s="34" t="s">
        <v>13</v>
      </c>
      <c r="D67" s="34" t="s">
        <v>14</v>
      </c>
      <c r="E67" s="34" t="s">
        <v>12</v>
      </c>
      <c r="F67" s="34" t="s">
        <v>13</v>
      </c>
      <c r="G67" s="34" t="s">
        <v>14</v>
      </c>
      <c r="I67" s="463" t="s">
        <v>112</v>
      </c>
      <c r="J67" s="463" t="s">
        <v>104</v>
      </c>
      <c r="K67" s="463" t="s">
        <v>105</v>
      </c>
    </row>
    <row r="68" spans="1:11">
      <c r="A68" s="16" t="s">
        <v>31</v>
      </c>
      <c r="B68" s="464">
        <v>36</v>
      </c>
      <c r="C68" s="465">
        <v>6040</v>
      </c>
      <c r="D68" s="466">
        <v>6076</v>
      </c>
      <c r="E68" s="464">
        <v>87</v>
      </c>
      <c r="F68" s="465">
        <v>5935</v>
      </c>
      <c r="G68" s="466">
        <v>6022</v>
      </c>
      <c r="I68" s="467"/>
      <c r="J68" s="467"/>
      <c r="K68" s="467"/>
    </row>
    <row r="69" spans="1:11">
      <c r="A69" s="16" t="s">
        <v>32</v>
      </c>
      <c r="B69" s="464">
        <v>59</v>
      </c>
      <c r="C69" s="465">
        <v>7052</v>
      </c>
      <c r="D69" s="466">
        <v>7111</v>
      </c>
      <c r="E69" s="464">
        <v>84</v>
      </c>
      <c r="F69" s="465">
        <v>7041</v>
      </c>
      <c r="G69" s="466">
        <v>7125</v>
      </c>
      <c r="I69" s="467"/>
      <c r="J69" s="467"/>
      <c r="K69" s="467"/>
    </row>
    <row r="70" spans="1:11">
      <c r="A70" s="16" t="s">
        <v>33</v>
      </c>
      <c r="B70" s="464">
        <v>52</v>
      </c>
      <c r="C70" s="465">
        <v>9036</v>
      </c>
      <c r="D70" s="466">
        <v>9088</v>
      </c>
      <c r="E70" s="464">
        <v>122</v>
      </c>
      <c r="F70" s="465">
        <v>8930</v>
      </c>
      <c r="G70" s="466">
        <v>9052</v>
      </c>
      <c r="I70" s="467"/>
      <c r="J70" s="467"/>
      <c r="K70" s="467"/>
    </row>
    <row r="71" spans="1:11">
      <c r="A71" s="16" t="s">
        <v>34</v>
      </c>
      <c r="B71" s="464">
        <v>61</v>
      </c>
      <c r="C71" s="465">
        <v>6951</v>
      </c>
      <c r="D71" s="466">
        <v>7012</v>
      </c>
      <c r="E71" s="464">
        <v>132</v>
      </c>
      <c r="F71" s="465">
        <v>6880</v>
      </c>
      <c r="G71" s="466">
        <v>7012</v>
      </c>
      <c r="I71" s="467"/>
      <c r="J71" s="467"/>
      <c r="K71" s="467"/>
    </row>
    <row r="72" spans="1:11">
      <c r="A72" s="462"/>
    </row>
    <row r="73" spans="1:11">
      <c r="A73" s="462"/>
    </row>
    <row r="74" spans="1:11">
      <c r="A74" s="462"/>
    </row>
    <row r="75" spans="1:11">
      <c r="A75" s="462"/>
    </row>
    <row r="76" spans="1:11">
      <c r="A76" s="462"/>
    </row>
    <row r="77" spans="1:11">
      <c r="A77" s="462"/>
    </row>
    <row r="78" spans="1:11">
      <c r="A78" s="462"/>
    </row>
    <row r="79" spans="1:11">
      <c r="A79" s="462"/>
    </row>
    <row r="80" spans="1:11">
      <c r="A80" s="462"/>
    </row>
    <row r="81" spans="1:1">
      <c r="A81" s="462"/>
    </row>
    <row r="82" spans="1:1">
      <c r="A82" s="462"/>
    </row>
    <row r="83" spans="1:1">
      <c r="A83" s="462"/>
    </row>
    <row r="84" spans="1:1">
      <c r="A84" s="462"/>
    </row>
    <row r="85" spans="1:1">
      <c r="A85" s="462"/>
    </row>
    <row r="86" spans="1:1">
      <c r="A86" s="462"/>
    </row>
    <row r="87" spans="1:1">
      <c r="A87" s="462"/>
    </row>
    <row r="88" spans="1:1">
      <c r="A88" s="462"/>
    </row>
    <row r="89" spans="1:1">
      <c r="A89" s="462"/>
    </row>
    <row r="90" spans="1:1">
      <c r="A90" s="462"/>
    </row>
    <row r="91" spans="1:1">
      <c r="A91" s="462"/>
    </row>
    <row r="92" spans="1:1">
      <c r="A92" s="462"/>
    </row>
    <row r="93" spans="1:1">
      <c r="A93" s="462"/>
    </row>
    <row r="94" spans="1:1">
      <c r="A94" s="462"/>
    </row>
    <row r="95" spans="1:1">
      <c r="A95" s="462"/>
    </row>
    <row r="96" spans="1:1">
      <c r="A96" s="462"/>
    </row>
    <row r="97" spans="1:1">
      <c r="A97" s="462"/>
    </row>
    <row r="98" spans="1:1">
      <c r="A98" s="462"/>
    </row>
    <row r="99" spans="1:1">
      <c r="A99" s="462"/>
    </row>
    <row r="100" spans="1:1">
      <c r="A100" s="462"/>
    </row>
    <row r="101" spans="1:1">
      <c r="A101" s="462"/>
    </row>
    <row r="102" spans="1:1">
      <c r="A102" s="462"/>
    </row>
    <row r="103" spans="1:1">
      <c r="A103" s="462"/>
    </row>
    <row r="104" spans="1:1">
      <c r="A104" s="462"/>
    </row>
    <row r="105" spans="1:1">
      <c r="A105" s="462"/>
    </row>
    <row r="106" spans="1:1">
      <c r="A106" s="462"/>
    </row>
    <row r="107" spans="1:1">
      <c r="A107" s="462"/>
    </row>
    <row r="108" spans="1:1">
      <c r="A108" s="462"/>
    </row>
    <row r="109" spans="1:1">
      <c r="A109" s="462"/>
    </row>
    <row r="110" spans="1:1">
      <c r="A110" s="462"/>
    </row>
  </sheetData>
  <mergeCells count="10">
    <mergeCell ref="F31:H31"/>
    <mergeCell ref="F34:H34"/>
    <mergeCell ref="F35:H35"/>
    <mergeCell ref="F36:H36"/>
    <mergeCell ref="B43:C43"/>
    <mergeCell ref="A2:F2"/>
    <mergeCell ref="A3:F3"/>
    <mergeCell ref="L19:L26"/>
    <mergeCell ref="F29:H29"/>
    <mergeCell ref="F30:H30"/>
  </mergeCells>
  <pageMargins left="0.7" right="0.7" top="0.75" bottom="0.75" header="0.511811023622047" footer="0.511811023622047"/>
  <pageSetup paperSize="9" orientation="portrait" horizontalDpi="300" verticalDpi="300"/>
  <ignoredErrors>
    <ignoredError sqref="D6:D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Mortalidad por cualquier causa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489" t="s">
        <v>11</v>
      </c>
      <c r="B4" s="490" t="s">
        <v>12</v>
      </c>
      <c r="C4" s="490" t="s">
        <v>13</v>
      </c>
      <c r="D4" s="490" t="s">
        <v>14</v>
      </c>
      <c r="E4" s="490" t="s">
        <v>12</v>
      </c>
      <c r="F4" s="490" t="s">
        <v>13</v>
      </c>
      <c r="G4" s="490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507" t="s">
        <v>31</v>
      </c>
      <c r="B5" s="508">
        <v>438</v>
      </c>
      <c r="C5" s="509">
        <v>5638</v>
      </c>
      <c r="D5" s="510">
        <v>6076</v>
      </c>
      <c r="E5" s="508">
        <v>487</v>
      </c>
      <c r="F5" s="509">
        <v>5535</v>
      </c>
      <c r="G5" s="510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3.6043449637919681E-2</v>
      </c>
      <c r="M5" s="50">
        <f>E5/J5</f>
        <v>4.0435071404848887E-2</v>
      </c>
      <c r="N5" s="51">
        <v>70.599999999999994</v>
      </c>
      <c r="O5" s="52">
        <f>N5*(D5+G5)</f>
        <v>854118.79999999993</v>
      </c>
      <c r="P5" s="53" t="str">
        <f>CONCATENATE(B5," ",$P$4," ",D5)</f>
        <v>438 / 6076</v>
      </c>
      <c r="Q5" s="53" t="str">
        <f>CONCATENATE(E5," ",$Q$4," ",G5)</f>
        <v>487 / 6022</v>
      </c>
      <c r="T5" s="2"/>
      <c r="U5" s="2"/>
      <c r="W5" s="2"/>
      <c r="X5" s="2"/>
      <c r="Y5" s="2"/>
      <c r="Z5" s="2"/>
      <c r="AA5" s="2"/>
      <c r="AB5" s="2"/>
    </row>
    <row r="6" spans="1:28">
      <c r="A6" s="507" t="s">
        <v>32</v>
      </c>
      <c r="B6" s="508">
        <v>208</v>
      </c>
      <c r="C6" s="509">
        <v>6853</v>
      </c>
      <c r="D6" s="510">
        <v>7061</v>
      </c>
      <c r="E6" s="508">
        <v>250</v>
      </c>
      <c r="F6" s="509">
        <v>6832</v>
      </c>
      <c r="G6" s="510">
        <v>7082</v>
      </c>
      <c r="H6" s="48">
        <v>1.5833333333333299</v>
      </c>
      <c r="I6" s="49">
        <f>D6*H6</f>
        <v>11179.916666666642</v>
      </c>
      <c r="J6" s="49">
        <f>G6*H6</f>
        <v>11213.166666666642</v>
      </c>
      <c r="K6" s="49">
        <f>I6+J6</f>
        <v>22393.083333333285</v>
      </c>
      <c r="L6" s="50">
        <f>B6/I6</f>
        <v>1.8604789838922511E-2</v>
      </c>
      <c r="M6" s="50">
        <f>E6/J6</f>
        <v>2.2295218418823159E-2</v>
      </c>
      <c r="N6" s="51">
        <v>73</v>
      </c>
      <c r="O6" s="52">
        <f>N6*(D6+G6)</f>
        <v>1032439</v>
      </c>
      <c r="P6" s="53" t="str">
        <f>CONCATENATE(B6," ",$P$4," ",D6)</f>
        <v>208 / 7061</v>
      </c>
      <c r="Q6" s="53" t="str">
        <f>CONCATENATE(E6," ",$Q$4," ",G6)</f>
        <v>250 / 7082</v>
      </c>
      <c r="T6" s="2"/>
      <c r="U6" s="2"/>
      <c r="W6" s="2"/>
      <c r="X6" s="2"/>
      <c r="Y6" s="2"/>
      <c r="Z6" s="2"/>
      <c r="AA6" s="2"/>
      <c r="AB6" s="2"/>
    </row>
    <row r="7" spans="1:28">
      <c r="A7" s="507" t="s">
        <v>33</v>
      </c>
      <c r="B7" s="508">
        <v>603</v>
      </c>
      <c r="C7" s="509">
        <v>8517</v>
      </c>
      <c r="D7" s="510">
        <v>9120</v>
      </c>
      <c r="E7" s="508">
        <v>669</v>
      </c>
      <c r="F7" s="509">
        <v>8412</v>
      </c>
      <c r="G7" s="510">
        <v>9081</v>
      </c>
      <c r="H7" s="48">
        <v>1.8333333333333299</v>
      </c>
      <c r="I7" s="49">
        <f>D7*H7</f>
        <v>16719.999999999967</v>
      </c>
      <c r="J7" s="49">
        <f>G7*H7</f>
        <v>16648.499999999971</v>
      </c>
      <c r="K7" s="49">
        <f>I7+J7</f>
        <v>33368.499999999942</v>
      </c>
      <c r="L7" s="50">
        <f>B7/I7</f>
        <v>3.606459330143548E-2</v>
      </c>
      <c r="M7" s="50">
        <f>E7/J7</f>
        <v>4.018380034237326E-2</v>
      </c>
      <c r="N7" s="51">
        <v>70</v>
      </c>
      <c r="O7" s="52">
        <f>N7*(D7+G7)</f>
        <v>1274070</v>
      </c>
      <c r="P7" s="53" t="str">
        <f>CONCATENATE(B7," ",$P$4," ",D7)</f>
        <v>603 / 9120</v>
      </c>
      <c r="Q7" s="53" t="str">
        <f>CONCATENATE(E7," ",$Q$4," ",G7)</f>
        <v>669 / 9081</v>
      </c>
      <c r="T7" s="2"/>
      <c r="U7" s="2"/>
      <c r="W7" s="2"/>
      <c r="X7" s="2"/>
      <c r="Y7" s="2"/>
      <c r="Z7" s="2"/>
      <c r="AA7" s="2"/>
      <c r="AB7" s="2"/>
    </row>
    <row r="8" spans="1:28">
      <c r="A8" s="507" t="s">
        <v>34</v>
      </c>
      <c r="B8" s="508">
        <v>773</v>
      </c>
      <c r="C8" s="509">
        <v>6262</v>
      </c>
      <c r="D8" s="510">
        <v>7035</v>
      </c>
      <c r="E8" s="508">
        <v>839</v>
      </c>
      <c r="F8" s="509">
        <v>6197</v>
      </c>
      <c r="G8" s="510">
        <v>7036</v>
      </c>
      <c r="H8" s="48">
        <v>2.6666666666666701</v>
      </c>
      <c r="I8" s="49">
        <f>D8*H8</f>
        <v>18760.000000000025</v>
      </c>
      <c r="J8" s="49">
        <f>G8*H8</f>
        <v>18762.66666666669</v>
      </c>
      <c r="K8" s="49">
        <f>I8+J8</f>
        <v>37522.666666666715</v>
      </c>
      <c r="L8" s="50">
        <f>B8/I8</f>
        <v>4.1204690831556444E-2</v>
      </c>
      <c r="M8" s="50">
        <f>E8/J8</f>
        <v>4.4716458214894769E-2</v>
      </c>
      <c r="N8" s="51">
        <v>72</v>
      </c>
      <c r="O8" s="52">
        <f>N8*(D8+G8)</f>
        <v>1013112</v>
      </c>
      <c r="P8" s="53" t="str">
        <f>CONCATENATE(B8," ",$P$4," ",D8)</f>
        <v>773 / 7035</v>
      </c>
      <c r="Q8" s="53" t="str">
        <f>CONCATENATE(E8," ",$Q$4," ",G8)</f>
        <v>839 / 7036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v>4</v>
      </c>
      <c r="B9" s="55">
        <v>2022</v>
      </c>
      <c r="C9" s="56">
        <v>27270</v>
      </c>
      <c r="D9" s="55">
        <v>29292</v>
      </c>
      <c r="E9" s="55">
        <v>2245</v>
      </c>
      <c r="F9" s="56">
        <v>26976</v>
      </c>
      <c r="G9" s="55">
        <v>29221</v>
      </c>
      <c r="H9" s="57">
        <f>K9/(D9+G9)</f>
        <v>2.0077632321022669</v>
      </c>
      <c r="I9" s="58">
        <f>SUM(I5:I8)</f>
        <v>58811.916666666642</v>
      </c>
      <c r="J9" s="58">
        <f>SUM(J5:J8)</f>
        <v>58668.333333333299</v>
      </c>
      <c r="K9" s="58">
        <f>SUM(K5:K8)</f>
        <v>117480.24999999994</v>
      </c>
      <c r="L9" s="59">
        <f>B9/I9</f>
        <v>3.4380787340434135E-2</v>
      </c>
      <c r="M9" s="59">
        <f>E9/J9</f>
        <v>3.8265958353455892E-2</v>
      </c>
      <c r="N9" s="60">
        <f>O9/(D9+G9)</f>
        <v>71.33012834754669</v>
      </c>
      <c r="O9" s="61">
        <f>SUM(O5:O8)</f>
        <v>4173739.8</v>
      </c>
      <c r="P9" s="62" t="str">
        <f>CONCATENATE(B9," ",$P$4," ",D9)</f>
        <v>2022 / 29292</v>
      </c>
      <c r="Q9" s="62" t="str">
        <f>CONCATENATE(E9," ",$Q$4," ",G9)</f>
        <v>2245 / 29221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7.6828984223225344E-2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3.8265958353455892E-2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2.0077632321022669</v>
      </c>
      <c r="B13" s="72" t="s">
        <v>103</v>
      </c>
      <c r="C13" s="10"/>
      <c r="D13" s="73">
        <v>0.89883082895636701</v>
      </c>
      <c r="E13" s="74">
        <v>0.84861101502796299</v>
      </c>
      <c r="F13" s="74">
        <v>0.95202259312621296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6.9056259577237281E-2</v>
      </c>
      <c r="E15" s="80">
        <f>C11*E13</f>
        <v>6.5197922285238616E-2</v>
      </c>
      <c r="F15" s="81">
        <f>C11*F13</f>
        <v>7.3142928787447895E-2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7.7727246459880633E-3</v>
      </c>
      <c r="E17" s="85">
        <f>C11-F15</f>
        <v>3.6860554357774494E-3</v>
      </c>
      <c r="F17" s="86">
        <f>C11-E15</f>
        <v>1.1631061937986728E-2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128.65501423830261</v>
      </c>
      <c r="E18" s="90">
        <f>1/F17</f>
        <v>85.976672236094586</v>
      </c>
      <c r="F18" s="91">
        <f>1/E17</f>
        <v>271.29271857765309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0.9</v>
      </c>
      <c r="F20" s="95">
        <f>ROUND(D17,4)</f>
        <v>7.7999999999999996E-3</v>
      </c>
      <c r="G20" s="96">
        <f>ROUND(D18,0)</f>
        <v>129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6.9099999999999995E-2</v>
      </c>
      <c r="D21" s="99">
        <f>ROUND(C11,4)</f>
        <v>7.6799999999999993E-2</v>
      </c>
      <c r="E21" s="100">
        <f>ROUND(E13,2)</f>
        <v>0.85</v>
      </c>
      <c r="F21" s="101">
        <f>ROUND(E17,4)</f>
        <v>3.7000000000000002E-3</v>
      </c>
      <c r="G21" s="102">
        <f>ROUND(E18,0)</f>
        <v>86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0.95</v>
      </c>
      <c r="F22" s="101">
        <f>ROUND(F17,4)</f>
        <v>1.1599999999999999E-2</v>
      </c>
      <c r="G22" s="102">
        <f>ROUND(F18,0)</f>
        <v>271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6,91%</v>
      </c>
      <c r="D24" s="104" t="str">
        <f>CONCATENATE(D21*100,B23)</f>
        <v>7,68%</v>
      </c>
      <c r="E24" s="104" t="str">
        <f>CONCATENATE(E20," ",B20,E21,B21,E22,B22)</f>
        <v>0,9 (0,85-0,95)</v>
      </c>
      <c r="F24" s="104" t="str">
        <f>CONCATENATE(F20*100,B23," ",B20,F21*100,B23," ",B24," ",F22*100,B23,B22)</f>
        <v>0,78% (0,37% a 1,16%)</v>
      </c>
      <c r="G24" s="104" t="str">
        <f>CONCATENATE(G20," ",B20,G21," ",B24," ",G22,B22)</f>
        <v>129 (86 a 271)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7.6828984223225344E-2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6,91%</v>
      </c>
      <c r="D28" s="115" t="str">
        <f>D24</f>
        <v>7,68%</v>
      </c>
      <c r="E28" s="115" t="str">
        <f>E24</f>
        <v>0,9 (0,85-0,95)</v>
      </c>
      <c r="F28" s="115" t="str">
        <f>F24</f>
        <v>0,78% (0,37% a 1,16%)</v>
      </c>
      <c r="G28" s="116" t="str">
        <f>G24</f>
        <v>129 (86 a 271)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117</v>
      </c>
      <c r="B31" s="118" t="str">
        <f>B2</f>
        <v>Mortalidad por cualquier causa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123" t="s">
        <v>131</v>
      </c>
      <c r="S33" s="34"/>
      <c r="T33" s="2"/>
      <c r="U33" s="2"/>
    </row>
    <row r="34" spans="1:256" ht="40" customHeight="1">
      <c r="A34" s="124">
        <v>9</v>
      </c>
      <c r="B34" s="125" t="s">
        <v>31</v>
      </c>
      <c r="C34" s="126" t="s">
        <v>132</v>
      </c>
      <c r="D34" s="127"/>
      <c r="E34" s="128">
        <f>H5</f>
        <v>2</v>
      </c>
      <c r="F34" s="129" t="str">
        <f>P5</f>
        <v>438 / 6076</v>
      </c>
      <c r="G34" s="130">
        <f>L5</f>
        <v>3.6043449637919681E-2</v>
      </c>
      <c r="H34" s="129" t="str">
        <f>Q5</f>
        <v>487 / 6022</v>
      </c>
      <c r="I34" s="131">
        <f t="shared" ref="I34:J38" si="0">M5</f>
        <v>4.0435071404848887E-2</v>
      </c>
      <c r="J34" s="132">
        <f t="shared" si="0"/>
        <v>70.599999999999994</v>
      </c>
      <c r="K34" s="133">
        <v>0.21480911989795345</v>
      </c>
      <c r="L34" s="134" t="s">
        <v>133</v>
      </c>
      <c r="M34" s="135" t="s">
        <v>134</v>
      </c>
      <c r="N34" s="136" t="s">
        <v>135</v>
      </c>
      <c r="O34" s="14" t="s">
        <v>136</v>
      </c>
      <c r="Q34" s="137">
        <v>3</v>
      </c>
      <c r="R34" s="138">
        <f>Q34*K34</f>
        <v>0.64442735969386034</v>
      </c>
      <c r="S34" s="34"/>
      <c r="T34" s="2"/>
      <c r="U34" s="2"/>
    </row>
    <row r="35" spans="1:256" ht="40" customHeight="1">
      <c r="A35" s="139"/>
      <c r="B35" s="125" t="s">
        <v>32</v>
      </c>
      <c r="C35" s="126" t="s">
        <v>132</v>
      </c>
      <c r="D35" s="127"/>
      <c r="E35" s="128">
        <f>H6</f>
        <v>1.5833333333333299</v>
      </c>
      <c r="F35" s="129" t="str">
        <f>P6</f>
        <v>208 / 7061</v>
      </c>
      <c r="G35" s="130">
        <f>L6</f>
        <v>1.8604789838922511E-2</v>
      </c>
      <c r="H35" s="129" t="str">
        <f>Q6</f>
        <v>250 / 7082</v>
      </c>
      <c r="I35" s="130">
        <f t="shared" si="0"/>
        <v>2.2295218418823159E-2</v>
      </c>
      <c r="J35" s="132">
        <f t="shared" si="0"/>
        <v>73</v>
      </c>
      <c r="K35" s="133">
        <v>0.10093927685725752</v>
      </c>
      <c r="L35" s="134" t="s">
        <v>137</v>
      </c>
      <c r="M35" s="135" t="s">
        <v>138</v>
      </c>
      <c r="N35" s="135" t="s">
        <v>139</v>
      </c>
      <c r="O35" s="140" t="s">
        <v>140</v>
      </c>
      <c r="Q35" s="137">
        <v>3.5</v>
      </c>
      <c r="R35" s="138">
        <f>Q35*K35</f>
        <v>0.35328746900040131</v>
      </c>
      <c r="S35" s="34"/>
      <c r="T35" s="2"/>
      <c r="U35" s="2"/>
    </row>
    <row r="36" spans="1:256" ht="40" customHeight="1">
      <c r="A36" s="139"/>
      <c r="B36" s="125" t="s">
        <v>33</v>
      </c>
      <c r="C36" s="126" t="s">
        <v>132</v>
      </c>
      <c r="D36" s="127"/>
      <c r="E36" s="128">
        <f>H7</f>
        <v>1.8333333333333299</v>
      </c>
      <c r="F36" s="129" t="str">
        <f>P7</f>
        <v>603 / 9120</v>
      </c>
      <c r="G36" s="130">
        <f>L7</f>
        <v>3.606459330143548E-2</v>
      </c>
      <c r="H36" s="129" t="str">
        <f>Q7</f>
        <v>669 / 9081</v>
      </c>
      <c r="I36" s="130">
        <f t="shared" si="0"/>
        <v>4.018380034237326E-2</v>
      </c>
      <c r="J36" s="132">
        <f t="shared" si="0"/>
        <v>70</v>
      </c>
      <c r="K36" s="133">
        <v>0.29334610931829447</v>
      </c>
      <c r="L36" s="134" t="s">
        <v>141</v>
      </c>
      <c r="M36" s="135" t="s">
        <v>142</v>
      </c>
      <c r="N36" s="135" t="s">
        <v>143</v>
      </c>
      <c r="O36" s="140" t="s">
        <v>140</v>
      </c>
      <c r="Q36" s="137">
        <v>3.5</v>
      </c>
      <c r="R36" s="138">
        <f>Q36*K36</f>
        <v>1.0267113826140306</v>
      </c>
      <c r="S36" s="34"/>
      <c r="T36" s="2"/>
      <c r="U36" s="2"/>
    </row>
    <row r="37" spans="1:256" ht="40" customHeight="1">
      <c r="A37" s="139"/>
      <c r="B37" s="125" t="s">
        <v>34</v>
      </c>
      <c r="C37" s="126" t="s">
        <v>132</v>
      </c>
      <c r="D37" s="127"/>
      <c r="E37" s="128">
        <f>H8</f>
        <v>2.6666666666666701</v>
      </c>
      <c r="F37" s="129" t="str">
        <f>P8</f>
        <v>773 / 7035</v>
      </c>
      <c r="G37" s="130">
        <f>L8</f>
        <v>4.1204690831556444E-2</v>
      </c>
      <c r="H37" s="129" t="str">
        <f>Q8</f>
        <v>839 / 7036</v>
      </c>
      <c r="I37" s="130">
        <f t="shared" si="0"/>
        <v>4.4716458214894769E-2</v>
      </c>
      <c r="J37" s="132">
        <f t="shared" si="0"/>
        <v>72</v>
      </c>
      <c r="K37" s="133">
        <v>0.39090549392649449</v>
      </c>
      <c r="L37" s="134" t="s">
        <v>144</v>
      </c>
      <c r="M37" s="135" t="s">
        <v>145</v>
      </c>
      <c r="N37" s="141" t="s">
        <v>146</v>
      </c>
      <c r="O37" s="142" t="s">
        <v>140</v>
      </c>
      <c r="Q37" s="137">
        <v>3.5</v>
      </c>
      <c r="R37" s="138">
        <f>Q37*K37</f>
        <v>1.3681692287427307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146" t="s">
        <v>148</v>
      </c>
      <c r="E38" s="223">
        <f>H9</f>
        <v>2.0077632321022669</v>
      </c>
      <c r="F38" s="148" t="str">
        <f>P9</f>
        <v>2022 / 29292</v>
      </c>
      <c r="G38" s="149">
        <f>L9</f>
        <v>3.4380787340434135E-2</v>
      </c>
      <c r="H38" s="148" t="str">
        <f>Q9</f>
        <v>2245 / 29221</v>
      </c>
      <c r="I38" s="149">
        <f t="shared" si="0"/>
        <v>3.8265958353455892E-2</v>
      </c>
      <c r="J38" s="147">
        <f t="shared" si="0"/>
        <v>71.33012834754669</v>
      </c>
      <c r="K38" s="150">
        <v>1</v>
      </c>
      <c r="L38" s="151" t="s">
        <v>149</v>
      </c>
      <c r="M38" s="152"/>
      <c r="N38" s="153"/>
      <c r="O38" s="154" t="s">
        <v>140</v>
      </c>
      <c r="R38" s="155">
        <f>SUM(R34:R37)</f>
        <v>3.3925954400510232</v>
      </c>
      <c r="S38" s="34"/>
      <c r="T38" s="2"/>
      <c r="U38" s="2"/>
    </row>
    <row r="39" spans="1:256" ht="20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164" t="s">
        <v>150</v>
      </c>
      <c r="O39" s="165" t="s">
        <v>136</v>
      </c>
    </row>
    <row r="40" spans="1:256" ht="20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64"/>
      <c r="O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170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3.8265958353455892E-2</v>
      </c>
      <c r="D42" s="173" t="s">
        <v>156</v>
      </c>
      <c r="E42" s="173"/>
      <c r="F42" s="173"/>
      <c r="G42" s="173"/>
      <c r="H42" s="174">
        <f>J38</f>
        <v>71.33012834754669</v>
      </c>
      <c r="I42" s="175" t="s">
        <v>157</v>
      </c>
      <c r="J42" s="176" t="s">
        <v>454</v>
      </c>
      <c r="K42" s="177" t="s">
        <v>455</v>
      </c>
      <c r="L42" s="178" t="s">
        <v>149</v>
      </c>
      <c r="M42" s="179" t="s">
        <v>158</v>
      </c>
      <c r="N42" s="179" t="s">
        <v>159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7.6828984223225344E-2</v>
      </c>
      <c r="D43" s="183" t="s">
        <v>161</v>
      </c>
      <c r="E43" s="184"/>
      <c r="F43" s="185"/>
      <c r="G43" s="186">
        <f>E38</f>
        <v>2.0077632321022669</v>
      </c>
      <c r="H43" s="183" t="s">
        <v>162</v>
      </c>
      <c r="I43" s="187"/>
      <c r="J43" s="188" t="s">
        <v>163</v>
      </c>
      <c r="K43" s="189" t="s">
        <v>164</v>
      </c>
      <c r="L43" s="190" t="s">
        <v>149</v>
      </c>
      <c r="M43" s="191" t="s">
        <v>165</v>
      </c>
      <c r="N43" s="191" t="s">
        <v>166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169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2.0077632321022669</v>
      </c>
      <c r="K46" s="213">
        <f>J46</f>
        <v>2.0077632321022669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16">
        <f>J42*1000*J46</f>
        <v>69.067055184317979</v>
      </c>
      <c r="K48" s="217">
        <f>K42*1000*K46</f>
        <v>76.897331789516812</v>
      </c>
      <c r="L48" s="218"/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paperSize="9" orientation="portrait" horizontalDpi="300" verticalDpi="300"/>
  <ignoredErrors>
    <ignoredError sqref="H9" formula="1"/>
    <ignoredError sqref="J42:K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Ictus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44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122</v>
      </c>
      <c r="C5" s="18">
        <v>5954</v>
      </c>
      <c r="D5" s="19">
        <v>6076</v>
      </c>
      <c r="E5" s="17">
        <v>185</v>
      </c>
      <c r="F5" s="18">
        <v>5837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1.0039499670836076E-2</v>
      </c>
      <c r="M5" s="50">
        <f>E5/J5</f>
        <v>1.5360345400199269E-2</v>
      </c>
      <c r="N5" s="51">
        <v>70.599999999999994</v>
      </c>
      <c r="O5" s="52">
        <f>N5*(D5+G5)</f>
        <v>854118.79999999993</v>
      </c>
      <c r="P5" s="53" t="str">
        <f>CONCATENATE(B5," ",$P$4," ",D5)</f>
        <v>122 / 6076</v>
      </c>
      <c r="Q5" s="53" t="str">
        <f>CONCATENATE(E5," ",$Q$4," ",G5)</f>
        <v>185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184</v>
      </c>
      <c r="C6" s="18">
        <v>6877</v>
      </c>
      <c r="D6" s="19">
        <v>7061</v>
      </c>
      <c r="E6" s="17">
        <v>221</v>
      </c>
      <c r="F6" s="18">
        <v>6861</v>
      </c>
      <c r="G6" s="19">
        <v>7082</v>
      </c>
      <c r="H6" s="48">
        <v>1.5833333333333299</v>
      </c>
      <c r="I6" s="49">
        <f>D6*H6</f>
        <v>11179.916666666642</v>
      </c>
      <c r="J6" s="49">
        <f>G6*H6</f>
        <v>11213.166666666642</v>
      </c>
      <c r="K6" s="49">
        <f>I6+J6</f>
        <v>22393.083333333285</v>
      </c>
      <c r="L6" s="50">
        <f>B6/I6</f>
        <v>1.6458083319046839E-2</v>
      </c>
      <c r="M6" s="50">
        <f>E6/J6</f>
        <v>1.9708973082239671E-2</v>
      </c>
      <c r="N6" s="51">
        <v>73</v>
      </c>
      <c r="O6" s="52">
        <f>N6*(D6+G6)</f>
        <v>1032439</v>
      </c>
      <c r="P6" s="53" t="str">
        <f>CONCATENATE(B6," ",$P$4," ",D6)</f>
        <v>184 / 7061</v>
      </c>
      <c r="Q6" s="53" t="str">
        <f>CONCATENATE(E6," ",$Q$4," ",G6)</f>
        <v>221 / 7082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199</v>
      </c>
      <c r="C7" s="18">
        <v>8921</v>
      </c>
      <c r="D7" s="19">
        <v>9120</v>
      </c>
      <c r="E7" s="17">
        <v>250</v>
      </c>
      <c r="F7" s="18">
        <v>8831</v>
      </c>
      <c r="G7" s="19">
        <v>9081</v>
      </c>
      <c r="H7" s="48">
        <v>1.8333333333333299</v>
      </c>
      <c r="I7" s="49">
        <f>D7*H7</f>
        <v>16719.999999999967</v>
      </c>
      <c r="J7" s="49">
        <f>G7*H7</f>
        <v>16648.499999999971</v>
      </c>
      <c r="K7" s="49">
        <f>I7+J7</f>
        <v>33368.499999999942</v>
      </c>
      <c r="L7" s="50">
        <f>B7/I7</f>
        <v>1.190191387559811E-2</v>
      </c>
      <c r="M7" s="50">
        <f>E7/J7</f>
        <v>1.5016367840946659E-2</v>
      </c>
      <c r="N7" s="51">
        <v>70</v>
      </c>
      <c r="O7" s="52">
        <f>N7*(D7+G7)</f>
        <v>1274070</v>
      </c>
      <c r="P7" s="53" t="str">
        <f>CONCATENATE(B7," ",$P$4," ",D7)</f>
        <v>199 / 9120</v>
      </c>
      <c r="Q7" s="53" t="str">
        <f>CONCATENATE(E7," ",$Q$4," ",G7)</f>
        <v>250 / 9081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281</v>
      </c>
      <c r="C8" s="18">
        <v>6754</v>
      </c>
      <c r="D8" s="19">
        <v>7035</v>
      </c>
      <c r="E8" s="17">
        <v>317</v>
      </c>
      <c r="F8" s="18">
        <v>6719</v>
      </c>
      <c r="G8" s="19">
        <v>7036</v>
      </c>
      <c r="H8" s="48">
        <v>2.6666666666666701</v>
      </c>
      <c r="I8" s="49">
        <f>D8*H8</f>
        <v>18760.000000000025</v>
      </c>
      <c r="J8" s="49">
        <f>G8*H8</f>
        <v>18762.66666666669</v>
      </c>
      <c r="K8" s="49">
        <f>I8+J8</f>
        <v>37522.666666666715</v>
      </c>
      <c r="L8" s="50">
        <f>B8/I8</f>
        <v>1.497867803837951E-2</v>
      </c>
      <c r="M8" s="50">
        <f>E8/J8</f>
        <v>1.689525298465035E-2</v>
      </c>
      <c r="N8" s="51">
        <v>72</v>
      </c>
      <c r="O8" s="52">
        <f>N8*(D8+G8)</f>
        <v>1013112</v>
      </c>
      <c r="P8" s="53" t="str">
        <f>CONCATENATE(B8," ",$P$4," ",D8)</f>
        <v>281 / 7035</v>
      </c>
      <c r="Q8" s="53" t="str">
        <f>CONCATENATE(E8," ",$Q$4," ",G8)</f>
        <v>317 / 7036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f>COUNT(D5:D8)</f>
        <v>4</v>
      </c>
      <c r="B9" s="55">
        <f>SUM(B5:B8)</f>
        <v>786</v>
      </c>
      <c r="C9" s="56">
        <v>23009</v>
      </c>
      <c r="D9" s="55">
        <f>SUM(D5:D8)</f>
        <v>29292</v>
      </c>
      <c r="E9" s="55">
        <f>SUM(E5:E8)</f>
        <v>973</v>
      </c>
      <c r="F9" s="56">
        <v>28669.98</v>
      </c>
      <c r="G9" s="55">
        <f>SUM(G5:G8)</f>
        <v>29221</v>
      </c>
      <c r="H9" s="57">
        <f>K9/(D9+G9)</f>
        <v>2.0077632321022669</v>
      </c>
      <c r="I9" s="58">
        <f>SUM(I5:I8)</f>
        <v>58811.916666666642</v>
      </c>
      <c r="J9" s="58">
        <f>SUM(J5:J8)</f>
        <v>58668.333333333299</v>
      </c>
      <c r="K9" s="58">
        <f>SUM(K5:K8)</f>
        <v>117480.24999999994</v>
      </c>
      <c r="L9" s="59">
        <f>B9/I9</f>
        <v>1.3364638402364605E-2</v>
      </c>
      <c r="M9" s="59">
        <f>E9/J9</f>
        <v>1.6584756114883109E-2</v>
      </c>
      <c r="N9" s="60">
        <f>O9/(D9+G9)</f>
        <v>71.33012834754669</v>
      </c>
      <c r="O9" s="61">
        <f>SUM(O5:O8)</f>
        <v>4173739.8</v>
      </c>
      <c r="P9" s="62" t="str">
        <f>CONCATENATE(B9," ",$P$4," ",D9)</f>
        <v>786 / 29292</v>
      </c>
      <c r="Q9" s="62" t="str">
        <f>CONCATENATE(E9," ",$Q$4," ",G9)</f>
        <v>973 / 29221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3.3298263540845599E-2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1.6584756114883109E-2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2.0077632321022669</v>
      </c>
      <c r="B13" s="72" t="s">
        <v>103</v>
      </c>
      <c r="C13" s="10"/>
      <c r="D13" s="73">
        <v>0.79292921235133695</v>
      </c>
      <c r="E13" s="74">
        <v>0.66244000012550697</v>
      </c>
      <c r="F13" s="74">
        <v>0.94912567633455902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2.640316588210994E-2</v>
      </c>
      <c r="E15" s="80">
        <f>C11*E13</f>
        <v>2.2058101704176922E-2</v>
      </c>
      <c r="F15" s="81">
        <f>C11*F13</f>
        <v>3.1604236903971468E-2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6.8950976587356591E-3</v>
      </c>
      <c r="E17" s="85">
        <f>C11-F15</f>
        <v>1.6940266368741311E-3</v>
      </c>
      <c r="F17" s="86">
        <f>C11-E15</f>
        <v>1.1240161836668677E-2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145.03057817216879</v>
      </c>
      <c r="E18" s="90">
        <f>1/F17</f>
        <v>88.966690562916014</v>
      </c>
      <c r="F18" s="91">
        <f>1/E17</f>
        <v>590.30948996482732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0.79</v>
      </c>
      <c r="F20" s="95">
        <f>ROUND(D17,4)</f>
        <v>6.8999999999999999E-3</v>
      </c>
      <c r="G20" s="96">
        <f>ROUND(D18,0)</f>
        <v>145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2.64E-2</v>
      </c>
      <c r="D21" s="99">
        <f>ROUND(C11,4)</f>
        <v>3.3300000000000003E-2</v>
      </c>
      <c r="E21" s="100">
        <f>ROUND(E13,2)</f>
        <v>0.66</v>
      </c>
      <c r="F21" s="101">
        <f>ROUND(E17,4)</f>
        <v>1.6999999999999999E-3</v>
      </c>
      <c r="G21" s="102">
        <f>ROUND(E18,0)</f>
        <v>89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0.95</v>
      </c>
      <c r="F22" s="101">
        <f>ROUND(F17,4)</f>
        <v>1.12E-2</v>
      </c>
      <c r="G22" s="102">
        <f>ROUND(F18,0)</f>
        <v>590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2,64%</v>
      </c>
      <c r="D24" s="104" t="str">
        <f>CONCATENATE(D21*100,B23)</f>
        <v>3,33%</v>
      </c>
      <c r="E24" s="104" t="str">
        <f>CONCATENATE(E20," ",B20,E21,B21,E22,B22)</f>
        <v>0,79 (0,66-0,95)</v>
      </c>
      <c r="F24" s="104" t="str">
        <f>CONCATENATE(F20*100,B23," ",B20,F21*100,B23," ",B24," ",F22*100,B23,B22)</f>
        <v>0,69% (0,17% a 1,12%)</v>
      </c>
      <c r="G24" s="104" t="str">
        <f>CONCATENATE(G20," ",B20,G21," ",B24," ",G22,B22)</f>
        <v>145 (89 a 590)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3.3298263540845544E-2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2,64%</v>
      </c>
      <c r="D28" s="115" t="str">
        <f>D24</f>
        <v>3,33%</v>
      </c>
      <c r="E28" s="115" t="str">
        <f>E24</f>
        <v>0,79 (0,66-0,95)</v>
      </c>
      <c r="F28" s="115" t="str">
        <f>F24</f>
        <v>0,69% (0,17% a 1,12%)</v>
      </c>
      <c r="G28" s="116" t="str">
        <f>G24</f>
        <v>145 (89 a 590)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173</v>
      </c>
      <c r="B31" s="118" t="str">
        <f>B2</f>
        <v>Ictus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9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122 / 6076</v>
      </c>
      <c r="G34" s="130">
        <f>L5</f>
        <v>1.0039499670836076E-2</v>
      </c>
      <c r="H34" s="129" t="str">
        <f>Q5</f>
        <v>185 / 6022</v>
      </c>
      <c r="I34" s="130">
        <f t="shared" ref="I34:J38" si="0">M5</f>
        <v>1.5360345400199269E-2</v>
      </c>
      <c r="J34" s="132">
        <f t="shared" si="0"/>
        <v>70.599999999999994</v>
      </c>
      <c r="K34" s="133">
        <v>0.22404054306624499</v>
      </c>
      <c r="L34" s="134" t="s">
        <v>174</v>
      </c>
      <c r="M34" s="135" t="s">
        <v>175</v>
      </c>
      <c r="N34" s="136" t="s">
        <v>176</v>
      </c>
      <c r="O34" s="14" t="s">
        <v>136</v>
      </c>
      <c r="Q34" s="137">
        <v>3</v>
      </c>
      <c r="R34" s="138">
        <f>Q34*K34</f>
        <v>0.67212162919873497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184 / 7061</v>
      </c>
      <c r="G35" s="130">
        <f>L6</f>
        <v>1.6458083319046839E-2</v>
      </c>
      <c r="H35" s="129" t="str">
        <f>Q6</f>
        <v>221 / 7082</v>
      </c>
      <c r="I35" s="130">
        <f t="shared" si="0"/>
        <v>1.9708973082239671E-2</v>
      </c>
      <c r="J35" s="132">
        <f t="shared" si="0"/>
        <v>73</v>
      </c>
      <c r="K35" s="133">
        <v>0.247748319346351</v>
      </c>
      <c r="L35" s="134" t="s">
        <v>177</v>
      </c>
      <c r="M35" s="135" t="s">
        <v>178</v>
      </c>
      <c r="N35" s="135" t="s">
        <v>179</v>
      </c>
      <c r="O35" s="221" t="s">
        <v>140</v>
      </c>
      <c r="Q35" s="137">
        <v>3.5</v>
      </c>
      <c r="R35" s="138">
        <f>Q35*K35</f>
        <v>0.86711911771222849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199 / 9120</v>
      </c>
      <c r="G36" s="130">
        <f>L7</f>
        <v>1.190191387559811E-2</v>
      </c>
      <c r="H36" s="129" t="str">
        <f>Q7</f>
        <v>250 / 9081</v>
      </c>
      <c r="I36" s="130">
        <f t="shared" si="0"/>
        <v>1.5016367840946659E-2</v>
      </c>
      <c r="J36" s="132">
        <f t="shared" si="0"/>
        <v>70</v>
      </c>
      <c r="K36" s="133">
        <v>0.254271616355568</v>
      </c>
      <c r="L36" s="134" t="s">
        <v>180</v>
      </c>
      <c r="M36" s="135" t="s">
        <v>181</v>
      </c>
      <c r="N36" s="135" t="s">
        <v>182</v>
      </c>
      <c r="O36" s="221" t="s">
        <v>140</v>
      </c>
      <c r="Q36" s="137">
        <v>3.5</v>
      </c>
      <c r="R36" s="138">
        <f>Q36*K36</f>
        <v>0.88995065724448796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281 / 7035</v>
      </c>
      <c r="G37" s="130">
        <f>L8</f>
        <v>1.497867803837951E-2</v>
      </c>
      <c r="H37" s="129" t="str">
        <f>Q8</f>
        <v>317 / 7036</v>
      </c>
      <c r="I37" s="130">
        <f t="shared" si="0"/>
        <v>1.689525298465035E-2</v>
      </c>
      <c r="J37" s="132">
        <f t="shared" si="0"/>
        <v>72</v>
      </c>
      <c r="K37" s="133">
        <v>0.27393952123183501</v>
      </c>
      <c r="L37" s="134" t="s">
        <v>183</v>
      </c>
      <c r="M37" s="135" t="s">
        <v>184</v>
      </c>
      <c r="N37" s="135" t="s">
        <v>185</v>
      </c>
      <c r="O37" s="221" t="s">
        <v>140</v>
      </c>
      <c r="Q37" s="137">
        <v>3.5</v>
      </c>
      <c r="R37" s="138">
        <f>Q37*K37</f>
        <v>0.95878832431142258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222" t="s">
        <v>186</v>
      </c>
      <c r="E38" s="223">
        <f>H9</f>
        <v>2.0077632321022669</v>
      </c>
      <c r="F38" s="148" t="str">
        <f>P9</f>
        <v>786 / 29292</v>
      </c>
      <c r="G38" s="149">
        <f>L9</f>
        <v>1.3364638402364605E-2</v>
      </c>
      <c r="H38" s="148" t="str">
        <f>Q9</f>
        <v>973 / 29221</v>
      </c>
      <c r="I38" s="149">
        <f t="shared" si="0"/>
        <v>1.6584756114883109E-2</v>
      </c>
      <c r="J38" s="147">
        <f t="shared" si="0"/>
        <v>71.33012834754669</v>
      </c>
      <c r="K38" s="150">
        <v>1</v>
      </c>
      <c r="L38" s="151" t="s">
        <v>180</v>
      </c>
      <c r="M38" s="152"/>
      <c r="N38" s="153"/>
      <c r="O38" s="154" t="s">
        <v>140</v>
      </c>
      <c r="R38" s="224">
        <f>SUM(R34:R37)</f>
        <v>3.387979728466874</v>
      </c>
      <c r="S38" s="34"/>
      <c r="T38" s="2"/>
      <c r="U38" s="2"/>
    </row>
    <row r="39" spans="1:256" ht="19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19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1.6584756114883109E-2</v>
      </c>
      <c r="D42" s="173" t="s">
        <v>156</v>
      </c>
      <c r="E42" s="173"/>
      <c r="F42" s="173"/>
      <c r="G42" s="173"/>
      <c r="H42" s="174">
        <f>J38</f>
        <v>71.33012834754669</v>
      </c>
      <c r="I42" s="175" t="s">
        <v>157</v>
      </c>
      <c r="J42" s="176">
        <v>1.32E-2</v>
      </c>
      <c r="K42" s="177">
        <v>1.66E-2</v>
      </c>
      <c r="L42" s="178" t="s">
        <v>180</v>
      </c>
      <c r="M42" s="179" t="s">
        <v>187</v>
      </c>
      <c r="N42" s="179" t="s">
        <v>188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3.3298263540845544E-2</v>
      </c>
      <c r="D43" s="183" t="s">
        <v>161</v>
      </c>
      <c r="E43" s="184"/>
      <c r="F43" s="185"/>
      <c r="G43" s="186">
        <f>E38</f>
        <v>2.0077632321022669</v>
      </c>
      <c r="H43" s="183" t="s">
        <v>162</v>
      </c>
      <c r="I43" s="187"/>
      <c r="J43" s="188" t="s">
        <v>189</v>
      </c>
      <c r="K43" s="189" t="s">
        <v>190</v>
      </c>
      <c r="L43" s="190" t="s">
        <v>180</v>
      </c>
      <c r="M43" s="191" t="s">
        <v>191</v>
      </c>
      <c r="N43" s="191" t="s">
        <v>192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193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2.0077632321022669</v>
      </c>
      <c r="K46" s="213">
        <f>J46</f>
        <v>2.0077632321022669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16">
        <f>J42*1000*J46</f>
        <v>26.502474663749922</v>
      </c>
      <c r="K48" s="217">
        <f>K42*1000*K46</f>
        <v>33.328869652897637</v>
      </c>
      <c r="L48" s="218"/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orientation="portrait" horizontalDpi="300" verticalDpi="300"/>
  <ignoredErrors>
    <ignoredError sqref="J43:K4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Ictus hemorrágico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46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12</v>
      </c>
      <c r="C5" s="18">
        <v>6064</v>
      </c>
      <c r="D5" s="19">
        <v>6076</v>
      </c>
      <c r="E5" s="17">
        <v>45</v>
      </c>
      <c r="F5" s="18">
        <v>5977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9.8749177090190921E-4</v>
      </c>
      <c r="M5" s="50">
        <f>E5/J5</f>
        <v>3.7363002324809031E-3</v>
      </c>
      <c r="N5" s="51">
        <v>70.599999999999994</v>
      </c>
      <c r="O5" s="52">
        <f>N5*(D5+G5)</f>
        <v>854118.79999999993</v>
      </c>
      <c r="P5" s="53" t="str">
        <f>CONCATENATE(B5," ",$P$4," ",D5)</f>
        <v>12 / 6076</v>
      </c>
      <c r="Q5" s="53" t="str">
        <f>CONCATENATE(E5," ",$Q$4," ",G5)</f>
        <v>45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29</v>
      </c>
      <c r="C6" s="18">
        <v>7032</v>
      </c>
      <c r="D6" s="19">
        <v>7061</v>
      </c>
      <c r="E6" s="17">
        <v>50</v>
      </c>
      <c r="F6" s="18">
        <v>7032</v>
      </c>
      <c r="G6" s="19">
        <v>7082</v>
      </c>
      <c r="H6" s="48">
        <v>1.5833333333333299</v>
      </c>
      <c r="I6" s="49">
        <f>D6*H6</f>
        <v>11179.916666666642</v>
      </c>
      <c r="J6" s="49">
        <f>G6*H6</f>
        <v>11213.166666666642</v>
      </c>
      <c r="K6" s="49">
        <f>I6+J6</f>
        <v>22393.083333333285</v>
      </c>
      <c r="L6" s="50">
        <f>B6/I6</f>
        <v>2.5939370448497734E-3</v>
      </c>
      <c r="M6" s="50">
        <f>E6/J6</f>
        <v>4.4590436837646319E-3</v>
      </c>
      <c r="N6" s="51">
        <v>73</v>
      </c>
      <c r="O6" s="52">
        <f>N6*(D6+G6)</f>
        <v>1032439</v>
      </c>
      <c r="P6" s="53" t="str">
        <f>CONCATENATE(B6," ",$P$4," ",D6)</f>
        <v>29 / 7061</v>
      </c>
      <c r="Q6" s="53" t="str">
        <f>CONCATENATE(E6," ",$Q$4," ",G6)</f>
        <v>50 / 7082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40</v>
      </c>
      <c r="C7" s="18">
        <v>9080</v>
      </c>
      <c r="D7" s="19">
        <v>9120</v>
      </c>
      <c r="E7" s="17">
        <v>78</v>
      </c>
      <c r="F7" s="18">
        <v>9003</v>
      </c>
      <c r="G7" s="19">
        <v>9081</v>
      </c>
      <c r="H7" s="48">
        <v>1.8333333333333299</v>
      </c>
      <c r="I7" s="49">
        <f>D7*H7</f>
        <v>16719.999999999967</v>
      </c>
      <c r="J7" s="49">
        <f>G7*H7</f>
        <v>16648.499999999971</v>
      </c>
      <c r="K7" s="49">
        <f>I7+J7</f>
        <v>33368.499999999942</v>
      </c>
      <c r="L7" s="50">
        <f>B7/I7</f>
        <v>2.3923444976076602E-3</v>
      </c>
      <c r="M7" s="50">
        <f>E7/J7</f>
        <v>4.6851067663753569E-3</v>
      </c>
      <c r="N7" s="51">
        <v>70</v>
      </c>
      <c r="O7" s="52">
        <f>N7*(D7+G7)</f>
        <v>1274070</v>
      </c>
      <c r="P7" s="53" t="str">
        <f>CONCATENATE(B7," ",$P$4," ",D7)</f>
        <v>40 / 9120</v>
      </c>
      <c r="Q7" s="53" t="str">
        <f>CONCATENATE(E7," ",$Q$4," ",G7)</f>
        <v>78 / 9081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49</v>
      </c>
      <c r="C8" s="18">
        <v>6986</v>
      </c>
      <c r="D8" s="19">
        <v>7035</v>
      </c>
      <c r="E8" s="17">
        <v>90</v>
      </c>
      <c r="F8" s="18">
        <v>6946</v>
      </c>
      <c r="G8" s="19">
        <v>7036</v>
      </c>
      <c r="H8" s="48">
        <v>2.6666666666666701</v>
      </c>
      <c r="I8" s="49">
        <f>D8*H8</f>
        <v>18760.000000000025</v>
      </c>
      <c r="J8" s="49">
        <f>G8*H8</f>
        <v>18762.66666666669</v>
      </c>
      <c r="K8" s="49">
        <f>I8+J8</f>
        <v>37522.666666666715</v>
      </c>
      <c r="L8" s="50">
        <f>B8/I8</f>
        <v>2.6119402985074593E-3</v>
      </c>
      <c r="M8" s="50">
        <f>E8/J8</f>
        <v>4.7967595224559347E-3</v>
      </c>
      <c r="N8" s="51">
        <v>72</v>
      </c>
      <c r="O8" s="52">
        <f>N8*(D8+G8)</f>
        <v>1013112</v>
      </c>
      <c r="P8" s="53" t="str">
        <f>CONCATENATE(B8," ",$P$4," ",D8)</f>
        <v>49 / 7035</v>
      </c>
      <c r="Q8" s="53" t="str">
        <f>CONCATENATE(E8," ",$Q$4," ",G8)</f>
        <v>90 / 7036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f>COUNT(D5:D8)</f>
        <v>4</v>
      </c>
      <c r="B9" s="55">
        <f>SUM(B5:B8)</f>
        <v>130</v>
      </c>
      <c r="C9" s="56">
        <v>23009</v>
      </c>
      <c r="D9" s="55">
        <f>SUM(D5:D8)</f>
        <v>29292</v>
      </c>
      <c r="E9" s="55">
        <f>SUM(E5:E8)</f>
        <v>263</v>
      </c>
      <c r="F9" s="56">
        <v>28669.98</v>
      </c>
      <c r="G9" s="55">
        <f>SUM(G5:G8)</f>
        <v>29221</v>
      </c>
      <c r="H9" s="57">
        <f>K9/(D9+G9)</f>
        <v>2.0077632321022669</v>
      </c>
      <c r="I9" s="58">
        <f>SUM(I5:I8)</f>
        <v>58811.916666666642</v>
      </c>
      <c r="J9" s="58">
        <f>SUM(J5:J8)</f>
        <v>58668.333333333299</v>
      </c>
      <c r="K9" s="58">
        <f>SUM(K5:K8)</f>
        <v>117480.24999999994</v>
      </c>
      <c r="L9" s="59">
        <f>B9/I9</f>
        <v>2.2104363769814232E-3</v>
      </c>
      <c r="M9" s="59">
        <f>E9/J9</f>
        <v>4.482827192409309E-3</v>
      </c>
      <c r="N9" s="60">
        <f>O9/(D9+G9)</f>
        <v>71.33012834754669</v>
      </c>
      <c r="O9" s="61">
        <f>SUM(O5:O8)</f>
        <v>4173739.8</v>
      </c>
      <c r="P9" s="62" t="str">
        <f>CONCATENATE(B9," ",$P$4," ",D9)</f>
        <v>130 / 29292</v>
      </c>
      <c r="Q9" s="62" t="str">
        <f>CONCATENATE(E9," ",$Q$4," ",G9)</f>
        <v>263 / 29221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226">
        <v>9.0004556127876497E-3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4.482827192409309E-3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2.0077632321022669</v>
      </c>
      <c r="B13" s="72" t="s">
        <v>103</v>
      </c>
      <c r="C13" s="10"/>
      <c r="D13" s="73">
        <v>0.47479290928280499</v>
      </c>
      <c r="E13" s="74">
        <v>0.32140918478334701</v>
      </c>
      <c r="F13" s="74">
        <v>0.70137984098680395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4.2733525052661998E-3</v>
      </c>
      <c r="E15" s="80">
        <f>C11*E13</f>
        <v>2.8928291011847784E-3</v>
      </c>
      <c r="F15" s="81">
        <f>C11*F13</f>
        <v>6.3127381265057885E-3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4.7271031075214499E-3</v>
      </c>
      <c r="E17" s="85">
        <f>C11-F15</f>
        <v>2.6877174862818612E-3</v>
      </c>
      <c r="F17" s="86">
        <f>C11-E15</f>
        <v>6.1076265116028709E-3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211.54605204377009</v>
      </c>
      <c r="E18" s="90">
        <f>1/F17</f>
        <v>163.72972350229097</v>
      </c>
      <c r="F18" s="91">
        <f>1/E17</f>
        <v>372.06291401682307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0.47</v>
      </c>
      <c r="F20" s="95">
        <f>ROUND(D17,4)</f>
        <v>4.7000000000000002E-3</v>
      </c>
      <c r="G20" s="96">
        <f>ROUND(D18,0)</f>
        <v>212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4.3E-3</v>
      </c>
      <c r="D21" s="99">
        <f>ROUND(C11,4)</f>
        <v>8.9999999999999993E-3</v>
      </c>
      <c r="E21" s="100">
        <f>ROUND(E13,2)</f>
        <v>0.32</v>
      </c>
      <c r="F21" s="101">
        <f>ROUND(E17,4)</f>
        <v>2.7000000000000001E-3</v>
      </c>
      <c r="G21" s="102">
        <f>ROUND(E18,0)</f>
        <v>164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0.7</v>
      </c>
      <c r="F22" s="101">
        <f>ROUND(F17,4)</f>
        <v>6.1000000000000004E-3</v>
      </c>
      <c r="G22" s="102">
        <f>ROUND(F18,0)</f>
        <v>372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0,43%</v>
      </c>
      <c r="D24" s="104" t="str">
        <f>CONCATENATE(D21*100,B23)</f>
        <v>0,9%</v>
      </c>
      <c r="E24" s="104" t="str">
        <f>CONCATENATE(E20," ",B20,E21,B21,E22,B22)</f>
        <v>0,47 (0,32-0,7)</v>
      </c>
      <c r="F24" s="104" t="str">
        <f>CONCATENATE(F20*100,B23," ",B20,F21*100,B23," ",B24," ",F22*100,B23,B22)</f>
        <v>0,47% (0,27% a 0,61%)</v>
      </c>
      <c r="G24" s="104" t="str">
        <f>CONCATENATE(G20," ",B20,G21," ",B24," ",G22,B22)</f>
        <v>212 (164 a 372)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9.0004556127876445E-3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0,43%</v>
      </c>
      <c r="D28" s="115" t="str">
        <f>D24</f>
        <v>0,9%</v>
      </c>
      <c r="E28" s="115" t="str">
        <f>E24</f>
        <v>0,47 (0,32-0,7)</v>
      </c>
      <c r="F28" s="115" t="str">
        <f>F24</f>
        <v>0,47% (0,27% a 0,61%)</v>
      </c>
      <c r="G28" s="116" t="str">
        <f>G24</f>
        <v>212 (164 a 372)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194</v>
      </c>
      <c r="B31" s="118" t="str">
        <f>B2</f>
        <v>Ictus hemorrágico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9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12 / 6076</v>
      </c>
      <c r="G34" s="130">
        <f>L5</f>
        <v>9.8749177090190921E-4</v>
      </c>
      <c r="H34" s="129" t="str">
        <f>Q5</f>
        <v>45 / 6022</v>
      </c>
      <c r="I34" s="130">
        <f t="shared" ref="I34:J38" si="0">M5</f>
        <v>3.7363002324809031E-3</v>
      </c>
      <c r="J34" s="132">
        <f t="shared" si="0"/>
        <v>70.599999999999994</v>
      </c>
      <c r="K34" s="133">
        <v>0.18765170667799599</v>
      </c>
      <c r="L34" s="134" t="s">
        <v>195</v>
      </c>
      <c r="M34" s="135" t="s">
        <v>196</v>
      </c>
      <c r="N34" s="136" t="s">
        <v>197</v>
      </c>
      <c r="O34" s="14" t="s">
        <v>136</v>
      </c>
      <c r="Q34" s="137">
        <v>3</v>
      </c>
      <c r="R34" s="138">
        <f>Q34*K34</f>
        <v>0.56295512003398795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29 / 7061</v>
      </c>
      <c r="G35" s="130">
        <f>L6</f>
        <v>2.5939370448497734E-3</v>
      </c>
      <c r="H35" s="129" t="str">
        <f>Q6</f>
        <v>50 / 7082</v>
      </c>
      <c r="I35" s="130">
        <f t="shared" si="0"/>
        <v>4.4590436837646319E-3</v>
      </c>
      <c r="J35" s="132">
        <f t="shared" si="0"/>
        <v>73</v>
      </c>
      <c r="K35" s="133">
        <v>0.24743847583619799</v>
      </c>
      <c r="L35" s="134" t="s">
        <v>198</v>
      </c>
      <c r="M35" s="135" t="s">
        <v>199</v>
      </c>
      <c r="N35" s="135" t="s">
        <v>200</v>
      </c>
      <c r="O35" s="221" t="s">
        <v>140</v>
      </c>
      <c r="Q35" s="137">
        <v>3.5</v>
      </c>
      <c r="R35" s="138">
        <f>Q35*K35</f>
        <v>0.86603466542669294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40 / 9120</v>
      </c>
      <c r="G36" s="130">
        <f>L7</f>
        <v>2.3923444976076602E-3</v>
      </c>
      <c r="H36" s="129" t="str">
        <f>Q7</f>
        <v>78 / 9081</v>
      </c>
      <c r="I36" s="130">
        <f t="shared" si="0"/>
        <v>4.6851067663753569E-3</v>
      </c>
      <c r="J36" s="132">
        <f t="shared" si="0"/>
        <v>70</v>
      </c>
      <c r="K36" s="133">
        <v>0.27605024407751599</v>
      </c>
      <c r="L36" s="134" t="s">
        <v>201</v>
      </c>
      <c r="M36" s="135" t="s">
        <v>202</v>
      </c>
      <c r="N36" s="135" t="s">
        <v>203</v>
      </c>
      <c r="O36" s="221" t="s">
        <v>140</v>
      </c>
      <c r="Q36" s="137">
        <v>3.5</v>
      </c>
      <c r="R36" s="138">
        <f>Q36*K36</f>
        <v>0.96617585427130592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49 / 7035</v>
      </c>
      <c r="G37" s="130">
        <f>L8</f>
        <v>2.6119402985074593E-3</v>
      </c>
      <c r="H37" s="129" t="str">
        <f>Q8</f>
        <v>90 / 7036</v>
      </c>
      <c r="I37" s="130">
        <f t="shared" si="0"/>
        <v>4.7967595224559347E-3</v>
      </c>
      <c r="J37" s="132">
        <f t="shared" si="0"/>
        <v>72</v>
      </c>
      <c r="K37" s="133">
        <v>0.28885957340828999</v>
      </c>
      <c r="L37" s="134" t="s">
        <v>204</v>
      </c>
      <c r="M37" s="135" t="s">
        <v>205</v>
      </c>
      <c r="N37" s="135" t="s">
        <v>206</v>
      </c>
      <c r="O37" s="221" t="s">
        <v>140</v>
      </c>
      <c r="Q37" s="137">
        <v>3.5</v>
      </c>
      <c r="R37" s="138">
        <f>Q37*K37</f>
        <v>1.0110085069290149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222" t="s">
        <v>207</v>
      </c>
      <c r="E38" s="147">
        <f>H9</f>
        <v>2.0077632321022669</v>
      </c>
      <c r="F38" s="148" t="str">
        <f>P9</f>
        <v>130 / 29292</v>
      </c>
      <c r="G38" s="149">
        <f>L9</f>
        <v>2.2104363769814232E-3</v>
      </c>
      <c r="H38" s="148" t="str">
        <f>Q9</f>
        <v>263 / 29221</v>
      </c>
      <c r="I38" s="149">
        <f t="shared" si="0"/>
        <v>4.482827192409309E-3</v>
      </c>
      <c r="J38" s="147">
        <f t="shared" si="0"/>
        <v>71.33012834754669</v>
      </c>
      <c r="K38" s="150">
        <v>1</v>
      </c>
      <c r="L38" s="151" t="s">
        <v>208</v>
      </c>
      <c r="M38" s="152"/>
      <c r="N38" s="153"/>
      <c r="O38" s="154" t="s">
        <v>140</v>
      </c>
      <c r="R38" s="224">
        <f>SUM(R34:R37)</f>
        <v>3.4061741466610016</v>
      </c>
      <c r="S38" s="34"/>
      <c r="T38" s="2"/>
      <c r="U38" s="2"/>
    </row>
    <row r="39" spans="1:256" ht="25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13.5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8" t="s">
        <v>151</v>
      </c>
      <c r="C41" s="638"/>
      <c r="D41" s="638"/>
      <c r="E41" s="638"/>
      <c r="F41" s="638"/>
      <c r="G41" s="638"/>
      <c r="H41" s="638"/>
      <c r="I41" s="638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9" t="s">
        <v>154</v>
      </c>
      <c r="B42" s="171" t="s">
        <v>155</v>
      </c>
      <c r="C42" s="172">
        <f>I38</f>
        <v>4.482827192409309E-3</v>
      </c>
      <c r="D42" s="173" t="s">
        <v>156</v>
      </c>
      <c r="E42" s="173"/>
      <c r="F42" s="173"/>
      <c r="G42" s="173"/>
      <c r="H42" s="174">
        <f>J38</f>
        <v>71.33012834754669</v>
      </c>
      <c r="I42" s="175" t="s">
        <v>157</v>
      </c>
      <c r="J42" s="176">
        <v>2.0999999999999999E-3</v>
      </c>
      <c r="K42" s="177">
        <v>4.4999999999999997E-3</v>
      </c>
      <c r="L42" s="178" t="s">
        <v>208</v>
      </c>
      <c r="M42" s="179" t="s">
        <v>209</v>
      </c>
      <c r="N42" s="179" t="s">
        <v>210</v>
      </c>
      <c r="O42" s="180" t="s">
        <v>160</v>
      </c>
    </row>
    <row r="43" spans="1:256" ht="23" customHeight="1">
      <c r="A43" s="639"/>
      <c r="B43" s="181" t="s">
        <v>155</v>
      </c>
      <c r="C43" s="182">
        <f>I38*E38</f>
        <v>9.0004556127876445E-3</v>
      </c>
      <c r="D43" s="183" t="s">
        <v>161</v>
      </c>
      <c r="E43" s="184"/>
      <c r="F43" s="185"/>
      <c r="G43" s="186">
        <f>E38</f>
        <v>2.0077632321022669</v>
      </c>
      <c r="H43" s="183" t="s">
        <v>162</v>
      </c>
      <c r="I43" s="187"/>
      <c r="J43" s="188" t="s">
        <v>211</v>
      </c>
      <c r="K43" s="189" t="s">
        <v>212</v>
      </c>
      <c r="L43" s="190" t="s">
        <v>208</v>
      </c>
      <c r="M43" s="191" t="s">
        <v>213</v>
      </c>
      <c r="N43" s="191" t="s">
        <v>214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215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2.0077632321022669</v>
      </c>
      <c r="K46" s="213">
        <f>J46</f>
        <v>2.0077632321022669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16">
        <f>J42*1000*J46</f>
        <v>4.2163027874147607</v>
      </c>
      <c r="K48" s="217">
        <f>K42*1000*K46</f>
        <v>9.0349345444602012</v>
      </c>
      <c r="L48" s="218"/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Ictus isquémico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48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111</v>
      </c>
      <c r="C5" s="18">
        <v>5965</v>
      </c>
      <c r="D5" s="19">
        <v>6076</v>
      </c>
      <c r="E5" s="17">
        <v>142</v>
      </c>
      <c r="F5" s="18">
        <v>5880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9.13429888084266E-3</v>
      </c>
      <c r="M5" s="50">
        <f>E5/J5</f>
        <v>1.1790102955828628E-2</v>
      </c>
      <c r="N5" s="51">
        <v>70.599999999999994</v>
      </c>
      <c r="O5" s="52">
        <f>N5*(D5+G5)</f>
        <v>854118.79999999993</v>
      </c>
      <c r="P5" s="53" t="str">
        <f>CONCATENATE(B5," ",$P$4," ",D5)</f>
        <v>111 / 6076</v>
      </c>
      <c r="Q5" s="53" t="str">
        <f>CONCATENATE(E5," ",$Q$4," ",G5)</f>
        <v>142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149</v>
      </c>
      <c r="C6" s="18">
        <v>6912</v>
      </c>
      <c r="D6" s="19">
        <v>7061</v>
      </c>
      <c r="E6" s="17">
        <v>161</v>
      </c>
      <c r="F6" s="18">
        <v>6921</v>
      </c>
      <c r="G6" s="19">
        <v>7082</v>
      </c>
      <c r="H6" s="48">
        <v>1.5833333333333299</v>
      </c>
      <c r="I6" s="49">
        <f>D6*H6</f>
        <v>11179.916666666642</v>
      </c>
      <c r="J6" s="49">
        <f>G6*H6</f>
        <v>11213.166666666642</v>
      </c>
      <c r="K6" s="49">
        <f>I6+J6</f>
        <v>22393.083333333285</v>
      </c>
      <c r="L6" s="50">
        <f>B6/I6</f>
        <v>1.3327469644228146E-2</v>
      </c>
      <c r="M6" s="50">
        <f>E6/J6</f>
        <v>1.4358120661722113E-2</v>
      </c>
      <c r="N6" s="51">
        <v>73</v>
      </c>
      <c r="O6" s="52">
        <f>N6*(D6+G6)</f>
        <v>1032439</v>
      </c>
      <c r="P6" s="53" t="str">
        <f>CONCATENATE(B6," ",$P$4," ",D6)</f>
        <v>149 / 7061</v>
      </c>
      <c r="Q6" s="53" t="str">
        <f>CONCATENATE(E6," ",$Q$4," ",G6)</f>
        <v>161 / 7082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162</v>
      </c>
      <c r="C7" s="18">
        <v>8958</v>
      </c>
      <c r="D7" s="19">
        <v>9120</v>
      </c>
      <c r="E7" s="17">
        <v>175</v>
      </c>
      <c r="F7" s="18">
        <v>8906</v>
      </c>
      <c r="G7" s="19">
        <v>9081</v>
      </c>
      <c r="H7" s="48">
        <v>1.8333333333333299</v>
      </c>
      <c r="I7" s="49">
        <f>D7*H7</f>
        <v>16719.999999999967</v>
      </c>
      <c r="J7" s="49">
        <f>G7*H7</f>
        <v>16648.499999999971</v>
      </c>
      <c r="K7" s="49">
        <f>I7+J7</f>
        <v>33368.499999999942</v>
      </c>
      <c r="L7" s="50">
        <f>B7/I7</f>
        <v>9.6889952153110231E-3</v>
      </c>
      <c r="M7" s="50">
        <f>E7/J7</f>
        <v>1.0511457488662661E-2</v>
      </c>
      <c r="N7" s="51">
        <v>70</v>
      </c>
      <c r="O7" s="52">
        <f>N7*(D7+G7)</f>
        <v>1274070</v>
      </c>
      <c r="P7" s="53" t="str">
        <f>CONCATENATE(B7," ",$P$4," ",D7)</f>
        <v>162 / 9120</v>
      </c>
      <c r="Q7" s="53" t="str">
        <f>CONCATENATE(E7," ",$Q$4," ",G7)</f>
        <v>175 / 9081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236</v>
      </c>
      <c r="C8" s="18">
        <v>6799</v>
      </c>
      <c r="D8" s="19">
        <v>7035</v>
      </c>
      <c r="E8" s="17">
        <v>235</v>
      </c>
      <c r="F8" s="18">
        <v>6801</v>
      </c>
      <c r="G8" s="19">
        <v>7036</v>
      </c>
      <c r="H8" s="48">
        <v>2.6666666666666701</v>
      </c>
      <c r="I8" s="49">
        <f>D8*H8</f>
        <v>18760.000000000025</v>
      </c>
      <c r="J8" s="49">
        <f>G8*H8</f>
        <v>18762.66666666669</v>
      </c>
      <c r="K8" s="49">
        <f>I8+J8</f>
        <v>37522.666666666715</v>
      </c>
      <c r="L8" s="50">
        <f>B8/I8</f>
        <v>1.2579957356076742E-2</v>
      </c>
      <c r="M8" s="50">
        <f>E8/J8</f>
        <v>1.2524872086412718E-2</v>
      </c>
      <c r="N8" s="51">
        <v>72</v>
      </c>
      <c r="O8" s="52">
        <f>N8*(D8+G8)</f>
        <v>1013112</v>
      </c>
      <c r="P8" s="53" t="str">
        <f>CONCATENATE(B8," ",$P$4," ",D8)</f>
        <v>236 / 7035</v>
      </c>
      <c r="Q8" s="53" t="str">
        <f>CONCATENATE(E8," ",$Q$4," ",G8)</f>
        <v>235 / 7036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v>4</v>
      </c>
      <c r="B9" s="55">
        <v>658</v>
      </c>
      <c r="C9" s="56">
        <v>28634</v>
      </c>
      <c r="D9" s="55">
        <v>29292</v>
      </c>
      <c r="E9" s="55">
        <v>713</v>
      </c>
      <c r="F9" s="56">
        <v>28508</v>
      </c>
      <c r="G9" s="55">
        <v>29221</v>
      </c>
      <c r="H9" s="57">
        <f>K9/(D9+G9)</f>
        <v>2.0077632321022669</v>
      </c>
      <c r="I9" s="58">
        <f>SUM(I5:I8)</f>
        <v>58811.916666666642</v>
      </c>
      <c r="J9" s="58">
        <f>SUM(J5:J8)</f>
        <v>58668.333333333299</v>
      </c>
      <c r="K9" s="58">
        <f>SUM(K5:K8)</f>
        <v>117480.24999999994</v>
      </c>
      <c r="L9" s="59">
        <f>B9/I9</f>
        <v>1.1188208738875204E-2</v>
      </c>
      <c r="M9" s="59">
        <f>E9/J9</f>
        <v>1.215306383341383E-2</v>
      </c>
      <c r="N9" s="60">
        <f>O9/(D9+G9)</f>
        <v>71.33012834754669</v>
      </c>
      <c r="O9" s="61">
        <f>SUM(O5:O8)</f>
        <v>4173739.8</v>
      </c>
      <c r="P9" s="62" t="str">
        <f>CONCATENATE(B9," ",$P$4," ",D9)</f>
        <v>658 / 29292</v>
      </c>
      <c r="Q9" s="62" t="str">
        <f>CONCATENATE(E9," ",$Q$4," ",G9)</f>
        <v>713 / 29221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2.4400474722120102E-2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1.215306383341383E-2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2.0077632321022669</v>
      </c>
      <c r="B13" s="72" t="s">
        <v>103</v>
      </c>
      <c r="C13" s="10"/>
      <c r="D13" s="73">
        <v>0.91415016990035602</v>
      </c>
      <c r="E13" s="74">
        <v>0.79683501836968995</v>
      </c>
      <c r="F13" s="74">
        <v>1.04873985575401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2.2305698112875433E-2</v>
      </c>
      <c r="E15" s="80">
        <f>C11*E13</f>
        <v>1.9443152723429728E-2</v>
      </c>
      <c r="F15" s="81">
        <f>C11*F13</f>
        <v>2.5589750340405601E-2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2.0947766092446682E-3</v>
      </c>
      <c r="E17" s="85">
        <f>C11-F15</f>
        <v>-1.1892756182854992E-3</v>
      </c>
      <c r="F17" s="86">
        <f>C11-E15</f>
        <v>4.9573219986903741E-3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477.37787198253022</v>
      </c>
      <c r="E18" s="90">
        <f>1/F17</f>
        <v>201.72181679224792</v>
      </c>
      <c r="F18" s="91">
        <f>1/E17</f>
        <v>-840.84797890806385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0.91</v>
      </c>
      <c r="F20" s="95">
        <f>ROUND(D17,4)</f>
        <v>2.0999999999999999E-3</v>
      </c>
      <c r="G20" s="96">
        <f>ROUND(D18,0)</f>
        <v>477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2.23E-2</v>
      </c>
      <c r="D21" s="99">
        <f>ROUND(C11,4)</f>
        <v>2.4400000000000002E-2</v>
      </c>
      <c r="E21" s="100">
        <f>ROUND(E13,2)</f>
        <v>0.8</v>
      </c>
      <c r="F21" s="101">
        <f>ROUND(E17,4)</f>
        <v>-1.1999999999999999E-3</v>
      </c>
      <c r="G21" s="102">
        <f>ROUND(E18,0)</f>
        <v>202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1.05</v>
      </c>
      <c r="F22" s="101">
        <f>ROUND(F17,4)</f>
        <v>5.0000000000000001E-3</v>
      </c>
      <c r="G22" s="102">
        <f>ROUND(F18,0)</f>
        <v>-841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2,23%</v>
      </c>
      <c r="D24" s="104" t="str">
        <f>CONCATENATE(D21*100,B23)</f>
        <v>2,44%</v>
      </c>
      <c r="E24" s="104" t="str">
        <f>CONCATENATE(E20," ",B20,E21,B21,E22,B22)</f>
        <v>0,91 (0,8-1,05)</v>
      </c>
      <c r="F24" s="104" t="str">
        <f>CONCATENATE(F20*100,B23," ",B20,F21*100,B23," ",B24," ",F22*100,B23,B22)</f>
        <v>0,21% (-0,12% a 0,5%)</v>
      </c>
      <c r="G24" s="104" t="str">
        <f>CONCATENATE(G20," ",B20,G21," ",B24," ",G22,B22)</f>
        <v>477 (202 a -841)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2.4400474722120116E-2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2,23%</v>
      </c>
      <c r="D28" s="115" t="str">
        <f>D24</f>
        <v>2,44%</v>
      </c>
      <c r="E28" s="115" t="str">
        <f>E24</f>
        <v>0,91 (0,8-1,05)</v>
      </c>
      <c r="F28" s="115" t="str">
        <f>F24</f>
        <v>0,21% (-0,12% a 0,5%)</v>
      </c>
      <c r="G28" s="116" t="str">
        <f>G24</f>
        <v>477 (202 a -841)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216</v>
      </c>
      <c r="B31" s="118" t="str">
        <f>B2</f>
        <v>Ictus isquémico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9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111 / 6076</v>
      </c>
      <c r="G34" s="130">
        <f>L5</f>
        <v>9.13429888084266E-3</v>
      </c>
      <c r="H34" s="129" t="str">
        <f>Q5</f>
        <v>142 / 6022</v>
      </c>
      <c r="I34" s="131">
        <f t="shared" ref="I34:J38" si="0">M5</f>
        <v>1.1790102955828628E-2</v>
      </c>
      <c r="J34" s="132">
        <f t="shared" si="0"/>
        <v>70.599999999999994</v>
      </c>
      <c r="K34" s="133">
        <v>0.20742639671879201</v>
      </c>
      <c r="L34" s="134" t="s">
        <v>217</v>
      </c>
      <c r="M34" s="135" t="s">
        <v>218</v>
      </c>
      <c r="N34" s="136" t="s">
        <v>219</v>
      </c>
      <c r="O34" s="14" t="s">
        <v>136</v>
      </c>
      <c r="Q34" s="137">
        <v>3</v>
      </c>
      <c r="R34" s="138">
        <f>Q34*K34</f>
        <v>0.62227919015637601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149 / 7061</v>
      </c>
      <c r="G35" s="130">
        <f>L6</f>
        <v>1.3327469644228146E-2</v>
      </c>
      <c r="H35" s="129" t="str">
        <f>Q6</f>
        <v>161 / 7082</v>
      </c>
      <c r="I35" s="130">
        <f t="shared" si="0"/>
        <v>1.4358120661722113E-2</v>
      </c>
      <c r="J35" s="132">
        <f t="shared" si="0"/>
        <v>73</v>
      </c>
      <c r="K35" s="133">
        <v>0.238458009130354</v>
      </c>
      <c r="L35" s="134" t="s">
        <v>220</v>
      </c>
      <c r="M35" s="135" t="s">
        <v>221</v>
      </c>
      <c r="N35" s="135" t="s">
        <v>222</v>
      </c>
      <c r="O35" s="221" t="s">
        <v>140</v>
      </c>
      <c r="Q35" s="137">
        <v>3.5</v>
      </c>
      <c r="R35" s="138">
        <f>Q35*K35</f>
        <v>0.83460303195623897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162 / 9120</v>
      </c>
      <c r="G36" s="130">
        <f>L7</f>
        <v>9.6889952153110231E-3</v>
      </c>
      <c r="H36" s="129" t="str">
        <f>Q7</f>
        <v>175 / 9081</v>
      </c>
      <c r="I36" s="130">
        <f t="shared" si="0"/>
        <v>1.0511457488662661E-2</v>
      </c>
      <c r="J36" s="132">
        <f t="shared" si="0"/>
        <v>70</v>
      </c>
      <c r="K36" s="133">
        <v>0.25027577908286303</v>
      </c>
      <c r="L36" s="134" t="s">
        <v>223</v>
      </c>
      <c r="M36" s="135" t="s">
        <v>224</v>
      </c>
      <c r="N36" s="135" t="s">
        <v>225</v>
      </c>
      <c r="O36" s="221" t="s">
        <v>140</v>
      </c>
      <c r="Q36" s="137">
        <v>3.5</v>
      </c>
      <c r="R36" s="138">
        <f>Q36*K36</f>
        <v>0.87596522679002065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236 / 7035</v>
      </c>
      <c r="G37" s="130">
        <f>L8</f>
        <v>1.2579957356076742E-2</v>
      </c>
      <c r="H37" s="129" t="str">
        <f>Q8</f>
        <v>235 / 7036</v>
      </c>
      <c r="I37" s="130">
        <f t="shared" si="0"/>
        <v>1.2524872086412718E-2</v>
      </c>
      <c r="J37" s="132">
        <f t="shared" si="0"/>
        <v>72</v>
      </c>
      <c r="K37" s="133">
        <v>0.30383981506799002</v>
      </c>
      <c r="L37" s="134" t="s">
        <v>226</v>
      </c>
      <c r="M37" s="135" t="s">
        <v>227</v>
      </c>
      <c r="N37" s="135" t="s">
        <v>228</v>
      </c>
      <c r="O37" s="221" t="s">
        <v>140</v>
      </c>
      <c r="Q37" s="137">
        <v>3.5</v>
      </c>
      <c r="R37" s="138">
        <f>Q37*K37</f>
        <v>1.0634393527379651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227" t="s">
        <v>229</v>
      </c>
      <c r="E38" s="147">
        <f>H9</f>
        <v>2.0077632321022669</v>
      </c>
      <c r="F38" s="148" t="str">
        <f>P9</f>
        <v>658 / 29292</v>
      </c>
      <c r="G38" s="149">
        <f>L9</f>
        <v>1.1188208738875204E-2</v>
      </c>
      <c r="H38" s="148" t="str">
        <f>Q9</f>
        <v>713 / 29221</v>
      </c>
      <c r="I38" s="149">
        <f t="shared" si="0"/>
        <v>1.215306383341383E-2</v>
      </c>
      <c r="J38" s="147">
        <f t="shared" si="0"/>
        <v>71.33012834754669</v>
      </c>
      <c r="K38" s="150">
        <v>1</v>
      </c>
      <c r="L38" s="228" t="s">
        <v>230</v>
      </c>
      <c r="M38" s="152"/>
      <c r="N38" s="153"/>
      <c r="O38" s="154" t="s">
        <v>140</v>
      </c>
      <c r="R38" s="224">
        <f>SUM(R34:R37)</f>
        <v>3.3962868016406009</v>
      </c>
      <c r="S38" s="34"/>
      <c r="T38" s="2"/>
      <c r="U38" s="2"/>
    </row>
    <row r="39" spans="1:256" ht="20.5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20.5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1.215306383341383E-2</v>
      </c>
      <c r="D42" s="173" t="s">
        <v>156</v>
      </c>
      <c r="E42" s="173"/>
      <c r="F42" s="173"/>
      <c r="G42" s="173"/>
      <c r="H42" s="174">
        <f>J38</f>
        <v>71.33012834754669</v>
      </c>
      <c r="I42" s="175" t="s">
        <v>157</v>
      </c>
      <c r="J42" s="176">
        <v>1.11E-2</v>
      </c>
      <c r="K42" s="177">
        <v>1.2200000000000001E-2</v>
      </c>
      <c r="L42" s="229" t="s">
        <v>230</v>
      </c>
      <c r="M42" s="179" t="s">
        <v>231</v>
      </c>
      <c r="N42" s="179" t="s">
        <v>232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2.4400474722120116E-2</v>
      </c>
      <c r="D43" s="183" t="s">
        <v>161</v>
      </c>
      <c r="E43" s="184"/>
      <c r="F43" s="185"/>
      <c r="G43" s="186">
        <f>E38</f>
        <v>2.0077632321022669</v>
      </c>
      <c r="H43" s="183" t="s">
        <v>162</v>
      </c>
      <c r="I43" s="187"/>
      <c r="J43" s="188" t="s">
        <v>233</v>
      </c>
      <c r="K43" s="189" t="s">
        <v>234</v>
      </c>
      <c r="L43" s="230" t="s">
        <v>230</v>
      </c>
      <c r="M43" s="191" t="s">
        <v>235</v>
      </c>
      <c r="N43" s="191" t="s">
        <v>236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237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2.0077632321022669</v>
      </c>
      <c r="K46" s="213">
        <f>J46</f>
        <v>2.0077632321022669</v>
      </c>
    </row>
    <row r="47" spans="1:256">
      <c r="A47" s="33"/>
      <c r="C47" s="3"/>
      <c r="I47" s="11"/>
      <c r="J47" s="214" t="s">
        <v>93</v>
      </c>
      <c r="K47" s="214" t="s">
        <v>94</v>
      </c>
      <c r="L47" s="6" t="s">
        <v>171</v>
      </c>
    </row>
    <row r="48" spans="1:256" ht="17">
      <c r="I48" s="215" t="s">
        <v>172</v>
      </c>
      <c r="J48" s="231">
        <f>J42*1000*J46</f>
        <v>22.28617187633516</v>
      </c>
      <c r="K48" s="231">
        <f>K42*1000*K46</f>
        <v>24.494711431647659</v>
      </c>
      <c r="L48" s="232">
        <f>((J48*I9)+(K48*J9))/K9</f>
        <v>23.389092025134005</v>
      </c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orientation="portrait" horizontalDpi="300" verticalDpi="300"/>
  <ignoredErrors>
    <ignoredError sqref="J43:K4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Embolismo sistémico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65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18</v>
      </c>
      <c r="C5" s="18">
        <v>6058</v>
      </c>
      <c r="D5" s="19">
        <v>6076</v>
      </c>
      <c r="E5" s="17">
        <v>11</v>
      </c>
      <c r="F5" s="18">
        <v>6011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1.4812376563528638E-3</v>
      </c>
      <c r="M5" s="50">
        <f>E5/J5</f>
        <v>9.1331783460644306E-4</v>
      </c>
      <c r="N5" s="51">
        <v>70.599999999999994</v>
      </c>
      <c r="O5" s="52">
        <f>N5*(D5+G5)</f>
        <v>854118.79999999993</v>
      </c>
      <c r="P5" s="53" t="str">
        <f>CONCATENATE(B5," ",$P$4," ",D5)</f>
        <v>18 / 6076</v>
      </c>
      <c r="Q5" s="53" t="str">
        <f>CONCATENATE(E5," ",$Q$4," ",G5)</f>
        <v>11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5</v>
      </c>
      <c r="C6" s="18">
        <v>7056</v>
      </c>
      <c r="D6" s="19">
        <v>7061</v>
      </c>
      <c r="E6" s="17">
        <v>22</v>
      </c>
      <c r="F6" s="18">
        <v>7060</v>
      </c>
      <c r="G6" s="19">
        <v>7082</v>
      </c>
      <c r="H6" s="48">
        <v>1.5833333333333299</v>
      </c>
      <c r="I6" s="49">
        <f>D6*H6</f>
        <v>11179.916666666642</v>
      </c>
      <c r="J6" s="49">
        <f>G6*H6</f>
        <v>11213.166666666642</v>
      </c>
      <c r="K6" s="49">
        <f>I6+J6</f>
        <v>22393.083333333285</v>
      </c>
      <c r="L6" s="50">
        <f>B6/I6</f>
        <v>4.4723052497409887E-4</v>
      </c>
      <c r="M6" s="50">
        <f>E6/J6</f>
        <v>1.9619792208564377E-3</v>
      </c>
      <c r="N6" s="51">
        <v>73</v>
      </c>
      <c r="O6" s="52">
        <f>N6*(D6+G6)</f>
        <v>1032439</v>
      </c>
      <c r="P6" s="53" t="str">
        <f>CONCATENATE(B6," ",$P$4," ",D6)</f>
        <v>5 / 7061</v>
      </c>
      <c r="Q6" s="53" t="str">
        <f>CONCATENATE(E6," ",$Q$4," ",G6)</f>
        <v>22 / 7082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15</v>
      </c>
      <c r="C7" s="18">
        <v>9105</v>
      </c>
      <c r="D7" s="19">
        <v>9120</v>
      </c>
      <c r="E7" s="17">
        <v>17</v>
      </c>
      <c r="F7" s="18">
        <v>9064</v>
      </c>
      <c r="G7" s="19">
        <v>9081</v>
      </c>
      <c r="H7" s="48">
        <v>1.8333333333333299</v>
      </c>
      <c r="I7" s="49">
        <f>D7*H7</f>
        <v>16719.999999999967</v>
      </c>
      <c r="J7" s="49">
        <f>G7*H7</f>
        <v>16648.499999999971</v>
      </c>
      <c r="K7" s="49">
        <f>I7+J7</f>
        <v>33368.499999999942</v>
      </c>
      <c r="L7" s="50">
        <f>B7/I7</f>
        <v>8.9712918660287257E-4</v>
      </c>
      <c r="M7" s="50">
        <f>E7/J7</f>
        <v>1.0211130131843728E-3</v>
      </c>
      <c r="N7" s="51">
        <v>70</v>
      </c>
      <c r="O7" s="52">
        <f>N7*(D7+G7)</f>
        <v>1274070</v>
      </c>
      <c r="P7" s="53" t="str">
        <f>CONCATENATE(B7," ",$P$4," ",D7)</f>
        <v>15 / 9120</v>
      </c>
      <c r="Q7" s="53" t="str">
        <f>CONCATENATE(E7," ",$Q$4," ",G7)</f>
        <v>17 / 9081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15</v>
      </c>
      <c r="C8" s="18">
        <v>7020</v>
      </c>
      <c r="D8" s="19">
        <v>7035</v>
      </c>
      <c r="E8" s="17">
        <v>23</v>
      </c>
      <c r="F8" s="18">
        <v>7013</v>
      </c>
      <c r="G8" s="19">
        <v>7036</v>
      </c>
      <c r="H8" s="48">
        <v>2.6666666666666701</v>
      </c>
      <c r="I8" s="49">
        <f>D8*H8</f>
        <v>18760.000000000025</v>
      </c>
      <c r="J8" s="49">
        <f>G8*H8</f>
        <v>18762.66666666669</v>
      </c>
      <c r="K8" s="49">
        <f>I8+J8</f>
        <v>37522.666666666715</v>
      </c>
      <c r="L8" s="50">
        <f>B8/I8</f>
        <v>7.9957356076758952E-4</v>
      </c>
      <c r="M8" s="50">
        <f>E8/J8</f>
        <v>1.2258385446276279E-3</v>
      </c>
      <c r="N8" s="51">
        <v>72</v>
      </c>
      <c r="O8" s="52">
        <f>N8*(D8+G8)</f>
        <v>1013112</v>
      </c>
      <c r="P8" s="53" t="str">
        <f>CONCATENATE(B8," ",$P$4," ",D8)</f>
        <v>15 / 7035</v>
      </c>
      <c r="Q8" s="53" t="str">
        <f>CONCATENATE(E8," ",$Q$4," ",G8)</f>
        <v>23 / 7036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f>COUNT(D5:D8)</f>
        <v>4</v>
      </c>
      <c r="B9" s="55">
        <f>SUM(B5:B8)</f>
        <v>53</v>
      </c>
      <c r="C9" s="56">
        <v>23009</v>
      </c>
      <c r="D9" s="55">
        <f>SUM(D5:D8)</f>
        <v>29292</v>
      </c>
      <c r="E9" s="55">
        <f>SUM(E5:E8)</f>
        <v>73</v>
      </c>
      <c r="F9" s="56">
        <v>28669.98</v>
      </c>
      <c r="G9" s="55">
        <f>SUM(G5:G8)</f>
        <v>29221</v>
      </c>
      <c r="H9" s="57">
        <f>K9/(D9+G9)</f>
        <v>2.0077632321022669</v>
      </c>
      <c r="I9" s="58">
        <f>SUM(I5:I8)</f>
        <v>58811.916666666642</v>
      </c>
      <c r="J9" s="58">
        <f>SUM(J5:J8)</f>
        <v>58668.333333333299</v>
      </c>
      <c r="K9" s="58">
        <f>SUM(K5:K8)</f>
        <v>117480.24999999994</v>
      </c>
      <c r="L9" s="59">
        <f>B9/I9</f>
        <v>9.0117790753858028E-4</v>
      </c>
      <c r="M9" s="59">
        <f>E9/J9</f>
        <v>1.2442828328740668E-3</v>
      </c>
      <c r="N9" s="60">
        <f>O9/(D9+G9)</f>
        <v>71.33012834754669</v>
      </c>
      <c r="O9" s="61">
        <f>SUM(O5:O8)</f>
        <v>4173739.8</v>
      </c>
      <c r="P9" s="62" t="str">
        <f>CONCATENATE(B9," ",$P$4," ",D9)</f>
        <v>53 / 29292</v>
      </c>
      <c r="Q9" s="62" t="str">
        <f>CONCATENATE(E9," ",$Q$4," ",G9)</f>
        <v>73 / 29221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2.4982253221806001E-3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1.2442828328740668E-3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2.0077632321022669</v>
      </c>
      <c r="B13" s="72" t="s">
        <v>103</v>
      </c>
      <c r="C13" s="10"/>
      <c r="D13" s="73">
        <v>0.71163032822821104</v>
      </c>
      <c r="E13" s="74">
        <v>0.35489656085897098</v>
      </c>
      <c r="F13" s="74">
        <v>1.42696282307113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1.7778129060114086E-3</v>
      </c>
      <c r="E15" s="80">
        <f>C11*E13</f>
        <v>8.8661157509268976E-4</v>
      </c>
      <c r="F15" s="81">
        <f>C11*F13</f>
        <v>3.5648746584066122E-3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7.2041241616919147E-4</v>
      </c>
      <c r="E17" s="85">
        <f>C11-F15</f>
        <v>-1.0666493362260121E-3</v>
      </c>
      <c r="F17" s="86">
        <f>C11-E15</f>
        <v>1.6116137470879102E-3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1388.0937884406844</v>
      </c>
      <c r="E18" s="90">
        <f>1/F17</f>
        <v>620.49607221763915</v>
      </c>
      <c r="F18" s="91">
        <f>1/E17</f>
        <v>-937.51523208008655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0.71</v>
      </c>
      <c r="F20" s="95">
        <f>ROUND(D17,4)</f>
        <v>6.9999999999999999E-4</v>
      </c>
      <c r="G20" s="96">
        <f>ROUND(D18,0)</f>
        <v>1388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1.8E-3</v>
      </c>
      <c r="D21" s="99">
        <f>ROUND(C11,4)</f>
        <v>2.5000000000000001E-3</v>
      </c>
      <c r="E21" s="100">
        <f>ROUND(E13,2)</f>
        <v>0.35</v>
      </c>
      <c r="F21" s="101">
        <f>ROUND(E17,4)</f>
        <v>-1.1000000000000001E-3</v>
      </c>
      <c r="G21" s="102">
        <f>ROUND(E18,0)</f>
        <v>620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1.43</v>
      </c>
      <c r="F22" s="101">
        <f>ROUND(F17,4)</f>
        <v>1.6000000000000001E-3</v>
      </c>
      <c r="G22" s="102">
        <f>ROUND(F18,0)</f>
        <v>-938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0,18%</v>
      </c>
      <c r="D24" s="104" t="str">
        <f>CONCATENATE(D21*100,B23)</f>
        <v>0,25%</v>
      </c>
      <c r="E24" s="104" t="str">
        <f>CONCATENATE(E20," ",B20,E21,B21,E22,B22)</f>
        <v>0,71 (0,35-1,43)</v>
      </c>
      <c r="F24" s="104" t="str">
        <f>CONCATENATE(F20*100,B23," ",B20,F21*100,B23," ",B24," ",F22*100,B23,B22)</f>
        <v>0,07% (-0,11% a 0,16%)</v>
      </c>
      <c r="G24" s="104" t="str">
        <f>CONCATENATE(G20," ",B20,G21," ",B24," ",G22,B22)</f>
        <v>1388 (620 a -938)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2.498225322180601E-3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0,18%</v>
      </c>
      <c r="D28" s="115" t="str">
        <f>D24</f>
        <v>0,25%</v>
      </c>
      <c r="E28" s="115" t="str">
        <f>E24</f>
        <v>0,71 (0,35-1,43)</v>
      </c>
      <c r="F28" s="115" t="str">
        <f>F24</f>
        <v>0,07% (-0,11% a 0,16%)</v>
      </c>
      <c r="G28" s="116" t="str">
        <f>G24</f>
        <v>1388 (620 a -938)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238</v>
      </c>
      <c r="B31" s="118" t="str">
        <f>B2</f>
        <v>Embolismo sistémico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8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18 / 6076</v>
      </c>
      <c r="G34" s="130">
        <f>L5</f>
        <v>1.4812376563528638E-3</v>
      </c>
      <c r="H34" s="129" t="str">
        <f>Q5</f>
        <v>11 / 6022</v>
      </c>
      <c r="I34" s="131">
        <f t="shared" ref="I34:J38" si="0">M5</f>
        <v>9.1331783460644306E-4</v>
      </c>
      <c r="J34" s="132">
        <f t="shared" si="0"/>
        <v>70.599999999999994</v>
      </c>
      <c r="K34" s="133">
        <v>0.252754163944306</v>
      </c>
      <c r="L34" s="134" t="s">
        <v>239</v>
      </c>
      <c r="M34" s="135" t="s">
        <v>240</v>
      </c>
      <c r="N34" s="136" t="s">
        <v>241</v>
      </c>
      <c r="O34" s="14" t="s">
        <v>136</v>
      </c>
      <c r="Q34" s="137">
        <v>3</v>
      </c>
      <c r="R34" s="138">
        <f>Q34*K34</f>
        <v>0.75826249183291794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5 / 7061</v>
      </c>
      <c r="G35" s="130">
        <f>L6</f>
        <v>4.4723052497409887E-4</v>
      </c>
      <c r="H35" s="129" t="str">
        <f>Q6</f>
        <v>22 / 7082</v>
      </c>
      <c r="I35" s="130">
        <f t="shared" si="0"/>
        <v>1.9619792208564377E-3</v>
      </c>
      <c r="J35" s="132">
        <f t="shared" si="0"/>
        <v>73</v>
      </c>
      <c r="K35" s="133">
        <v>0.21086389791941601</v>
      </c>
      <c r="L35" s="134" t="s">
        <v>242</v>
      </c>
      <c r="M35" s="135" t="s">
        <v>243</v>
      </c>
      <c r="N35" s="135" t="s">
        <v>244</v>
      </c>
      <c r="O35" s="221" t="s">
        <v>140</v>
      </c>
      <c r="Q35" s="137">
        <v>3.5</v>
      </c>
      <c r="R35" s="138">
        <f>Q35*K35</f>
        <v>0.73802364271795606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15 / 9120</v>
      </c>
      <c r="G36" s="130">
        <f>L7</f>
        <v>8.9712918660287257E-4</v>
      </c>
      <c r="H36" s="129" t="str">
        <f>Q7</f>
        <v>17 / 9081</v>
      </c>
      <c r="I36" s="130">
        <f t="shared" si="0"/>
        <v>1.0211130131843728E-3</v>
      </c>
      <c r="J36" s="132">
        <f t="shared" si="0"/>
        <v>70</v>
      </c>
      <c r="K36" s="133">
        <v>0.26379403721341499</v>
      </c>
      <c r="L36" s="134" t="s">
        <v>245</v>
      </c>
      <c r="M36" s="135" t="s">
        <v>246</v>
      </c>
      <c r="N36" s="135" t="s">
        <v>247</v>
      </c>
      <c r="O36" s="221" t="s">
        <v>140</v>
      </c>
      <c r="Q36" s="137">
        <v>3.5</v>
      </c>
      <c r="R36" s="138">
        <f>Q36*K36</f>
        <v>0.92327913024695252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15 / 7035</v>
      </c>
      <c r="G37" s="130">
        <f>L8</f>
        <v>7.9957356076758952E-4</v>
      </c>
      <c r="H37" s="129" t="str">
        <f>Q8</f>
        <v>23 / 7036</v>
      </c>
      <c r="I37" s="130">
        <f t="shared" si="0"/>
        <v>1.2258385446276279E-3</v>
      </c>
      <c r="J37" s="132">
        <f t="shared" si="0"/>
        <v>72</v>
      </c>
      <c r="K37" s="133">
        <v>0.272587900922863</v>
      </c>
      <c r="L37" s="134" t="s">
        <v>248</v>
      </c>
      <c r="M37" s="135" t="s">
        <v>249</v>
      </c>
      <c r="N37" s="135" t="s">
        <v>250</v>
      </c>
      <c r="O37" s="221" t="s">
        <v>140</v>
      </c>
      <c r="Q37" s="137">
        <v>3.5</v>
      </c>
      <c r="R37" s="138">
        <f>Q37*K37</f>
        <v>0.95405765323002045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222" t="s">
        <v>251</v>
      </c>
      <c r="E38" s="147">
        <f>H9</f>
        <v>2.0077632321022669</v>
      </c>
      <c r="F38" s="148" t="str">
        <f>P9</f>
        <v>53 / 29292</v>
      </c>
      <c r="G38" s="149">
        <f>L9</f>
        <v>9.0117790753858028E-4</v>
      </c>
      <c r="H38" s="148" t="str">
        <f>Q9</f>
        <v>73 / 29221</v>
      </c>
      <c r="I38" s="149">
        <f t="shared" si="0"/>
        <v>1.2442828328740668E-3</v>
      </c>
      <c r="J38" s="147">
        <f t="shared" si="0"/>
        <v>71.33012834754669</v>
      </c>
      <c r="K38" s="150">
        <v>1</v>
      </c>
      <c r="L38" s="228" t="s">
        <v>252</v>
      </c>
      <c r="M38" s="152"/>
      <c r="N38" s="153"/>
      <c r="O38" s="154" t="s">
        <v>140</v>
      </c>
      <c r="R38" s="224">
        <f>SUM(R34:R37)</f>
        <v>3.3736229180278472</v>
      </c>
      <c r="S38" s="34"/>
      <c r="T38" s="2"/>
      <c r="U38" s="2"/>
    </row>
    <row r="39" spans="1:256" ht="22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16.5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1.2442828328740668E-3</v>
      </c>
      <c r="D42" s="173" t="s">
        <v>156</v>
      </c>
      <c r="E42" s="173"/>
      <c r="F42" s="173"/>
      <c r="G42" s="173"/>
      <c r="H42" s="174">
        <f>J38</f>
        <v>71.33012834754669</v>
      </c>
      <c r="I42" s="175" t="s">
        <v>157</v>
      </c>
      <c r="J42" s="176">
        <v>8.9999999999999998E-4</v>
      </c>
      <c r="K42" s="177">
        <v>1.1999999999999999E-3</v>
      </c>
      <c r="L42" s="229" t="s">
        <v>252</v>
      </c>
      <c r="M42" s="179" t="s">
        <v>253</v>
      </c>
      <c r="N42" s="179" t="s">
        <v>254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2.498225322180601E-3</v>
      </c>
      <c r="D43" s="183" t="s">
        <v>161</v>
      </c>
      <c r="E43" s="184"/>
      <c r="F43" s="185"/>
      <c r="G43" s="186">
        <f>E38</f>
        <v>2.0077632321022669</v>
      </c>
      <c r="H43" s="183" t="s">
        <v>162</v>
      </c>
      <c r="I43" s="187"/>
      <c r="J43" s="188" t="s">
        <v>255</v>
      </c>
      <c r="K43" s="189" t="s">
        <v>256</v>
      </c>
      <c r="L43" s="230" t="s">
        <v>252</v>
      </c>
      <c r="M43" s="191" t="s">
        <v>257</v>
      </c>
      <c r="N43" s="191" t="s">
        <v>258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259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2.0077632321022669</v>
      </c>
      <c r="K46" s="213">
        <f>J46</f>
        <v>2.0077632321022669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31">
        <f>J42*1000*J46</f>
        <v>1.8069869088920403</v>
      </c>
      <c r="K48" s="231">
        <f>K42*1000*K46</f>
        <v>2.4093158785227202</v>
      </c>
      <c r="L48" s="232">
        <f>((J48*I9)+(K48*J9))/K9</f>
        <v>2.107783313109906</v>
      </c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Hemorragia mayor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72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375</v>
      </c>
      <c r="C5" s="18">
        <v>5701</v>
      </c>
      <c r="D5" s="19">
        <v>6076</v>
      </c>
      <c r="E5" s="17">
        <v>397</v>
      </c>
      <c r="F5" s="18">
        <v>5625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3.0859117840684663E-2</v>
      </c>
      <c r="M5" s="50">
        <f>E5/J5</f>
        <v>3.2962470939887079E-2</v>
      </c>
      <c r="N5" s="51">
        <v>70.599999999999994</v>
      </c>
      <c r="O5" s="52">
        <f>N5*(D5+G5)</f>
        <v>854118.79999999993</v>
      </c>
      <c r="P5" s="53" t="str">
        <f>CONCATENATE(B5," ",$P$4," ",D5)</f>
        <v>375 / 6076</v>
      </c>
      <c r="Q5" s="53" t="str">
        <f>CONCATENATE(E5," ",$Q$4," ",G5)</f>
        <v>397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395</v>
      </c>
      <c r="C6" s="18">
        <v>6716</v>
      </c>
      <c r="D6" s="19">
        <v>7111</v>
      </c>
      <c r="E6" s="17">
        <v>386</v>
      </c>
      <c r="F6" s="18">
        <v>6739</v>
      </c>
      <c r="G6" s="19">
        <v>7125</v>
      </c>
      <c r="H6" s="48">
        <v>1.5833333333333299</v>
      </c>
      <c r="I6" s="49">
        <f>D6*H6</f>
        <v>11259.083333333308</v>
      </c>
      <c r="J6" s="49">
        <f>G6*H6</f>
        <v>11281.249999999976</v>
      </c>
      <c r="K6" s="49">
        <f>I6+J6</f>
        <v>22540.333333333285</v>
      </c>
      <c r="L6" s="50">
        <f>B6/I6</f>
        <v>3.5082785010621134E-2</v>
      </c>
      <c r="M6" s="50">
        <f>E6/J6</f>
        <v>3.4216066481994531E-2</v>
      </c>
      <c r="N6" s="51">
        <v>73</v>
      </c>
      <c r="O6" s="52">
        <f>N6*(D6+G6)</f>
        <v>1039228</v>
      </c>
      <c r="P6" s="53" t="str">
        <f>CONCATENATE(B6," ",$P$4," ",D6)</f>
        <v>395 / 7111</v>
      </c>
      <c r="Q6" s="53" t="str">
        <f>CONCATENATE(E6," ",$Q$4," ",G6)</f>
        <v>386 / 7125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327</v>
      </c>
      <c r="C7" s="18">
        <v>8761</v>
      </c>
      <c r="D7" s="19">
        <v>9088</v>
      </c>
      <c r="E7" s="17">
        <v>462</v>
      </c>
      <c r="F7" s="18">
        <v>8590</v>
      </c>
      <c r="G7" s="19">
        <v>9052</v>
      </c>
      <c r="H7" s="48">
        <v>1.8333333333333299</v>
      </c>
      <c r="I7" s="49">
        <f>D7*H7</f>
        <v>16661.333333333303</v>
      </c>
      <c r="J7" s="49">
        <f>G7*H7</f>
        <v>16595.333333333303</v>
      </c>
      <c r="K7" s="49">
        <f>I7+J7</f>
        <v>33256.666666666606</v>
      </c>
      <c r="L7" s="50">
        <f>B7/I7</f>
        <v>1.9626280409731151E-2</v>
      </c>
      <c r="M7" s="50">
        <f>E7/J7</f>
        <v>2.7839151568714148E-2</v>
      </c>
      <c r="N7" s="51">
        <v>70</v>
      </c>
      <c r="O7" s="52">
        <f>N7*(D7+G7)</f>
        <v>1269800</v>
      </c>
      <c r="P7" s="53" t="str">
        <f>CONCATENATE(B7," ",$P$4," ",D7)</f>
        <v>327 / 9088</v>
      </c>
      <c r="Q7" s="53" t="str">
        <f>CONCATENATE(E7," ",$Q$4," ",G7)</f>
        <v>462 / 9052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418</v>
      </c>
      <c r="C8" s="18">
        <v>6594</v>
      </c>
      <c r="D8" s="19">
        <v>7012</v>
      </c>
      <c r="E8" s="17">
        <v>524</v>
      </c>
      <c r="F8" s="18">
        <v>6488</v>
      </c>
      <c r="G8" s="19">
        <v>7012</v>
      </c>
      <c r="H8" s="48">
        <v>2.6666666666666701</v>
      </c>
      <c r="I8" s="49">
        <f>D8*H8</f>
        <v>18698.66666666669</v>
      </c>
      <c r="J8" s="49">
        <f>G8*H8</f>
        <v>18698.66666666669</v>
      </c>
      <c r="K8" s="49">
        <f>I8+J8</f>
        <v>37397.333333333379</v>
      </c>
      <c r="L8" s="50">
        <f>B8/I8</f>
        <v>2.2354535082715319E-2</v>
      </c>
      <c r="M8" s="50">
        <f>E8/J8</f>
        <v>2.8023388476896713E-2</v>
      </c>
      <c r="N8" s="51">
        <v>72</v>
      </c>
      <c r="O8" s="52">
        <f>N8*(D8+G8)</f>
        <v>1009728</v>
      </c>
      <c r="P8" s="53" t="str">
        <f>CONCATENATE(B8," ",$P$4," ",D8)</f>
        <v>418 / 7012</v>
      </c>
      <c r="Q8" s="53" t="str">
        <f>CONCATENATE(E8," ",$Q$4," ",G8)</f>
        <v>524 / 7012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f>COUNT(D5:D8)</f>
        <v>4</v>
      </c>
      <c r="B9" s="55">
        <f>SUM(B5:B8)</f>
        <v>1515</v>
      </c>
      <c r="C9" s="56">
        <v>23009</v>
      </c>
      <c r="D9" s="55">
        <f>SUM(D5:D8)</f>
        <v>29287</v>
      </c>
      <c r="E9" s="55">
        <f>SUM(E5:E8)</f>
        <v>1769</v>
      </c>
      <c r="F9" s="56">
        <v>28669.98</v>
      </c>
      <c r="G9" s="55">
        <f>SUM(G5:G8)</f>
        <v>29211</v>
      </c>
      <c r="H9" s="57">
        <f>K9/(D9+G9)</f>
        <v>2.0067409712012934</v>
      </c>
      <c r="I9" s="58">
        <f>SUM(I5:I8)</f>
        <v>58771.083333333299</v>
      </c>
      <c r="J9" s="58">
        <f>SUM(J5:J8)</f>
        <v>58619.249999999971</v>
      </c>
      <c r="K9" s="58">
        <f>SUM(K5:K8)</f>
        <v>117390.33333333326</v>
      </c>
      <c r="L9" s="59">
        <f>B9/I9</f>
        <v>2.5777983220206097E-2</v>
      </c>
      <c r="M9" s="59">
        <f>E9/J9</f>
        <v>3.0177799954793024E-2</v>
      </c>
      <c r="N9" s="60">
        <f>O9/(D9+G9)</f>
        <v>71.333631919039959</v>
      </c>
      <c r="O9" s="61">
        <f>SUM(O5:O8)</f>
        <v>4172874.8</v>
      </c>
      <c r="P9" s="62" t="str">
        <f>CONCATENATE(B9," ",$P$4," ",D9)</f>
        <v>1515 / 29287</v>
      </c>
      <c r="Q9" s="62" t="str">
        <f>CONCATENATE(E9," ",$Q$4," ",G9)</f>
        <v>1769 / 29211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6.0554709630999397E-2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3.0177799954793024E-2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2.0067409712012934</v>
      </c>
      <c r="B13" s="72" t="s">
        <v>103</v>
      </c>
      <c r="C13" s="10"/>
      <c r="D13" s="73">
        <v>0.85691556324989704</v>
      </c>
      <c r="E13" s="74">
        <v>0.73026400847720496</v>
      </c>
      <c r="F13" s="74">
        <v>1.00553557623033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5.1890273110881811E-2</v>
      </c>
      <c r="E15" s="80">
        <f>C11*E13</f>
        <v>4.4220924987306828E-2</v>
      </c>
      <c r="F15" s="81">
        <f>C11*F13</f>
        <v>6.0889914842267287E-2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8.6644365201175855E-3</v>
      </c>
      <c r="E17" s="85">
        <f>C11-F15</f>
        <v>-3.3520521126789021E-4</v>
      </c>
      <c r="F17" s="86">
        <f>C11-E15</f>
        <v>1.6333784643692568E-2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115.41431432709359</v>
      </c>
      <c r="E18" s="90">
        <f>1/F17</f>
        <v>61.222798133692706</v>
      </c>
      <c r="F18" s="91">
        <f>1/E17</f>
        <v>-2983.2471763119975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0.86</v>
      </c>
      <c r="F20" s="95">
        <f>ROUND(D17,4)</f>
        <v>8.6999999999999994E-3</v>
      </c>
      <c r="G20" s="96">
        <f>ROUND(D18,0)</f>
        <v>115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5.1900000000000002E-2</v>
      </c>
      <c r="D21" s="99">
        <f>ROUND(C11,4)</f>
        <v>6.0600000000000001E-2</v>
      </c>
      <c r="E21" s="100">
        <f>ROUND(E13,2)</f>
        <v>0.73</v>
      </c>
      <c r="F21" s="101">
        <f>ROUND(E17,4)</f>
        <v>-2.9999999999999997E-4</v>
      </c>
      <c r="G21" s="102">
        <f>ROUND(E18,0)</f>
        <v>61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1.01</v>
      </c>
      <c r="F22" s="101">
        <f>ROUND(F17,4)</f>
        <v>1.6299999999999999E-2</v>
      </c>
      <c r="G22" s="102">
        <f>ROUND(F18,0)</f>
        <v>-2983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5,19%</v>
      </c>
      <c r="D24" s="104" t="str">
        <f>CONCATENATE(D21*100,B23)</f>
        <v>6,06%</v>
      </c>
      <c r="E24" s="104" t="str">
        <f>CONCATENATE(E20," ",B20,E21,B21,E22,B22)</f>
        <v>0,86 (0,73-1,01)</v>
      </c>
      <c r="F24" s="104" t="str">
        <f>CONCATENATE(F20*100,B23," ",B20,F21*100,B23," ",B24," ",F22*100,B23,B22)</f>
        <v>0,87% (-0,03% a 1,63%)</v>
      </c>
      <c r="G24" s="104" t="str">
        <f>CONCATENATE(G20," ",B20,G21," ",B24," ",G22,B22)</f>
        <v>115 (61 a -2983)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6.0559027589999703E-2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5,19%</v>
      </c>
      <c r="D28" s="115" t="str">
        <f>D24</f>
        <v>6,06%</v>
      </c>
      <c r="E28" s="115" t="str">
        <f>E24</f>
        <v>0,86 (0,73-1,01)</v>
      </c>
      <c r="F28" s="115" t="str">
        <f>F24</f>
        <v>0,87% (-0,03% a 1,63%)</v>
      </c>
      <c r="G28" s="116" t="str">
        <f>G24</f>
        <v>115 (61 a -2983)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260</v>
      </c>
      <c r="B31" s="118" t="str">
        <f>B2</f>
        <v>Hemorragia mayor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8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375 / 6076</v>
      </c>
      <c r="G34" s="130">
        <f>L5</f>
        <v>3.0859117840684663E-2</v>
      </c>
      <c r="H34" s="129" t="str">
        <f>Q5</f>
        <v>397 / 6022</v>
      </c>
      <c r="I34" s="131">
        <f t="shared" ref="I34:J38" si="0">M5</f>
        <v>3.2962470939887079E-2</v>
      </c>
      <c r="J34" s="132">
        <f t="shared" si="0"/>
        <v>70.599999999999994</v>
      </c>
      <c r="K34" s="133">
        <v>0.248301535930461</v>
      </c>
      <c r="L34" s="134" t="s">
        <v>261</v>
      </c>
      <c r="M34" s="135" t="s">
        <v>262</v>
      </c>
      <c r="N34" s="136" t="s">
        <v>263</v>
      </c>
      <c r="O34" s="14" t="s">
        <v>136</v>
      </c>
      <c r="Q34" s="137">
        <v>3</v>
      </c>
      <c r="R34" s="138">
        <f>Q34*K34</f>
        <v>0.74490460779138301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395 / 7111</v>
      </c>
      <c r="G35" s="130">
        <f>L6</f>
        <v>3.5082785010621134E-2</v>
      </c>
      <c r="H35" s="129" t="str">
        <f>Q6</f>
        <v>386 / 7125</v>
      </c>
      <c r="I35" s="130">
        <f t="shared" si="0"/>
        <v>3.4216066481994531E-2</v>
      </c>
      <c r="J35" s="132">
        <f t="shared" si="0"/>
        <v>73</v>
      </c>
      <c r="K35" s="133">
        <v>0.24842731785722599</v>
      </c>
      <c r="L35" s="134" t="s">
        <v>264</v>
      </c>
      <c r="M35" s="135" t="s">
        <v>265</v>
      </c>
      <c r="N35" s="135" t="s">
        <v>266</v>
      </c>
      <c r="O35" s="221" t="s">
        <v>140</v>
      </c>
      <c r="Q35" s="137">
        <v>3.5</v>
      </c>
      <c r="R35" s="138">
        <f>Q35*K35</f>
        <v>0.86949561250029095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327 / 9088</v>
      </c>
      <c r="G36" s="130">
        <f>L7</f>
        <v>1.9626280409731151E-2</v>
      </c>
      <c r="H36" s="129" t="str">
        <f>Q7</f>
        <v>462 / 9052</v>
      </c>
      <c r="I36" s="130">
        <f t="shared" si="0"/>
        <v>2.7839151568714148E-2</v>
      </c>
      <c r="J36" s="132">
        <f t="shared" si="0"/>
        <v>70</v>
      </c>
      <c r="K36" s="133">
        <v>0.246946197795824</v>
      </c>
      <c r="L36" s="134" t="s">
        <v>267</v>
      </c>
      <c r="M36" s="135" t="s">
        <v>268</v>
      </c>
      <c r="N36" s="135" t="s">
        <v>269</v>
      </c>
      <c r="O36" s="221" t="s">
        <v>140</v>
      </c>
      <c r="Q36" s="137">
        <v>3.5</v>
      </c>
      <c r="R36" s="138">
        <f>Q36*K36</f>
        <v>0.86431169228538396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418 / 7012</v>
      </c>
      <c r="G37" s="130">
        <f>L8</f>
        <v>2.2354535082715319E-2</v>
      </c>
      <c r="H37" s="129" t="str">
        <f>Q8</f>
        <v>524 / 7012</v>
      </c>
      <c r="I37" s="130">
        <f t="shared" si="0"/>
        <v>2.8023388476896713E-2</v>
      </c>
      <c r="J37" s="132">
        <f t="shared" si="0"/>
        <v>72</v>
      </c>
      <c r="K37" s="133">
        <v>0.25632494841648901</v>
      </c>
      <c r="L37" s="134" t="s">
        <v>270</v>
      </c>
      <c r="M37" s="135" t="s">
        <v>271</v>
      </c>
      <c r="N37" s="135" t="s">
        <v>272</v>
      </c>
      <c r="O37" s="221" t="s">
        <v>140</v>
      </c>
      <c r="Q37" s="137">
        <v>3.5</v>
      </c>
      <c r="R37" s="138">
        <f>Q37*K37</f>
        <v>0.89713731945771147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233" t="s">
        <v>273</v>
      </c>
      <c r="E38" s="147">
        <f>H9</f>
        <v>2.0067409712012934</v>
      </c>
      <c r="F38" s="148" t="str">
        <f>P9</f>
        <v>1515 / 29287</v>
      </c>
      <c r="G38" s="149">
        <f>L9</f>
        <v>2.5777983220206097E-2</v>
      </c>
      <c r="H38" s="148" t="str">
        <f>Q9</f>
        <v>1769 / 29211</v>
      </c>
      <c r="I38" s="149">
        <f t="shared" si="0"/>
        <v>3.0177799954793024E-2</v>
      </c>
      <c r="J38" s="147">
        <f t="shared" si="0"/>
        <v>71.333631919039959</v>
      </c>
      <c r="K38" s="150">
        <v>1</v>
      </c>
      <c r="L38" s="228" t="s">
        <v>274</v>
      </c>
      <c r="M38" s="152"/>
      <c r="N38" s="153"/>
      <c r="O38" s="154" t="s">
        <v>140</v>
      </c>
      <c r="R38" s="224">
        <f>SUM(R34:R37)</f>
        <v>3.3758492320347697</v>
      </c>
      <c r="S38" s="34"/>
      <c r="T38" s="2"/>
      <c r="U38" s="2"/>
    </row>
    <row r="39" spans="1:256" ht="20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20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3.0177799954793024E-2</v>
      </c>
      <c r="D42" s="173" t="s">
        <v>156</v>
      </c>
      <c r="E42" s="173"/>
      <c r="F42" s="173"/>
      <c r="G42" s="173"/>
      <c r="H42" s="174">
        <f>J38</f>
        <v>71.333631919039959</v>
      </c>
      <c r="I42" s="175" t="s">
        <v>157</v>
      </c>
      <c r="J42" s="176">
        <v>2.58E-2</v>
      </c>
      <c r="K42" s="177">
        <v>3.0200000000000001E-2</v>
      </c>
      <c r="L42" s="229" t="s">
        <v>274</v>
      </c>
      <c r="M42" s="179" t="s">
        <v>275</v>
      </c>
      <c r="N42" s="179" t="s">
        <v>276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6.0559027589999703E-2</v>
      </c>
      <c r="D43" s="183" t="s">
        <v>161</v>
      </c>
      <c r="E43" s="184"/>
      <c r="F43" s="185"/>
      <c r="G43" s="186">
        <f>E38</f>
        <v>2.0067409712012934</v>
      </c>
      <c r="H43" s="183" t="s">
        <v>162</v>
      </c>
      <c r="I43" s="187"/>
      <c r="J43" s="188" t="s">
        <v>277</v>
      </c>
      <c r="K43" s="189" t="s">
        <v>278</v>
      </c>
      <c r="L43" s="230" t="s">
        <v>274</v>
      </c>
      <c r="M43" s="191" t="s">
        <v>279</v>
      </c>
      <c r="N43" s="191" t="s">
        <v>280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281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2.0067409712012934</v>
      </c>
      <c r="K46" s="213">
        <f>J46</f>
        <v>2.0067409712012934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31">
        <f>J42*1000*J46</f>
        <v>51.773917056993369</v>
      </c>
      <c r="K48" s="231">
        <f>K42*1000*K46</f>
        <v>60.603577330279066</v>
      </c>
      <c r="L48" s="232">
        <f>((J48*I9)+(K48*J9))/K9</f>
        <v>56.183037026906874</v>
      </c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paperSize="9" orientation="portrait" horizontalDpi="300" verticalDpi="300"/>
  <ignoredErrors>
    <ignoredError sqref="J43:K43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67"/>
  <sheetViews>
    <sheetView zoomScale="70" zoomScaleNormal="70" workbookViewId="0"/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Infarto de miocardio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70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97</v>
      </c>
      <c r="C5" s="18">
        <v>5979</v>
      </c>
      <c r="D5" s="19">
        <v>6076</v>
      </c>
      <c r="E5" s="17">
        <v>75</v>
      </c>
      <c r="F5" s="18">
        <v>5947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7.9822251481237658E-3</v>
      </c>
      <c r="M5" s="50">
        <f>E5/J5</f>
        <v>6.2271670541348386E-3</v>
      </c>
      <c r="N5" s="51">
        <v>70.599999999999994</v>
      </c>
      <c r="O5" s="52">
        <f>N5*(D5+G5)</f>
        <v>854118.79999999993</v>
      </c>
      <c r="P5" s="53" t="str">
        <f>CONCATENATE(B5," ",$P$4," ",D5)</f>
        <v>97 / 6076</v>
      </c>
      <c r="Q5" s="53" t="str">
        <f>CONCATENATE(E5," ",$Q$4," ",G5)</f>
        <v>75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101</v>
      </c>
      <c r="C6" s="18">
        <v>6960</v>
      </c>
      <c r="D6" s="19">
        <v>7061</v>
      </c>
      <c r="E6" s="17">
        <v>126</v>
      </c>
      <c r="F6" s="18">
        <v>6956</v>
      </c>
      <c r="G6" s="19">
        <v>7082</v>
      </c>
      <c r="H6" s="48">
        <v>1.5833333333333299</v>
      </c>
      <c r="I6" s="49">
        <f>D6*H6</f>
        <v>11179.916666666642</v>
      </c>
      <c r="J6" s="49">
        <f>G6*H6</f>
        <v>11213.166666666642</v>
      </c>
      <c r="K6" s="49">
        <f>I6+J6</f>
        <v>22393.083333333285</v>
      </c>
      <c r="L6" s="50">
        <f>B6/I6</f>
        <v>9.0340566044767971E-3</v>
      </c>
      <c r="M6" s="50">
        <f>E6/J6</f>
        <v>1.1236790083086872E-2</v>
      </c>
      <c r="N6" s="51">
        <v>73</v>
      </c>
      <c r="O6" s="52">
        <f>N6*(D6+G6)</f>
        <v>1032439</v>
      </c>
      <c r="P6" s="53" t="str">
        <f>CONCATENATE(B6," ",$P$4," ",D6)</f>
        <v>101 / 7061</v>
      </c>
      <c r="Q6" s="53" t="str">
        <f>CONCATENATE(E6," ",$Q$4," ",G6)</f>
        <v>126 / 7082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90</v>
      </c>
      <c r="C7" s="18">
        <v>9030</v>
      </c>
      <c r="D7" s="19">
        <v>9120</v>
      </c>
      <c r="E7" s="17">
        <v>102</v>
      </c>
      <c r="F7" s="18">
        <v>8979</v>
      </c>
      <c r="G7" s="19">
        <v>9081</v>
      </c>
      <c r="H7" s="48">
        <v>1.8333333333333299</v>
      </c>
      <c r="I7" s="49">
        <f>D7*H7</f>
        <v>16719.999999999967</v>
      </c>
      <c r="J7" s="49">
        <f>G7*H7</f>
        <v>16648.499999999971</v>
      </c>
      <c r="K7" s="49">
        <f>I7+J7</f>
        <v>33368.499999999942</v>
      </c>
      <c r="L7" s="50">
        <f>B7/I7</f>
        <v>5.3827751196172356E-3</v>
      </c>
      <c r="M7" s="50">
        <f>E7/J7</f>
        <v>6.1266780791062363E-3</v>
      </c>
      <c r="N7" s="51">
        <v>70</v>
      </c>
      <c r="O7" s="52">
        <f>N7*(D7+G7)</f>
        <v>1274070</v>
      </c>
      <c r="P7" s="53" t="str">
        <f>CONCATENATE(B7," ",$P$4," ",D7)</f>
        <v>90 / 9120</v>
      </c>
      <c r="Q7" s="53" t="str">
        <f>CONCATENATE(E7," ",$Q$4," ",G7)</f>
        <v>102 / 9081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133</v>
      </c>
      <c r="C8" s="18">
        <v>6902</v>
      </c>
      <c r="D8" s="19">
        <v>7035</v>
      </c>
      <c r="E8" s="17">
        <v>141</v>
      </c>
      <c r="F8" s="18">
        <v>6895</v>
      </c>
      <c r="G8" s="19">
        <v>7036</v>
      </c>
      <c r="H8" s="48">
        <v>2.6666666666666701</v>
      </c>
      <c r="I8" s="49">
        <f>D8*H8</f>
        <v>18760.000000000025</v>
      </c>
      <c r="J8" s="49">
        <f>G8*H8</f>
        <v>18762.66666666669</v>
      </c>
      <c r="K8" s="49">
        <f>I8+J8</f>
        <v>37522.666666666715</v>
      </c>
      <c r="L8" s="50">
        <f>B8/I8</f>
        <v>7.089552238805961E-3</v>
      </c>
      <c r="M8" s="50">
        <f>E8/J8</f>
        <v>7.5149232518476319E-3</v>
      </c>
      <c r="N8" s="51">
        <v>72</v>
      </c>
      <c r="O8" s="52">
        <f>N8*(D8+G8)</f>
        <v>1013112</v>
      </c>
      <c r="P8" s="53" t="str">
        <f>CONCATENATE(B8," ",$P$4," ",D8)</f>
        <v>133 / 7035</v>
      </c>
      <c r="Q8" s="53" t="str">
        <f>CONCATENATE(E8," ",$Q$4," ",G8)</f>
        <v>141 / 7036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f>COUNT(D5:D8)</f>
        <v>4</v>
      </c>
      <c r="B9" s="55">
        <f>SUM(B5:B8)</f>
        <v>421</v>
      </c>
      <c r="C9" s="56">
        <v>23009</v>
      </c>
      <c r="D9" s="55">
        <f>SUM(D5:D8)</f>
        <v>29292</v>
      </c>
      <c r="E9" s="55">
        <f>SUM(E5:E8)</f>
        <v>444</v>
      </c>
      <c r="F9" s="56">
        <v>28669.98</v>
      </c>
      <c r="G9" s="55">
        <f>SUM(G5:G8)</f>
        <v>29221</v>
      </c>
      <c r="H9" s="57">
        <f>K9/(D9+G9)</f>
        <v>2.0077632321022669</v>
      </c>
      <c r="I9" s="58">
        <f>SUM(I5:I8)</f>
        <v>58811.916666666642</v>
      </c>
      <c r="J9" s="58">
        <f>SUM(J5:J8)</f>
        <v>58668.333333333299</v>
      </c>
      <c r="K9" s="58">
        <f>SUM(K5:K8)</f>
        <v>117480.24999999994</v>
      </c>
      <c r="L9" s="59">
        <f>B9/I9</f>
        <v>7.1584131900706092E-3</v>
      </c>
      <c r="M9" s="59">
        <f>E9/J9</f>
        <v>7.5679668191244607E-3</v>
      </c>
      <c r="N9" s="60">
        <f>O9/(D9+G9)</f>
        <v>71.33012834754669</v>
      </c>
      <c r="O9" s="61">
        <f>SUM(O5:O8)</f>
        <v>4173739.8</v>
      </c>
      <c r="P9" s="62" t="str">
        <f>CONCATENATE(B9," ",$P$4," ",D9)</f>
        <v>421 / 29292</v>
      </c>
      <c r="Q9" s="62" t="str">
        <f>CONCATENATE(E9," ",$Q$4," ",G9)</f>
        <v>444 / 29221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1.5194685521208E-2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7.5679668191244607E-3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2.0077632321022669</v>
      </c>
      <c r="B13" s="72" t="s">
        <v>103</v>
      </c>
      <c r="C13" s="10"/>
      <c r="D13" s="73">
        <v>0.95257118832728604</v>
      </c>
      <c r="E13" s="74">
        <v>0.79185582613702898</v>
      </c>
      <c r="F13" s="74">
        <v>1.1459092930438599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1.4474019643196513E-2</v>
      </c>
      <c r="E15" s="80">
        <f>C11*E13</f>
        <v>1.2032000256288514E-2</v>
      </c>
      <c r="F15" s="81">
        <f>C11*F13</f>
        <v>1.7411731343631234E-2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7.2066587801148697E-4</v>
      </c>
      <c r="E17" s="85">
        <f>C11-F15</f>
        <v>-2.2170458224232345E-3</v>
      </c>
      <c r="F17" s="86">
        <f>C11-E15</f>
        <v>3.1626852649194858E-3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1387.6055888191513</v>
      </c>
      <c r="E18" s="90">
        <f>1/F17</f>
        <v>316.1870107949099</v>
      </c>
      <c r="F18" s="91">
        <f>1/E17</f>
        <v>-451.05066836507621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0.95</v>
      </c>
      <c r="F20" s="95">
        <f>ROUND(D17,4)</f>
        <v>6.9999999999999999E-4</v>
      </c>
      <c r="G20" s="96">
        <f>ROUND(D18,0)</f>
        <v>1388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1.4500000000000001E-2</v>
      </c>
      <c r="D21" s="99">
        <f>ROUND(C11,4)</f>
        <v>1.52E-2</v>
      </c>
      <c r="E21" s="100">
        <f>ROUND(E13,2)</f>
        <v>0.79</v>
      </c>
      <c r="F21" s="101">
        <f>ROUND(E17,4)</f>
        <v>-2.2000000000000001E-3</v>
      </c>
      <c r="G21" s="102">
        <f>ROUND(E18,0)</f>
        <v>316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1.1499999999999999</v>
      </c>
      <c r="F22" s="101">
        <f>ROUND(F17,4)</f>
        <v>3.2000000000000002E-3</v>
      </c>
      <c r="G22" s="102">
        <f>ROUND(F18,0)</f>
        <v>-451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1,45%</v>
      </c>
      <c r="D24" s="104" t="str">
        <f>CONCATENATE(D21*100,B23)</f>
        <v>1,52%</v>
      </c>
      <c r="E24" s="104" t="str">
        <f>CONCATENATE(E20," ",B20,E21,B21,E22,B22)</f>
        <v>0,95 (0,79-1,15)</v>
      </c>
      <c r="F24" s="104" t="str">
        <f>CONCATENATE(F20*100,B23," ",B20,F21*100,B23," ",B24," ",F22*100,B23,B22)</f>
        <v>0,07% (-0,22% a 0,32%)</v>
      </c>
      <c r="G24" s="104" t="str">
        <f>CONCATENATE(G20," ",B20,G21," ",B24," ",G22,B22)</f>
        <v>1388 (316 a -451)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1.519468552120804E-2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1,45%</v>
      </c>
      <c r="D28" s="115" t="str">
        <f>D24</f>
        <v>1,52%</v>
      </c>
      <c r="E28" s="115" t="str">
        <f>E24</f>
        <v>0,95 (0,79-1,15)</v>
      </c>
      <c r="F28" s="115" t="str">
        <f>F24</f>
        <v>0,07% (-0,22% a 0,32%)</v>
      </c>
      <c r="G28" s="116" t="str">
        <f>G24</f>
        <v>1388 (316 a -451)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282</v>
      </c>
      <c r="B31" s="118" t="str">
        <f>B2</f>
        <v>Infarto de miocardio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8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97 / 6076</v>
      </c>
      <c r="G34" s="130">
        <f>L5</f>
        <v>7.9822251481237658E-3</v>
      </c>
      <c r="H34" s="129" t="str">
        <f>Q5</f>
        <v>75 / 6022</v>
      </c>
      <c r="I34" s="131">
        <f t="shared" ref="I34:J38" si="0">M5</f>
        <v>6.2271670541348386E-3</v>
      </c>
      <c r="J34" s="132">
        <f t="shared" si="0"/>
        <v>70.599999999999994</v>
      </c>
      <c r="K34" s="133">
        <v>0.22102483046263099</v>
      </c>
      <c r="L34" s="134" t="s">
        <v>283</v>
      </c>
      <c r="M34" s="135" t="s">
        <v>284</v>
      </c>
      <c r="N34" s="136" t="s">
        <v>285</v>
      </c>
      <c r="O34" s="14" t="s">
        <v>136</v>
      </c>
      <c r="Q34" s="137">
        <v>3</v>
      </c>
      <c r="R34" s="138">
        <f>Q34*K34</f>
        <v>0.66307449138789298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101 / 7061</v>
      </c>
      <c r="G35" s="130">
        <f>L6</f>
        <v>9.0340566044767971E-3</v>
      </c>
      <c r="H35" s="129" t="str">
        <f>Q6</f>
        <v>126 / 7082</v>
      </c>
      <c r="I35" s="130">
        <f t="shared" si="0"/>
        <v>1.1236790083086872E-2</v>
      </c>
      <c r="J35" s="132">
        <f t="shared" si="0"/>
        <v>73</v>
      </c>
      <c r="K35" s="133">
        <v>0.25795330801571698</v>
      </c>
      <c r="L35" s="134" t="s">
        <v>286</v>
      </c>
      <c r="M35" s="135" t="s">
        <v>287</v>
      </c>
      <c r="N35" s="135" t="s">
        <v>288</v>
      </c>
      <c r="O35" s="221" t="s">
        <v>140</v>
      </c>
      <c r="Q35" s="137">
        <v>3.5</v>
      </c>
      <c r="R35" s="138">
        <f>Q35*K35</f>
        <v>0.90283657805500939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90 / 9120</v>
      </c>
      <c r="G36" s="130">
        <f>L7</f>
        <v>5.3827751196172356E-3</v>
      </c>
      <c r="H36" s="129" t="str">
        <f>Q7</f>
        <v>102 / 9081</v>
      </c>
      <c r="I36" s="130">
        <f t="shared" si="0"/>
        <v>6.1266780791062363E-3</v>
      </c>
      <c r="J36" s="132">
        <f t="shared" si="0"/>
        <v>70</v>
      </c>
      <c r="K36" s="133">
        <v>0.23640698156895901</v>
      </c>
      <c r="L36" s="134" t="s">
        <v>289</v>
      </c>
      <c r="M36" s="135" t="s">
        <v>290</v>
      </c>
      <c r="N36" s="135" t="s">
        <v>291</v>
      </c>
      <c r="O36" s="221" t="s">
        <v>140</v>
      </c>
      <c r="Q36" s="137">
        <v>3.5</v>
      </c>
      <c r="R36" s="138">
        <f>Q36*K36</f>
        <v>0.82742443549135647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133 / 7035</v>
      </c>
      <c r="G37" s="130">
        <f>L8</f>
        <v>7.089552238805961E-3</v>
      </c>
      <c r="H37" s="129" t="str">
        <f>Q8</f>
        <v>141 / 7036</v>
      </c>
      <c r="I37" s="130">
        <f t="shared" si="0"/>
        <v>7.5149232518476319E-3</v>
      </c>
      <c r="J37" s="132">
        <f t="shared" si="0"/>
        <v>72</v>
      </c>
      <c r="K37" s="133">
        <v>0.28461487995269302</v>
      </c>
      <c r="L37" s="134" t="s">
        <v>292</v>
      </c>
      <c r="M37" s="135" t="s">
        <v>293</v>
      </c>
      <c r="N37" s="135" t="s">
        <v>294</v>
      </c>
      <c r="O37" s="221" t="s">
        <v>140</v>
      </c>
      <c r="Q37" s="137">
        <v>3.5</v>
      </c>
      <c r="R37" s="138">
        <f>Q37*K37</f>
        <v>0.99615207983442555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622" t="s">
        <v>456</v>
      </c>
      <c r="E38" s="147">
        <f>H9</f>
        <v>2.0077632321022669</v>
      </c>
      <c r="F38" s="148" t="str">
        <f>P9</f>
        <v>421 / 29292</v>
      </c>
      <c r="G38" s="149">
        <f>L9</f>
        <v>7.1584131900706092E-3</v>
      </c>
      <c r="H38" s="148" t="str">
        <f>Q9</f>
        <v>444 / 29221</v>
      </c>
      <c r="I38" s="149">
        <f t="shared" si="0"/>
        <v>7.5679668191244607E-3</v>
      </c>
      <c r="J38" s="147">
        <f t="shared" si="0"/>
        <v>71.33012834754669</v>
      </c>
      <c r="K38" s="150">
        <v>1</v>
      </c>
      <c r="L38" s="228" t="s">
        <v>295</v>
      </c>
      <c r="M38" s="152"/>
      <c r="N38" s="153"/>
      <c r="O38" s="154" t="s">
        <v>140</v>
      </c>
      <c r="R38" s="224">
        <f>SUM(R34:R37)</f>
        <v>3.3894875847686845</v>
      </c>
      <c r="S38" s="34"/>
      <c r="T38" s="2"/>
      <c r="U38" s="2"/>
    </row>
    <row r="39" spans="1:256" ht="20.5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15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7.5679668191244607E-3</v>
      </c>
      <c r="D42" s="173" t="s">
        <v>156</v>
      </c>
      <c r="E42" s="173"/>
      <c r="F42" s="173"/>
      <c r="G42" s="173"/>
      <c r="H42" s="174">
        <f>J38</f>
        <v>71.33012834754669</v>
      </c>
      <c r="I42" s="175" t="s">
        <v>157</v>
      </c>
      <c r="J42" s="176">
        <v>7.1999999999999998E-3</v>
      </c>
      <c r="K42" s="177">
        <v>7.6E-3</v>
      </c>
      <c r="L42" s="229" t="s">
        <v>295</v>
      </c>
      <c r="M42" s="179" t="s">
        <v>296</v>
      </c>
      <c r="N42" s="179" t="s">
        <v>297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1.519468552120804E-2</v>
      </c>
      <c r="D43" s="183" t="s">
        <v>161</v>
      </c>
      <c r="E43" s="184"/>
      <c r="F43" s="185"/>
      <c r="G43" s="186">
        <f>E38</f>
        <v>2.0077632321022669</v>
      </c>
      <c r="H43" s="183" t="s">
        <v>162</v>
      </c>
      <c r="I43" s="187"/>
      <c r="J43" s="188">
        <v>1.4500000000000001E-2</v>
      </c>
      <c r="K43" s="189">
        <v>1.52E-2</v>
      </c>
      <c r="L43" s="230" t="s">
        <v>295</v>
      </c>
      <c r="M43" s="191" t="s">
        <v>298</v>
      </c>
      <c r="N43" s="191" t="s">
        <v>299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300</v>
      </c>
      <c r="M45" s="209"/>
      <c r="N45" s="210"/>
      <c r="O45" s="211"/>
    </row>
    <row r="46" spans="1:256">
      <c r="A46" s="33"/>
      <c r="C46" s="3"/>
      <c r="I46" s="212" t="s">
        <v>170</v>
      </c>
      <c r="J46" s="234">
        <f>G43</f>
        <v>2.0077632321022669</v>
      </c>
      <c r="K46" s="234">
        <f>J46</f>
        <v>2.0077632321022669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31">
        <f>J42*1000*J46</f>
        <v>14.455895271136322</v>
      </c>
      <c r="K48" s="231">
        <f>K42*1000*K46</f>
        <v>15.259000563977228</v>
      </c>
      <c r="L48" s="232">
        <f>((J48*I9)+(K48*J9))/K9</f>
        <v>14.856957143426808</v>
      </c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67"/>
  <sheetViews>
    <sheetView topLeftCell="C1" zoomScale="70" zoomScaleNormal="70" workbookViewId="0">
      <selection activeCell="C1" sqref="C1"/>
    </sheetView>
  </sheetViews>
  <sheetFormatPr baseColWidth="10" defaultColWidth="16" defaultRowHeight="13"/>
  <cols>
    <col min="1" max="1" width="22.6328125" style="3" customWidth="1"/>
    <col min="2" max="2" width="26.54296875" style="33" customWidth="1"/>
    <col min="3" max="3" width="13.6328125" style="33" customWidth="1"/>
    <col min="4" max="4" width="15.1796875" style="3" customWidth="1"/>
    <col min="5" max="5" width="16" style="3"/>
    <col min="6" max="6" width="16.1796875" style="3" customWidth="1"/>
    <col min="7" max="7" width="17.1796875" style="3" customWidth="1"/>
    <col min="8" max="8" width="15.26953125" style="3" customWidth="1"/>
    <col min="9" max="9" width="12.7265625" style="3" customWidth="1"/>
    <col min="10" max="10" width="15.1796875" style="3" customWidth="1"/>
    <col min="11" max="11" width="15.26953125" style="3" customWidth="1"/>
    <col min="12" max="12" width="23.81640625" style="3" customWidth="1"/>
    <col min="13" max="13" width="25.54296875" style="3" customWidth="1"/>
    <col min="14" max="14" width="20.54296875" style="3" customWidth="1"/>
    <col min="15" max="15" width="16.7265625" style="3" customWidth="1"/>
    <col min="16" max="16" width="16" style="3"/>
    <col min="17" max="17" width="12.1796875" style="3" customWidth="1"/>
    <col min="18" max="18" width="4.453125" style="3" customWidth="1"/>
    <col min="19" max="19" width="34.81640625" style="3" customWidth="1"/>
    <col min="20" max="257" width="16" style="3"/>
  </cols>
  <sheetData>
    <row r="1" spans="1:28" ht="14.5">
      <c r="S1" s="34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5" t="s">
        <v>85</v>
      </c>
      <c r="B2" s="36" t="str">
        <f>A4</f>
        <v>Hemorragia intracraneal</v>
      </c>
      <c r="C2" s="37"/>
      <c r="O2" s="38"/>
      <c r="P2" s="39"/>
      <c r="Q2" s="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>
      <c r="A3" s="9" t="s">
        <v>8</v>
      </c>
      <c r="B3" s="630" t="s">
        <v>86</v>
      </c>
      <c r="C3" s="630"/>
      <c r="D3" s="630"/>
      <c r="E3" s="630" t="s">
        <v>87</v>
      </c>
      <c r="F3" s="630"/>
      <c r="G3" s="630"/>
      <c r="H3" s="41" t="s">
        <v>88</v>
      </c>
      <c r="I3" s="630" t="s">
        <v>89</v>
      </c>
      <c r="J3" s="630"/>
      <c r="K3" s="630"/>
      <c r="L3" s="630" t="s">
        <v>90</v>
      </c>
      <c r="M3" s="630"/>
      <c r="N3" s="42" t="s">
        <v>91</v>
      </c>
      <c r="O3" s="39"/>
      <c r="T3" s="2"/>
      <c r="U3" s="2"/>
      <c r="W3" s="2"/>
      <c r="X3" s="2"/>
      <c r="Y3" s="2"/>
      <c r="Z3" s="2"/>
      <c r="AA3" s="2"/>
      <c r="AB3" s="2"/>
    </row>
    <row r="4" spans="1:28" ht="26">
      <c r="A4" s="12" t="s">
        <v>74</v>
      </c>
      <c r="B4" s="13" t="s">
        <v>12</v>
      </c>
      <c r="C4" s="13" t="s">
        <v>13</v>
      </c>
      <c r="D4" s="13" t="s">
        <v>14</v>
      </c>
      <c r="E4" s="13" t="s">
        <v>12</v>
      </c>
      <c r="F4" s="13" t="s">
        <v>13</v>
      </c>
      <c r="G4" s="13" t="s">
        <v>14</v>
      </c>
      <c r="H4" s="43" t="s">
        <v>92</v>
      </c>
      <c r="I4" s="44" t="s">
        <v>93</v>
      </c>
      <c r="J4" s="45" t="s">
        <v>94</v>
      </c>
      <c r="K4" s="44" t="s">
        <v>14</v>
      </c>
      <c r="L4" s="40" t="s">
        <v>93</v>
      </c>
      <c r="M4" s="46" t="s">
        <v>95</v>
      </c>
      <c r="N4" s="47" t="s">
        <v>92</v>
      </c>
      <c r="O4" s="39"/>
      <c r="P4" s="3" t="s">
        <v>96</v>
      </c>
      <c r="Q4" s="3" t="s">
        <v>96</v>
      </c>
      <c r="T4" s="2"/>
      <c r="U4" s="2"/>
      <c r="W4" s="2"/>
      <c r="X4" s="2"/>
      <c r="Y4" s="2"/>
      <c r="Z4" s="2"/>
      <c r="AA4" s="2"/>
      <c r="AB4" s="2"/>
    </row>
    <row r="5" spans="1:28">
      <c r="A5" s="16" t="s">
        <v>31</v>
      </c>
      <c r="B5" s="17">
        <v>36</v>
      </c>
      <c r="C5" s="18">
        <v>6040</v>
      </c>
      <c r="D5" s="19">
        <v>6076</v>
      </c>
      <c r="E5" s="17">
        <v>87</v>
      </c>
      <c r="F5" s="18">
        <v>5935</v>
      </c>
      <c r="G5" s="19">
        <v>6022</v>
      </c>
      <c r="H5" s="48">
        <v>2</v>
      </c>
      <c r="I5" s="49">
        <f>D5*H5</f>
        <v>12152</v>
      </c>
      <c r="J5" s="49">
        <f>G5*H5</f>
        <v>12044</v>
      </c>
      <c r="K5" s="49">
        <f>I5+J5</f>
        <v>24196</v>
      </c>
      <c r="L5" s="50">
        <f>B5/I5</f>
        <v>2.9624753127057276E-3</v>
      </c>
      <c r="M5" s="50">
        <f>E5/J5</f>
        <v>7.2235137827964127E-3</v>
      </c>
      <c r="N5" s="51">
        <v>70.599999999999994</v>
      </c>
      <c r="O5" s="52">
        <f>N5*(D5+G5)</f>
        <v>854118.79999999993</v>
      </c>
      <c r="P5" s="53" t="str">
        <f>CONCATENATE(B5," ",$P$4," ",D5)</f>
        <v>36 / 6076</v>
      </c>
      <c r="Q5" s="53" t="str">
        <f>CONCATENATE(E5," ",$Q$4," ",G5)</f>
        <v>87 / 6022</v>
      </c>
      <c r="T5" s="2"/>
      <c r="U5" s="2"/>
      <c r="W5" s="2"/>
      <c r="X5" s="2"/>
      <c r="Y5" s="2"/>
      <c r="Z5" s="2"/>
      <c r="AA5" s="2"/>
      <c r="AB5" s="2"/>
    </row>
    <row r="6" spans="1:28">
      <c r="A6" s="16" t="s">
        <v>32</v>
      </c>
      <c r="B6" s="17">
        <v>59</v>
      </c>
      <c r="C6" s="18">
        <v>7052</v>
      </c>
      <c r="D6" s="19">
        <v>7111</v>
      </c>
      <c r="E6" s="17">
        <v>84</v>
      </c>
      <c r="F6" s="18">
        <v>7041</v>
      </c>
      <c r="G6" s="19">
        <v>7125</v>
      </c>
      <c r="H6" s="48">
        <v>1.5833333333333299</v>
      </c>
      <c r="I6" s="49">
        <f>D6*H6</f>
        <v>11259.083333333308</v>
      </c>
      <c r="J6" s="49">
        <f>G6*H6</f>
        <v>11281.249999999976</v>
      </c>
      <c r="K6" s="49">
        <f>I6+J6</f>
        <v>22540.333333333285</v>
      </c>
      <c r="L6" s="50">
        <f>B6/I6</f>
        <v>5.2402134572826498E-3</v>
      </c>
      <c r="M6" s="50">
        <f>E6/J6</f>
        <v>7.4459833795014006E-3</v>
      </c>
      <c r="N6" s="51">
        <v>73</v>
      </c>
      <c r="O6" s="52">
        <f>N6*(D6+G6)</f>
        <v>1039228</v>
      </c>
      <c r="P6" s="53" t="str">
        <f>CONCATENATE(B6," ",$P$4," ",D6)</f>
        <v>59 / 7111</v>
      </c>
      <c r="Q6" s="53" t="str">
        <f>CONCATENATE(E6," ",$Q$4," ",G6)</f>
        <v>84 / 7125</v>
      </c>
      <c r="T6" s="2"/>
      <c r="U6" s="2"/>
      <c r="W6" s="2"/>
      <c r="X6" s="2"/>
      <c r="Y6" s="2"/>
      <c r="Z6" s="2"/>
      <c r="AA6" s="2"/>
      <c r="AB6" s="2"/>
    </row>
    <row r="7" spans="1:28">
      <c r="A7" s="16" t="s">
        <v>33</v>
      </c>
      <c r="B7" s="17">
        <v>52</v>
      </c>
      <c r="C7" s="18">
        <v>9036</v>
      </c>
      <c r="D7" s="19">
        <v>9088</v>
      </c>
      <c r="E7" s="17">
        <v>122</v>
      </c>
      <c r="F7" s="18">
        <v>8930</v>
      </c>
      <c r="G7" s="19">
        <v>9052</v>
      </c>
      <c r="H7" s="48">
        <v>1.8333333333333299</v>
      </c>
      <c r="I7" s="49">
        <f>D7*H7</f>
        <v>16661.333333333303</v>
      </c>
      <c r="J7" s="49">
        <f>G7*H7</f>
        <v>16595.333333333303</v>
      </c>
      <c r="K7" s="49">
        <f>I7+J7</f>
        <v>33256.666666666606</v>
      </c>
      <c r="L7" s="50">
        <f>B7/I7</f>
        <v>3.1209987195902748E-3</v>
      </c>
      <c r="M7" s="50">
        <f>E7/J7</f>
        <v>7.3514642670630429E-3</v>
      </c>
      <c r="N7" s="51">
        <v>70</v>
      </c>
      <c r="O7" s="52">
        <f>N7*(D7+G7)</f>
        <v>1269800</v>
      </c>
      <c r="P7" s="53" t="str">
        <f>CONCATENATE(B7," ",$P$4," ",D7)</f>
        <v>52 / 9088</v>
      </c>
      <c r="Q7" s="53" t="str">
        <f>CONCATENATE(E7," ",$Q$4," ",G7)</f>
        <v>122 / 9052</v>
      </c>
      <c r="T7" s="2"/>
      <c r="U7" s="2"/>
      <c r="W7" s="2"/>
      <c r="X7" s="2"/>
      <c r="Y7" s="2"/>
      <c r="Z7" s="2"/>
      <c r="AA7" s="2"/>
      <c r="AB7" s="2"/>
    </row>
    <row r="8" spans="1:28">
      <c r="A8" s="16" t="s">
        <v>34</v>
      </c>
      <c r="B8" s="17">
        <v>61</v>
      </c>
      <c r="C8" s="18">
        <v>6951</v>
      </c>
      <c r="D8" s="19">
        <v>7012</v>
      </c>
      <c r="E8" s="17">
        <v>132</v>
      </c>
      <c r="F8" s="18">
        <v>6880</v>
      </c>
      <c r="G8" s="19">
        <v>7012</v>
      </c>
      <c r="H8" s="48">
        <v>2.6666666666666701</v>
      </c>
      <c r="I8" s="49">
        <f>D8*H8</f>
        <v>18698.66666666669</v>
      </c>
      <c r="J8" s="49">
        <f>G8*H8</f>
        <v>18698.66666666669</v>
      </c>
      <c r="K8" s="49">
        <f>I8+J8</f>
        <v>37397.333333333379</v>
      </c>
      <c r="L8" s="50">
        <f>B8/I8</f>
        <v>3.2622646891043885E-3</v>
      </c>
      <c r="M8" s="50">
        <f>E8/J8</f>
        <v>7.0593268682258899E-3</v>
      </c>
      <c r="N8" s="51">
        <v>72</v>
      </c>
      <c r="O8" s="52">
        <f>N8*(D8+G8)</f>
        <v>1009728</v>
      </c>
      <c r="P8" s="53" t="str">
        <f>CONCATENATE(B8," ",$P$4," ",D8)</f>
        <v>61 / 7012</v>
      </c>
      <c r="Q8" s="53" t="str">
        <f>CONCATENATE(E8," ",$Q$4," ",G8)</f>
        <v>132 / 7012</v>
      </c>
      <c r="T8" s="2"/>
      <c r="U8" s="2"/>
      <c r="W8" s="2"/>
      <c r="X8" s="2"/>
      <c r="Y8" s="2"/>
      <c r="Z8" s="2"/>
      <c r="AA8" s="2"/>
      <c r="AB8" s="2"/>
    </row>
    <row r="9" spans="1:28">
      <c r="A9" s="54">
        <f>COUNT(D5:D8)</f>
        <v>4</v>
      </c>
      <c r="B9" s="55">
        <f>SUM(B5:B8)</f>
        <v>208</v>
      </c>
      <c r="C9" s="56">
        <v>23009</v>
      </c>
      <c r="D9" s="55">
        <f>SUM(D5:D8)</f>
        <v>29287</v>
      </c>
      <c r="E9" s="55">
        <f>SUM(E5:E8)</f>
        <v>425</v>
      </c>
      <c r="F9" s="56">
        <v>28669.98</v>
      </c>
      <c r="G9" s="55">
        <f>SUM(G5:G8)</f>
        <v>29211</v>
      </c>
      <c r="H9" s="57">
        <f>K9/(D9+G9)</f>
        <v>2.0067409712012934</v>
      </c>
      <c r="I9" s="58">
        <f>SUM(I5:I8)</f>
        <v>58771.083333333299</v>
      </c>
      <c r="J9" s="58">
        <f>SUM(J5:J8)</f>
        <v>58619.249999999971</v>
      </c>
      <c r="K9" s="58">
        <f>SUM(K5:K8)</f>
        <v>117390.33333333326</v>
      </c>
      <c r="L9" s="59">
        <f>B9/I9</f>
        <v>3.5391554520150946E-3</v>
      </c>
      <c r="M9" s="59">
        <f>E9/J9</f>
        <v>7.2501780558434335E-3</v>
      </c>
      <c r="N9" s="60">
        <f>O9/(D9+G9)</f>
        <v>71.333631919039959</v>
      </c>
      <c r="O9" s="61">
        <f>SUM(O5:O8)</f>
        <v>4172874.8</v>
      </c>
      <c r="P9" s="62" t="str">
        <f>CONCATENATE(B9," ",$P$4," ",D9)</f>
        <v>208 / 29287</v>
      </c>
      <c r="Q9" s="62" t="str">
        <f>CONCATENATE(E9," ",$Q$4," ",G9)</f>
        <v>425 / 29211</v>
      </c>
      <c r="T9" s="2"/>
      <c r="U9" s="2"/>
      <c r="W9" s="2"/>
      <c r="X9" s="2"/>
      <c r="Y9" s="2"/>
      <c r="Z9" s="2"/>
      <c r="AA9" s="2"/>
      <c r="AB9" s="2"/>
    </row>
    <row r="10" spans="1:28" ht="14.5">
      <c r="B10" s="3"/>
      <c r="C10" s="3"/>
      <c r="E10" s="63"/>
      <c r="F10" s="28"/>
      <c r="S10" s="34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2"/>
      <c r="B11" s="64" t="s">
        <v>97</v>
      </c>
      <c r="C11" s="65">
        <v>1.45481919690078E-2</v>
      </c>
      <c r="D11" s="631" t="s">
        <v>98</v>
      </c>
      <c r="E11" s="631"/>
      <c r="F11" s="631"/>
      <c r="I11" s="66"/>
      <c r="S11" s="34"/>
      <c r="T11" s="2"/>
      <c r="U11" s="2"/>
      <c r="V11" s="2"/>
      <c r="W11" s="2"/>
      <c r="X11" s="2"/>
      <c r="Y11" s="2"/>
      <c r="Z11" s="2"/>
      <c r="AA11" s="2"/>
      <c r="AB11" s="2"/>
    </row>
    <row r="12" spans="1:28" ht="26">
      <c r="A12" s="67">
        <f>I38</f>
        <v>7.2501780558434335E-3</v>
      </c>
      <c r="B12" s="68" t="s">
        <v>99</v>
      </c>
      <c r="C12" s="10"/>
      <c r="D12" s="69" t="s">
        <v>100</v>
      </c>
      <c r="E12" s="70" t="s">
        <v>101</v>
      </c>
      <c r="F12" s="69" t="s">
        <v>102</v>
      </c>
      <c r="S12" s="34"/>
      <c r="T12" s="2"/>
      <c r="U12" s="2"/>
      <c r="V12" s="2"/>
      <c r="W12" s="2"/>
      <c r="X12" s="2"/>
      <c r="Y12" s="2"/>
      <c r="Z12" s="2"/>
      <c r="AA12" s="2"/>
      <c r="AB12" s="2"/>
    </row>
    <row r="13" spans="1:28" ht="14.5">
      <c r="A13" s="71">
        <f>E38</f>
        <v>2.0067409712012934</v>
      </c>
      <c r="B13" s="72" t="s">
        <v>103</v>
      </c>
      <c r="C13" s="10"/>
      <c r="D13" s="73">
        <v>0.48996234973586</v>
      </c>
      <c r="E13" s="74">
        <v>0.38468772705301602</v>
      </c>
      <c r="F13" s="74">
        <v>0.62404946754617197</v>
      </c>
      <c r="G13" s="10"/>
      <c r="O13" s="66"/>
      <c r="P13" s="66"/>
      <c r="S13" s="34"/>
      <c r="T13" s="2"/>
      <c r="U13" s="2"/>
      <c r="V13" s="2"/>
      <c r="W13" s="2"/>
      <c r="X13" s="2"/>
      <c r="Y13" s="2"/>
      <c r="Z13" s="2"/>
      <c r="AA13" s="2"/>
      <c r="AB13" s="2"/>
    </row>
    <row r="14" spans="1:28" ht="14.5" hidden="1">
      <c r="A14" s="75"/>
      <c r="B14" s="76"/>
      <c r="C14" s="2"/>
      <c r="D14" s="2"/>
      <c r="E14" s="2"/>
      <c r="F14" s="2"/>
      <c r="G14" s="2"/>
      <c r="S14" s="34"/>
      <c r="T14" s="2"/>
      <c r="U14" s="2"/>
      <c r="V14" s="2"/>
      <c r="W14" s="2"/>
      <c r="X14" s="2"/>
      <c r="Y14" s="2"/>
      <c r="Z14" s="2"/>
      <c r="AA14" s="2"/>
      <c r="AB14" s="2"/>
    </row>
    <row r="15" spans="1:28" ht="14.5" hidden="1">
      <c r="A15" s="75"/>
      <c r="B15" s="77"/>
      <c r="C15" s="78"/>
      <c r="D15" s="79">
        <f>C11*D13</f>
        <v>7.1280663215434296E-3</v>
      </c>
      <c r="E15" s="80">
        <f>C11*E13</f>
        <v>5.5965109012885523E-3</v>
      </c>
      <c r="F15" s="81">
        <f>C11*F13</f>
        <v>9.0787914520188123E-3</v>
      </c>
      <c r="G15" s="2"/>
      <c r="S15" s="34"/>
      <c r="T15" s="2"/>
      <c r="U15" s="2"/>
      <c r="V15" s="2"/>
      <c r="W15" s="2"/>
      <c r="X15" s="2"/>
      <c r="Y15" s="2"/>
      <c r="Z15" s="2"/>
      <c r="AA15" s="2"/>
      <c r="AB15" s="2"/>
    </row>
    <row r="16" spans="1:28" ht="14.5" hidden="1">
      <c r="A16" s="75"/>
      <c r="B16" s="76"/>
      <c r="C16" s="2"/>
      <c r="D16" s="2"/>
      <c r="E16" s="2"/>
      <c r="F16" s="2"/>
      <c r="G16" s="2"/>
      <c r="S16" s="34"/>
      <c r="T16" s="2"/>
      <c r="U16" s="2"/>
      <c r="V16" s="2"/>
      <c r="W16" s="2"/>
      <c r="X16" s="2"/>
      <c r="Y16" s="2"/>
      <c r="Z16" s="2"/>
      <c r="AA16" s="2"/>
      <c r="AB16" s="2"/>
    </row>
    <row r="17" spans="1:28" ht="14.5" hidden="1">
      <c r="A17" s="75"/>
      <c r="B17" s="82"/>
      <c r="C17" s="83" t="s">
        <v>104</v>
      </c>
      <c r="D17" s="84">
        <f>C11-D15</f>
        <v>7.42012564746437E-3</v>
      </c>
      <c r="E17" s="85">
        <f>C11-F15</f>
        <v>5.4694005169889873E-3</v>
      </c>
      <c r="F17" s="86">
        <f>C11-E15</f>
        <v>8.9516810677192464E-3</v>
      </c>
      <c r="G17" s="2"/>
      <c r="S17" s="34"/>
      <c r="T17" s="2"/>
      <c r="U17" s="2"/>
      <c r="V17" s="2"/>
      <c r="W17" s="2"/>
      <c r="X17" s="2"/>
      <c r="Y17" s="2"/>
      <c r="Z17" s="2"/>
      <c r="AA17" s="2"/>
      <c r="AB17" s="2"/>
    </row>
    <row r="18" spans="1:28" ht="14.5" hidden="1">
      <c r="A18" s="75"/>
      <c r="B18" s="87"/>
      <c r="C18" s="88" t="s">
        <v>105</v>
      </c>
      <c r="D18" s="89">
        <f>1/D17</f>
        <v>134.76860736741344</v>
      </c>
      <c r="E18" s="90">
        <f>1/F17</f>
        <v>111.710861058948</v>
      </c>
      <c r="F18" s="91">
        <f>1/E17</f>
        <v>182.83539428019796</v>
      </c>
      <c r="G18" s="2"/>
      <c r="S18" s="34"/>
      <c r="T18" s="2"/>
      <c r="U18" s="2"/>
      <c r="V18" s="2"/>
      <c r="W18" s="2"/>
      <c r="X18" s="2"/>
      <c r="Y18" s="2"/>
      <c r="Z18" s="2"/>
      <c r="AA18" s="2"/>
      <c r="AB18" s="2"/>
    </row>
    <row r="19" spans="1:28" ht="14.5" hidden="1">
      <c r="A19" s="75"/>
      <c r="B19" s="76"/>
      <c r="C19" s="10"/>
      <c r="D19" s="10"/>
      <c r="E19" s="10"/>
      <c r="F19" s="10"/>
      <c r="G19" s="2"/>
      <c r="S19" s="34"/>
      <c r="T19" s="2"/>
      <c r="U19" s="2"/>
      <c r="V19" s="2"/>
      <c r="W19" s="2"/>
      <c r="X19" s="2"/>
      <c r="Y19" s="2"/>
      <c r="Z19" s="2"/>
      <c r="AA19" s="2"/>
      <c r="AB19" s="2"/>
    </row>
    <row r="20" spans="1:28" ht="14.5" hidden="1">
      <c r="A20" s="75"/>
      <c r="B20" s="92" t="s">
        <v>106</v>
      </c>
      <c r="C20" s="93"/>
      <c r="D20" s="93"/>
      <c r="E20" s="94">
        <f>ROUND(D13,2)</f>
        <v>0.49</v>
      </c>
      <c r="F20" s="95">
        <f>ROUND(D17,4)</f>
        <v>7.4000000000000003E-3</v>
      </c>
      <c r="G20" s="96">
        <f>ROUND(D18,0)</f>
        <v>135</v>
      </c>
      <c r="S20" s="34"/>
      <c r="T20" s="2"/>
      <c r="U20" s="2"/>
      <c r="V20" s="2"/>
      <c r="W20" s="2"/>
      <c r="X20" s="2"/>
      <c r="Y20" s="2"/>
      <c r="Z20" s="2"/>
      <c r="AA20" s="2"/>
      <c r="AB20" s="2"/>
    </row>
    <row r="21" spans="1:28" ht="14.5" hidden="1">
      <c r="A21" s="75"/>
      <c r="B21" s="97" t="s">
        <v>107</v>
      </c>
      <c r="C21" s="98">
        <f>ROUND(D15,4)</f>
        <v>7.1000000000000004E-3</v>
      </c>
      <c r="D21" s="99">
        <f>ROUND(C11,4)</f>
        <v>1.4500000000000001E-2</v>
      </c>
      <c r="E21" s="100">
        <f>ROUND(E13,2)</f>
        <v>0.38</v>
      </c>
      <c r="F21" s="101">
        <f>ROUND(E17,4)</f>
        <v>5.4999999999999997E-3</v>
      </c>
      <c r="G21" s="102">
        <f>ROUND(E18,0)</f>
        <v>112</v>
      </c>
      <c r="S21" s="34"/>
      <c r="T21" s="2"/>
      <c r="U21" s="2"/>
      <c r="V21" s="2"/>
      <c r="W21" s="2"/>
      <c r="X21" s="2"/>
      <c r="Y21" s="2"/>
      <c r="Z21" s="2"/>
      <c r="AA21" s="2"/>
      <c r="AB21" s="2"/>
    </row>
    <row r="22" spans="1:28" ht="14.5" hidden="1">
      <c r="A22" s="75"/>
      <c r="B22" s="97" t="s">
        <v>108</v>
      </c>
      <c r="C22" s="103"/>
      <c r="D22" s="103"/>
      <c r="E22" s="100">
        <f>ROUND(F13,2)</f>
        <v>0.62</v>
      </c>
      <c r="F22" s="101">
        <f>ROUND(F17,4)</f>
        <v>8.9999999999999993E-3</v>
      </c>
      <c r="G22" s="102">
        <f>ROUND(F18,0)</f>
        <v>183</v>
      </c>
      <c r="S22" s="34"/>
      <c r="T22" s="2"/>
      <c r="U22" s="2"/>
      <c r="V22" s="2"/>
      <c r="W22" s="2"/>
      <c r="X22" s="2"/>
      <c r="Y22" s="2"/>
      <c r="Z22" s="2"/>
      <c r="AA22" s="2"/>
      <c r="AB22" s="2"/>
    </row>
    <row r="23" spans="1:28" ht="14.5" hidden="1">
      <c r="A23" s="75"/>
      <c r="B23" s="97" t="s">
        <v>109</v>
      </c>
      <c r="C23" s="104" t="s">
        <v>110</v>
      </c>
      <c r="D23" s="104" t="s">
        <v>111</v>
      </c>
      <c r="E23" s="105" t="s">
        <v>112</v>
      </c>
      <c r="F23" s="105" t="s">
        <v>113</v>
      </c>
      <c r="G23" s="104" t="s">
        <v>105</v>
      </c>
      <c r="S23" s="34"/>
      <c r="T23" s="2"/>
      <c r="U23" s="2"/>
      <c r="V23" s="2"/>
      <c r="W23" s="2"/>
      <c r="X23" s="2"/>
      <c r="Y23" s="2"/>
      <c r="Z23" s="2"/>
      <c r="AA23" s="2"/>
      <c r="AB23" s="2"/>
    </row>
    <row r="24" spans="1:28" ht="14.5" hidden="1">
      <c r="A24" s="75"/>
      <c r="B24" s="106" t="s">
        <v>114</v>
      </c>
      <c r="C24" s="104" t="str">
        <f>CONCATENATE(C21*100,B23)</f>
        <v>0,71%</v>
      </c>
      <c r="D24" s="104" t="str">
        <f>CONCATENATE(D21*100,B23)</f>
        <v>1,45%</v>
      </c>
      <c r="E24" s="104" t="str">
        <f>CONCATENATE(E20," ",B20,E21,B21,E22,B22)</f>
        <v>0,49 (0,38-0,62)</v>
      </c>
      <c r="F24" s="104" t="str">
        <f>CONCATENATE(F20*100,B23," ",B20,F21*100,B23," ",B24," ",F22*100,B23,B22)</f>
        <v>0,74% (0,55% a 0,9%)</v>
      </c>
      <c r="G24" s="104" t="str">
        <f>CONCATENATE(G20," ",B20,G21," ",B24," ",G22,B22)</f>
        <v>135 (112 a 183)</v>
      </c>
      <c r="S24" s="34"/>
      <c r="T24" s="2"/>
      <c r="U24" s="2"/>
      <c r="V24" s="2"/>
      <c r="W24" s="2"/>
      <c r="X24" s="2"/>
      <c r="Y24" s="2"/>
      <c r="Z24" s="2"/>
      <c r="AA24" s="2"/>
      <c r="AB24" s="2"/>
    </row>
    <row r="25" spans="1:28" ht="14.5" hidden="1">
      <c r="A25" s="107"/>
      <c r="B25" s="29"/>
      <c r="C25" s="30"/>
      <c r="D25" s="30"/>
      <c r="E25" s="30"/>
      <c r="F25" s="30"/>
      <c r="G25" s="30"/>
      <c r="S25" s="34"/>
      <c r="T25" s="2"/>
      <c r="U25" s="2"/>
      <c r="V25" s="2"/>
      <c r="W25" s="2"/>
      <c r="X25" s="2"/>
      <c r="Y25" s="2"/>
      <c r="Z25" s="2"/>
      <c r="AA25" s="2"/>
      <c r="AB25" s="2"/>
    </row>
    <row r="26" spans="1:28" ht="14.5">
      <c r="A26" s="67">
        <f>A12*A13</f>
        <v>1.4549229353165556E-2</v>
      </c>
      <c r="B26" s="68" t="s">
        <v>115</v>
      </c>
      <c r="C26" s="2"/>
      <c r="D26" s="2"/>
      <c r="E26" s="2"/>
      <c r="F26" s="2"/>
      <c r="G26" s="2"/>
      <c r="S26" s="34"/>
      <c r="T26" s="2"/>
      <c r="U26" s="2"/>
      <c r="V26" s="2"/>
      <c r="W26" s="2"/>
      <c r="X26" s="2"/>
      <c r="Y26" s="2"/>
      <c r="Z26" s="2"/>
      <c r="AA26" s="2"/>
      <c r="AB26" s="2"/>
    </row>
    <row r="27" spans="1:28" ht="14.5">
      <c r="A27" s="108"/>
      <c r="B27" s="2"/>
      <c r="C27" s="109" t="s">
        <v>116</v>
      </c>
      <c r="D27" s="110" t="s">
        <v>111</v>
      </c>
      <c r="E27" s="110" t="s">
        <v>112</v>
      </c>
      <c r="F27" s="110" t="s">
        <v>104</v>
      </c>
      <c r="G27" s="111" t="s">
        <v>105</v>
      </c>
      <c r="S27" s="34"/>
      <c r="T27" s="2"/>
      <c r="U27" s="2"/>
      <c r="V27" s="2"/>
      <c r="W27" s="2"/>
      <c r="X27" s="2"/>
      <c r="Y27" s="2"/>
      <c r="Z27" s="2"/>
      <c r="AA27" s="2"/>
      <c r="AB27" s="2"/>
    </row>
    <row r="28" spans="1:28" ht="26">
      <c r="A28" s="112"/>
      <c r="B28" s="113"/>
      <c r="C28" s="114" t="str">
        <f>C24</f>
        <v>0,71%</v>
      </c>
      <c r="D28" s="115" t="str">
        <f>D24</f>
        <v>1,45%</v>
      </c>
      <c r="E28" s="115" t="str">
        <f>E24</f>
        <v>0,49 (0,38-0,62)</v>
      </c>
      <c r="F28" s="115" t="str">
        <f>F24</f>
        <v>0,74% (0,55% a 0,9%)</v>
      </c>
      <c r="G28" s="116" t="str">
        <f>G24</f>
        <v>135 (112 a 183)</v>
      </c>
      <c r="S28" s="34"/>
      <c r="T28" s="2"/>
      <c r="U28" s="2"/>
      <c r="V28" s="2"/>
      <c r="W28" s="2"/>
      <c r="X28" s="2"/>
      <c r="Y28" s="2"/>
      <c r="Z28" s="2"/>
      <c r="AA28" s="2"/>
      <c r="AB28" s="2"/>
    </row>
    <row r="29" spans="1:28" ht="14.5">
      <c r="B29" s="3"/>
      <c r="C29" s="3"/>
      <c r="E29" s="63"/>
      <c r="F29" s="28"/>
      <c r="S29" s="34"/>
      <c r="T29" s="2"/>
      <c r="U29" s="2"/>
      <c r="V29" s="2"/>
      <c r="W29" s="2"/>
      <c r="X29" s="2"/>
      <c r="Y29" s="2"/>
      <c r="Z29" s="2"/>
      <c r="AA29" s="2"/>
      <c r="AB29" s="2"/>
    </row>
    <row r="30" spans="1:28" ht="14.5">
      <c r="D30" s="63"/>
      <c r="E30" s="63"/>
      <c r="S30" s="34"/>
      <c r="T30" s="2"/>
      <c r="U30" s="2"/>
      <c r="V30" s="2"/>
      <c r="W30" s="2"/>
      <c r="X30" s="2"/>
      <c r="Y30" s="2"/>
      <c r="Z30" s="2"/>
      <c r="AA30" s="2"/>
      <c r="AB30" s="2"/>
    </row>
    <row r="31" spans="1:28" ht="22.5" customHeight="1">
      <c r="A31" s="117" t="s">
        <v>301</v>
      </c>
      <c r="B31" s="118" t="str">
        <f>B2</f>
        <v>Hemorragia intracraneal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S31" s="34"/>
      <c r="T31" s="2"/>
      <c r="U31" s="2"/>
    </row>
    <row r="32" spans="1:28" ht="36" customHeight="1">
      <c r="A32" s="636" t="s">
        <v>118</v>
      </c>
      <c r="B32" s="633" t="s">
        <v>119</v>
      </c>
      <c r="C32" s="637" t="s">
        <v>120</v>
      </c>
      <c r="D32" s="636" t="s">
        <v>121</v>
      </c>
      <c r="E32" s="633" t="s">
        <v>122</v>
      </c>
      <c r="F32" s="633" t="s">
        <v>123</v>
      </c>
      <c r="G32" s="633" t="s">
        <v>124</v>
      </c>
      <c r="H32" s="633" t="s">
        <v>125</v>
      </c>
      <c r="I32" s="633" t="s">
        <v>126</v>
      </c>
      <c r="J32" s="633" t="s">
        <v>127</v>
      </c>
      <c r="K32" s="632" t="s">
        <v>128</v>
      </c>
      <c r="L32" s="633" t="s">
        <v>129</v>
      </c>
      <c r="M32" s="633"/>
      <c r="N32" s="633"/>
      <c r="O32" s="633"/>
      <c r="S32" s="34"/>
      <c r="T32" s="2"/>
      <c r="U32" s="2"/>
    </row>
    <row r="33" spans="1:256" ht="43.5" customHeight="1">
      <c r="A33" s="636"/>
      <c r="B33" s="633"/>
      <c r="C33" s="637"/>
      <c r="D33" s="636"/>
      <c r="E33" s="633"/>
      <c r="F33" s="633"/>
      <c r="G33" s="633"/>
      <c r="H33" s="633"/>
      <c r="I33" s="633"/>
      <c r="J33" s="633"/>
      <c r="K33" s="632"/>
      <c r="L33" s="121" t="s">
        <v>130</v>
      </c>
      <c r="M33" s="122" t="s">
        <v>104</v>
      </c>
      <c r="N33" s="122" t="s">
        <v>105</v>
      </c>
      <c r="O33" s="220" t="s">
        <v>131</v>
      </c>
      <c r="S33" s="34"/>
      <c r="T33" s="2"/>
      <c r="U33" s="2"/>
    </row>
    <row r="34" spans="1:256" ht="40" customHeight="1">
      <c r="A34" s="124">
        <v>9</v>
      </c>
      <c r="B34" s="125" t="str">
        <f>A5</f>
        <v>20090917-ECA RELY 24m, FA Chads 2,2 [Dabig vs Warf TRT 64]</v>
      </c>
      <c r="C34" s="126" t="s">
        <v>132</v>
      </c>
      <c r="D34" s="127"/>
      <c r="E34" s="128">
        <f>H5</f>
        <v>2</v>
      </c>
      <c r="F34" s="129" t="str">
        <f>P5</f>
        <v>36 / 6076</v>
      </c>
      <c r="G34" s="130">
        <f>L5</f>
        <v>2.9624753127057276E-3</v>
      </c>
      <c r="H34" s="129" t="str">
        <f>Q5</f>
        <v>87 / 6022</v>
      </c>
      <c r="I34" s="235">
        <f t="shared" ref="I34:J38" si="0">M5</f>
        <v>7.2235137827964127E-3</v>
      </c>
      <c r="J34" s="132">
        <f t="shared" si="0"/>
        <v>70.599999999999994</v>
      </c>
      <c r="K34" s="133">
        <v>0.21526722953038699</v>
      </c>
      <c r="L34" s="134" t="s">
        <v>302</v>
      </c>
      <c r="M34" s="135" t="s">
        <v>303</v>
      </c>
      <c r="N34" s="136" t="s">
        <v>304</v>
      </c>
      <c r="O34" s="14" t="s">
        <v>136</v>
      </c>
      <c r="Q34" s="137">
        <v>3</v>
      </c>
      <c r="R34" s="138">
        <f>Q34*K34</f>
        <v>0.64580168859116094</v>
      </c>
      <c r="S34" s="34"/>
      <c r="T34" s="2"/>
      <c r="U34" s="2"/>
    </row>
    <row r="35" spans="1:256" ht="40" customHeight="1">
      <c r="A35" s="139"/>
      <c r="B35" s="125" t="str">
        <f>A6</f>
        <v>20110908-ECA ROCKET 19m, FA Chads 3,5 [Riva vs Warf TRT 55]</v>
      </c>
      <c r="C35" s="126" t="s">
        <v>132</v>
      </c>
      <c r="D35" s="127"/>
      <c r="E35" s="128">
        <f>H6</f>
        <v>1.5833333333333299</v>
      </c>
      <c r="F35" s="129" t="str">
        <f>P6</f>
        <v>59 / 7111</v>
      </c>
      <c r="G35" s="130">
        <f>L6</f>
        <v>5.2402134572826498E-3</v>
      </c>
      <c r="H35" s="129" t="str">
        <f>Q6</f>
        <v>84 / 7125</v>
      </c>
      <c r="I35" s="235">
        <f t="shared" si="0"/>
        <v>7.4459833795014006E-3</v>
      </c>
      <c r="J35" s="132">
        <f t="shared" si="0"/>
        <v>73</v>
      </c>
      <c r="K35" s="133">
        <v>0.25222607791677498</v>
      </c>
      <c r="L35" s="134" t="s">
        <v>305</v>
      </c>
      <c r="M35" s="135" t="s">
        <v>306</v>
      </c>
      <c r="N35" s="135" t="s">
        <v>307</v>
      </c>
      <c r="O35" s="221" t="s">
        <v>140</v>
      </c>
      <c r="Q35" s="137">
        <v>3.5</v>
      </c>
      <c r="R35" s="138">
        <f>Q35*K35</f>
        <v>0.88279127270871238</v>
      </c>
      <c r="S35" s="34"/>
      <c r="T35" s="2"/>
      <c r="U35" s="2"/>
    </row>
    <row r="36" spans="1:256" ht="40" customHeight="1">
      <c r="A36" s="139"/>
      <c r="B36" s="125" t="str">
        <f>A7</f>
        <v>20110915-ECA ARISTOTLE 22m, AF Chads 2,1 [Apix vs Warf TRT 62]</v>
      </c>
      <c r="C36" s="126" t="s">
        <v>132</v>
      </c>
      <c r="D36" s="127"/>
      <c r="E36" s="128">
        <f>H7</f>
        <v>1.8333333333333299</v>
      </c>
      <c r="F36" s="129" t="str">
        <f>P7</f>
        <v>52 / 9088</v>
      </c>
      <c r="G36" s="130">
        <f>L7</f>
        <v>3.1209987195902748E-3</v>
      </c>
      <c r="H36" s="129" t="str">
        <f>Q7</f>
        <v>122 / 9052</v>
      </c>
      <c r="I36" s="235">
        <f t="shared" si="0"/>
        <v>7.3514642670630429E-3</v>
      </c>
      <c r="J36" s="132">
        <f t="shared" si="0"/>
        <v>70</v>
      </c>
      <c r="K36" s="133">
        <v>0.25806305993613099</v>
      </c>
      <c r="L36" s="134" t="s">
        <v>308</v>
      </c>
      <c r="M36" s="135" t="s">
        <v>309</v>
      </c>
      <c r="N36" s="135" t="s">
        <v>310</v>
      </c>
      <c r="O36" s="221" t="s">
        <v>140</v>
      </c>
      <c r="Q36" s="137">
        <v>3.5</v>
      </c>
      <c r="R36" s="138">
        <f>Q36*K36</f>
        <v>0.90322070977645841</v>
      </c>
      <c r="S36" s="34"/>
      <c r="T36" s="2"/>
      <c r="U36" s="2"/>
    </row>
    <row r="37" spans="1:256" ht="40" customHeight="1">
      <c r="A37" s="139"/>
      <c r="B37" s="125" t="str">
        <f>A8</f>
        <v>20131119-ECA ENGAGE 32m, FA Chads 2,8 [Edox vs Warf TRT 65]</v>
      </c>
      <c r="C37" s="126" t="s">
        <v>132</v>
      </c>
      <c r="D37" s="127"/>
      <c r="E37" s="128">
        <f>H8</f>
        <v>2.6666666666666701</v>
      </c>
      <c r="F37" s="129" t="str">
        <f>P8</f>
        <v>61 / 7012</v>
      </c>
      <c r="G37" s="130">
        <f>L8</f>
        <v>3.2622646891043885E-3</v>
      </c>
      <c r="H37" s="129" t="str">
        <f>Q8</f>
        <v>132 / 7012</v>
      </c>
      <c r="I37" s="235">
        <f t="shared" si="0"/>
        <v>7.0593268682258899E-3</v>
      </c>
      <c r="J37" s="132">
        <f t="shared" si="0"/>
        <v>72</v>
      </c>
      <c r="K37" s="133">
        <v>0.27444363261670701</v>
      </c>
      <c r="L37" s="134" t="s">
        <v>311</v>
      </c>
      <c r="M37" s="135" t="s">
        <v>312</v>
      </c>
      <c r="N37" s="135" t="s">
        <v>313</v>
      </c>
      <c r="O37" s="221" t="s">
        <v>140</v>
      </c>
      <c r="Q37" s="137">
        <v>3.5</v>
      </c>
      <c r="R37" s="138">
        <f>Q37*K37</f>
        <v>0.96055271415847454</v>
      </c>
      <c r="S37" s="34"/>
      <c r="T37" s="2"/>
      <c r="U37" s="2"/>
    </row>
    <row r="38" spans="1:256" ht="21">
      <c r="A38" s="143" t="s">
        <v>147</v>
      </c>
      <c r="B38" s="144">
        <f>COUNT(E34:E37)</f>
        <v>4</v>
      </c>
      <c r="C38" s="145"/>
      <c r="D38" s="222" t="s">
        <v>314</v>
      </c>
      <c r="E38" s="147">
        <f>H9</f>
        <v>2.0067409712012934</v>
      </c>
      <c r="F38" s="148" t="str">
        <f>P9</f>
        <v>208 / 29287</v>
      </c>
      <c r="G38" s="149">
        <f>L9</f>
        <v>3.5391554520150946E-3</v>
      </c>
      <c r="H38" s="148" t="str">
        <f>Q9</f>
        <v>425 / 29211</v>
      </c>
      <c r="I38" s="149">
        <f t="shared" si="0"/>
        <v>7.2501780558434335E-3</v>
      </c>
      <c r="J38" s="147">
        <f t="shared" si="0"/>
        <v>71.333631919039959</v>
      </c>
      <c r="K38" s="150">
        <v>1</v>
      </c>
      <c r="L38" s="151" t="s">
        <v>315</v>
      </c>
      <c r="M38" s="152"/>
      <c r="N38" s="153"/>
      <c r="O38" s="154" t="s">
        <v>140</v>
      </c>
      <c r="R38" s="224">
        <f>SUM(R34:R37)</f>
        <v>3.3923663852348058</v>
      </c>
      <c r="S38" s="34"/>
      <c r="T38" s="2"/>
      <c r="U38" s="2"/>
    </row>
    <row r="39" spans="1:256" ht="19.5" customHeight="1">
      <c r="A39" s="156"/>
      <c r="B39" s="156"/>
      <c r="C39" s="157"/>
      <c r="D39" s="621" t="s">
        <v>457</v>
      </c>
      <c r="E39" s="159"/>
      <c r="F39" s="156"/>
      <c r="G39" s="160"/>
      <c r="H39" s="156"/>
      <c r="I39" s="161"/>
      <c r="J39" s="162"/>
      <c r="K39" s="163"/>
      <c r="L39" s="152"/>
      <c r="M39" s="153"/>
      <c r="N39" s="67" t="s">
        <v>150</v>
      </c>
      <c r="O39" s="165" t="s">
        <v>136</v>
      </c>
    </row>
    <row r="40" spans="1:256" ht="19.5" customHeight="1">
      <c r="A40" s="156"/>
      <c r="B40" s="156"/>
      <c r="C40" s="157"/>
      <c r="D40" s="158"/>
      <c r="E40" s="159"/>
      <c r="F40" s="156"/>
      <c r="G40" s="160"/>
      <c r="H40" s="156"/>
      <c r="I40" s="161"/>
      <c r="J40" s="162"/>
      <c r="K40" s="163"/>
      <c r="L40" s="152"/>
      <c r="M40" s="153"/>
      <c r="N40" s="153"/>
      <c r="O40" s="67"/>
      <c r="P40" s="166"/>
    </row>
    <row r="41" spans="1:256" ht="46.5">
      <c r="A41" s="157"/>
      <c r="B41" s="634" t="s">
        <v>151</v>
      </c>
      <c r="C41" s="634"/>
      <c r="D41" s="634"/>
      <c r="E41" s="634"/>
      <c r="F41" s="634"/>
      <c r="G41" s="634"/>
      <c r="H41" s="634"/>
      <c r="I41" s="634"/>
      <c r="J41" s="167" t="s">
        <v>152</v>
      </c>
      <c r="K41" s="168" t="s">
        <v>153</v>
      </c>
      <c r="L41" s="169" t="s">
        <v>130</v>
      </c>
      <c r="M41" s="169" t="s">
        <v>104</v>
      </c>
      <c r="N41" s="225" t="s">
        <v>105</v>
      </c>
      <c r="O41" s="1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3" customHeight="1">
      <c r="A42" s="635" t="s">
        <v>154</v>
      </c>
      <c r="B42" s="171" t="s">
        <v>155</v>
      </c>
      <c r="C42" s="172">
        <f>I38</f>
        <v>7.2501780558434335E-3</v>
      </c>
      <c r="D42" s="173" t="s">
        <v>156</v>
      </c>
      <c r="E42" s="173"/>
      <c r="F42" s="173"/>
      <c r="G42" s="173"/>
      <c r="H42" s="174">
        <f>J38</f>
        <v>71.333631919039959</v>
      </c>
      <c r="I42" s="175" t="s">
        <v>157</v>
      </c>
      <c r="J42" s="176" t="s">
        <v>316</v>
      </c>
      <c r="K42" s="177" t="s">
        <v>317</v>
      </c>
      <c r="L42" s="178" t="s">
        <v>315</v>
      </c>
      <c r="M42" s="179" t="s">
        <v>318</v>
      </c>
      <c r="N42" s="179" t="s">
        <v>319</v>
      </c>
      <c r="O42" s="180" t="s">
        <v>160</v>
      </c>
    </row>
    <row r="43" spans="1:256" ht="23" customHeight="1">
      <c r="A43" s="635"/>
      <c r="B43" s="181" t="s">
        <v>155</v>
      </c>
      <c r="C43" s="182">
        <f>I38*E38</f>
        <v>1.4549229353165556E-2</v>
      </c>
      <c r="D43" s="183" t="s">
        <v>161</v>
      </c>
      <c r="E43" s="184"/>
      <c r="F43" s="185"/>
      <c r="G43" s="186">
        <f>E38</f>
        <v>2.0067409712012934</v>
      </c>
      <c r="H43" s="183" t="s">
        <v>162</v>
      </c>
      <c r="I43" s="187"/>
      <c r="J43" s="188">
        <v>7.1000000000000004E-3</v>
      </c>
      <c r="K43" s="189">
        <v>1.4500000000000001E-2</v>
      </c>
      <c r="L43" s="190" t="s">
        <v>315</v>
      </c>
      <c r="M43" s="191" t="s">
        <v>320</v>
      </c>
      <c r="N43" s="191" t="s">
        <v>321</v>
      </c>
      <c r="O43" s="192" t="s">
        <v>167</v>
      </c>
    </row>
    <row r="44" spans="1:256" ht="18.5">
      <c r="A44" s="193"/>
      <c r="B44" s="194"/>
      <c r="C44" s="195"/>
      <c r="D44" s="196"/>
      <c r="E44" s="197"/>
      <c r="F44" s="198"/>
      <c r="G44" s="199"/>
      <c r="H44" s="196"/>
      <c r="I44" s="198"/>
      <c r="J44" s="200"/>
      <c r="K44" s="200"/>
      <c r="L44" s="201"/>
      <c r="M44" s="202"/>
      <c r="N44" s="202"/>
      <c r="O44" s="203"/>
    </row>
    <row r="45" spans="1:256" ht="18.5">
      <c r="A45" s="204"/>
      <c r="B45" s="204"/>
      <c r="C45" s="163"/>
      <c r="D45" s="163"/>
      <c r="E45" s="163"/>
      <c r="F45" s="163"/>
      <c r="G45" s="163"/>
      <c r="H45" s="163"/>
      <c r="I45" s="205"/>
      <c r="J45" s="206"/>
      <c r="K45" s="207" t="s">
        <v>168</v>
      </c>
      <c r="L45" s="208" t="s">
        <v>322</v>
      </c>
      <c r="M45" s="209"/>
      <c r="N45" s="210"/>
      <c r="O45" s="211"/>
    </row>
    <row r="46" spans="1:256">
      <c r="A46" s="33"/>
      <c r="C46" s="3"/>
      <c r="I46" s="212" t="s">
        <v>170</v>
      </c>
      <c r="J46" s="213">
        <f>G43</f>
        <v>2.0067409712012934</v>
      </c>
      <c r="K46" s="213">
        <f>J46</f>
        <v>2.0067409712012934</v>
      </c>
    </row>
    <row r="47" spans="1:256">
      <c r="A47" s="33"/>
      <c r="C47" s="3"/>
      <c r="I47" s="11"/>
      <c r="J47" s="214" t="s">
        <v>93</v>
      </c>
      <c r="K47" s="214" t="s">
        <v>94</v>
      </c>
      <c r="L47" s="214" t="s">
        <v>171</v>
      </c>
    </row>
    <row r="48" spans="1:256" ht="17">
      <c r="I48" s="215" t="s">
        <v>172</v>
      </c>
      <c r="J48" s="216">
        <f>J42*1000*J46</f>
        <v>7.0235933992045272</v>
      </c>
      <c r="K48" s="217">
        <f>K42*1000*K46</f>
        <v>14.448534992649313</v>
      </c>
      <c r="L48" s="218"/>
      <c r="M48" s="219"/>
      <c r="N48" s="219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9">
    <mergeCell ref="K32:K33"/>
    <mergeCell ref="L32:O32"/>
    <mergeCell ref="B41:I41"/>
    <mergeCell ref="A42:A4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511811023622047" footer="0.511811023622047"/>
  <pageSetup orientation="portrait" horizontalDpi="300" verticalDpi="300"/>
  <ignoredErrors>
    <ignoredError sqref="J42:K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 todas variables</vt:lpstr>
      <vt:lpstr>Mort</vt:lpstr>
      <vt:lpstr>Ict</vt:lpstr>
      <vt:lpstr>IctHem</vt:lpstr>
      <vt:lpstr>IctIsq</vt:lpstr>
      <vt:lpstr>EmbSi</vt:lpstr>
      <vt:lpstr>HemM</vt:lpstr>
      <vt:lpstr>IAM</vt:lpstr>
      <vt:lpstr>HemIntcr</vt:lpstr>
      <vt:lpstr>Comodín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modified xsi:type="dcterms:W3CDTF">2022-06-16T11:27:53Z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2009-05-28T16:19:22Z</dcterms:created>
  <dc:creator>gasanchez</dc:creator>
  <dc:description/>
  <dc:language>en-US</dc:language>
  <cp:lastModifiedBy>Galo Agustín Sánchez Robles</cp:lastModifiedBy>
  <cp:lastPrinted>2014-05-23T12:57:58Z</cp:lastPrinted>
  <dcterms:modified xsi:type="dcterms:W3CDTF">2022-05-10T17:25:01Z</dcterms:modified>
  <cp:revision>0</cp:revision>
  <dc:subject/>
  <dc:title/>
</cp:coreProperties>
</file>