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oa\Desktop\20220603-PEACE 1\"/>
    </mc:Choice>
  </mc:AlternateContent>
  <xr:revisionPtr revIDLastSave="0" documentId="13_ncr:1_{C4734371-D2D8-4ECA-A76D-B24C17596223}" xr6:coauthVersionLast="47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Baseline PEACE-1" sheetId="1" r:id="rId1"/>
  </sheets>
  <definedNames>
    <definedName name="ArticleComments" localSheetId="0">'Baseline PEACE-1'!#REF!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9" i="1"/>
  <c r="D9" i="1"/>
  <c r="E8" i="1"/>
  <c r="G14" i="1" l="1"/>
  <c r="B23" i="1" l="1"/>
  <c r="D53" i="1"/>
  <c r="B50" i="1"/>
  <c r="E38" i="1"/>
  <c r="E37" i="1"/>
  <c r="I23" i="1"/>
  <c r="I22" i="1"/>
  <c r="C22" i="1"/>
  <c r="B22" i="1"/>
  <c r="I21" i="1"/>
  <c r="C21" i="1"/>
  <c r="D14" i="1"/>
  <c r="C23" i="1"/>
  <c r="B14" i="1"/>
  <c r="E51" i="1"/>
  <c r="E9" i="1"/>
  <c r="B21" i="1"/>
  <c r="C53" i="1"/>
  <c r="G58" i="1" l="1"/>
  <c r="E58" i="1"/>
  <c r="F58" i="1"/>
  <c r="G21" i="1"/>
  <c r="E21" i="1"/>
  <c r="G23" i="1"/>
  <c r="E22" i="1"/>
  <c r="E23" i="1"/>
  <c r="G22" i="1"/>
  <c r="D21" i="1"/>
  <c r="J21" i="1" s="1"/>
  <c r="D37" i="1"/>
  <c r="C14" i="1"/>
  <c r="E14" i="1" s="1"/>
  <c r="H14" i="1" s="1"/>
  <c r="L14" i="1" s="1"/>
  <c r="K14" i="1"/>
  <c r="N21" i="1"/>
  <c r="E39" i="1"/>
  <c r="D22" i="1"/>
  <c r="F22" i="1" s="1"/>
  <c r="N23" i="1"/>
  <c r="D23" i="1"/>
  <c r="C38" i="1"/>
  <c r="C43" i="1" s="1"/>
  <c r="C37" i="1"/>
  <c r="K52" i="1" l="1"/>
  <c r="C55" i="1" s="1"/>
  <c r="C59" i="1" s="1"/>
  <c r="F21" i="1"/>
  <c r="L21" i="1" s="1"/>
  <c r="M52" i="1" s="1"/>
  <c r="D38" i="1"/>
  <c r="D43" i="1" s="1"/>
  <c r="F14" i="1"/>
  <c r="I14" i="1" s="1"/>
  <c r="E53" i="1" s="1"/>
  <c r="E52" i="1"/>
  <c r="W21" i="1"/>
  <c r="J26" i="1"/>
  <c r="N22" i="1" s="1"/>
  <c r="N24" i="1" s="1"/>
  <c r="N25" i="1" s="1"/>
  <c r="N26" i="1" s="1"/>
  <c r="J22" i="1"/>
  <c r="K53" i="1" s="1"/>
  <c r="K22" i="1"/>
  <c r="L53" i="1" s="1"/>
  <c r="L22" i="1"/>
  <c r="Q28" i="1"/>
  <c r="F23" i="1"/>
  <c r="W22" i="1"/>
  <c r="J23" i="1"/>
  <c r="K54" i="1" s="1"/>
  <c r="D42" i="1"/>
  <c r="C39" i="1"/>
  <c r="C42" i="1"/>
  <c r="K38" i="1"/>
  <c r="I37" i="1" s="1"/>
  <c r="D55" i="1" l="1"/>
  <c r="D59" i="1" s="1"/>
  <c r="E55" i="1"/>
  <c r="E59" i="1" s="1"/>
  <c r="K21" i="1"/>
  <c r="D39" i="1"/>
  <c r="W23" i="1"/>
  <c r="W24" i="1" s="1"/>
  <c r="W25" i="1" s="1"/>
  <c r="M14" i="1"/>
  <c r="N31" i="1"/>
  <c r="N32" i="1" s="1"/>
  <c r="H53" i="1" s="1"/>
  <c r="H55" i="1" s="1"/>
  <c r="H59" i="1" s="1"/>
  <c r="F51" i="1"/>
  <c r="J27" i="1"/>
  <c r="G51" i="1" s="1"/>
  <c r="K26" i="1"/>
  <c r="M53" i="1"/>
  <c r="C45" i="1"/>
  <c r="G43" i="1" s="1"/>
  <c r="K23" i="1"/>
  <c r="L54" i="1" s="1"/>
  <c r="L23" i="1"/>
  <c r="M54" i="1" s="1"/>
  <c r="L52" i="1" l="1"/>
  <c r="N52" i="1" s="1"/>
  <c r="N54" i="1"/>
  <c r="N53" i="1"/>
  <c r="L26" i="1"/>
  <c r="F52" i="1" s="1"/>
  <c r="N33" i="1"/>
  <c r="K27" i="1"/>
  <c r="G53" i="1" s="1"/>
  <c r="F53" i="1"/>
  <c r="C46" i="1"/>
  <c r="J59" i="1" s="1"/>
  <c r="F55" i="1" l="1"/>
  <c r="F59" i="1" s="1"/>
  <c r="L59" i="1"/>
  <c r="M59" i="1"/>
  <c r="L27" i="1"/>
  <c r="G52" i="1" s="1"/>
  <c r="G55" i="1" s="1"/>
  <c r="G59" i="1" l="1"/>
</calcChain>
</file>

<file path=xl/sharedStrings.xml><?xml version="1.0" encoding="utf-8"?>
<sst xmlns="http://schemas.openxmlformats.org/spreadsheetml/2006/main" count="313" uniqueCount="274">
  <si>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</si>
  <si>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</si>
  <si>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</si>
  <si>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</si>
  <si>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</si>
  <si>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</si>
  <si>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</si>
  <si>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</si>
  <si>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</si>
  <si>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</si>
  <si>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</si>
  <si>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</si>
  <si>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</si>
  <si>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</si>
  <si>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</si>
  <si>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</si>
  <si>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</si>
  <si>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</si>
  <si>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</si>
  <si>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</si>
  <si>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</si>
  <si>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</si>
  <si>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</si>
  <si>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</si>
  <si>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</si>
  <si>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</si>
  <si>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</si>
  <si>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</si>
  <si>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</si>
  <si>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</si>
  <si>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</si>
  <si>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</si>
  <si>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</si>
  <si>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</si>
  <si>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</si>
  <si>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</si>
  <si>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</si>
  <si>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</si>
  <si>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</si>
  <si>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</si>
  <si>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</si>
  <si>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</si>
  <si>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Z α/2 = Dif Proporc / EE Dif proporc</t>
  </si>
  <si>
    <t>RRR</t>
  </si>
  <si>
    <t>(</t>
  </si>
  <si>
    <t>)</t>
  </si>
  <si>
    <t>-</t>
  </si>
  <si>
    <t>%</t>
  </si>
  <si>
    <t>NNT</t>
  </si>
  <si>
    <t>/</t>
  </si>
  <si>
    <t>RAR</t>
  </si>
  <si>
    <t>potencia</t>
  </si>
  <si>
    <t>Potencia</t>
  </si>
  <si>
    <t xml:space="preserve"> </t>
  </si>
  <si>
    <t>Nº event Interv (%)</t>
  </si>
  <si>
    <t>Nº event Control (%)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</si>
  <si>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</si>
  <si>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</si>
  <si>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</si>
  <si>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</si>
  <si>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</si>
  <si>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</si>
  <si>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</si>
  <si>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</si>
  <si>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</si>
  <si>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t>Intervención</t>
  </si>
  <si>
    <t>Control</t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</si>
  <si>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</si>
  <si>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</si>
  <si>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</si>
  <si>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</si>
  <si>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</si>
  <si>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</si>
  <si>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</si>
  <si>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</si>
  <si>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</si>
  <si>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</si>
  <si>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</si>
  <si>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</si>
  <si>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</si>
  <si>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</si>
  <si>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</si>
  <si>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</si>
  <si>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</si>
  <si>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</si>
  <si>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</si>
  <si>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</si>
  <si>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</si>
  <si>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</si>
  <si>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</si>
  <si>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</si>
  <si>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</si>
  <si>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</si>
  <si>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</si>
  <si>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</si>
  <si>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</si>
  <si>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</si>
  <si>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</si>
  <si>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</si>
  <si>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</si>
  <si>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</si>
  <si>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</si>
  <si>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r>
      <t>Cálculo por incidencias acumuladas de RR, RAR, NNT con sus IC 95%, potencia estadística y valor de</t>
    </r>
    <r>
      <rPr>
        <b/>
        <i/>
        <sz val="12"/>
        <rFont val="Calibri"/>
        <family val="2"/>
        <scheme val="minor"/>
      </rPr>
      <t xml:space="preserve"> p</t>
    </r>
  </si>
  <si>
    <r>
      <t xml:space="preserve">Método de Katz: 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</si>
  <si>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t xml:space="preserve">       0</t>
  </si>
  <si>
    <r>
      <t>Valor de</t>
    </r>
    <r>
      <rPr>
        <i/>
        <sz val="9"/>
        <color indexed="8"/>
        <rFont val="Calibri"/>
        <family val="2"/>
      </rPr>
      <t xml:space="preserve"> p</t>
    </r>
    <r>
      <rPr>
        <sz val="9"/>
        <color indexed="8"/>
        <rFont val="Calibri"/>
        <family val="2"/>
      </rPr>
      <t xml:space="preserve"> para la diferencia</t>
    </r>
  </si>
  <si>
    <t>Estatus de rendimiento en la escala ECOG, nº (%)</t>
  </si>
  <si>
    <r>
      <t xml:space="preserve">Z </t>
    </r>
    <r>
      <rPr>
        <b/>
        <vertAlign val="subscript"/>
        <sz val="9"/>
        <rFont val="Calibri"/>
        <family val="2"/>
      </rPr>
      <t>α/2</t>
    </r>
  </si>
  <si>
    <t>Años de edad, mediana [IQR]</t>
  </si>
  <si>
    <t>Datos perdidos</t>
  </si>
  <si>
    <t>Asignados para recibir radioterapia</t>
  </si>
  <si>
    <t>País, nº (%)</t>
  </si>
  <si>
    <t>Bélgica</t>
  </si>
  <si>
    <t>Francia</t>
  </si>
  <si>
    <t>Irlanda</t>
  </si>
  <si>
    <t>España</t>
  </si>
  <si>
    <t>67 (IQR, 61 a 72]</t>
  </si>
  <si>
    <t>66 (IQR, 60 a 70]</t>
  </si>
  <si>
    <t>66 [IQR, 59 a 72]</t>
  </si>
  <si>
    <t>66 [IQR, 59 a 70]</t>
  </si>
  <si>
    <t xml:space="preserve">       1-2</t>
  </si>
  <si>
    <t>Estadio T del tumor</t>
  </si>
  <si>
    <t>T1</t>
  </si>
  <si>
    <t>T2</t>
  </si>
  <si>
    <t>T3</t>
  </si>
  <si>
    <t>T4</t>
  </si>
  <si>
    <t>Estadio N del tumor</t>
  </si>
  <si>
    <t>N1</t>
  </si>
  <si>
    <t>Tiempo desde el diagnóstico, meses</t>
  </si>
  <si>
    <t>Mediana [IQR]</t>
  </si>
  <si>
    <t>2,3 [IQR, 1,6 a 3,2]</t>
  </si>
  <si>
    <t>2,3 [IQR, 1,4 a 3,1]</t>
  </si>
  <si>
    <t>Localización de la metástasis, nº (%)</t>
  </si>
  <si>
    <t>Hueso</t>
  </si>
  <si>
    <t>Sólo en ganglios linfáticos</t>
  </si>
  <si>
    <t>Visceral</t>
  </si>
  <si>
    <t>2,2 [IQR, 1,6 a 3]</t>
  </si>
  <si>
    <t>2,2 [IQR, 1,4 a 2,9]</t>
  </si>
  <si>
    <t>Carga metastásica, nº (%)</t>
  </si>
  <si>
    <t>Puntuación Gleason, nº (%)</t>
  </si>
  <si>
    <t>8-10</t>
  </si>
  <si>
    <r>
      <t xml:space="preserve">≤ </t>
    </r>
    <r>
      <rPr>
        <sz val="7"/>
        <color theme="1"/>
        <rFont val="Calibri"/>
        <family val="2"/>
      </rPr>
      <t>7</t>
    </r>
  </si>
  <si>
    <t>14 [IQR, 3 a 62]</t>
  </si>
  <si>
    <t>11 [IQR, 3 a 55]</t>
  </si>
  <si>
    <t>14 [IQR, 2 a 59]</t>
  </si>
  <si>
    <t>12 [IQR, 3 a 60]</t>
  </si>
  <si>
    <t>PSA en el inicio, en ng/mL; mediana [IQR]</t>
  </si>
  <si>
    <t>Historia médica, nº (%)</t>
  </si>
  <si>
    <t>Hipertensión</t>
  </si>
  <si>
    <t>Colesterol elevado</t>
  </si>
  <si>
    <t>270/574 (47%)</t>
  </si>
  <si>
    <t>241/562 (42,9%)</t>
  </si>
  <si>
    <t>62/566 (11%)</t>
  </si>
  <si>
    <t>80/556 (14,4%)</t>
  </si>
  <si>
    <t>Diabetes mellitus tipo 2</t>
  </si>
  <si>
    <t>229/568 (40,3%)</t>
  </si>
  <si>
    <t>229/556 (41,2%)</t>
  </si>
  <si>
    <t>156/352 (44,3%)</t>
  </si>
  <si>
    <t>148/344 (43%)</t>
  </si>
  <si>
    <t>33/351 (9,4%)</t>
  </si>
  <si>
    <t>56/344 (16,3%)</t>
  </si>
  <si>
    <t>136/351 (38,7%)</t>
  </si>
  <si>
    <t>130/343 (37,9%)</t>
  </si>
  <si>
    <t>291 (49,9%)</t>
  </si>
  <si>
    <t>458 (78,6%)</t>
  </si>
  <si>
    <t>55 (9,4%)</t>
  </si>
  <si>
    <t>30 (5,1%)</t>
  </si>
  <si>
    <t>29 (5%)</t>
  </si>
  <si>
    <t>11 (1,9%)</t>
  </si>
  <si>
    <t>412 (70,7%)</t>
  </si>
  <si>
    <t>171 (29,3%)</t>
  </si>
  <si>
    <t>23 (3,9%)</t>
  </si>
  <si>
    <t>109 (18,7%)</t>
  </si>
  <si>
    <t>287 (49,2%)</t>
  </si>
  <si>
    <t>98 (16,8%)</t>
  </si>
  <si>
    <t>45 (7,7%)</t>
  </si>
  <si>
    <t>21 (3,6%)</t>
  </si>
  <si>
    <t>307 (52,7%)</t>
  </si>
  <si>
    <t>186 (31,9%)</t>
  </si>
  <si>
    <t>69 (11,8%)</t>
  </si>
  <si>
    <t>10 (1,7%)</t>
  </si>
  <si>
    <t>472 (81%)</t>
  </si>
  <si>
    <t>47 (8,1%)</t>
  </si>
  <si>
    <t>64 (11%)</t>
  </si>
  <si>
    <t>331 (56,8%)</t>
  </si>
  <si>
    <t>252 (43,2%)</t>
  </si>
  <si>
    <t>145 (24,9%)</t>
  </si>
  <si>
    <t>429 (73,6%)</t>
  </si>
  <si>
    <t>9 (1,5%)</t>
  </si>
  <si>
    <t>293 (49,7%)</t>
  </si>
  <si>
    <t>462 (78,4%)</t>
  </si>
  <si>
    <t>56 (9,5%)</t>
  </si>
  <si>
    <t>25 (4,2%)</t>
  </si>
  <si>
    <t>16 (2,7%)</t>
  </si>
  <si>
    <t>412 (69,9%)</t>
  </si>
  <si>
    <t>177 (30,1%)</t>
  </si>
  <si>
    <t>94 (16%)</t>
  </si>
  <si>
    <t>310 (52,6%)</t>
  </si>
  <si>
    <t>99 (16,8%)</t>
  </si>
  <si>
    <t>54 (9,2%)</t>
  </si>
  <si>
    <t>325 (55,2%)</t>
  </si>
  <si>
    <t>174 (29,5%)</t>
  </si>
  <si>
    <t>76 (12,9%)</t>
  </si>
  <si>
    <t>14 (2,4%)</t>
  </si>
  <si>
    <t>475 (80,6%)</t>
  </si>
  <si>
    <t>52 (8,8%)</t>
  </si>
  <si>
    <t>62 (10,5%)</t>
  </si>
  <si>
    <t>336 (57%)</t>
  </si>
  <si>
    <t>253 (43%)</t>
  </si>
  <si>
    <t>133 (22,6%)</t>
  </si>
  <si>
    <t>441 (74,9%)</t>
  </si>
  <si>
    <t>15 (2,5%)</t>
  </si>
  <si>
    <t>178 (50,1%)</t>
  </si>
  <si>
    <t>278 (78,3%)</t>
  </si>
  <si>
    <t>38 (10,7%)</t>
  </si>
  <si>
    <t>17 (4,8%)</t>
  </si>
  <si>
    <t>16 (4,5%)</t>
  </si>
  <si>
    <t>6 (1,7%)</t>
  </si>
  <si>
    <t>250 (70,4%)</t>
  </si>
  <si>
    <t>105 (29,6%)</t>
  </si>
  <si>
    <t>10 (2,8%)</t>
  </si>
  <si>
    <t>64 (18%)</t>
  </si>
  <si>
    <t>167 (47%)</t>
  </si>
  <si>
    <t>68 (19,2%)</t>
  </si>
  <si>
    <t>32 (9%)</t>
  </si>
  <si>
    <t>14 (3,9%)</t>
  </si>
  <si>
    <t>198 (55,8%)</t>
  </si>
  <si>
    <t>99 (27,9%)</t>
  </si>
  <si>
    <t>43 (12,1%)</t>
  </si>
  <si>
    <t>15 (4,2%)</t>
  </si>
  <si>
    <t>287 (80,8%)</t>
  </si>
  <si>
    <t>27 (7,6%)</t>
  </si>
  <si>
    <t>41 (11,5%)</t>
  </si>
  <si>
    <t>224 (63,1%)</t>
  </si>
  <si>
    <t>131 (36,9%)</t>
  </si>
  <si>
    <t>79 (22,3%)</t>
  </si>
  <si>
    <t>270 (76,1%)</t>
  </si>
  <si>
    <t>177 (49,9%)</t>
  </si>
  <si>
    <t>280 (78,9%)</t>
  </si>
  <si>
    <t>39 (11%)</t>
  </si>
  <si>
    <t>13 (3,7%)</t>
  </si>
  <si>
    <t>7 (2%)</t>
  </si>
  <si>
    <t>246 (69,3%)</t>
  </si>
  <si>
    <t>109 (30,7%)</t>
  </si>
  <si>
    <t>45 (12,7%)</t>
  </si>
  <si>
    <t>189 (53,2%)</t>
  </si>
  <si>
    <t>65 (18,3%)</t>
  </si>
  <si>
    <t>35 (9,9%)</t>
  </si>
  <si>
    <t>8 (2,3%)</t>
  </si>
  <si>
    <t>207 (58,3%)</t>
  </si>
  <si>
    <t>97 (27,3%)</t>
  </si>
  <si>
    <t>12 (3,4%)</t>
  </si>
  <si>
    <t>279 (78,6%)</t>
  </si>
  <si>
    <t>29 (8,2%)</t>
  </si>
  <si>
    <t>47 (13,2%)</t>
  </si>
  <si>
    <t>232 (65,4%)</t>
  </si>
  <si>
    <t>123 (34,6%)</t>
  </si>
  <si>
    <t>71 (20%)</t>
  </si>
  <si>
    <t>276 (77,7%)</t>
  </si>
  <si>
    <t>Las variables dicotómicas se informan en Número y Porcentaje; nº (%). Las variables continuas en Media y Desviación Estándar, media (DE), salvo que se informen en Mediana y Rango; mediana [rango], o Mediana y Rango Intercuatílico; mediana [IQR].</t>
  </si>
  <si>
    <r>
      <rPr>
        <b/>
        <sz val="14"/>
        <color indexed="60"/>
        <rFont val="Calibri"/>
        <family val="2"/>
      </rPr>
      <t>Suplemento 1:</t>
    </r>
    <r>
      <rPr>
        <b/>
        <sz val="14"/>
        <color indexed="8"/>
        <rFont val="Calibri"/>
        <family val="2"/>
      </rPr>
      <t xml:space="preserve"> Características sociodemográficas y clínicas en el inicio, ECA PEACE-1</t>
    </r>
  </si>
  <si>
    <t>TX (no puede medirse un tumor primario)</t>
  </si>
  <si>
    <t>N0 (no hay cáncer en los ganglios linfáticos cercanos)</t>
  </si>
  <si>
    <t>NX (no puede medirse en los ganglios linfáticos cercanos)</t>
  </si>
  <si>
    <t>20220430-ECA Peace1, CáPrSC-m TDA [DCTX vs no] x [Abi vs no]. Fizazi</t>
  </si>
  <si>
    <t xml:space="preserve">Fizazi K, Foulon S, Carles J, Roubaud G, on behalf of the PEACE-1 investigators. Abiraterone plus prednisone added to androgen deprivation therapy and docetaxel in de novo metastatic castration-sensitive prostate cancer (PEACE-1): a multicentre, open-label, randomised, phase 3 study with a 2 × 2 factorial design. Lancet. 2022 Apr 30;399(10336):1695-1707. </t>
  </si>
  <si>
    <t>Alta carga</t>
  </si>
  <si>
    <t>Baja carga</t>
  </si>
  <si>
    <r>
      <rPr>
        <sz val="11"/>
        <rFont val="Calibri"/>
        <family val="2"/>
        <scheme val="minor"/>
      </rPr>
      <t>Grupo A1 [</t>
    </r>
    <r>
      <rPr>
        <b/>
        <sz val="11"/>
        <rFont val="Calibri"/>
        <family val="2"/>
        <scheme val="minor"/>
      </rPr>
      <t xml:space="preserve">TDA </t>
    </r>
    <r>
      <rPr>
        <b/>
        <sz val="11"/>
        <color rgb="FF00B050"/>
        <rFont val="Calibri"/>
        <family val="2"/>
        <scheme val="minor"/>
      </rPr>
      <t>+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- </t>
    </r>
    <r>
      <rPr>
        <b/>
        <sz val="11"/>
        <rFont val="Calibri"/>
        <family val="2"/>
        <scheme val="minor"/>
      </rPr>
      <t>DCTX</t>
    </r>
    <r>
      <rPr>
        <b/>
        <sz val="11"/>
        <color rgb="FF00B050"/>
        <rFont val="Calibri"/>
        <family val="2"/>
        <scheme val="minor"/>
      </rPr>
      <t xml:space="preserve"> +</t>
    </r>
    <r>
      <rPr>
        <b/>
        <sz val="11"/>
        <rFont val="Calibri"/>
        <family val="2"/>
        <scheme val="minor"/>
      </rPr>
      <t xml:space="preserve"> Abir]</t>
    </r>
    <r>
      <rPr>
        <sz val="11"/>
        <rFont val="Calibri"/>
        <family val="2"/>
        <scheme val="minor"/>
      </rPr>
      <t>; n= 583</t>
    </r>
  </si>
  <si>
    <r>
      <rPr>
        <sz val="11"/>
        <rFont val="Calibri"/>
        <family val="2"/>
        <scheme val="minor"/>
      </rPr>
      <t xml:space="preserve">Grupo B1 </t>
    </r>
    <r>
      <rPr>
        <b/>
        <sz val="11"/>
        <rFont val="Calibri"/>
        <family val="2"/>
        <scheme val="minor"/>
      </rPr>
      <t xml:space="preserve">[TDA </t>
    </r>
    <r>
      <rPr>
        <b/>
        <sz val="11"/>
        <color rgb="FF00B050"/>
        <rFont val="Calibri"/>
        <family val="2"/>
        <scheme val="minor"/>
      </rPr>
      <t>+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- </t>
    </r>
    <r>
      <rPr>
        <b/>
        <sz val="11"/>
        <rFont val="Calibri"/>
        <family val="2"/>
        <scheme val="minor"/>
      </rPr>
      <t>DCTX]</t>
    </r>
    <r>
      <rPr>
        <sz val="11"/>
        <rFont val="Calibri"/>
        <family val="2"/>
        <scheme val="minor"/>
      </rPr>
      <t>; n= 589</t>
    </r>
  </si>
  <si>
    <r>
      <rPr>
        <sz val="11"/>
        <rFont val="Calibri"/>
        <family val="2"/>
        <scheme val="minor"/>
      </rPr>
      <t xml:space="preserve">Grupo A2 </t>
    </r>
    <r>
      <rPr>
        <b/>
        <sz val="11"/>
        <rFont val="Calibri"/>
        <family val="2"/>
        <scheme val="minor"/>
      </rPr>
      <t xml:space="preserve">[TDA </t>
    </r>
    <r>
      <rPr>
        <b/>
        <sz val="11"/>
        <color rgb="FF00B050"/>
        <rFont val="Calibri"/>
        <family val="2"/>
        <scheme val="minor"/>
      </rPr>
      <t>+</t>
    </r>
    <r>
      <rPr>
        <b/>
        <sz val="11"/>
        <rFont val="Calibri"/>
        <family val="2"/>
        <scheme val="minor"/>
      </rPr>
      <t xml:space="preserve"> DCTX </t>
    </r>
    <r>
      <rPr>
        <b/>
        <sz val="11"/>
        <color rgb="FF00B050"/>
        <rFont val="Calibri"/>
        <family val="2"/>
        <scheme val="minor"/>
      </rPr>
      <t>+</t>
    </r>
    <r>
      <rPr>
        <b/>
        <sz val="11"/>
        <rFont val="Calibri"/>
        <family val="2"/>
        <scheme val="minor"/>
      </rPr>
      <t xml:space="preserve"> Abir]</t>
    </r>
    <r>
      <rPr>
        <sz val="11"/>
        <rFont val="Calibri"/>
        <family val="2"/>
        <scheme val="minor"/>
      </rPr>
      <t>; n= 355</t>
    </r>
  </si>
  <si>
    <r>
      <rPr>
        <sz val="11"/>
        <rFont val="Calibri"/>
        <family val="2"/>
        <scheme val="minor"/>
      </rPr>
      <t xml:space="preserve">Grupo B2 </t>
    </r>
    <r>
      <rPr>
        <b/>
        <sz val="11"/>
        <rFont val="Calibri"/>
        <family val="2"/>
        <scheme val="minor"/>
      </rPr>
      <t xml:space="preserve">[TDA </t>
    </r>
    <r>
      <rPr>
        <b/>
        <sz val="11"/>
        <color rgb="FF00B050"/>
        <rFont val="Calibri"/>
        <family val="2"/>
        <scheme val="minor"/>
      </rPr>
      <t>+</t>
    </r>
    <r>
      <rPr>
        <b/>
        <sz val="11"/>
        <rFont val="Calibri"/>
        <family val="2"/>
        <scheme val="minor"/>
      </rPr>
      <t xml:space="preserve"> DCTX]</t>
    </r>
    <r>
      <rPr>
        <sz val="11"/>
        <rFont val="Calibri"/>
        <family val="2"/>
        <scheme val="minor"/>
      </rPr>
      <t>; n= 355</t>
    </r>
  </si>
  <si>
    <t>Italia, Rumanía, Suiza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</si>
  <si>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estatus ECOG:</t>
    </r>
    <r>
      <rPr>
        <sz val="10"/>
        <rFont val="Calibri"/>
        <family val="2"/>
      </rPr>
      <t xml:space="preserve"> puntuación de mejor (0) a peor (5) la escala funcional del Eastern Cooperative Oncology Group (Grupo de Oncología Cooperativo del Este, de EE.UU); </t>
    </r>
    <r>
      <rPr>
        <b/>
        <sz val="10"/>
        <rFont val="Calibri"/>
        <family val="2"/>
      </rPr>
      <t xml:space="preserve">IQR: </t>
    </r>
    <r>
      <rPr>
        <sz val="10"/>
        <rFont val="Calibri"/>
        <family val="2"/>
      </rPr>
      <t xml:space="preserve">rango intercuartílico entre el percentil 25 y el percentil 75; </t>
    </r>
    <r>
      <rPr>
        <b/>
        <sz val="10"/>
        <rFont val="Calibri"/>
        <family val="2"/>
      </rPr>
      <t xml:space="preserve">PSA: </t>
    </r>
    <r>
      <rPr>
        <sz val="10"/>
        <rFont val="Calibri"/>
        <family val="2"/>
      </rPr>
      <t>antígeno prostático específico;</t>
    </r>
    <r>
      <rPr>
        <b/>
        <sz val="10"/>
        <rFont val="Calibri"/>
        <family val="2"/>
      </rPr>
      <t xml:space="preserve"> Carga metastásica de alto volumen:</t>
    </r>
    <r>
      <rPr>
        <sz val="10"/>
        <rFont val="Calibri"/>
        <family val="2"/>
      </rPr>
      <t xml:space="preserve"> metástasis viscerales, o tres o más metástasis óseas, una de ellas fuera del esqueleto axial; </t>
    </r>
    <r>
      <rPr>
        <b/>
        <sz val="10"/>
        <rFont val="Calibri"/>
        <family val="2"/>
      </rPr>
      <t xml:space="preserve">Abir: </t>
    </r>
    <r>
      <rPr>
        <sz val="10"/>
        <rFont val="Calibri"/>
        <family val="2"/>
      </rPr>
      <t xml:space="preserve">abiraterona; </t>
    </r>
    <r>
      <rPr>
        <b/>
        <sz val="10"/>
        <rFont val="Calibri"/>
        <family val="2"/>
      </rPr>
      <t xml:space="preserve">DCTX: </t>
    </r>
    <r>
      <rPr>
        <sz val="10"/>
        <rFont val="Calibri"/>
        <family val="2"/>
      </rPr>
      <t xml:space="preserve">docetaxel; </t>
    </r>
    <r>
      <rPr>
        <b/>
        <sz val="10"/>
        <rFont val="Calibri"/>
        <family val="2"/>
      </rPr>
      <t xml:space="preserve">RT: </t>
    </r>
    <r>
      <rPr>
        <sz val="10"/>
        <rFont val="Calibri"/>
        <family val="2"/>
      </rPr>
      <t>radioterapia; TDA: terapia de "deprivación" androgénica.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</si>
</sst>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0.0%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\ _€_-;\-* #,##0.000\ _€_-;_-* &quot;-&quot;???\ _€_-;_-@_-"/>
    <numFmt numFmtId="172" formatCode="_-* #,##0.0\ _€_-;\-* #,##0.0\ _€_-;_-* &quot;-&quot;??\ _€_-;_-@_-"/>
    <numFmt numFmtId="173" formatCode="_-* #,##0.0\ _€_-;\-* #,##0.0\ _€_-;_-* &quot;-&quot;?\ _€_-;_-@_-"/>
    <numFmt numFmtId="174" formatCode="_-* #,##0.0000\ _€_-;\-* #,##0.0000\ _€_-;_-* &quot;-&quot;?\ _€_-;_-@_-"/>
    <numFmt numFmtId="175" formatCode="0.000"/>
    <numFmt numFmtId="176" formatCode="0.0000"/>
    <numFmt numFmtId="177" formatCode="#,##0.00_ ;\-#,##0.00\ "/>
    <numFmt numFmtId="178" formatCode="0.000%"/>
    <numFmt numFmtId="179" formatCode="0.00000%"/>
  </numFmts>
  <fonts count="5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name val="Calibri"/>
      <family val="2"/>
    </font>
    <font>
      <sz val="9"/>
      <color theme="1"/>
      <name val="Calibri"/>
      <family val="2"/>
      <scheme val="minor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vertAlign val="subscript"/>
      <sz val="9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theme="1"/>
      <name val="Calibri"/>
      <family val="2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indexed="60"/>
      <name val="Calibri"/>
      <family val="2"/>
    </font>
    <font>
      <b/>
      <sz val="14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9">
    <xf numFmtId="0" fontId="0" fillId="0" borderId="0" xfId="0"/>
    <xf numFmtId="2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10" fontId="10" fillId="0" borderId="0" xfId="2" applyNumberFormat="1" applyFont="1" applyBorder="1" applyAlignment="1">
      <alignment horizontal="center"/>
    </xf>
    <xf numFmtId="10" fontId="11" fillId="0" borderId="0" xfId="2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distributed"/>
    </xf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Border="1" applyAlignment="1">
      <alignment horizontal="center"/>
    </xf>
    <xf numFmtId="164" fontId="10" fillId="0" borderId="0" xfId="1" applyFont="1" applyFill="1" applyAlignment="1">
      <alignment horizontal="center"/>
    </xf>
    <xf numFmtId="164" fontId="10" fillId="0" borderId="0" xfId="0" applyNumberFormat="1" applyFont="1"/>
    <xf numFmtId="164" fontId="13" fillId="0" borderId="0" xfId="1" applyFont="1" applyFill="1" applyBorder="1" applyAlignment="1">
      <alignment horizontal="center"/>
    </xf>
    <xf numFmtId="164" fontId="10" fillId="0" borderId="0" xfId="1" applyFont="1" applyFill="1"/>
    <xf numFmtId="0" fontId="14" fillId="0" borderId="0" xfId="0" applyFont="1" applyFill="1"/>
    <xf numFmtId="0" fontId="10" fillId="0" borderId="0" xfId="0" applyFont="1" applyBorder="1"/>
    <xf numFmtId="164" fontId="10" fillId="0" borderId="0" xfId="1" applyFont="1" applyFill="1" applyBorder="1"/>
    <xf numFmtId="0" fontId="10" fillId="0" borderId="0" xfId="0" applyFont="1" applyBorder="1" applyAlignment="1">
      <alignment horizontal="right"/>
    </xf>
    <xf numFmtId="10" fontId="10" fillId="0" borderId="0" xfId="2" applyNumberFormat="1" applyFont="1" applyFill="1"/>
    <xf numFmtId="10" fontId="10" fillId="0" borderId="0" xfId="0" applyNumberFormat="1" applyFont="1" applyFill="1"/>
    <xf numFmtId="0" fontId="18" fillId="0" borderId="0" xfId="0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/>
    <xf numFmtId="10" fontId="10" fillId="0" borderId="0" xfId="2" applyNumberFormat="1" applyFont="1" applyFill="1" applyBorder="1" applyAlignment="1">
      <alignment horizontal="center"/>
    </xf>
    <xf numFmtId="164" fontId="16" fillId="0" borderId="0" xfId="1" applyFont="1" applyFill="1" applyBorder="1"/>
    <xf numFmtId="0" fontId="15" fillId="0" borderId="0" xfId="0" applyFont="1" applyFill="1" applyAlignment="1">
      <alignment horizontal="center"/>
    </xf>
    <xf numFmtId="164" fontId="16" fillId="0" borderId="0" xfId="1" applyFont="1" applyFill="1" applyAlignment="1">
      <alignment horizontal="right"/>
    </xf>
    <xf numFmtId="0" fontId="16" fillId="0" borderId="0" xfId="0" applyFont="1" applyFill="1" applyBorder="1"/>
    <xf numFmtId="164" fontId="10" fillId="0" borderId="0" xfId="0" applyNumberFormat="1" applyFont="1" applyFill="1"/>
    <xf numFmtId="172" fontId="10" fillId="0" borderId="0" xfId="0" applyNumberFormat="1" applyFont="1" applyFill="1" applyBorder="1"/>
    <xf numFmtId="0" fontId="15" fillId="0" borderId="0" xfId="0" applyFont="1" applyBorder="1"/>
    <xf numFmtId="0" fontId="15" fillId="0" borderId="0" xfId="0" applyFont="1" applyFill="1" applyBorder="1" applyAlignment="1">
      <alignment horizontal="left"/>
    </xf>
    <xf numFmtId="164" fontId="10" fillId="0" borderId="0" xfId="1" applyFont="1" applyFill="1" applyBorder="1" applyAlignment="1">
      <alignment horizontal="center"/>
    </xf>
    <xf numFmtId="170" fontId="10" fillId="0" borderId="0" xfId="1" applyNumberFormat="1" applyFont="1" applyFill="1" applyBorder="1" applyAlignment="1">
      <alignment horizontal="center"/>
    </xf>
    <xf numFmtId="164" fontId="15" fillId="0" borderId="0" xfId="1" applyFont="1" applyFill="1" applyBorder="1" applyAlignment="1"/>
    <xf numFmtId="0" fontId="10" fillId="0" borderId="0" xfId="0" applyFont="1" applyFill="1" applyBorder="1" applyAlignment="1">
      <alignment horizontal="left"/>
    </xf>
    <xf numFmtId="170" fontId="10" fillId="0" borderId="0" xfId="0" applyNumberFormat="1" applyFont="1" applyBorder="1"/>
    <xf numFmtId="0" fontId="22" fillId="0" borderId="0" xfId="0" applyFont="1" applyBorder="1"/>
    <xf numFmtId="49" fontId="23" fillId="0" borderId="0" xfId="0" applyNumberFormat="1" applyFont="1"/>
    <xf numFmtId="10" fontId="10" fillId="0" borderId="0" xfId="0" applyNumberFormat="1" applyFont="1"/>
    <xf numFmtId="10" fontId="10" fillId="0" borderId="0" xfId="0" applyNumberFormat="1" applyFont="1" applyFill="1" applyBorder="1"/>
    <xf numFmtId="10" fontId="19" fillId="0" borderId="0" xfId="2" applyNumberFormat="1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166" fontId="10" fillId="0" borderId="0" xfId="0" applyNumberFormat="1" applyFont="1" applyFill="1" applyBorder="1"/>
    <xf numFmtId="49" fontId="10" fillId="0" borderId="0" xfId="0" applyNumberFormat="1" applyFont="1" applyFill="1" applyBorder="1"/>
    <xf numFmtId="165" fontId="15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/>
    <xf numFmtId="0" fontId="25" fillId="0" borderId="0" xfId="0" applyFont="1" applyFill="1" applyBorder="1"/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11" fillId="0" borderId="2" xfId="1" applyNumberFormat="1" applyFont="1" applyFill="1" applyBorder="1"/>
    <xf numFmtId="165" fontId="12" fillId="0" borderId="2" xfId="1" applyNumberFormat="1" applyFont="1" applyFill="1" applyBorder="1"/>
    <xf numFmtId="165" fontId="11" fillId="0" borderId="0" xfId="1" applyNumberFormat="1" applyFont="1" applyFill="1" applyBorder="1"/>
    <xf numFmtId="165" fontId="12" fillId="0" borderId="0" xfId="1" applyNumberFormat="1" applyFont="1" applyFill="1" applyBorder="1"/>
    <xf numFmtId="164" fontId="26" fillId="0" borderId="2" xfId="1" applyFont="1" applyBorder="1"/>
    <xf numFmtId="0" fontId="12" fillId="0" borderId="0" xfId="0" applyFont="1" applyBorder="1" applyAlignment="1">
      <alignment horizontal="right"/>
    </xf>
    <xf numFmtId="164" fontId="10" fillId="0" borderId="0" xfId="1" applyFont="1" applyBorder="1"/>
    <xf numFmtId="0" fontId="15" fillId="0" borderId="0" xfId="0" applyFont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/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2" fontId="10" fillId="0" borderId="2" xfId="1" applyNumberFormat="1" applyFont="1" applyBorder="1" applyAlignment="1">
      <alignment horizontal="center" vertical="center" wrapText="1"/>
    </xf>
    <xf numFmtId="2" fontId="10" fillId="0" borderId="2" xfId="1" applyNumberFormat="1" applyFont="1" applyFill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0" fontId="10" fillId="0" borderId="10" xfId="0" applyFont="1" applyBorder="1"/>
    <xf numFmtId="0" fontId="10" fillId="0" borderId="10" xfId="0" applyFont="1" applyFill="1" applyBorder="1"/>
    <xf numFmtId="0" fontId="10" fillId="0" borderId="18" xfId="0" applyFont="1" applyFill="1" applyBorder="1"/>
    <xf numFmtId="0" fontId="15" fillId="0" borderId="0" xfId="0" applyFont="1" applyBorder="1" applyAlignment="1">
      <alignment horizontal="left" vertical="center"/>
    </xf>
    <xf numFmtId="165" fontId="15" fillId="0" borderId="0" xfId="1" applyNumberFormat="1" applyFont="1" applyFill="1" applyBorder="1" applyAlignment="1"/>
    <xf numFmtId="165" fontId="29" fillId="0" borderId="0" xfId="1" applyNumberFormat="1" applyFont="1" applyFill="1" applyBorder="1" applyAlignment="1"/>
    <xf numFmtId="165" fontId="28" fillId="0" borderId="0" xfId="0" applyNumberFormat="1" applyFont="1" applyFill="1" applyBorder="1" applyAlignment="1">
      <alignment horizontal="left"/>
    </xf>
    <xf numFmtId="2" fontId="10" fillId="0" borderId="0" xfId="0" applyNumberFormat="1" applyFont="1" applyBorder="1"/>
    <xf numFmtId="0" fontId="19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vertical="distributed"/>
    </xf>
    <xf numFmtId="0" fontId="10" fillId="0" borderId="2" xfId="0" applyFont="1" applyBorder="1" applyAlignment="1">
      <alignment horizontal="center" vertical="center"/>
    </xf>
    <xf numFmtId="9" fontId="10" fillId="7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66" fontId="10" fillId="0" borderId="0" xfId="0" applyNumberFormat="1" applyFont="1" applyBorder="1" applyAlignment="1">
      <alignment horizontal="left" vertical="center"/>
    </xf>
    <xf numFmtId="172" fontId="15" fillId="0" borderId="12" xfId="1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7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7" xfId="0" applyFont="1" applyBorder="1"/>
    <xf numFmtId="0" fontId="15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4" xfId="0" applyFont="1" applyBorder="1" applyAlignment="1">
      <alignment horizontal="right"/>
    </xf>
    <xf numFmtId="165" fontId="10" fillId="6" borderId="2" xfId="0" applyNumberFormat="1" applyFont="1" applyFill="1" applyBorder="1" applyAlignment="1">
      <alignment vertical="center"/>
    </xf>
    <xf numFmtId="165" fontId="10" fillId="0" borderId="2" xfId="0" applyNumberFormat="1" applyFont="1" applyBorder="1" applyAlignment="1">
      <alignment vertical="center"/>
    </xf>
    <xf numFmtId="165" fontId="10" fillId="6" borderId="2" xfId="1" applyNumberFormat="1" applyFont="1" applyFill="1" applyBorder="1" applyAlignment="1">
      <alignment vertical="center"/>
    </xf>
    <xf numFmtId="164" fontId="10" fillId="0" borderId="0" xfId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165" fontId="15" fillId="0" borderId="7" xfId="0" applyNumberFormat="1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2" applyNumberFormat="1" applyFont="1" applyFill="1" applyBorder="1" applyAlignment="1">
      <alignment horizontal="center" vertical="center" wrapText="1"/>
    </xf>
    <xf numFmtId="177" fontId="10" fillId="0" borderId="2" xfId="1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 wrapText="1"/>
    </xf>
    <xf numFmtId="168" fontId="15" fillId="0" borderId="2" xfId="2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169" fontId="10" fillId="0" borderId="0" xfId="1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3" fontId="10" fillId="0" borderId="0" xfId="0" applyNumberFormat="1" applyFont="1" applyFill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170" fontId="10" fillId="0" borderId="0" xfId="1" applyNumberFormat="1" applyFont="1" applyBorder="1" applyAlignment="1">
      <alignment horizontal="center"/>
    </xf>
    <xf numFmtId="10" fontId="15" fillId="0" borderId="0" xfId="2" applyNumberFormat="1" applyFont="1" applyFill="1" applyBorder="1" applyAlignment="1"/>
    <xf numFmtId="0" fontId="24" fillId="0" borderId="0" xfId="0" applyFont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wrapText="1"/>
    </xf>
    <xf numFmtId="164" fontId="20" fillId="0" borderId="10" xfId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/>
    </xf>
    <xf numFmtId="170" fontId="10" fillId="0" borderId="10" xfId="1" applyNumberFormat="1" applyFont="1" applyFill="1" applyBorder="1" applyAlignment="1">
      <alignment horizontal="center"/>
    </xf>
    <xf numFmtId="164" fontId="10" fillId="0" borderId="10" xfId="1" applyFont="1" applyFill="1" applyBorder="1" applyAlignment="1">
      <alignment horizontal="center"/>
    </xf>
    <xf numFmtId="164" fontId="15" fillId="0" borderId="10" xfId="1" applyFont="1" applyFill="1" applyBorder="1" applyAlignment="1"/>
    <xf numFmtId="164" fontId="15" fillId="0" borderId="17" xfId="1" applyFont="1" applyFill="1" applyBorder="1" applyAlignment="1"/>
    <xf numFmtId="0" fontId="10" fillId="0" borderId="12" xfId="0" applyFont="1" applyFill="1" applyBorder="1"/>
    <xf numFmtId="165" fontId="15" fillId="0" borderId="2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10" fontId="15" fillId="0" borderId="2" xfId="2" applyNumberFormat="1" applyFont="1" applyBorder="1" applyAlignment="1">
      <alignment horizontal="center"/>
    </xf>
    <xf numFmtId="164" fontId="15" fillId="0" borderId="2" xfId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0" fontId="15" fillId="10" borderId="2" xfId="2" applyNumberFormat="1" applyFont="1" applyFill="1" applyBorder="1" applyAlignment="1"/>
    <xf numFmtId="1" fontId="10" fillId="0" borderId="9" xfId="0" applyNumberFormat="1" applyFont="1" applyFill="1" applyBorder="1" applyAlignment="1">
      <alignment horizontal="center" vertical="center" wrapText="1"/>
    </xf>
    <xf numFmtId="164" fontId="15" fillId="0" borderId="18" xfId="1" applyFont="1" applyFill="1" applyBorder="1" applyAlignment="1"/>
    <xf numFmtId="10" fontId="10" fillId="0" borderId="9" xfId="2" applyNumberFormat="1" applyFont="1" applyFill="1" applyBorder="1"/>
    <xf numFmtId="0" fontId="10" fillId="0" borderId="18" xfId="0" applyFont="1" applyBorder="1"/>
    <xf numFmtId="2" fontId="10" fillId="0" borderId="9" xfId="1" applyNumberFormat="1" applyFont="1" applyFill="1" applyBorder="1" applyAlignment="1">
      <alignment horizontal="center" vertical="center" wrapText="1"/>
    </xf>
    <xf numFmtId="174" fontId="10" fillId="0" borderId="9" xfId="0" applyNumberFormat="1" applyFont="1" applyBorder="1"/>
    <xf numFmtId="168" fontId="10" fillId="0" borderId="9" xfId="2" applyNumberFormat="1" applyFont="1" applyFill="1" applyBorder="1" applyAlignment="1">
      <alignment horizontal="center" vertical="center" wrapText="1"/>
    </xf>
    <xf numFmtId="166" fontId="15" fillId="0" borderId="9" xfId="1" applyNumberFormat="1" applyFont="1" applyFill="1" applyBorder="1"/>
    <xf numFmtId="0" fontId="15" fillId="0" borderId="0" xfId="0" applyFont="1" applyAlignment="1">
      <alignment horizontal="left"/>
    </xf>
    <xf numFmtId="175" fontId="10" fillId="0" borderId="9" xfId="0" applyNumberFormat="1" applyFont="1" applyFill="1" applyBorder="1" applyAlignment="1">
      <alignment horizontal="center" vertical="center" wrapText="1"/>
    </xf>
    <xf numFmtId="167" fontId="10" fillId="2" borderId="9" xfId="1" applyNumberFormat="1" applyFont="1" applyFill="1" applyBorder="1"/>
    <xf numFmtId="168" fontId="10" fillId="0" borderId="0" xfId="2" applyNumberFormat="1" applyFont="1" applyAlignment="1">
      <alignment horizontal="center" vertical="center" wrapText="1"/>
    </xf>
    <xf numFmtId="10" fontId="10" fillId="8" borderId="9" xfId="2" applyNumberFormat="1" applyFont="1" applyFill="1" applyBorder="1" applyAlignment="1">
      <alignment horizontal="center" vertical="center" wrapText="1"/>
    </xf>
    <xf numFmtId="10" fontId="21" fillId="0" borderId="9" xfId="0" applyNumberFormat="1" applyFont="1" applyBorder="1"/>
    <xf numFmtId="10" fontId="10" fillId="2" borderId="2" xfId="2" applyNumberFormat="1" applyFont="1" applyFill="1" applyBorder="1" applyAlignment="1">
      <alignment horizontal="center"/>
    </xf>
    <xf numFmtId="10" fontId="10" fillId="4" borderId="2" xfId="2" applyNumberFormat="1" applyFont="1" applyFill="1" applyBorder="1" applyAlignment="1">
      <alignment horizontal="center"/>
    </xf>
    <xf numFmtId="10" fontId="10" fillId="3" borderId="2" xfId="2" applyNumberFormat="1" applyFont="1" applyFill="1" applyBorder="1" applyAlignment="1">
      <alignment horizontal="center"/>
    </xf>
    <xf numFmtId="10" fontId="10" fillId="0" borderId="7" xfId="2" applyNumberFormat="1" applyFont="1" applyBorder="1" applyAlignment="1">
      <alignment horizontal="center" vertical="center" wrapText="1"/>
    </xf>
    <xf numFmtId="0" fontId="22" fillId="0" borderId="8" xfId="0" applyFont="1" applyBorder="1"/>
    <xf numFmtId="0" fontId="10" fillId="0" borderId="8" xfId="0" applyFont="1" applyBorder="1"/>
    <xf numFmtId="171" fontId="10" fillId="0" borderId="8" xfId="0" applyNumberFormat="1" applyFont="1" applyBorder="1"/>
    <xf numFmtId="0" fontId="10" fillId="0" borderId="19" xfId="0" applyFont="1" applyBorder="1"/>
    <xf numFmtId="0" fontId="10" fillId="0" borderId="7" xfId="0" applyFont="1" applyFill="1" applyBorder="1"/>
    <xf numFmtId="0" fontId="10" fillId="0" borderId="8" xfId="0" applyFont="1" applyFill="1" applyBorder="1"/>
    <xf numFmtId="0" fontId="10" fillId="0" borderId="19" xfId="0" applyFont="1" applyFill="1" applyBorder="1"/>
    <xf numFmtId="1" fontId="10" fillId="2" borderId="2" xfId="0" applyNumberFormat="1" applyFont="1" applyFill="1" applyBorder="1" applyAlignment="1">
      <alignment horizontal="center"/>
    </xf>
    <xf numFmtId="1" fontId="10" fillId="4" borderId="2" xfId="0" applyNumberFormat="1" applyFont="1" applyFill="1" applyBorder="1" applyAlignment="1">
      <alignment horizontal="center"/>
    </xf>
    <xf numFmtId="1" fontId="10" fillId="3" borderId="2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176" fontId="10" fillId="0" borderId="10" xfId="1" applyNumberFormat="1" applyFont="1" applyBorder="1" applyAlignment="1">
      <alignment horizontal="center" vertical="center"/>
    </xf>
    <xf numFmtId="2" fontId="10" fillId="0" borderId="10" xfId="0" applyNumberFormat="1" applyFont="1" applyBorder="1"/>
    <xf numFmtId="10" fontId="19" fillId="0" borderId="0" xfId="2" applyNumberFormat="1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center"/>
    </xf>
    <xf numFmtId="164" fontId="15" fillId="0" borderId="9" xfId="1" applyFont="1" applyFill="1" applyBorder="1" applyAlignment="1">
      <alignment horizontal="center" vertical="center" wrapText="1"/>
    </xf>
    <xf numFmtId="0" fontId="13" fillId="0" borderId="0" xfId="0" applyFont="1" applyFill="1" applyBorder="1"/>
    <xf numFmtId="164" fontId="10" fillId="0" borderId="0" xfId="1" applyFont="1" applyFill="1" applyBorder="1" applyAlignment="1"/>
    <xf numFmtId="0" fontId="10" fillId="0" borderId="9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/>
    <xf numFmtId="164" fontId="10" fillId="0" borderId="8" xfId="1" applyFont="1" applyFill="1" applyBorder="1" applyAlignment="1">
      <alignment horizontal="center"/>
    </xf>
    <xf numFmtId="164" fontId="15" fillId="0" borderId="8" xfId="1" applyFont="1" applyFill="1" applyBorder="1" applyAlignment="1"/>
    <xf numFmtId="0" fontId="31" fillId="0" borderId="0" xfId="0" applyFont="1" applyFill="1" applyBorder="1" applyAlignment="1">
      <alignment horizontal="right" vertical="center"/>
    </xf>
    <xf numFmtId="1" fontId="31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164" fontId="13" fillId="0" borderId="0" xfId="1" applyFont="1" applyFill="1" applyBorder="1" applyAlignment="1">
      <alignment horizontal="center" vertical="center" wrapText="1"/>
    </xf>
    <xf numFmtId="164" fontId="15" fillId="0" borderId="0" xfId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right" vertical="center"/>
    </xf>
    <xf numFmtId="164" fontId="10" fillId="0" borderId="2" xfId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/>
    </xf>
    <xf numFmtId="165" fontId="15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26" fillId="0" borderId="1" xfId="0" applyFont="1" applyBorder="1" applyAlignment="1">
      <alignment horizontal="left" vertical="center"/>
    </xf>
    <xf numFmtId="165" fontId="10" fillId="0" borderId="0" xfId="1" applyNumberFormat="1" applyFont="1" applyAlignment="1">
      <alignment horizontal="center" vertical="center" wrapText="1"/>
    </xf>
    <xf numFmtId="164" fontId="15" fillId="0" borderId="0" xfId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164" fontId="10" fillId="8" borderId="0" xfId="0" applyNumberFormat="1" applyFont="1" applyFill="1" applyAlignment="1">
      <alignment horizontal="center" vertical="center" wrapText="1"/>
    </xf>
    <xf numFmtId="164" fontId="15" fillId="0" borderId="2" xfId="0" applyNumberFormat="1" applyFont="1" applyBorder="1"/>
    <xf numFmtId="164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166" fontId="15" fillId="8" borderId="2" xfId="1" applyNumberFormat="1" applyFont="1" applyFill="1" applyBorder="1"/>
    <xf numFmtId="170" fontId="10" fillId="0" borderId="0" xfId="0" applyNumberFormat="1" applyFont="1" applyFill="1" applyBorder="1" applyAlignment="1">
      <alignment horizontal="center" vertical="center" wrapText="1"/>
    </xf>
    <xf numFmtId="9" fontId="10" fillId="0" borderId="0" xfId="2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/>
    <xf numFmtId="166" fontId="10" fillId="0" borderId="0" xfId="0" applyNumberFormat="1" applyFont="1" applyFill="1" applyBorder="1" applyAlignment="1">
      <alignment horizontal="center" vertical="center"/>
    </xf>
    <xf numFmtId="10" fontId="10" fillId="0" borderId="18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0" fontId="10" fillId="0" borderId="9" xfId="0" applyFont="1" applyFill="1" applyBorder="1"/>
    <xf numFmtId="49" fontId="10" fillId="0" borderId="7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/>
    <xf numFmtId="0" fontId="10" fillId="0" borderId="8" xfId="0" applyFont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6" fontId="10" fillId="0" borderId="0" xfId="0" applyNumberFormat="1" applyFont="1" applyAlignment="1">
      <alignment vertical="center"/>
    </xf>
    <xf numFmtId="175" fontId="10" fillId="0" borderId="2" xfId="0" applyNumberFormat="1" applyFont="1" applyBorder="1" applyAlignment="1">
      <alignment horizontal="center" vertical="center"/>
    </xf>
    <xf numFmtId="10" fontId="10" fillId="0" borderId="2" xfId="2" applyNumberFormat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168" fontId="10" fillId="0" borderId="0" xfId="0" applyNumberFormat="1" applyFont="1" applyBorder="1" applyAlignment="1">
      <alignment horizontal="center" vertical="center" wrapText="1"/>
    </xf>
    <xf numFmtId="10" fontId="10" fillId="0" borderId="0" xfId="2" applyNumberFormat="1" applyFont="1" applyFill="1" applyAlignment="1">
      <alignment horizontal="center"/>
    </xf>
    <xf numFmtId="178" fontId="10" fillId="0" borderId="0" xfId="0" applyNumberFormat="1" applyFont="1" applyFill="1"/>
    <xf numFmtId="164" fontId="10" fillId="0" borderId="0" xfId="1" applyFont="1"/>
    <xf numFmtId="179" fontId="10" fillId="0" borderId="0" xfId="2" applyNumberFormat="1" applyFont="1" applyFill="1" applyAlignment="1">
      <alignment horizontal="center"/>
    </xf>
    <xf numFmtId="178" fontId="10" fillId="0" borderId="0" xfId="2" applyNumberFormat="1" applyFont="1" applyFill="1"/>
    <xf numFmtId="11" fontId="10" fillId="0" borderId="0" xfId="2" applyNumberFormat="1" applyFont="1" applyFill="1"/>
    <xf numFmtId="165" fontId="10" fillId="0" borderId="0" xfId="0" applyNumberFormat="1" applyFont="1" applyAlignment="1">
      <alignment horizontal="left" vertical="center"/>
    </xf>
    <xf numFmtId="10" fontId="10" fillId="0" borderId="0" xfId="2" applyNumberFormat="1" applyFont="1" applyBorder="1" applyAlignment="1">
      <alignment horizontal="center" vertical="center" wrapText="1"/>
    </xf>
    <xf numFmtId="0" fontId="34" fillId="0" borderId="0" xfId="0" applyFont="1"/>
    <xf numFmtId="0" fontId="36" fillId="0" borderId="0" xfId="0" applyFont="1"/>
    <xf numFmtId="0" fontId="10" fillId="9" borderId="0" xfId="0" applyFont="1" applyFill="1"/>
    <xf numFmtId="0" fontId="38" fillId="9" borderId="0" xfId="0" applyFont="1" applyFill="1"/>
    <xf numFmtId="0" fontId="37" fillId="9" borderId="2" xfId="0" applyFont="1" applyFill="1" applyBorder="1" applyAlignment="1">
      <alignment vertical="center" wrapText="1"/>
    </xf>
    <xf numFmtId="0" fontId="38" fillId="9" borderId="2" xfId="0" applyFont="1" applyFill="1" applyBorder="1" applyAlignment="1">
      <alignment vertical="center"/>
    </xf>
    <xf numFmtId="0" fontId="10" fillId="9" borderId="2" xfId="0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vertical="center"/>
    </xf>
    <xf numFmtId="175" fontId="24" fillId="9" borderId="2" xfId="0" applyNumberFormat="1" applyFont="1" applyFill="1" applyBorder="1" applyAlignment="1">
      <alignment horizontal="center" vertical="center"/>
    </xf>
    <xf numFmtId="175" fontId="24" fillId="9" borderId="0" xfId="0" applyNumberFormat="1" applyFont="1" applyFill="1" applyAlignment="1">
      <alignment horizontal="center" vertical="center"/>
    </xf>
    <xf numFmtId="0" fontId="38" fillId="9" borderId="0" xfId="0" applyFont="1" applyFill="1" applyAlignment="1">
      <alignment horizontal="left" vertical="center"/>
    </xf>
    <xf numFmtId="0" fontId="20" fillId="0" borderId="2" xfId="0" applyFont="1" applyFill="1" applyBorder="1" applyAlignment="1">
      <alignment horizontal="center" vertical="center" wrapText="1"/>
    </xf>
    <xf numFmtId="164" fontId="20" fillId="0" borderId="3" xfId="1" applyFont="1" applyFill="1" applyBorder="1" applyAlignment="1">
      <alignment horizontal="center" vertical="center" wrapText="1"/>
    </xf>
    <xf numFmtId="164" fontId="20" fillId="0" borderId="3" xfId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/>
    </xf>
    <xf numFmtId="0" fontId="15" fillId="8" borderId="2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vertical="center"/>
    </xf>
    <xf numFmtId="0" fontId="37" fillId="9" borderId="2" xfId="0" applyFont="1" applyFill="1" applyBorder="1" applyAlignment="1">
      <alignment vertical="center"/>
    </xf>
    <xf numFmtId="0" fontId="38" fillId="9" borderId="0" xfId="0" applyFont="1" applyFill="1" applyAlignment="1">
      <alignment vertical="center"/>
    </xf>
    <xf numFmtId="0" fontId="10" fillId="9" borderId="0" xfId="0" applyFont="1" applyFill="1" applyAlignment="1">
      <alignment horizontal="center" vertical="center"/>
    </xf>
    <xf numFmtId="49" fontId="37" fillId="9" borderId="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right"/>
    </xf>
    <xf numFmtId="49" fontId="32" fillId="0" borderId="0" xfId="1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/>
    <xf numFmtId="1" fontId="31" fillId="0" borderId="0" xfId="0" applyNumberFormat="1" applyFont="1" applyFill="1" applyBorder="1" applyAlignment="1">
      <alignment horizontal="center" vertical="distributed"/>
    </xf>
    <xf numFmtId="165" fontId="31" fillId="0" borderId="0" xfId="0" applyNumberFormat="1" applyFont="1" applyFill="1" applyBorder="1" applyAlignment="1">
      <alignment horizontal="center" vertical="center" wrapText="1"/>
    </xf>
    <xf numFmtId="164" fontId="33" fillId="0" borderId="0" xfId="1" applyFont="1" applyFill="1" applyBorder="1"/>
    <xf numFmtId="164" fontId="31" fillId="0" borderId="0" xfId="1" applyFont="1" applyFill="1" applyBorder="1" applyAlignment="1">
      <alignment horizontal="right"/>
    </xf>
    <xf numFmtId="0" fontId="45" fillId="0" borderId="20" xfId="0" applyFont="1" applyBorder="1" applyAlignment="1">
      <alignment horizontal="center" vertical="center" wrapText="1"/>
    </xf>
    <xf numFmtId="0" fontId="40" fillId="9" borderId="15" xfId="0" applyFont="1" applyFill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49" fontId="44" fillId="9" borderId="2" xfId="0" applyNumberFormat="1" applyFont="1" applyFill="1" applyBorder="1" applyAlignment="1">
      <alignment vertical="center"/>
    </xf>
    <xf numFmtId="175" fontId="49" fillId="9" borderId="2" xfId="0" applyNumberFormat="1" applyFont="1" applyFill="1" applyBorder="1" applyAlignment="1">
      <alignment horizontal="center" vertical="center"/>
    </xf>
    <xf numFmtId="0" fontId="50" fillId="9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vertical="center" wrapText="1"/>
    </xf>
    <xf numFmtId="0" fontId="23" fillId="0" borderId="5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distributed"/>
    </xf>
    <xf numFmtId="0" fontId="10" fillId="0" borderId="11" xfId="0" applyFont="1" applyBorder="1" applyAlignment="1">
      <alignment horizontal="center" vertical="distributed"/>
    </xf>
    <xf numFmtId="0" fontId="51" fillId="9" borderId="5" xfId="0" applyFont="1" applyFill="1" applyBorder="1" applyAlignment="1">
      <alignment horizontal="left" vertical="center" wrapText="1"/>
    </xf>
    <xf numFmtId="0" fontId="51" fillId="9" borderId="14" xfId="0" applyFont="1" applyFill="1" applyBorder="1" applyAlignment="1">
      <alignment horizontal="left" vertical="center" wrapText="1"/>
    </xf>
    <xf numFmtId="0" fontId="51" fillId="9" borderId="15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93300"/>
      <color rgb="FF0000FF"/>
      <color rgb="FFCCFFFF"/>
      <color rgb="FF008000"/>
      <color rgb="FF009900"/>
      <color rgb="FF007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0</xdr:colOff>
      <xdr:row>40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40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426356</xdr:colOff>
      <xdr:row>66</xdr:row>
      <xdr:rowOff>145143</xdr:rowOff>
    </xdr:from>
    <xdr:to>
      <xdr:col>14</xdr:col>
      <xdr:colOff>900161</xdr:colOff>
      <xdr:row>72</xdr:row>
      <xdr:rowOff>104547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A3AD7E-BCDD-62BF-9084-F9B62653F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779499" y="4227286"/>
          <a:ext cx="4029805" cy="134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4"/>
  <sheetViews>
    <sheetView tabSelected="1" zoomScale="70" zoomScaleNormal="70" workbookViewId="0">
      <selection activeCell="B1" sqref="B1"/>
    </sheetView>
  </sheetViews>
  <sheetFormatPr baseColWidth="10" defaultColWidth="11.453125" defaultRowHeight="13" x14ac:dyDescent="0.3"/>
  <cols>
    <col min="1" max="1" width="1.08984375" style="5" customWidth="1"/>
    <col min="2" max="2" width="44.7265625" style="5" customWidth="1"/>
    <col min="3" max="3" width="2.7265625" style="5" customWidth="1"/>
    <col min="4" max="5" width="18.6328125" style="5" customWidth="1"/>
    <col min="6" max="6" width="16.6328125" style="5" customWidth="1"/>
    <col min="7" max="7" width="2.7265625" style="5" customWidth="1"/>
    <col min="8" max="9" width="18.6328125" style="5" customWidth="1"/>
    <col min="10" max="10" width="16.6328125" style="5" customWidth="1"/>
    <col min="11" max="11" width="7.6328125" style="5" customWidth="1"/>
    <col min="12" max="13" width="14.26953125" style="5" customWidth="1"/>
    <col min="14" max="14" width="14.7265625" style="5" bestFit="1" customWidth="1"/>
    <col min="15" max="15" width="14.26953125" style="11" bestFit="1" customWidth="1"/>
    <col min="16" max="16" width="14.26953125" style="11" customWidth="1"/>
    <col min="17" max="17" width="14" style="5" bestFit="1" customWidth="1"/>
    <col min="18" max="18" width="11.54296875" style="5" bestFit="1" customWidth="1"/>
    <col min="19" max="19" width="13.81640625" style="5" bestFit="1" customWidth="1"/>
    <col min="20" max="20" width="11.7265625" style="5" bestFit="1" customWidth="1"/>
    <col min="21" max="22" width="11.453125" style="11"/>
    <col min="23" max="24" width="11.7265625" style="5" bestFit="1" customWidth="1"/>
    <col min="25" max="25" width="12.453125" style="5" bestFit="1" customWidth="1"/>
    <col min="26" max="16384" width="11.453125" style="5"/>
  </cols>
  <sheetData>
    <row r="1" spans="2:32" s="4" customFormat="1" ht="8.25" customHeight="1" x14ac:dyDescent="0.3">
      <c r="B1" s="85"/>
      <c r="C1" s="86"/>
      <c r="D1" s="85"/>
      <c r="E1" s="87"/>
      <c r="F1" s="5"/>
      <c r="G1" s="5"/>
      <c r="H1" s="88"/>
      <c r="I1" s="88"/>
      <c r="J1" s="88"/>
      <c r="K1" s="88"/>
      <c r="L1" s="7"/>
      <c r="M1" s="12"/>
      <c r="N1" s="12"/>
      <c r="O1" s="2"/>
      <c r="P1" s="2"/>
      <c r="Q1" s="3"/>
      <c r="R1" s="2"/>
      <c r="S1" s="2"/>
      <c r="T1" s="2"/>
      <c r="U1" s="89"/>
      <c r="V1" s="89"/>
      <c r="W1" s="89"/>
      <c r="X1" s="89"/>
      <c r="Y1" s="89"/>
      <c r="Z1" s="89"/>
      <c r="AA1" s="89"/>
      <c r="AB1" s="89"/>
      <c r="AC1" s="89"/>
    </row>
    <row r="2" spans="2:32" ht="24.75" hidden="1" customHeight="1" thickBot="1" x14ac:dyDescent="0.35">
      <c r="B2" s="298" t="s">
        <v>102</v>
      </c>
      <c r="C2" s="299"/>
      <c r="D2" s="299"/>
      <c r="E2" s="299"/>
      <c r="F2" s="300"/>
      <c r="G2" s="90"/>
      <c r="H2" s="91" t="s">
        <v>64</v>
      </c>
      <c r="I2" s="92">
        <v>0.95</v>
      </c>
      <c r="J2" s="90"/>
      <c r="K2" s="6"/>
      <c r="L2" s="7"/>
      <c r="M2" s="8"/>
      <c r="N2" s="8"/>
      <c r="O2" s="9"/>
      <c r="P2" s="9"/>
      <c r="Q2" s="10"/>
      <c r="R2" s="9"/>
      <c r="S2" s="9"/>
      <c r="T2" s="9"/>
      <c r="U2" s="9"/>
      <c r="V2" s="9"/>
      <c r="W2" s="9"/>
      <c r="X2" s="11"/>
      <c r="Y2" s="11"/>
      <c r="Z2" s="11"/>
      <c r="AA2" s="11"/>
      <c r="AB2" s="11"/>
      <c r="AC2" s="11"/>
      <c r="AD2" s="11"/>
      <c r="AE2" s="11"/>
      <c r="AF2" s="11"/>
    </row>
    <row r="3" spans="2:32" ht="28.5" hidden="1" customHeight="1" x14ac:dyDescent="0.3">
      <c r="B3" s="301" t="s">
        <v>101</v>
      </c>
      <c r="C3" s="302"/>
      <c r="D3" s="302"/>
      <c r="E3" s="302"/>
      <c r="F3" s="303"/>
      <c r="G3" s="93"/>
      <c r="H3" s="93"/>
      <c r="I3" s="93"/>
      <c r="J3" s="93"/>
      <c r="K3" s="6"/>
      <c r="L3" s="7"/>
      <c r="M3" s="8"/>
      <c r="N3" s="8"/>
      <c r="O3" s="9"/>
      <c r="P3" s="9"/>
      <c r="Q3" s="10"/>
      <c r="R3" s="9"/>
      <c r="S3" s="9"/>
      <c r="T3" s="9"/>
      <c r="U3" s="9"/>
      <c r="W3" s="257"/>
      <c r="X3" s="258"/>
      <c r="Y3" s="11"/>
      <c r="Z3" s="11"/>
      <c r="AA3" s="11"/>
      <c r="AB3" s="11"/>
      <c r="AC3" s="11"/>
      <c r="AD3" s="11"/>
      <c r="AE3" s="11"/>
      <c r="AF3" s="11"/>
    </row>
    <row r="4" spans="2:32" ht="10.5" hidden="1" customHeight="1" x14ac:dyDescent="0.3"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8"/>
      <c r="N4" s="252"/>
      <c r="O4" s="9"/>
      <c r="P4" s="9"/>
      <c r="Q4" s="15"/>
      <c r="R4" s="9"/>
      <c r="S4" s="9"/>
      <c r="T4" s="13"/>
      <c r="V4" s="16"/>
      <c r="W4" s="16"/>
      <c r="X4" s="258"/>
      <c r="Y4" s="16"/>
      <c r="Z4" s="17"/>
      <c r="AA4" s="11"/>
      <c r="AB4" s="11"/>
      <c r="AC4" s="11"/>
      <c r="AD4" s="11"/>
      <c r="AE4" s="11"/>
      <c r="AF4" s="11"/>
    </row>
    <row r="5" spans="2:32" hidden="1" x14ac:dyDescent="0.3">
      <c r="B5" s="94" t="s">
        <v>53</v>
      </c>
      <c r="C5" s="95"/>
      <c r="D5" s="96" t="s">
        <v>20</v>
      </c>
      <c r="E5" s="96" t="s">
        <v>21</v>
      </c>
      <c r="F5" s="97"/>
      <c r="I5" s="98"/>
      <c r="J5" s="252"/>
      <c r="K5" s="98"/>
      <c r="L5" s="99"/>
      <c r="M5" s="8"/>
      <c r="N5" s="99"/>
      <c r="O5" s="9"/>
      <c r="P5" s="9"/>
      <c r="Q5" s="9"/>
      <c r="R5" s="9"/>
      <c r="S5" s="9"/>
      <c r="T5" s="13"/>
      <c r="V5" s="16"/>
      <c r="W5" s="16"/>
      <c r="X5" s="259"/>
      <c r="Y5" s="16"/>
      <c r="Z5" s="17"/>
      <c r="AA5" s="11"/>
      <c r="AB5" s="11"/>
      <c r="AC5" s="11"/>
      <c r="AD5" s="11"/>
      <c r="AE5" s="11"/>
      <c r="AF5" s="11"/>
    </row>
    <row r="6" spans="2:32" hidden="1" x14ac:dyDescent="0.3">
      <c r="B6" s="74"/>
      <c r="C6" s="100"/>
      <c r="D6" s="101" t="s">
        <v>3</v>
      </c>
      <c r="E6" s="101" t="s">
        <v>2</v>
      </c>
      <c r="F6" s="102" t="s">
        <v>22</v>
      </c>
      <c r="I6" s="76"/>
      <c r="J6" s="252"/>
      <c r="K6" s="98"/>
      <c r="L6" s="99"/>
      <c r="M6" s="8"/>
      <c r="N6" s="99"/>
      <c r="O6" s="9"/>
      <c r="P6" s="9"/>
      <c r="Q6" s="9"/>
      <c r="R6" s="9"/>
      <c r="S6" s="9"/>
      <c r="T6" s="13"/>
      <c r="V6" s="16"/>
      <c r="W6" s="16"/>
      <c r="X6" s="11"/>
      <c r="Y6" s="16"/>
      <c r="Z6" s="11"/>
      <c r="AA6" s="11"/>
      <c r="AB6" s="11"/>
      <c r="AC6" s="11"/>
      <c r="AD6" s="11"/>
    </row>
    <row r="7" spans="2:32" ht="12.75" hidden="1" customHeight="1" x14ac:dyDescent="0.3">
      <c r="B7" s="260"/>
      <c r="C7" s="103" t="s">
        <v>65</v>
      </c>
      <c r="D7" s="104">
        <v>11</v>
      </c>
      <c r="E7" s="105">
        <f>F7-D7</f>
        <v>572</v>
      </c>
      <c r="F7" s="106">
        <v>583</v>
      </c>
      <c r="H7" s="261"/>
      <c r="I7" s="76"/>
      <c r="J7" s="261"/>
      <c r="K7" s="98"/>
      <c r="L7" s="261"/>
      <c r="M7" s="8"/>
      <c r="N7" s="99"/>
      <c r="O7" s="9"/>
      <c r="P7" s="9"/>
      <c r="Q7" s="254"/>
      <c r="R7" s="9"/>
      <c r="S7" s="9"/>
      <c r="T7" s="13"/>
      <c r="V7" s="16"/>
      <c r="W7" s="16"/>
      <c r="X7" s="11"/>
      <c r="Y7" s="16"/>
      <c r="Z7" s="11"/>
      <c r="AA7" s="11"/>
      <c r="AB7" s="11"/>
      <c r="AC7" s="11"/>
      <c r="AD7" s="11"/>
    </row>
    <row r="8" spans="2:32" ht="12.75" hidden="1" customHeight="1" x14ac:dyDescent="0.3">
      <c r="B8" s="260"/>
      <c r="C8" s="103" t="s">
        <v>66</v>
      </c>
      <c r="D8" s="104">
        <v>16</v>
      </c>
      <c r="E8" s="105">
        <f>F8-D8</f>
        <v>573</v>
      </c>
      <c r="F8" s="106">
        <v>589</v>
      </c>
      <c r="H8" s="261"/>
      <c r="I8" s="76"/>
      <c r="J8" s="261"/>
      <c r="K8" s="98"/>
      <c r="L8" s="261"/>
      <c r="M8" s="107"/>
      <c r="N8" s="99"/>
      <c r="O8" s="9"/>
      <c r="P8" s="9"/>
      <c r="Q8" s="9"/>
      <c r="R8" s="10"/>
      <c r="S8" s="9"/>
      <c r="T8" s="13"/>
      <c r="V8" s="16"/>
      <c r="W8" s="16"/>
      <c r="X8" s="11"/>
      <c r="Y8" s="16"/>
      <c r="Z8" s="11"/>
      <c r="AA8" s="11"/>
      <c r="AB8" s="11"/>
      <c r="AC8" s="11"/>
      <c r="AD8" s="11"/>
    </row>
    <row r="9" spans="2:32" hidden="1" x14ac:dyDescent="0.3">
      <c r="B9" s="74"/>
      <c r="C9" s="108" t="s">
        <v>22</v>
      </c>
      <c r="D9" s="109">
        <f>D7+D8</f>
        <v>27</v>
      </c>
      <c r="E9" s="109">
        <f t="shared" ref="E9:F9" si="0">E7+E8</f>
        <v>1145</v>
      </c>
      <c r="F9" s="109">
        <f t="shared" si="0"/>
        <v>1172</v>
      </c>
      <c r="G9" s="253"/>
      <c r="H9" s="98"/>
      <c r="I9" s="98"/>
      <c r="J9" s="93"/>
      <c r="K9" s="98"/>
      <c r="L9" s="99"/>
      <c r="M9" s="107"/>
      <c r="N9" s="99"/>
      <c r="P9" s="21"/>
      <c r="Q9" s="22"/>
      <c r="R9" s="22"/>
      <c r="S9" s="255"/>
      <c r="T9" s="16"/>
      <c r="V9" s="16"/>
      <c r="W9" s="16"/>
      <c r="X9" s="11"/>
      <c r="Y9" s="16"/>
      <c r="Z9" s="11"/>
      <c r="AA9" s="11"/>
      <c r="AB9" s="11"/>
      <c r="AC9" s="11"/>
      <c r="AD9" s="11"/>
    </row>
    <row r="10" spans="2:32" ht="12.75" hidden="1" customHeight="1" x14ac:dyDescent="0.3">
      <c r="B10" s="74"/>
      <c r="C10" s="23"/>
      <c r="D10" s="24"/>
      <c r="E10" s="20"/>
      <c r="F10" s="20"/>
      <c r="G10" s="99"/>
      <c r="H10" s="99"/>
      <c r="I10" s="98"/>
      <c r="J10" s="98"/>
      <c r="K10" s="98"/>
      <c r="L10" s="99"/>
      <c r="M10" s="107"/>
      <c r="N10" s="99"/>
      <c r="P10" s="21"/>
      <c r="Q10" s="22"/>
      <c r="R10" s="22"/>
      <c r="S10" s="22"/>
      <c r="T10" s="16"/>
      <c r="V10" s="16"/>
      <c r="W10" s="16"/>
      <c r="X10" s="11"/>
      <c r="Y10" s="16"/>
      <c r="Z10" s="11"/>
      <c r="AA10" s="11"/>
      <c r="AB10" s="11"/>
      <c r="AC10" s="11"/>
      <c r="AD10" s="11"/>
    </row>
    <row r="11" spans="2:32" s="4" customFormat="1" ht="14.25" hidden="1" customHeight="1" x14ac:dyDescent="0.3">
      <c r="B11" s="110" t="s">
        <v>103</v>
      </c>
      <c r="C11" s="26"/>
      <c r="D11" s="27"/>
      <c r="E11" s="2"/>
      <c r="F11" s="19"/>
      <c r="G11" s="111"/>
      <c r="H11" s="107"/>
      <c r="I11" s="111"/>
      <c r="J11" s="107"/>
      <c r="K11" s="112"/>
      <c r="L11" s="112"/>
      <c r="M11" s="111"/>
      <c r="N11" s="112"/>
      <c r="P11" s="2"/>
      <c r="Q11" s="29"/>
      <c r="R11" s="29"/>
      <c r="S11" s="29"/>
      <c r="T11" s="2"/>
      <c r="U11" s="2"/>
      <c r="V11" s="2"/>
      <c r="W11" s="2"/>
    </row>
    <row r="12" spans="2:32" s="4" customFormat="1" ht="12.75" hidden="1" customHeight="1" x14ac:dyDescent="0.3">
      <c r="B12" s="74" t="s">
        <v>60</v>
      </c>
      <c r="C12" s="26"/>
      <c r="D12" s="27"/>
      <c r="E12" s="2"/>
      <c r="F12" s="19"/>
      <c r="G12" s="111"/>
      <c r="H12" s="107"/>
      <c r="I12" s="111"/>
      <c r="J12" s="107"/>
      <c r="K12" s="113"/>
      <c r="L12" s="112"/>
      <c r="M12" s="112"/>
      <c r="N12" s="112"/>
      <c r="P12" s="2"/>
      <c r="Q12" s="3"/>
      <c r="R12" s="3"/>
      <c r="S12" s="3"/>
      <c r="T12" s="2"/>
      <c r="U12" s="2"/>
      <c r="V12" s="2"/>
      <c r="W12" s="2"/>
    </row>
    <row r="13" spans="2:32" s="4" customFormat="1" ht="54.75" hidden="1" customHeight="1" x14ac:dyDescent="0.3">
      <c r="B13" s="273" t="s">
        <v>25</v>
      </c>
      <c r="C13" s="273" t="s">
        <v>61</v>
      </c>
      <c r="D13" s="273" t="s">
        <v>107</v>
      </c>
      <c r="E13" s="273" t="s">
        <v>62</v>
      </c>
      <c r="F13" s="273" t="s">
        <v>63</v>
      </c>
      <c r="G13" s="273" t="s">
        <v>4</v>
      </c>
      <c r="H13" s="273" t="s">
        <v>67</v>
      </c>
      <c r="I13" s="273" t="s">
        <v>68</v>
      </c>
      <c r="J13" s="107"/>
      <c r="K13" s="274" t="s">
        <v>43</v>
      </c>
      <c r="L13" s="275" t="s">
        <v>0</v>
      </c>
      <c r="M13" s="275" t="s">
        <v>1</v>
      </c>
      <c r="N13" s="112"/>
      <c r="P13" s="2"/>
      <c r="Q13" s="2"/>
      <c r="R13" s="2"/>
      <c r="S13" s="2"/>
      <c r="T13" s="2"/>
      <c r="U13" s="2"/>
      <c r="V13" s="2"/>
      <c r="W13" s="2"/>
    </row>
    <row r="14" spans="2:32" s="4" customFormat="1" ht="12.75" hidden="1" customHeight="1" x14ac:dyDescent="0.3">
      <c r="B14" s="78">
        <f>LN((D7/F7)/(D8/F8))</f>
        <v>-0.36445445214031641</v>
      </c>
      <c r="C14" s="78">
        <f>SQRT((E7/(D7*F7)+(E8/(D8*F8))))</f>
        <v>0.38729321214502543</v>
      </c>
      <c r="D14" s="114">
        <f>-NORMSINV((1-I2)/2)</f>
        <v>1.9599639845400536</v>
      </c>
      <c r="E14" s="79">
        <f>B14-(D14*C14)</f>
        <v>-1.1235351994013967</v>
      </c>
      <c r="F14" s="80">
        <f>B14+(D14*C14)</f>
        <v>0.39462629512076391</v>
      </c>
      <c r="G14" s="115">
        <f>(D7/F7)/(D8/F8)</f>
        <v>0.69457547169811318</v>
      </c>
      <c r="H14" s="115">
        <f>EXP(E14)</f>
        <v>0.32512836695078579</v>
      </c>
      <c r="I14" s="115">
        <f>EXP(F14)</f>
        <v>1.4838295729442825</v>
      </c>
      <c r="J14" s="107"/>
      <c r="K14" s="116">
        <f>1-G14</f>
        <v>0.30542452830188682</v>
      </c>
      <c r="L14" s="115">
        <f>1-H14</f>
        <v>0.67487163304921416</v>
      </c>
      <c r="M14" s="115">
        <f>1-I14</f>
        <v>-0.48382957294428253</v>
      </c>
      <c r="N14" s="117"/>
      <c r="P14" s="2"/>
      <c r="Q14" s="2"/>
      <c r="R14" s="2"/>
      <c r="S14" s="2"/>
      <c r="T14" s="2"/>
      <c r="U14" s="2"/>
      <c r="V14" s="2"/>
      <c r="W14" s="2"/>
    </row>
    <row r="15" spans="2:32" s="4" customFormat="1" ht="12.75" hidden="1" customHeight="1" x14ac:dyDescent="0.3">
      <c r="B15" s="118"/>
      <c r="C15" s="26"/>
      <c r="D15" s="26"/>
      <c r="E15" s="26"/>
      <c r="F15" s="30"/>
      <c r="G15" s="119"/>
      <c r="H15" s="107"/>
      <c r="I15" s="111"/>
      <c r="J15" s="107"/>
      <c r="K15" s="111"/>
      <c r="L15" s="111"/>
      <c r="M15" s="111"/>
      <c r="N15" s="112"/>
      <c r="P15" s="2"/>
      <c r="Q15" s="2"/>
      <c r="R15" s="2"/>
      <c r="S15" s="2"/>
      <c r="T15" s="2"/>
      <c r="U15" s="2"/>
      <c r="V15" s="2"/>
      <c r="W15" s="2"/>
    </row>
    <row r="16" spans="2:32" s="11" customFormat="1" ht="12.75" hidden="1" customHeight="1" x14ac:dyDescent="0.3">
      <c r="B16" s="73"/>
      <c r="C16" s="31"/>
      <c r="D16" s="32"/>
      <c r="E16" s="33"/>
      <c r="F16" s="34"/>
      <c r="G16" s="120"/>
      <c r="H16" s="121"/>
      <c r="I16" s="122"/>
      <c r="J16" s="122"/>
      <c r="K16" s="123"/>
      <c r="L16" s="123"/>
      <c r="M16" s="124"/>
      <c r="N16" s="124"/>
    </row>
    <row r="17" spans="2:30" ht="15.75" hidden="1" customHeight="1" x14ac:dyDescent="0.3">
      <c r="B17" s="37" t="s">
        <v>69</v>
      </c>
      <c r="C17" s="2"/>
      <c r="D17" s="125"/>
      <c r="E17" s="125"/>
      <c r="F17" s="12"/>
      <c r="G17" s="12"/>
      <c r="H17" s="126"/>
      <c r="I17" s="38"/>
      <c r="J17" s="127"/>
      <c r="K17" s="127"/>
      <c r="L17" s="4"/>
      <c r="M17" s="112"/>
      <c r="N17" s="107"/>
      <c r="O17" s="38"/>
      <c r="P17" s="2"/>
      <c r="Q17" s="2"/>
      <c r="R17" s="39"/>
      <c r="S17" s="38"/>
      <c r="T17" s="40"/>
      <c r="U17" s="40"/>
      <c r="V17" s="40"/>
      <c r="W17" s="11"/>
      <c r="X17" s="11"/>
      <c r="Y17" s="11"/>
      <c r="Z17" s="11"/>
      <c r="AA17" s="11"/>
      <c r="AB17" s="11"/>
      <c r="AC17" s="11"/>
    </row>
    <row r="18" spans="2:30" ht="12.75" hidden="1" customHeight="1" x14ac:dyDescent="0.3">
      <c r="B18" s="41" t="s">
        <v>70</v>
      </c>
      <c r="C18" s="2"/>
      <c r="D18" s="38"/>
      <c r="E18" s="38"/>
      <c r="F18" s="2"/>
      <c r="G18" s="2"/>
      <c r="H18" s="39"/>
      <c r="I18" s="38"/>
      <c r="J18" s="40"/>
      <c r="K18" s="40"/>
      <c r="L18" s="40"/>
      <c r="M18" s="112"/>
      <c r="N18" s="107"/>
      <c r="O18" s="2"/>
      <c r="P18" s="2"/>
      <c r="Q18" s="39"/>
      <c r="R18" s="38"/>
      <c r="S18" s="40"/>
      <c r="T18" s="40"/>
      <c r="U18" s="40"/>
      <c r="W18" s="11" t="s">
        <v>27</v>
      </c>
      <c r="X18" s="11"/>
      <c r="Y18" s="11"/>
      <c r="Z18" s="11"/>
      <c r="AA18" s="11"/>
      <c r="AB18" s="11"/>
    </row>
    <row r="19" spans="2:30" ht="25.5" hidden="1" customHeight="1" x14ac:dyDescent="0.3">
      <c r="B19" s="128" t="s">
        <v>71</v>
      </c>
      <c r="C19" s="5" t="s">
        <v>9</v>
      </c>
      <c r="D19" s="4"/>
      <c r="E19" s="5" t="s">
        <v>72</v>
      </c>
      <c r="G19" s="5" t="s">
        <v>7</v>
      </c>
      <c r="I19" s="5" t="s">
        <v>8</v>
      </c>
      <c r="J19" s="40"/>
      <c r="K19" s="40"/>
      <c r="L19" s="40"/>
      <c r="M19" s="112"/>
      <c r="N19" s="123"/>
      <c r="P19" s="5"/>
      <c r="T19" s="11"/>
      <c r="V19" s="5"/>
      <c r="W19" s="5" t="s">
        <v>28</v>
      </c>
      <c r="Y19" s="11"/>
      <c r="Z19" s="11"/>
      <c r="AA19" s="11"/>
      <c r="AB19" s="11"/>
      <c r="AC19" s="11"/>
      <c r="AD19" s="11"/>
    </row>
    <row r="20" spans="2:30" ht="38.25" hidden="1" customHeight="1" x14ac:dyDescent="0.4">
      <c r="B20" s="77" t="s">
        <v>73</v>
      </c>
      <c r="C20" s="77" t="s">
        <v>26</v>
      </c>
      <c r="D20" s="129" t="s">
        <v>10</v>
      </c>
      <c r="E20" s="129" t="s">
        <v>9</v>
      </c>
      <c r="F20" s="129" t="s">
        <v>74</v>
      </c>
      <c r="G20" s="129" t="s">
        <v>7</v>
      </c>
      <c r="H20" s="129" t="s">
        <v>8</v>
      </c>
      <c r="I20" s="130" t="s">
        <v>5</v>
      </c>
      <c r="J20" s="129" t="s">
        <v>75</v>
      </c>
      <c r="K20" s="129" t="s">
        <v>0</v>
      </c>
      <c r="L20" s="129" t="s">
        <v>1</v>
      </c>
      <c r="M20" s="131"/>
      <c r="N20" s="132"/>
      <c r="O20" s="133" t="s">
        <v>13</v>
      </c>
      <c r="P20" s="134" t="s">
        <v>56</v>
      </c>
      <c r="Q20" s="135"/>
      <c r="R20" s="136"/>
      <c r="S20" s="137"/>
      <c r="T20" s="137"/>
      <c r="U20" s="138"/>
      <c r="W20" s="139"/>
      <c r="X20" s="133" t="s">
        <v>57</v>
      </c>
      <c r="Y20" s="134" t="s">
        <v>76</v>
      </c>
      <c r="Z20" s="81"/>
      <c r="AA20" s="81"/>
      <c r="AB20" s="81" t="s">
        <v>77</v>
      </c>
      <c r="AC20" s="81"/>
      <c r="AD20" s="72"/>
    </row>
    <row r="21" spans="2:30" ht="12.75" hidden="1" customHeight="1" x14ac:dyDescent="0.3">
      <c r="B21" s="140">
        <f>D7</f>
        <v>11</v>
      </c>
      <c r="C21" s="141">
        <f>F7</f>
        <v>583</v>
      </c>
      <c r="D21" s="142">
        <f>B21/C21</f>
        <v>1.8867924528301886E-2</v>
      </c>
      <c r="E21" s="143">
        <f>2*B21+I21^2</f>
        <v>25.841458820694122</v>
      </c>
      <c r="F21" s="143">
        <f>I21*SQRT((I21^2)+(4*B21*(1-D21)))</f>
        <v>13.438447021769402</v>
      </c>
      <c r="G21" s="276">
        <f>2*(C21+I21^2)</f>
        <v>1173.6829176413883</v>
      </c>
      <c r="H21" s="144" t="s">
        <v>11</v>
      </c>
      <c r="I21" s="114">
        <f>-NORMSINV((1-I2)/2)</f>
        <v>1.9599639845400536</v>
      </c>
      <c r="J21" s="145">
        <f>D21</f>
        <v>1.8867924528301886E-2</v>
      </c>
      <c r="K21" s="145">
        <f>(E21-F21)/G21</f>
        <v>1.0567600169089609E-2</v>
      </c>
      <c r="L21" s="145">
        <f>(E21+F21)/G21</f>
        <v>3.3467221216271686E-2</v>
      </c>
      <c r="M21" s="131"/>
      <c r="N21" s="146">
        <f>F9/2</f>
        <v>586</v>
      </c>
      <c r="O21" s="18" t="s">
        <v>14</v>
      </c>
      <c r="P21" s="2"/>
      <c r="Q21" s="39"/>
      <c r="R21" s="38"/>
      <c r="S21" s="40"/>
      <c r="T21" s="40"/>
      <c r="U21" s="147"/>
      <c r="W21" s="148">
        <f>ABS(D21-D22)</f>
        <v>8.2967613800172986E-3</v>
      </c>
      <c r="X21" s="18" t="s">
        <v>78</v>
      </c>
      <c r="Y21" s="2"/>
      <c r="Z21" s="18"/>
      <c r="AA21" s="18"/>
      <c r="AB21" s="18" t="s">
        <v>79</v>
      </c>
      <c r="AC21" s="18"/>
      <c r="AD21" s="149"/>
    </row>
    <row r="22" spans="2:30" ht="14.25" hidden="1" customHeight="1" x14ac:dyDescent="0.4">
      <c r="B22" s="140">
        <f>D8</f>
        <v>16</v>
      </c>
      <c r="C22" s="141">
        <f>F8</f>
        <v>589</v>
      </c>
      <c r="D22" s="142">
        <f>B22/C22</f>
        <v>2.7164685908319185E-2</v>
      </c>
      <c r="E22" s="143">
        <f>2*B22+I22^2</f>
        <v>35.841458820694122</v>
      </c>
      <c r="F22" s="143">
        <f>I22*SQRT((I22^2)+(4*B22*(1-D22)))</f>
        <v>15.93523269264378</v>
      </c>
      <c r="G22" s="276">
        <f>2*(C22+I22^2)</f>
        <v>1185.6829176413883</v>
      </c>
      <c r="H22" s="144" t="s">
        <v>11</v>
      </c>
      <c r="I22" s="114">
        <f>-NORMSINV((1-I2)/2)</f>
        <v>1.9599639845400536</v>
      </c>
      <c r="J22" s="145">
        <f>D22</f>
        <v>2.7164685908319185E-2</v>
      </c>
      <c r="K22" s="145">
        <f>(E22-F22)/G22</f>
        <v>1.6788827629943989E-2</v>
      </c>
      <c r="L22" s="145">
        <f>(E22+F22)/G22</f>
        <v>4.3668244471577897E-2</v>
      </c>
      <c r="M22" s="131"/>
      <c r="N22" s="150">
        <f>J26</f>
        <v>8.2967613800172986E-3</v>
      </c>
      <c r="O22" s="18" t="s">
        <v>15</v>
      </c>
      <c r="P22" s="18"/>
      <c r="Q22" s="18"/>
      <c r="R22" s="18"/>
      <c r="S22" s="18"/>
      <c r="T22" s="18"/>
      <c r="U22" s="83"/>
      <c r="W22" s="151">
        <f>SQRT((D23*(1-D23)/C21)+(D23*(1-D23)/C22))</f>
        <v>8.7645353054796992E-3</v>
      </c>
      <c r="X22" s="41" t="s">
        <v>80</v>
      </c>
      <c r="Y22" s="18"/>
      <c r="Z22" s="18"/>
      <c r="AA22" s="18"/>
      <c r="AB22" s="18"/>
      <c r="AC22" s="18"/>
      <c r="AD22" s="149"/>
    </row>
    <row r="23" spans="2:30" ht="12.75" hidden="1" customHeight="1" x14ac:dyDescent="0.3">
      <c r="B23" s="140">
        <f>D9</f>
        <v>27</v>
      </c>
      <c r="C23" s="141">
        <f>F9</f>
        <v>1172</v>
      </c>
      <c r="D23" s="142">
        <f>B23/C23</f>
        <v>2.303754266211604E-2</v>
      </c>
      <c r="E23" s="143">
        <f>2*B23+I23^2</f>
        <v>57.841458820694122</v>
      </c>
      <c r="F23" s="143">
        <f>I23*SQRT((I23^2)+(4*B23*(1-D23)))</f>
        <v>20.49577027553909</v>
      </c>
      <c r="G23" s="276">
        <f>2*(C23+I23^2)</f>
        <v>2351.682917641388</v>
      </c>
      <c r="H23" s="144" t="s">
        <v>11</v>
      </c>
      <c r="I23" s="114">
        <f>-NORMSINV((1-I2)/2)</f>
        <v>1.9599639845400536</v>
      </c>
      <c r="J23" s="145">
        <f>D23</f>
        <v>2.303754266211604E-2</v>
      </c>
      <c r="K23" s="145">
        <f>(E23-F23)/G23</f>
        <v>1.5880409839695034E-2</v>
      </c>
      <c r="L23" s="145">
        <f>(E23+F23)/G23</f>
        <v>3.3311135828975304E-2</v>
      </c>
      <c r="M23" s="131"/>
      <c r="N23" s="152">
        <f>(B21+B22)/(C21+C22)</f>
        <v>2.303754266211604E-2</v>
      </c>
      <c r="O23" s="18" t="s">
        <v>6</v>
      </c>
      <c r="P23" s="2"/>
      <c r="Q23" s="39"/>
      <c r="R23" s="38"/>
      <c r="S23" s="40"/>
      <c r="T23" s="40"/>
      <c r="U23" s="149"/>
      <c r="W23" s="153">
        <f>W21/W22</f>
        <v>0.94662878188533939</v>
      </c>
      <c r="X23" s="18" t="s">
        <v>42</v>
      </c>
      <c r="Y23" s="2"/>
      <c r="Z23" s="18"/>
      <c r="AA23" s="18"/>
      <c r="AB23" s="18"/>
      <c r="AC23" s="18"/>
      <c r="AD23" s="149"/>
    </row>
    <row r="24" spans="2:30" ht="15" hidden="1" customHeight="1" x14ac:dyDescent="0.3">
      <c r="B24" s="74"/>
      <c r="C24" s="154" t="s">
        <v>12</v>
      </c>
      <c r="F24" s="35"/>
      <c r="G24" s="122"/>
      <c r="H24" s="122"/>
      <c r="I24" s="122"/>
      <c r="J24" s="122"/>
      <c r="K24" s="123"/>
      <c r="L24" s="99"/>
      <c r="M24" s="131"/>
      <c r="N24" s="155">
        <f>SQRT(N21*N22^2/(2*N23*(1-N23)))-I21</f>
        <v>-1.013322797404641</v>
      </c>
      <c r="O24" s="18" t="s">
        <v>81</v>
      </c>
      <c r="P24" s="18"/>
      <c r="Q24" s="18"/>
      <c r="R24" s="18"/>
      <c r="S24" s="18"/>
      <c r="T24" s="4"/>
      <c r="U24" s="147"/>
      <c r="W24" s="156">
        <f>NORMSDIST(-W23)</f>
        <v>0.17191398616046319</v>
      </c>
      <c r="X24" s="37" t="s">
        <v>82</v>
      </c>
      <c r="Y24" s="18"/>
      <c r="Z24" s="4"/>
      <c r="AA24" s="4"/>
      <c r="AB24" s="4"/>
      <c r="AC24" s="4"/>
      <c r="AD24" s="83"/>
    </row>
    <row r="25" spans="2:30" ht="13.5" hidden="1" customHeight="1" x14ac:dyDescent="0.3">
      <c r="B25" s="74"/>
      <c r="C25" s="154" t="s">
        <v>83</v>
      </c>
      <c r="D25" s="25"/>
      <c r="E25" s="36"/>
      <c r="F25" s="35"/>
      <c r="G25" s="122"/>
      <c r="H25" s="99"/>
      <c r="I25" s="99"/>
      <c r="J25" s="157"/>
      <c r="K25" s="157"/>
      <c r="L25" s="157"/>
      <c r="M25" s="131"/>
      <c r="N25" s="158">
        <f>NORMSDIST(N24)</f>
        <v>0.15545300088771996</v>
      </c>
      <c r="O25" s="37" t="s">
        <v>16</v>
      </c>
      <c r="P25" s="42"/>
      <c r="Q25" s="18"/>
      <c r="R25" s="18"/>
      <c r="S25" s="18"/>
      <c r="T25" s="18"/>
      <c r="U25" s="149"/>
      <c r="W25" s="159">
        <f>1-W24</f>
        <v>0.82808601383953684</v>
      </c>
      <c r="X25" s="43" t="s">
        <v>84</v>
      </c>
      <c r="Y25" s="42"/>
      <c r="Z25" s="4"/>
      <c r="AA25" s="4"/>
      <c r="AB25" s="4"/>
      <c r="AC25" s="4"/>
      <c r="AD25" s="83"/>
    </row>
    <row r="26" spans="2:30" ht="15" hidden="1" customHeight="1" x14ac:dyDescent="0.35">
      <c r="F26" s="44"/>
      <c r="G26" s="99"/>
      <c r="H26" s="99"/>
      <c r="I26" s="91" t="s">
        <v>23</v>
      </c>
      <c r="J26" s="160">
        <f>D22-D21</f>
        <v>8.2967613800172986E-3</v>
      </c>
      <c r="K26" s="161">
        <f>J26+SQRT((D22-K22)^2+(L21-D21)^2)</f>
        <v>2.620759326455837E-2</v>
      </c>
      <c r="L26" s="162">
        <f>J26-SQRT((D21-K21)^2+(L22-D22)^2)</f>
        <v>-1.017653907547908E-2</v>
      </c>
      <c r="M26" s="98"/>
      <c r="N26" s="163">
        <f>1-N25</f>
        <v>0.84454699911228004</v>
      </c>
      <c r="O26" s="164" t="s">
        <v>85</v>
      </c>
      <c r="P26" s="165"/>
      <c r="Q26" s="166"/>
      <c r="R26" s="165"/>
      <c r="S26" s="165"/>
      <c r="T26" s="165"/>
      <c r="U26" s="167"/>
      <c r="W26" s="168"/>
      <c r="X26" s="169"/>
      <c r="Y26" s="165"/>
      <c r="Z26" s="169"/>
      <c r="AA26" s="169"/>
      <c r="AB26" s="169"/>
      <c r="AC26" s="169"/>
      <c r="AD26" s="170"/>
    </row>
    <row r="27" spans="2:30" ht="13.5" hidden="1" customHeight="1" x14ac:dyDescent="0.3">
      <c r="F27" s="45"/>
      <c r="G27" s="99"/>
      <c r="H27" s="99"/>
      <c r="I27" s="91" t="s">
        <v>24</v>
      </c>
      <c r="J27" s="171">
        <f>1/J26</f>
        <v>120.52895752895752</v>
      </c>
      <c r="K27" s="172">
        <f>1/K26</f>
        <v>38.156880332553925</v>
      </c>
      <c r="L27" s="173">
        <f>1/L26</f>
        <v>-98.26523463262221</v>
      </c>
      <c r="M27" s="98"/>
      <c r="N27" s="99"/>
      <c r="O27" s="5"/>
      <c r="P27" s="5"/>
      <c r="U27" s="5"/>
      <c r="V27" s="5"/>
      <c r="W27" s="11"/>
      <c r="X27" s="11"/>
      <c r="Y27" s="11"/>
      <c r="Z27" s="11"/>
      <c r="AA27" s="11"/>
      <c r="AB27" s="11"/>
      <c r="AC27" s="11"/>
    </row>
    <row r="28" spans="2:30" ht="14.25" hidden="1" customHeight="1" x14ac:dyDescent="0.4">
      <c r="G28" s="99"/>
      <c r="H28" s="99"/>
      <c r="K28" s="174"/>
      <c r="L28" s="174"/>
      <c r="M28" s="175"/>
      <c r="N28" s="132"/>
      <c r="O28" s="176"/>
      <c r="P28" s="176" t="s">
        <v>80</v>
      </c>
      <c r="Q28" s="177">
        <f>SQRT((D23*(1-D23)/C21)+(D23*(1-D23)/C22))</f>
        <v>8.7645353054796992E-3</v>
      </c>
      <c r="R28" s="178"/>
      <c r="S28" s="178"/>
      <c r="T28" s="178"/>
      <c r="U28" s="72"/>
      <c r="V28" s="5"/>
    </row>
    <row r="29" spans="2:30" ht="31.5" hidden="1" customHeight="1" x14ac:dyDescent="0.35">
      <c r="F29" s="179"/>
      <c r="G29" s="191"/>
      <c r="H29" s="283"/>
      <c r="I29" s="284"/>
      <c r="J29" s="180"/>
      <c r="K29" s="180"/>
      <c r="L29" s="180"/>
      <c r="M29" s="99"/>
      <c r="N29" s="181" t="s">
        <v>86</v>
      </c>
      <c r="O29" s="182"/>
      <c r="P29" s="18" t="s">
        <v>87</v>
      </c>
      <c r="Q29" s="18"/>
      <c r="R29" s="39"/>
      <c r="S29" s="183" t="s">
        <v>88</v>
      </c>
      <c r="T29" s="18"/>
      <c r="U29" s="149"/>
      <c r="V29" s="5"/>
    </row>
    <row r="30" spans="2:30" s="4" customFormat="1" ht="14.25" hidden="1" customHeight="1" x14ac:dyDescent="0.4">
      <c r="F30" s="47"/>
      <c r="G30" s="285"/>
      <c r="H30" s="286"/>
      <c r="I30" s="283"/>
      <c r="J30" s="287"/>
      <c r="K30" s="287"/>
      <c r="L30" s="287"/>
      <c r="M30" s="99"/>
      <c r="N30" s="184"/>
      <c r="O30" s="70" t="s">
        <v>89</v>
      </c>
      <c r="Q30" s="185" t="s">
        <v>90</v>
      </c>
      <c r="R30" s="70" t="s">
        <v>91</v>
      </c>
      <c r="S30" s="18"/>
      <c r="T30" s="18"/>
      <c r="U30" s="83"/>
    </row>
    <row r="31" spans="2:30" s="4" customFormat="1" ht="14.25" hidden="1" customHeight="1" x14ac:dyDescent="0.4">
      <c r="F31" s="48"/>
      <c r="G31" s="285"/>
      <c r="H31" s="286"/>
      <c r="I31" s="283"/>
      <c r="J31" s="287"/>
      <c r="K31" s="287"/>
      <c r="L31" s="287"/>
      <c r="M31" s="112"/>
      <c r="N31" s="155">
        <f>ABS((J26/Q28))-I21</f>
        <v>-1.0133352026547142</v>
      </c>
      <c r="O31" s="70" t="s">
        <v>92</v>
      </c>
      <c r="P31" s="18"/>
      <c r="Q31" s="18"/>
      <c r="R31" s="38"/>
      <c r="S31" s="40"/>
      <c r="T31" s="40"/>
      <c r="U31" s="147"/>
    </row>
    <row r="32" spans="2:30" s="4" customFormat="1" ht="12.75" hidden="1" customHeight="1" x14ac:dyDescent="0.3">
      <c r="B32" s="186"/>
      <c r="C32" s="49"/>
      <c r="E32" s="28"/>
      <c r="G32" s="288"/>
      <c r="H32" s="289"/>
      <c r="I32" s="290"/>
      <c r="J32" s="287"/>
      <c r="K32" s="287"/>
      <c r="L32" s="287"/>
      <c r="M32" s="112"/>
      <c r="N32" s="158">
        <f>NORMSDIST(N31)</f>
        <v>0.15545003918776773</v>
      </c>
      <c r="O32" s="41" t="s">
        <v>93</v>
      </c>
      <c r="P32" s="42"/>
      <c r="Q32" s="18"/>
      <c r="R32" s="18"/>
      <c r="S32" s="18"/>
      <c r="T32" s="18"/>
      <c r="U32" s="83"/>
    </row>
    <row r="33" spans="2:22" s="4" customFormat="1" ht="12.75" hidden="1" customHeight="1" x14ac:dyDescent="0.3">
      <c r="B33" s="186"/>
      <c r="G33" s="187"/>
      <c r="H33" s="188"/>
      <c r="I33" s="188"/>
      <c r="J33" s="192"/>
      <c r="K33" s="192"/>
      <c r="L33" s="192"/>
      <c r="M33" s="112"/>
      <c r="N33" s="163">
        <f>1-N32</f>
        <v>0.84454996081223221</v>
      </c>
      <c r="O33" s="165" t="s">
        <v>94</v>
      </c>
      <c r="P33" s="165"/>
      <c r="Q33" s="166"/>
      <c r="R33" s="189"/>
      <c r="S33" s="190"/>
      <c r="T33" s="190"/>
      <c r="U33" s="167"/>
    </row>
    <row r="34" spans="2:22" ht="15.75" hidden="1" customHeight="1" x14ac:dyDescent="0.35">
      <c r="B34" s="193" t="s">
        <v>95</v>
      </c>
      <c r="C34" s="54"/>
      <c r="D34" s="54"/>
      <c r="E34" s="54"/>
      <c r="F34" s="50"/>
      <c r="G34" s="288"/>
      <c r="H34" s="289"/>
      <c r="I34" s="290"/>
      <c r="J34" s="287"/>
      <c r="K34" s="287"/>
      <c r="L34" s="287"/>
      <c r="M34" s="99"/>
      <c r="N34" s="98"/>
      <c r="O34" s="18"/>
      <c r="P34" s="18"/>
      <c r="Q34" s="18"/>
      <c r="R34" s="18"/>
      <c r="S34" s="18"/>
      <c r="T34" s="18"/>
      <c r="U34" s="18"/>
      <c r="V34" s="18"/>
    </row>
    <row r="35" spans="2:22" s="11" customFormat="1" ht="12.75" hidden="1" customHeight="1" x14ac:dyDescent="0.3">
      <c r="B35" s="74"/>
      <c r="C35" s="55" t="s">
        <v>20</v>
      </c>
      <c r="D35" s="56" t="s">
        <v>21</v>
      </c>
      <c r="E35" s="18"/>
      <c r="F35" s="50"/>
      <c r="G35" s="194"/>
      <c r="H35" s="195"/>
      <c r="I35" s="196"/>
      <c r="J35" s="197"/>
      <c r="K35" s="197"/>
      <c r="L35" s="197"/>
      <c r="M35" s="123"/>
      <c r="N35" s="112"/>
      <c r="O35" s="4"/>
      <c r="P35" s="4"/>
      <c r="Q35" s="4"/>
      <c r="R35" s="4"/>
    </row>
    <row r="36" spans="2:22" ht="12.75" hidden="1" customHeight="1" x14ac:dyDescent="0.3">
      <c r="B36" s="198" t="s">
        <v>32</v>
      </c>
      <c r="C36" s="58" t="s">
        <v>3</v>
      </c>
      <c r="D36" s="59" t="s">
        <v>2</v>
      </c>
      <c r="E36" s="60" t="s">
        <v>22</v>
      </c>
      <c r="G36" s="99"/>
      <c r="H36" s="99"/>
      <c r="I36" s="99"/>
      <c r="J36" s="99"/>
      <c r="K36" s="99"/>
      <c r="L36" s="99"/>
      <c r="M36" s="99"/>
      <c r="N36" s="112"/>
      <c r="O36" s="4"/>
      <c r="P36" s="4"/>
      <c r="Q36" s="4"/>
      <c r="R36" s="4"/>
      <c r="U36" s="5"/>
      <c r="V36" s="5"/>
    </row>
    <row r="37" spans="2:22" ht="12.75" hidden="1" customHeight="1" x14ac:dyDescent="0.3">
      <c r="B37" s="199" t="s">
        <v>17</v>
      </c>
      <c r="C37" s="61">
        <f>F7*D9/F9</f>
        <v>13.430887372013652</v>
      </c>
      <c r="D37" s="61">
        <f>F7*E9/F9</f>
        <v>569.56911262798633</v>
      </c>
      <c r="E37" s="61">
        <f>F7</f>
        <v>583</v>
      </c>
      <c r="G37" s="200"/>
      <c r="H37" s="201" t="s">
        <v>30</v>
      </c>
      <c r="I37" s="202">
        <f>CHIINV(0.05,K38)</f>
        <v>3.8414588206941236</v>
      </c>
      <c r="J37" s="99"/>
      <c r="K37" s="99"/>
      <c r="L37" s="99"/>
      <c r="M37" s="99"/>
      <c r="N37" s="112"/>
      <c r="O37" s="51"/>
      <c r="P37" s="51"/>
      <c r="Q37" s="51"/>
      <c r="R37" s="4"/>
      <c r="U37" s="5"/>
      <c r="V37" s="5"/>
    </row>
    <row r="38" spans="2:22" ht="12.75" hidden="1" customHeight="1" x14ac:dyDescent="0.3">
      <c r="B38" s="203" t="s">
        <v>18</v>
      </c>
      <c r="C38" s="61">
        <f>F8*D9/F9</f>
        <v>13.569112627986348</v>
      </c>
      <c r="D38" s="61">
        <f>F8*E9/F9</f>
        <v>575.43088737201367</v>
      </c>
      <c r="E38" s="61">
        <f>F8</f>
        <v>589</v>
      </c>
      <c r="F38" s="11"/>
      <c r="G38" s="204"/>
      <c r="H38" s="204"/>
      <c r="I38" s="205"/>
      <c r="J38" s="206" t="s">
        <v>31</v>
      </c>
      <c r="K38" s="207">
        <f>(COUNT(C37:D37)-1)*(COUNT(C37:C38)-1)</f>
        <v>1</v>
      </c>
      <c r="L38" s="99"/>
      <c r="M38" s="99"/>
      <c r="N38" s="99"/>
      <c r="O38" s="51"/>
      <c r="P38" s="51"/>
      <c r="Q38" s="51"/>
      <c r="R38" s="4"/>
      <c r="U38" s="5"/>
      <c r="V38" s="5"/>
    </row>
    <row r="39" spans="2:22" ht="12.75" hidden="1" customHeight="1" x14ac:dyDescent="0.3">
      <c r="B39" s="208" t="s">
        <v>29</v>
      </c>
      <c r="C39" s="61">
        <f>SUM(C37:C38)</f>
        <v>27</v>
      </c>
      <c r="D39" s="61">
        <f>SUM(D37:D38)</f>
        <v>1145</v>
      </c>
      <c r="E39" s="62">
        <f>SUM(E37:E38)</f>
        <v>1172</v>
      </c>
      <c r="F39" s="11"/>
      <c r="G39" s="123"/>
      <c r="H39" s="209" t="s">
        <v>33</v>
      </c>
      <c r="I39" s="71" t="s">
        <v>34</v>
      </c>
      <c r="J39" s="99"/>
      <c r="K39" s="99"/>
      <c r="L39" s="99"/>
      <c r="M39" s="99"/>
      <c r="N39" s="99"/>
      <c r="O39" s="51"/>
      <c r="P39" s="52"/>
      <c r="Q39" s="51"/>
      <c r="R39" s="4"/>
      <c r="U39" s="5"/>
      <c r="V39" s="5"/>
    </row>
    <row r="40" spans="2:22" ht="12.75" hidden="1" customHeight="1" x14ac:dyDescent="0.3">
      <c r="B40" s="208"/>
      <c r="C40" s="63"/>
      <c r="D40" s="63"/>
      <c r="E40" s="64"/>
      <c r="F40" s="11"/>
      <c r="G40" s="123"/>
      <c r="H40" s="209" t="s">
        <v>35</v>
      </c>
      <c r="I40" s="71" t="s">
        <v>36</v>
      </c>
      <c r="J40" s="99"/>
      <c r="K40" s="99"/>
      <c r="L40" s="99"/>
      <c r="M40" s="99"/>
      <c r="N40" s="99"/>
      <c r="O40" s="53"/>
      <c r="P40" s="53"/>
      <c r="Q40" s="53"/>
      <c r="R40" s="4"/>
      <c r="U40" s="5"/>
      <c r="V40" s="5"/>
    </row>
    <row r="41" spans="2:22" ht="26.25" hidden="1" customHeight="1" x14ac:dyDescent="0.3">
      <c r="B41" s="210"/>
      <c r="C41" s="304" t="s">
        <v>96</v>
      </c>
      <c r="D41" s="305"/>
      <c r="G41" s="99"/>
      <c r="H41" s="211"/>
      <c r="I41" s="99"/>
      <c r="J41" s="99"/>
      <c r="K41" s="99"/>
      <c r="L41" s="99"/>
      <c r="M41" s="99"/>
      <c r="N41" s="99"/>
      <c r="O41" s="5"/>
      <c r="P41" s="5"/>
      <c r="U41" s="5"/>
      <c r="V41" s="5"/>
    </row>
    <row r="42" spans="2:22" ht="12.75" hidden="1" customHeight="1" x14ac:dyDescent="0.3">
      <c r="B42" s="210"/>
      <c r="C42" s="65">
        <f>(D7-C37)^2/C37</f>
        <v>0.43997192826801956</v>
      </c>
      <c r="D42" s="65">
        <f>(E7-D37)^2/D37</f>
        <v>1.0374883898023336E-2</v>
      </c>
      <c r="F42" s="57"/>
      <c r="G42" s="212"/>
      <c r="H42" s="99"/>
      <c r="I42" s="99"/>
      <c r="J42" s="112"/>
      <c r="K42" s="112"/>
      <c r="L42" s="213"/>
      <c r="M42" s="99"/>
      <c r="N42" s="99"/>
      <c r="O42" s="5"/>
      <c r="P42" s="5"/>
      <c r="U42" s="5"/>
      <c r="V42" s="5"/>
    </row>
    <row r="43" spans="2:22" ht="12.75" hidden="1" customHeight="1" x14ac:dyDescent="0.3">
      <c r="B43" s="210"/>
      <c r="C43" s="65">
        <f>(D8-C38)^2/C38</f>
        <v>0.43549004105306521</v>
      </c>
      <c r="D43" s="65">
        <f>(E8-D38)^2/D38</f>
        <v>1.0269197474613929E-2</v>
      </c>
      <c r="E43" s="14"/>
      <c r="F43" s="66" t="s">
        <v>37</v>
      </c>
      <c r="G43" s="214">
        <f>C45-I37</f>
        <v>-2.9453527700004014</v>
      </c>
      <c r="H43" s="99"/>
      <c r="I43" s="99"/>
      <c r="J43" s="112"/>
      <c r="K43" s="112"/>
      <c r="L43" s="99"/>
      <c r="M43" s="99"/>
      <c r="N43" s="99"/>
      <c r="O43" s="5"/>
      <c r="P43" s="5"/>
      <c r="U43" s="5"/>
      <c r="V43" s="5"/>
    </row>
    <row r="44" spans="2:22" ht="12.75" hidden="1" customHeight="1" x14ac:dyDescent="0.3">
      <c r="B44" s="71" t="s">
        <v>39</v>
      </c>
      <c r="D44" s="67"/>
      <c r="G44" s="76" t="s">
        <v>40</v>
      </c>
      <c r="H44" s="99"/>
      <c r="I44" s="99"/>
      <c r="J44" s="112"/>
      <c r="K44" s="112"/>
      <c r="L44" s="99"/>
      <c r="M44" s="99"/>
      <c r="N44" s="99"/>
      <c r="O44" s="5"/>
      <c r="P44" s="5"/>
      <c r="U44" s="5"/>
      <c r="V44" s="5"/>
    </row>
    <row r="45" spans="2:22" ht="13.5" hidden="1" customHeight="1" x14ac:dyDescent="0.3">
      <c r="B45" s="84" t="s">
        <v>38</v>
      </c>
      <c r="C45" s="215">
        <f>SUM(C42:D43)</f>
        <v>0.89610605069372207</v>
      </c>
      <c r="D45" s="18"/>
      <c r="G45" s="76" t="s">
        <v>41</v>
      </c>
      <c r="H45" s="99"/>
      <c r="I45" s="216"/>
      <c r="J45" s="112"/>
      <c r="K45" s="112"/>
      <c r="L45" s="217"/>
      <c r="M45" s="99"/>
      <c r="N45" s="99"/>
      <c r="O45" s="5"/>
      <c r="P45" s="5"/>
      <c r="U45" s="5"/>
      <c r="V45" s="5"/>
    </row>
    <row r="46" spans="2:22" ht="12.75" hidden="1" customHeight="1" x14ac:dyDescent="0.3">
      <c r="B46" s="218" t="s">
        <v>58</v>
      </c>
      <c r="C46" s="219">
        <f>CHIDIST(C45,1)</f>
        <v>0.34382797232092616</v>
      </c>
      <c r="E46" s="18"/>
      <c r="F46" s="18"/>
      <c r="G46" s="98"/>
      <c r="H46" s="220"/>
      <c r="I46" s="98"/>
      <c r="J46" s="112"/>
      <c r="K46" s="112"/>
      <c r="L46" s="98"/>
      <c r="M46" s="99"/>
      <c r="N46" s="99"/>
      <c r="O46" s="5"/>
      <c r="P46" s="5"/>
      <c r="U46" s="5"/>
      <c r="V46" s="5"/>
    </row>
    <row r="47" spans="2:22" s="4" customFormat="1" ht="12.75" hidden="1" customHeight="1" x14ac:dyDescent="0.3">
      <c r="B47" s="118"/>
      <c r="E47" s="68"/>
      <c r="F47" s="68"/>
      <c r="G47" s="112"/>
      <c r="H47" s="112"/>
      <c r="I47" s="221"/>
      <c r="J47" s="112"/>
      <c r="K47" s="112"/>
      <c r="L47" s="112"/>
      <c r="M47" s="112"/>
      <c r="N47" s="112"/>
    </row>
    <row r="48" spans="2:22" ht="13.5" hidden="1" customHeight="1" x14ac:dyDescent="0.3">
      <c r="B48" s="74"/>
      <c r="G48" s="99"/>
      <c r="H48" s="99"/>
      <c r="I48" s="99"/>
      <c r="J48" s="112"/>
      <c r="K48" s="112"/>
      <c r="L48" s="99"/>
      <c r="M48" s="99"/>
      <c r="N48" s="99"/>
      <c r="O48" s="5"/>
      <c r="P48" s="5"/>
      <c r="U48" s="5"/>
      <c r="V48" s="5"/>
    </row>
    <row r="49" spans="2:22" ht="12.75" hidden="1" customHeight="1" x14ac:dyDescent="0.3">
      <c r="B49" s="222" t="s">
        <v>97</v>
      </c>
      <c r="C49" s="82"/>
      <c r="D49" s="82"/>
      <c r="E49" s="82"/>
      <c r="F49" s="82"/>
      <c r="G49" s="82"/>
      <c r="H49" s="223"/>
      <c r="I49" s="99"/>
      <c r="J49" s="224" t="s">
        <v>98</v>
      </c>
      <c r="K49" s="225"/>
      <c r="L49" s="226"/>
      <c r="M49" s="226"/>
      <c r="N49" s="226"/>
      <c r="O49" s="72"/>
      <c r="P49" s="5"/>
      <c r="U49" s="5"/>
      <c r="V49" s="5"/>
    </row>
    <row r="50" spans="2:22" ht="12.75" hidden="1" customHeight="1" x14ac:dyDescent="0.3">
      <c r="B50" s="227">
        <f>I2*100</f>
        <v>95</v>
      </c>
      <c r="C50" s="50"/>
      <c r="D50" s="50"/>
      <c r="E50" s="4"/>
      <c r="F50" s="4"/>
      <c r="G50" s="4"/>
      <c r="H50" s="83"/>
      <c r="I50" s="99"/>
      <c r="J50" s="228"/>
      <c r="K50" s="112"/>
      <c r="L50" s="98"/>
      <c r="M50" s="98"/>
      <c r="N50" s="98"/>
      <c r="O50" s="149"/>
      <c r="P50" s="5"/>
      <c r="U50" s="5"/>
      <c r="V50" s="5"/>
    </row>
    <row r="51" spans="2:22" ht="12.75" hidden="1" customHeight="1" x14ac:dyDescent="0.3">
      <c r="B51" s="229" t="s">
        <v>44</v>
      </c>
      <c r="C51" s="230"/>
      <c r="D51" s="230"/>
      <c r="E51" s="1">
        <f>ROUND(G14,2)</f>
        <v>0.69</v>
      </c>
      <c r="F51" s="46">
        <f>ROUND(J26,4)</f>
        <v>8.3000000000000001E-3</v>
      </c>
      <c r="G51" s="231">
        <f>ROUND(J27,0)</f>
        <v>121</v>
      </c>
      <c r="H51" s="232"/>
      <c r="I51" s="99"/>
      <c r="J51" s="233" t="s">
        <v>44</v>
      </c>
      <c r="K51" s="4"/>
      <c r="L51" s="4"/>
      <c r="M51" s="4"/>
      <c r="N51" s="98"/>
      <c r="O51" s="149"/>
      <c r="P51" s="5"/>
      <c r="U51" s="5"/>
      <c r="V51" s="5"/>
    </row>
    <row r="52" spans="2:22" ht="12.75" hidden="1" customHeight="1" x14ac:dyDescent="0.3">
      <c r="B52" s="229" t="s">
        <v>46</v>
      </c>
      <c r="C52" s="18"/>
      <c r="D52" s="18"/>
      <c r="E52" s="1">
        <f>ROUND(H14,2)</f>
        <v>0.33</v>
      </c>
      <c r="F52" s="46">
        <f>ROUND(L26,4)</f>
        <v>-1.0200000000000001E-2</v>
      </c>
      <c r="G52" s="231">
        <f>ROUND(L27,0)</f>
        <v>-98</v>
      </c>
      <c r="H52" s="232"/>
      <c r="I52" s="99"/>
      <c r="J52" s="233" t="s">
        <v>46</v>
      </c>
      <c r="K52" s="234" t="str">
        <f>ROUND(J21,3)*100&amp;J54</f>
        <v>1,9%</v>
      </c>
      <c r="L52" s="234" t="str">
        <f>ROUND(K21,3)*100&amp;J54</f>
        <v>1,1%</v>
      </c>
      <c r="M52" s="234" t="str">
        <f>ROUND(L21,4)*100&amp;J54</f>
        <v>3,35%</v>
      </c>
      <c r="N52" s="75" t="str">
        <f>CONCATENATE(K52," ",J51,L52," ",J55," ",M52,J53)</f>
        <v>1,9% (1,1% a 3,35%)</v>
      </c>
      <c r="O52" s="149"/>
      <c r="P52" s="5"/>
      <c r="U52" s="5"/>
      <c r="V52" s="5"/>
    </row>
    <row r="53" spans="2:22" s="11" customFormat="1" ht="12.75" hidden="1" customHeight="1" x14ac:dyDescent="0.3">
      <c r="B53" s="229" t="s">
        <v>45</v>
      </c>
      <c r="C53" s="230">
        <f>ROUND(D7,0)</f>
        <v>11</v>
      </c>
      <c r="D53" s="230">
        <f>ROUND(D8,0)</f>
        <v>16</v>
      </c>
      <c r="E53" s="1">
        <f>ROUND(I14,2)</f>
        <v>1.48</v>
      </c>
      <c r="F53" s="46">
        <f>ROUND(K26,4)</f>
        <v>2.6200000000000001E-2</v>
      </c>
      <c r="G53" s="231">
        <f>ROUND(K27,0)</f>
        <v>38</v>
      </c>
      <c r="H53" s="235">
        <f>ROUND(N32,4)</f>
        <v>0.1555</v>
      </c>
      <c r="I53" s="123"/>
      <c r="J53" s="233" t="s">
        <v>45</v>
      </c>
      <c r="K53" s="69" t="str">
        <f>ROUND(J22,3)*100&amp;J54</f>
        <v>2,7%</v>
      </c>
      <c r="L53" s="69" t="str">
        <f>ROUND(K22,3)*100&amp;J54</f>
        <v>1,7%</v>
      </c>
      <c r="M53" s="69" t="str">
        <f>ROUND(L22,4)*100&amp;J54</f>
        <v>4,37%</v>
      </c>
      <c r="N53" s="75" t="str">
        <f>CONCATENATE(K53," ",J51,L53," ",J55," ",M53,J53)</f>
        <v>2,7% (1,7% a 4,37%)</v>
      </c>
      <c r="O53" s="83"/>
    </row>
    <row r="54" spans="2:22" ht="12.75" hidden="1" customHeight="1" x14ac:dyDescent="0.3">
      <c r="B54" s="229" t="s">
        <v>47</v>
      </c>
      <c r="C54" s="236" t="s">
        <v>54</v>
      </c>
      <c r="D54" s="236" t="s">
        <v>55</v>
      </c>
      <c r="E54" s="236" t="s">
        <v>4</v>
      </c>
      <c r="F54" s="236" t="s">
        <v>50</v>
      </c>
      <c r="G54" s="237" t="s">
        <v>48</v>
      </c>
      <c r="H54" s="200" t="s">
        <v>51</v>
      </c>
      <c r="I54" s="99"/>
      <c r="J54" s="233" t="s">
        <v>47</v>
      </c>
      <c r="K54" s="69" t="str">
        <f>ROUND(J23,3)*100&amp;J54</f>
        <v>2,3%</v>
      </c>
      <c r="L54" s="69" t="str">
        <f>ROUND(K23,3)*100&amp;J54</f>
        <v>1,6%</v>
      </c>
      <c r="M54" s="69" t="str">
        <f>ROUND(L23,4)*100&amp;J54</f>
        <v>3,33%</v>
      </c>
      <c r="N54" s="75" t="str">
        <f>CONCATENATE(K54," ",J51,L54," ",J55," ",M54,J53)</f>
        <v>2,3% (1,6% a 3,33%)</v>
      </c>
      <c r="O54" s="83"/>
    </row>
    <row r="55" spans="2:22" ht="12.75" hidden="1" customHeight="1" x14ac:dyDescent="0.3">
      <c r="B55" s="238" t="s">
        <v>19</v>
      </c>
      <c r="C55" s="239" t="str">
        <f>CONCATENATE(C53,B56,C21," ",B51,K52,B53)</f>
        <v>11/583 (1,9%)</v>
      </c>
      <c r="D55" s="91" t="str">
        <f>CONCATENATE(D53,B56,C22," ",B51,K53,B53)</f>
        <v>16/589 (2,7%)</v>
      </c>
      <c r="E55" s="239" t="str">
        <f>CONCATENATE(E51," ",B51,E52,B52,E53,B53)</f>
        <v>0,69 (0,33-1,48)</v>
      </c>
      <c r="F55" s="239" t="str">
        <f>CONCATENATE(F51*100,B54," ",B51,F52*100,B54," ",B55," ",F53*100,B54,B53)</f>
        <v>0,83% (-1,02% a 2,62%)</v>
      </c>
      <c r="G55" s="200" t="str">
        <f>CONCATENATE(G51," ",B51,G53," ",B55," ",G52,B53)</f>
        <v>121 (38 a -98)</v>
      </c>
      <c r="H55" s="200" t="str">
        <f>CONCATENATE(H53*100,B54)</f>
        <v>15,55%</v>
      </c>
      <c r="I55" s="99"/>
      <c r="J55" s="240" t="s">
        <v>19</v>
      </c>
      <c r="K55" s="18"/>
      <c r="L55" s="18"/>
      <c r="M55" s="18"/>
      <c r="N55" s="98"/>
      <c r="O55" s="149"/>
      <c r="P55" s="5"/>
      <c r="U55" s="5"/>
      <c r="V55" s="5"/>
    </row>
    <row r="56" spans="2:22" ht="13.5" hidden="1" customHeight="1" x14ac:dyDescent="0.3">
      <c r="B56" s="241" t="s">
        <v>49</v>
      </c>
      <c r="C56" s="169"/>
      <c r="D56" s="169"/>
      <c r="E56" s="169"/>
      <c r="F56" s="169"/>
      <c r="G56" s="242"/>
      <c r="H56" s="243"/>
      <c r="I56" s="99"/>
      <c r="J56" s="244" t="s">
        <v>49</v>
      </c>
      <c r="K56" s="169"/>
      <c r="L56" s="169"/>
      <c r="M56" s="169"/>
      <c r="N56" s="245"/>
      <c r="O56" s="167"/>
      <c r="P56" s="5"/>
      <c r="U56" s="5"/>
      <c r="V56" s="5"/>
    </row>
    <row r="57" spans="2:22" hidden="1" x14ac:dyDescent="0.3">
      <c r="B57" s="74"/>
      <c r="G57" s="99"/>
      <c r="H57" s="99"/>
      <c r="I57" s="99"/>
      <c r="J57" s="99"/>
      <c r="K57" s="99"/>
      <c r="L57" s="112"/>
      <c r="M57" s="99"/>
      <c r="N57" s="99"/>
      <c r="O57" s="5"/>
      <c r="P57" s="5"/>
      <c r="T57" s="256"/>
      <c r="U57" s="5"/>
      <c r="V57" s="5"/>
    </row>
    <row r="58" spans="2:22" ht="27" hidden="1" customHeight="1" x14ac:dyDescent="0.3">
      <c r="B58" s="74"/>
      <c r="C58" s="246" t="s">
        <v>54</v>
      </c>
      <c r="D58" s="246" t="s">
        <v>55</v>
      </c>
      <c r="E58" s="247" t="str">
        <f>CONCATENATE(E54," ",B51,H2," ",B50,B54,B53)</f>
        <v>RR (IC 95%)</v>
      </c>
      <c r="F58" s="247" t="str">
        <f>CONCATENATE(F54," ",B51,H2," ",B50,B54,B53)</f>
        <v>RAR (IC 95%)</v>
      </c>
      <c r="G58" s="247" t="str">
        <f>CONCATENATE(G54," ",B51,H2," ",B50,B54,B53)</f>
        <v>NNT (IC 95%)</v>
      </c>
      <c r="H58" s="247" t="s">
        <v>52</v>
      </c>
      <c r="I58" s="248"/>
      <c r="J58" s="247" t="s">
        <v>59</v>
      </c>
      <c r="L58" s="277" t="s">
        <v>99</v>
      </c>
      <c r="M58" s="277" t="s">
        <v>100</v>
      </c>
      <c r="O58" s="5"/>
      <c r="P58" s="5"/>
      <c r="U58" s="5"/>
      <c r="V58" s="5"/>
    </row>
    <row r="59" spans="2:22" ht="21" hidden="1" customHeight="1" x14ac:dyDescent="0.3">
      <c r="B59" s="74"/>
      <c r="C59" s="91" t="str">
        <f t="shared" ref="C59:H59" si="1">C55</f>
        <v>11/583 (1,9%)</v>
      </c>
      <c r="D59" s="91" t="str">
        <f t="shared" si="1"/>
        <v>16/589 (2,7%)</v>
      </c>
      <c r="E59" s="91" t="str">
        <f t="shared" si="1"/>
        <v>0,69 (0,33-1,48)</v>
      </c>
      <c r="F59" s="91" t="str">
        <f t="shared" si="1"/>
        <v>0,83% (-1,02% a 2,62%)</v>
      </c>
      <c r="G59" s="91" t="str">
        <f t="shared" si="1"/>
        <v>121 (38 a -98)</v>
      </c>
      <c r="H59" s="91" t="str">
        <f t="shared" si="1"/>
        <v>15,55%</v>
      </c>
      <c r="I59" s="249"/>
      <c r="J59" s="250">
        <f>C46</f>
        <v>0.34382797232092616</v>
      </c>
      <c r="L59" s="251">
        <f>IF((K26*L26&lt;0),J23,J21)</f>
        <v>2.303754266211604E-2</v>
      </c>
      <c r="M59" s="251">
        <f>IF((K26*L26&lt;0),J23,J22)</f>
        <v>2.303754266211604E-2</v>
      </c>
      <c r="O59" s="5"/>
      <c r="P59" s="5"/>
      <c r="U59" s="5"/>
      <c r="V59" s="5"/>
    </row>
    <row r="60" spans="2:22" hidden="1" x14ac:dyDescent="0.3">
      <c r="L60" s="4"/>
    </row>
    <row r="61" spans="2:22" hidden="1" x14ac:dyDescent="0.3">
      <c r="L61" s="4"/>
    </row>
    <row r="63" spans="2:22" x14ac:dyDescent="0.3">
      <c r="B63" s="262" t="s">
        <v>264</v>
      </c>
    </row>
    <row r="64" spans="2:22" ht="13.5" thickBot="1" x14ac:dyDescent="0.35">
      <c r="B64" s="263" t="s">
        <v>265</v>
      </c>
    </row>
    <row r="65" spans="1:19" ht="37" customHeight="1" thickBot="1" x14ac:dyDescent="0.35">
      <c r="A65" s="264"/>
      <c r="B65" s="306" t="s">
        <v>260</v>
      </c>
      <c r="C65" s="307"/>
      <c r="D65" s="307"/>
      <c r="E65" s="307"/>
      <c r="F65" s="307"/>
      <c r="G65" s="307"/>
      <c r="H65" s="307"/>
      <c r="I65" s="307"/>
      <c r="J65" s="308"/>
      <c r="K65" s="11"/>
      <c r="L65" s="11"/>
      <c r="M65" s="11"/>
      <c r="N65" s="11"/>
    </row>
    <row r="66" spans="1:19" ht="5.5" customHeight="1" thickBot="1" x14ac:dyDescent="0.35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11"/>
      <c r="L66" s="11"/>
      <c r="M66" s="11"/>
      <c r="N66" s="11"/>
    </row>
    <row r="67" spans="1:19" ht="66" customHeight="1" thickBot="1" x14ac:dyDescent="0.35">
      <c r="A67" s="264"/>
      <c r="B67" s="266" t="s">
        <v>259</v>
      </c>
      <c r="C67" s="264"/>
      <c r="D67" s="291" t="s">
        <v>268</v>
      </c>
      <c r="E67" s="291" t="s">
        <v>269</v>
      </c>
      <c r="F67" s="292" t="s">
        <v>105</v>
      </c>
      <c r="G67" s="264"/>
      <c r="H67" s="293" t="s">
        <v>270</v>
      </c>
      <c r="I67" s="291" t="s">
        <v>271</v>
      </c>
      <c r="J67" s="292" t="s">
        <v>105</v>
      </c>
      <c r="K67" s="264"/>
      <c r="Q67" s="11"/>
      <c r="R67" s="11"/>
      <c r="S67" s="11"/>
    </row>
    <row r="68" spans="1:19" ht="5" customHeight="1" x14ac:dyDescent="0.3">
      <c r="A68" s="264"/>
      <c r="B68" s="265"/>
      <c r="C68" s="264"/>
      <c r="D68" s="265"/>
      <c r="E68" s="265"/>
      <c r="F68" s="265"/>
      <c r="G68" s="264"/>
      <c r="H68" s="264"/>
      <c r="I68" s="264"/>
      <c r="J68" s="264"/>
      <c r="K68" s="264"/>
      <c r="Q68" s="11"/>
      <c r="R68" s="11"/>
      <c r="S68" s="11"/>
    </row>
    <row r="69" spans="1:19" ht="14" customHeight="1" x14ac:dyDescent="0.3">
      <c r="A69" s="264"/>
      <c r="B69" s="267" t="s">
        <v>110</v>
      </c>
      <c r="C69" s="264"/>
      <c r="D69" s="268" t="s">
        <v>163</v>
      </c>
      <c r="E69" s="268" t="s">
        <v>189</v>
      </c>
      <c r="F69" s="270">
        <v>0.95388917545444274</v>
      </c>
      <c r="G69" s="264"/>
      <c r="H69" s="268" t="s">
        <v>212</v>
      </c>
      <c r="I69" s="268" t="s">
        <v>237</v>
      </c>
      <c r="J69" s="270">
        <v>0.94016803754727385</v>
      </c>
      <c r="K69" s="264"/>
      <c r="Q69" s="11"/>
      <c r="R69" s="11"/>
      <c r="S69" s="11"/>
    </row>
    <row r="70" spans="1:19" ht="5" customHeight="1" x14ac:dyDescent="0.3">
      <c r="A70" s="264"/>
      <c r="B70" s="265"/>
      <c r="C70" s="264"/>
      <c r="D70" s="265"/>
      <c r="E70" s="265"/>
      <c r="F70" s="265"/>
      <c r="G70" s="264"/>
      <c r="H70" s="264"/>
      <c r="I70" s="264"/>
      <c r="J70" s="264"/>
      <c r="K70" s="264"/>
      <c r="Q70" s="11"/>
      <c r="R70" s="11"/>
      <c r="S70" s="11"/>
    </row>
    <row r="71" spans="1:19" ht="14" customHeight="1" x14ac:dyDescent="0.3">
      <c r="A71" s="264"/>
      <c r="B71" s="267" t="s">
        <v>108</v>
      </c>
      <c r="C71" s="264"/>
      <c r="D71" s="268" t="s">
        <v>116</v>
      </c>
      <c r="E71" s="268" t="s">
        <v>118</v>
      </c>
      <c r="F71" s="269"/>
      <c r="G71" s="264"/>
      <c r="H71" s="268" t="s">
        <v>117</v>
      </c>
      <c r="I71" s="268" t="s">
        <v>119</v>
      </c>
      <c r="J71" s="269"/>
      <c r="K71" s="264"/>
      <c r="Q71" s="11"/>
      <c r="R71" s="11"/>
      <c r="S71" s="11"/>
    </row>
    <row r="72" spans="1:19" ht="5" customHeight="1" x14ac:dyDescent="0.3">
      <c r="A72" s="264"/>
      <c r="B72" s="265"/>
      <c r="C72" s="264"/>
      <c r="D72" s="265"/>
      <c r="E72" s="265"/>
      <c r="F72" s="265"/>
      <c r="G72" s="264"/>
      <c r="H72" s="264"/>
      <c r="I72" s="264"/>
      <c r="J72" s="264"/>
      <c r="K72" s="264"/>
      <c r="Q72" s="11"/>
      <c r="R72" s="11"/>
      <c r="S72" s="11"/>
    </row>
    <row r="73" spans="1:19" ht="14" customHeight="1" x14ac:dyDescent="0.3">
      <c r="A73" s="264"/>
      <c r="B73" s="280" t="s">
        <v>111</v>
      </c>
      <c r="K73" s="264"/>
      <c r="Q73" s="11"/>
      <c r="R73" s="11"/>
      <c r="S73" s="11"/>
    </row>
    <row r="74" spans="1:19" ht="14" customHeight="1" x14ac:dyDescent="0.3">
      <c r="A74" s="264"/>
      <c r="B74" s="279" t="s">
        <v>113</v>
      </c>
      <c r="C74" s="264"/>
      <c r="D74" s="268" t="s">
        <v>164</v>
      </c>
      <c r="E74" s="268" t="s">
        <v>190</v>
      </c>
      <c r="F74" s="270">
        <v>0.95974436196627733</v>
      </c>
      <c r="G74" s="264"/>
      <c r="H74" s="268" t="s">
        <v>213</v>
      </c>
      <c r="I74" s="268" t="s">
        <v>238</v>
      </c>
      <c r="J74" s="270">
        <v>0.85480820584421524</v>
      </c>
      <c r="K74" s="264"/>
      <c r="Q74" s="11"/>
      <c r="R74" s="11"/>
      <c r="S74" s="11"/>
    </row>
    <row r="75" spans="1:19" ht="14" customHeight="1" x14ac:dyDescent="0.3">
      <c r="A75" s="264"/>
      <c r="B75" s="279" t="s">
        <v>115</v>
      </c>
      <c r="C75" s="264"/>
      <c r="D75" s="268" t="s">
        <v>165</v>
      </c>
      <c r="E75" s="268" t="s">
        <v>191</v>
      </c>
      <c r="F75" s="270">
        <v>0.96564586413928044</v>
      </c>
      <c r="G75" s="264"/>
      <c r="H75" s="268" t="s">
        <v>214</v>
      </c>
      <c r="I75" s="268" t="s">
        <v>239</v>
      </c>
      <c r="J75" s="270">
        <v>0.90393423132057127</v>
      </c>
      <c r="K75" s="264"/>
      <c r="Q75" s="11"/>
      <c r="R75" s="11"/>
      <c r="S75" s="11"/>
    </row>
    <row r="76" spans="1:19" ht="14" customHeight="1" x14ac:dyDescent="0.3">
      <c r="A76" s="264"/>
      <c r="B76" s="279" t="s">
        <v>114</v>
      </c>
      <c r="C76" s="264"/>
      <c r="D76" s="268" t="s">
        <v>166</v>
      </c>
      <c r="E76" s="268" t="s">
        <v>166</v>
      </c>
      <c r="F76" s="270">
        <v>0.96752594858170693</v>
      </c>
      <c r="G76" s="264"/>
      <c r="H76" s="268" t="s">
        <v>215</v>
      </c>
      <c r="I76" s="268" t="s">
        <v>240</v>
      </c>
      <c r="J76" s="270">
        <v>0.45552705923352793</v>
      </c>
      <c r="K76" s="264"/>
      <c r="Q76" s="11"/>
      <c r="R76" s="11"/>
      <c r="S76" s="11"/>
    </row>
    <row r="77" spans="1:19" ht="14" customHeight="1" x14ac:dyDescent="0.3">
      <c r="A77" s="264"/>
      <c r="B77" s="279" t="s">
        <v>112</v>
      </c>
      <c r="C77" s="264"/>
      <c r="D77" s="268" t="s">
        <v>167</v>
      </c>
      <c r="E77" s="268" t="s">
        <v>192</v>
      </c>
      <c r="F77" s="270">
        <v>0.55127706743633587</v>
      </c>
      <c r="G77" s="264"/>
      <c r="H77" s="268" t="s">
        <v>216</v>
      </c>
      <c r="I77" s="268" t="s">
        <v>216</v>
      </c>
      <c r="J77" s="270">
        <v>1</v>
      </c>
      <c r="K77" s="264"/>
      <c r="Q77" s="11"/>
      <c r="R77" s="11"/>
      <c r="S77" s="11"/>
    </row>
    <row r="78" spans="1:19" ht="14" customHeight="1" x14ac:dyDescent="0.3">
      <c r="A78" s="264"/>
      <c r="B78" s="279" t="s">
        <v>272</v>
      </c>
      <c r="C78" s="264"/>
      <c r="D78" s="268" t="s">
        <v>168</v>
      </c>
      <c r="E78" s="268" t="s">
        <v>193</v>
      </c>
      <c r="F78" s="270">
        <v>0.34382797232092616</v>
      </c>
      <c r="G78" s="264"/>
      <c r="H78" s="268" t="s">
        <v>217</v>
      </c>
      <c r="I78" s="268" t="s">
        <v>241</v>
      </c>
      <c r="J78" s="270">
        <v>0.77953533213091486</v>
      </c>
      <c r="K78" s="264"/>
      <c r="Q78" s="11"/>
      <c r="R78" s="11"/>
      <c r="S78" s="11"/>
    </row>
    <row r="79" spans="1:19" ht="14" customHeight="1" x14ac:dyDescent="0.3">
      <c r="A79" s="264"/>
      <c r="B79" s="272" t="s">
        <v>106</v>
      </c>
      <c r="C79" s="264"/>
      <c r="D79" s="278"/>
      <c r="E79" s="278"/>
      <c r="F79" s="271"/>
      <c r="G79" s="264"/>
      <c r="H79" s="278"/>
      <c r="I79" s="278"/>
      <c r="J79" s="271"/>
      <c r="K79" s="264"/>
      <c r="Q79" s="11"/>
      <c r="R79" s="11"/>
      <c r="S79" s="11"/>
    </row>
    <row r="80" spans="1:19" ht="14" customHeight="1" x14ac:dyDescent="0.3">
      <c r="A80" s="264"/>
      <c r="B80" s="279" t="s">
        <v>104</v>
      </c>
      <c r="C80" s="264"/>
      <c r="D80" s="268" t="s">
        <v>169</v>
      </c>
      <c r="E80" s="268" t="s">
        <v>194</v>
      </c>
      <c r="F80" s="270">
        <v>0.78739766682175072</v>
      </c>
      <c r="G80" s="264"/>
      <c r="H80" s="268" t="s">
        <v>218</v>
      </c>
      <c r="I80" s="268" t="s">
        <v>242</v>
      </c>
      <c r="J80" s="270">
        <v>0.74355756029645248</v>
      </c>
      <c r="K80" s="264"/>
      <c r="Q80" s="11"/>
      <c r="R80" s="11"/>
      <c r="S80" s="11"/>
    </row>
    <row r="81" spans="1:19" ht="14" customHeight="1" x14ac:dyDescent="0.3">
      <c r="A81" s="264"/>
      <c r="B81" s="279" t="s">
        <v>120</v>
      </c>
      <c r="C81" s="264"/>
      <c r="D81" s="268" t="s">
        <v>170</v>
      </c>
      <c r="E81" s="268" t="s">
        <v>195</v>
      </c>
      <c r="F81" s="270">
        <v>0.78739766682175072</v>
      </c>
      <c r="G81" s="264"/>
      <c r="H81" s="268" t="s">
        <v>219</v>
      </c>
      <c r="I81" s="268" t="s">
        <v>243</v>
      </c>
      <c r="J81" s="270">
        <v>0.74355756029645248</v>
      </c>
      <c r="K81" s="264"/>
      <c r="Q81" s="11"/>
      <c r="R81" s="11"/>
      <c r="S81" s="11"/>
    </row>
    <row r="82" spans="1:19" ht="14" customHeight="1" x14ac:dyDescent="0.3">
      <c r="A82" s="264"/>
      <c r="B82" s="280" t="s">
        <v>121</v>
      </c>
      <c r="C82" s="264"/>
      <c r="D82" s="281"/>
      <c r="E82" s="281"/>
      <c r="F82" s="271"/>
      <c r="G82" s="264"/>
      <c r="H82" s="281"/>
      <c r="I82" s="281"/>
      <c r="J82" s="271"/>
      <c r="K82" s="264"/>
      <c r="Q82" s="11"/>
      <c r="R82" s="11"/>
      <c r="S82" s="11"/>
    </row>
    <row r="83" spans="1:19" ht="14" customHeight="1" x14ac:dyDescent="0.3">
      <c r="A83" s="264"/>
      <c r="B83" s="279" t="s">
        <v>122</v>
      </c>
      <c r="C83" s="264"/>
      <c r="D83" s="268" t="s">
        <v>171</v>
      </c>
      <c r="E83" s="268" t="s">
        <v>171</v>
      </c>
      <c r="F83" s="270">
        <v>0.9717413055578662</v>
      </c>
      <c r="G83" s="264"/>
      <c r="H83" s="268" t="s">
        <v>220</v>
      </c>
      <c r="I83" s="268" t="s">
        <v>240</v>
      </c>
      <c r="J83" s="270">
        <v>0.5248231654796689</v>
      </c>
      <c r="K83" s="264"/>
      <c r="Q83" s="11"/>
      <c r="R83" s="11"/>
      <c r="S83" s="11"/>
    </row>
    <row r="84" spans="1:19" ht="14" customHeight="1" x14ac:dyDescent="0.3">
      <c r="A84" s="264"/>
      <c r="B84" s="279" t="s">
        <v>123</v>
      </c>
      <c r="C84" s="264"/>
      <c r="D84" s="268" t="s">
        <v>172</v>
      </c>
      <c r="E84" s="268" t="s">
        <v>196</v>
      </c>
      <c r="F84" s="270">
        <v>0.21569177333882203</v>
      </c>
      <c r="G84" s="264"/>
      <c r="H84" s="268" t="s">
        <v>221</v>
      </c>
      <c r="I84" s="268" t="s">
        <v>244</v>
      </c>
      <c r="J84" s="270">
        <v>4.7925622318507874E-2</v>
      </c>
      <c r="K84" s="264"/>
      <c r="Q84" s="11"/>
      <c r="R84" s="11"/>
      <c r="S84" s="11"/>
    </row>
    <row r="85" spans="1:19" ht="14" customHeight="1" x14ac:dyDescent="0.3">
      <c r="A85" s="264"/>
      <c r="B85" s="279" t="s">
        <v>124</v>
      </c>
      <c r="C85" s="264"/>
      <c r="D85" s="268" t="s">
        <v>173</v>
      </c>
      <c r="E85" s="268" t="s">
        <v>197</v>
      </c>
      <c r="F85" s="270">
        <v>0.24388010894503964</v>
      </c>
      <c r="G85" s="264"/>
      <c r="H85" s="268" t="s">
        <v>222</v>
      </c>
      <c r="I85" s="268" t="s">
        <v>245</v>
      </c>
      <c r="J85" s="270">
        <v>9.867791874414425E-2</v>
      </c>
      <c r="K85" s="264"/>
      <c r="Q85" s="11"/>
      <c r="R85" s="11"/>
      <c r="S85" s="11"/>
    </row>
    <row r="86" spans="1:19" ht="14" customHeight="1" x14ac:dyDescent="0.3">
      <c r="A86" s="264"/>
      <c r="B86" s="279" t="s">
        <v>125</v>
      </c>
      <c r="C86" s="264"/>
      <c r="D86" s="268" t="s">
        <v>174</v>
      </c>
      <c r="E86" s="268" t="s">
        <v>198</v>
      </c>
      <c r="F86" s="270">
        <v>0.99946820225211308</v>
      </c>
      <c r="G86" s="264"/>
      <c r="H86" s="268" t="s">
        <v>223</v>
      </c>
      <c r="I86" s="268" t="s">
        <v>246</v>
      </c>
      <c r="J86" s="270">
        <v>0.77291781800459625</v>
      </c>
      <c r="K86" s="264"/>
      <c r="Q86" s="11"/>
      <c r="R86" s="11"/>
      <c r="S86" s="11"/>
    </row>
    <row r="87" spans="1:19" ht="14" customHeight="1" x14ac:dyDescent="0.3">
      <c r="A87" s="264"/>
      <c r="B87" s="279" t="s">
        <v>261</v>
      </c>
      <c r="C87" s="264"/>
      <c r="D87" s="268" t="s">
        <v>175</v>
      </c>
      <c r="E87" s="268" t="s">
        <v>199</v>
      </c>
      <c r="F87" s="270">
        <v>0.37232995049866746</v>
      </c>
      <c r="G87" s="264"/>
      <c r="H87" s="268" t="s">
        <v>224</v>
      </c>
      <c r="I87" s="268" t="s">
        <v>247</v>
      </c>
      <c r="J87" s="270">
        <v>0.70014097642052031</v>
      </c>
      <c r="K87" s="264"/>
      <c r="Q87" s="11"/>
      <c r="R87" s="11"/>
      <c r="S87" s="11"/>
    </row>
    <row r="88" spans="1:19" ht="14" customHeight="1" x14ac:dyDescent="0.3">
      <c r="A88" s="264"/>
      <c r="B88" s="279" t="s">
        <v>109</v>
      </c>
      <c r="C88" s="264"/>
      <c r="D88" s="268" t="s">
        <v>176</v>
      </c>
      <c r="E88" s="268" t="s">
        <v>188</v>
      </c>
      <c r="F88" s="270">
        <v>2.4581516161149571E-2</v>
      </c>
      <c r="G88" s="264"/>
      <c r="H88" s="268" t="s">
        <v>225</v>
      </c>
      <c r="I88" s="268" t="s">
        <v>248</v>
      </c>
      <c r="J88" s="270">
        <v>0.19377384926672386</v>
      </c>
      <c r="K88" s="264"/>
      <c r="Q88" s="11"/>
      <c r="R88" s="11"/>
      <c r="S88" s="11"/>
    </row>
    <row r="89" spans="1:19" ht="14" customHeight="1" x14ac:dyDescent="0.3">
      <c r="A89" s="264"/>
      <c r="B89" s="280" t="s">
        <v>126</v>
      </c>
      <c r="C89" s="264"/>
      <c r="D89" s="281"/>
      <c r="E89" s="281"/>
      <c r="F89" s="271"/>
      <c r="G89" s="264"/>
      <c r="H89" s="281"/>
      <c r="I89" s="281"/>
      <c r="J89" s="271"/>
      <c r="K89" s="264"/>
      <c r="Q89" s="11"/>
      <c r="R89" s="11"/>
      <c r="S89" s="11"/>
    </row>
    <row r="90" spans="1:19" ht="14" customHeight="1" x14ac:dyDescent="0.3">
      <c r="A90" s="264"/>
      <c r="B90" s="279" t="s">
        <v>127</v>
      </c>
      <c r="C90" s="264"/>
      <c r="D90" s="268" t="s">
        <v>177</v>
      </c>
      <c r="E90" s="268" t="s">
        <v>200</v>
      </c>
      <c r="F90" s="270">
        <v>0.38691102810807537</v>
      </c>
      <c r="G90" s="264"/>
      <c r="H90" s="268" t="s">
        <v>226</v>
      </c>
      <c r="I90" s="268" t="s">
        <v>249</v>
      </c>
      <c r="J90" s="270">
        <v>0.4950305197830055</v>
      </c>
      <c r="K90" s="264"/>
      <c r="Q90" s="11"/>
      <c r="R90" s="11"/>
      <c r="S90" s="11"/>
    </row>
    <row r="91" spans="1:19" ht="14" customHeight="1" x14ac:dyDescent="0.3">
      <c r="A91" s="264"/>
      <c r="B91" s="279" t="s">
        <v>262</v>
      </c>
      <c r="C91" s="264"/>
      <c r="D91" s="268" t="s">
        <v>178</v>
      </c>
      <c r="E91" s="268" t="s">
        <v>201</v>
      </c>
      <c r="F91" s="270">
        <v>0.38073783659632116</v>
      </c>
      <c r="G91" s="264"/>
      <c r="H91" s="268" t="s">
        <v>227</v>
      </c>
      <c r="I91" s="268" t="s">
        <v>250</v>
      </c>
      <c r="J91" s="270">
        <v>0.86666229116637461</v>
      </c>
      <c r="K91" s="264"/>
      <c r="Q91" s="11"/>
      <c r="R91" s="11"/>
      <c r="S91" s="11"/>
    </row>
    <row r="92" spans="1:19" ht="14" customHeight="1" x14ac:dyDescent="0.3">
      <c r="A92" s="264"/>
      <c r="B92" s="279" t="s">
        <v>263</v>
      </c>
      <c r="C92" s="264"/>
      <c r="D92" s="268" t="s">
        <v>179</v>
      </c>
      <c r="E92" s="268" t="s">
        <v>202</v>
      </c>
      <c r="F92" s="270">
        <v>0.57878924677726551</v>
      </c>
      <c r="G92" s="264"/>
      <c r="H92" s="268" t="s">
        <v>228</v>
      </c>
      <c r="I92" s="268" t="s">
        <v>239</v>
      </c>
      <c r="J92" s="270">
        <v>0.63858338829109462</v>
      </c>
      <c r="K92" s="264"/>
      <c r="Q92" s="11"/>
      <c r="R92" s="11"/>
      <c r="S92" s="11"/>
    </row>
    <row r="93" spans="1:19" ht="14" customHeight="1" x14ac:dyDescent="0.3">
      <c r="A93" s="264"/>
      <c r="B93" s="279" t="s">
        <v>109</v>
      </c>
      <c r="C93" s="264"/>
      <c r="D93" s="268" t="s">
        <v>176</v>
      </c>
      <c r="E93" s="268" t="s">
        <v>203</v>
      </c>
      <c r="F93" s="270">
        <v>0.217928493974752</v>
      </c>
      <c r="G93" s="264"/>
      <c r="H93" s="268" t="s">
        <v>229</v>
      </c>
      <c r="I93" s="268" t="s">
        <v>251</v>
      </c>
      <c r="J93" s="270">
        <v>0.55609513341608663</v>
      </c>
      <c r="K93" s="264"/>
      <c r="Q93" s="11"/>
      <c r="R93" s="11"/>
      <c r="S93" s="11"/>
    </row>
    <row r="94" spans="1:19" ht="14" customHeight="1" x14ac:dyDescent="0.3">
      <c r="A94" s="264"/>
      <c r="B94" s="280" t="s">
        <v>128</v>
      </c>
      <c r="C94" s="264"/>
      <c r="D94" s="281"/>
      <c r="E94" s="281"/>
      <c r="F94" s="271"/>
      <c r="G94" s="264"/>
      <c r="H94" s="281"/>
      <c r="I94" s="281"/>
      <c r="J94" s="271"/>
      <c r="K94" s="264"/>
      <c r="Q94" s="11"/>
      <c r="R94" s="11"/>
      <c r="S94" s="11"/>
    </row>
    <row r="95" spans="1:19" ht="14" customHeight="1" x14ac:dyDescent="0.3">
      <c r="A95" s="264"/>
      <c r="B95" s="279" t="s">
        <v>129</v>
      </c>
      <c r="C95" s="264"/>
      <c r="D95" s="268" t="s">
        <v>130</v>
      </c>
      <c r="E95" s="268" t="s">
        <v>131</v>
      </c>
      <c r="F95" s="270"/>
      <c r="G95" s="264"/>
      <c r="H95" s="268" t="s">
        <v>136</v>
      </c>
      <c r="I95" s="268" t="s">
        <v>137</v>
      </c>
      <c r="J95" s="270"/>
      <c r="K95" s="264"/>
      <c r="Q95" s="11"/>
      <c r="R95" s="11"/>
      <c r="S95" s="11"/>
    </row>
    <row r="96" spans="1:19" ht="14" customHeight="1" x14ac:dyDescent="0.3">
      <c r="A96" s="264"/>
      <c r="B96" s="279" t="s">
        <v>109</v>
      </c>
      <c r="C96" s="264"/>
      <c r="D96" s="268" t="s">
        <v>180</v>
      </c>
      <c r="E96" s="268" t="s">
        <v>180</v>
      </c>
      <c r="F96" s="270">
        <v>0.98157602413310818</v>
      </c>
      <c r="G96" s="264"/>
      <c r="H96" s="268" t="s">
        <v>217</v>
      </c>
      <c r="I96" s="268" t="s">
        <v>241</v>
      </c>
      <c r="J96" s="270">
        <v>0.77953533213091486</v>
      </c>
      <c r="K96" s="264"/>
      <c r="Q96" s="11"/>
      <c r="R96" s="11"/>
      <c r="S96" s="11"/>
    </row>
    <row r="97" spans="1:19" ht="14" customHeight="1" x14ac:dyDescent="0.3">
      <c r="A97" s="264"/>
      <c r="B97" s="280" t="s">
        <v>132</v>
      </c>
      <c r="C97" s="264"/>
      <c r="D97" s="281"/>
      <c r="E97" s="281"/>
      <c r="F97" s="271"/>
      <c r="G97" s="264"/>
      <c r="H97" s="281"/>
      <c r="I97" s="281"/>
      <c r="J97" s="271"/>
      <c r="K97" s="264"/>
      <c r="Q97" s="11"/>
      <c r="R97" s="11"/>
      <c r="S97" s="11"/>
    </row>
    <row r="98" spans="1:19" ht="14" customHeight="1" x14ac:dyDescent="0.3">
      <c r="A98" s="264"/>
      <c r="B98" s="279" t="s">
        <v>133</v>
      </c>
      <c r="C98" s="264"/>
      <c r="D98" s="268" t="s">
        <v>181</v>
      </c>
      <c r="E98" s="268" t="s">
        <v>204</v>
      </c>
      <c r="F98" s="270">
        <v>0.89097754162715637</v>
      </c>
      <c r="G98" s="264"/>
      <c r="H98" s="268" t="s">
        <v>230</v>
      </c>
      <c r="I98" s="268" t="s">
        <v>252</v>
      </c>
      <c r="J98" s="270">
        <v>0.45526174764725957</v>
      </c>
      <c r="K98" s="264"/>
      <c r="Q98" s="11"/>
      <c r="R98" s="11"/>
      <c r="S98" s="11"/>
    </row>
    <row r="99" spans="1:19" ht="14" customHeight="1" x14ac:dyDescent="0.3">
      <c r="A99" s="264"/>
      <c r="B99" s="279" t="s">
        <v>134</v>
      </c>
      <c r="C99" s="264"/>
      <c r="D99" s="268" t="s">
        <v>182</v>
      </c>
      <c r="E99" s="268" t="s">
        <v>205</v>
      </c>
      <c r="F99" s="270">
        <v>0.636955270602655</v>
      </c>
      <c r="G99" s="264"/>
      <c r="H99" s="268" t="s">
        <v>231</v>
      </c>
      <c r="I99" s="268" t="s">
        <v>253</v>
      </c>
      <c r="J99" s="270">
        <v>0.78065264063896167</v>
      </c>
      <c r="K99" s="264"/>
      <c r="Q99" s="11"/>
      <c r="R99" s="11"/>
      <c r="S99" s="11"/>
    </row>
    <row r="100" spans="1:19" ht="14" customHeight="1" x14ac:dyDescent="0.3">
      <c r="A100" s="264"/>
      <c r="B100" s="279" t="s">
        <v>135</v>
      </c>
      <c r="C100" s="264"/>
      <c r="D100" s="268" t="s">
        <v>183</v>
      </c>
      <c r="E100" s="268" t="s">
        <v>206</v>
      </c>
      <c r="F100" s="270">
        <v>0.80302650355015159</v>
      </c>
      <c r="G100" s="264"/>
      <c r="H100" s="268" t="s">
        <v>232</v>
      </c>
      <c r="I100" s="268" t="s">
        <v>254</v>
      </c>
      <c r="J100" s="270">
        <v>0.49438501316675887</v>
      </c>
      <c r="K100" s="264"/>
      <c r="Q100" s="11"/>
      <c r="R100" s="11"/>
      <c r="S100" s="11"/>
    </row>
    <row r="101" spans="1:19" ht="14" customHeight="1" x14ac:dyDescent="0.3">
      <c r="A101" s="264"/>
      <c r="B101" s="272" t="s">
        <v>138</v>
      </c>
      <c r="C101" s="264"/>
      <c r="D101" s="281"/>
      <c r="E101" s="281"/>
      <c r="F101" s="271"/>
      <c r="G101" s="264"/>
      <c r="H101" s="281"/>
      <c r="I101" s="281"/>
      <c r="J101" s="271"/>
      <c r="K101" s="264"/>
      <c r="Q101" s="11"/>
      <c r="R101" s="11"/>
      <c r="S101" s="11"/>
    </row>
    <row r="102" spans="1:19" ht="14" customHeight="1" x14ac:dyDescent="0.3">
      <c r="A102" s="264"/>
      <c r="B102" s="282" t="s">
        <v>266</v>
      </c>
      <c r="C102" s="264"/>
      <c r="D102" s="268" t="s">
        <v>184</v>
      </c>
      <c r="E102" s="268" t="s">
        <v>207</v>
      </c>
      <c r="F102" s="270">
        <v>0.92549482520839688</v>
      </c>
      <c r="G102" s="264"/>
      <c r="H102" s="268" t="s">
        <v>233</v>
      </c>
      <c r="I102" s="268" t="s">
        <v>255</v>
      </c>
      <c r="J102" s="270">
        <v>0.53108274934449096</v>
      </c>
      <c r="K102" s="264"/>
      <c r="Q102" s="11"/>
      <c r="R102" s="11"/>
      <c r="S102" s="11"/>
    </row>
    <row r="103" spans="1:19" ht="14" customHeight="1" x14ac:dyDescent="0.3">
      <c r="A103" s="264"/>
      <c r="B103" s="282" t="s">
        <v>267</v>
      </c>
      <c r="C103" s="264"/>
      <c r="D103" s="268" t="s">
        <v>185</v>
      </c>
      <c r="E103" s="268" t="s">
        <v>208</v>
      </c>
      <c r="F103" s="270">
        <v>0.92549482520839688</v>
      </c>
      <c r="G103" s="264"/>
      <c r="H103" s="268" t="s">
        <v>234</v>
      </c>
      <c r="I103" s="268" t="s">
        <v>256</v>
      </c>
      <c r="J103" s="270">
        <v>0.53108274934449096</v>
      </c>
      <c r="K103" s="264"/>
      <c r="Q103" s="11"/>
      <c r="R103" s="11"/>
      <c r="S103" s="11"/>
    </row>
    <row r="104" spans="1:19" ht="14" customHeight="1" x14ac:dyDescent="0.3">
      <c r="A104" s="264"/>
      <c r="B104" s="272" t="s">
        <v>139</v>
      </c>
      <c r="C104" s="264"/>
      <c r="D104" s="281"/>
      <c r="E104" s="281"/>
      <c r="F104" s="271"/>
      <c r="G104" s="264"/>
      <c r="H104" s="281"/>
      <c r="I104" s="281"/>
      <c r="J104" s="271"/>
      <c r="K104" s="264"/>
      <c r="Q104" s="11"/>
      <c r="R104" s="11"/>
      <c r="S104" s="11"/>
    </row>
    <row r="105" spans="1:19" ht="14" customHeight="1" x14ac:dyDescent="0.3">
      <c r="A105" s="264"/>
      <c r="B105" s="294" t="s">
        <v>141</v>
      </c>
      <c r="C105" s="264"/>
      <c r="D105" s="268" t="s">
        <v>186</v>
      </c>
      <c r="E105" s="268" t="s">
        <v>209</v>
      </c>
      <c r="F105" s="270">
        <v>0.35663516421670893</v>
      </c>
      <c r="G105" s="264"/>
      <c r="H105" s="268" t="s">
        <v>235</v>
      </c>
      <c r="I105" s="268" t="s">
        <v>257</v>
      </c>
      <c r="J105" s="270">
        <v>0.46203829673053459</v>
      </c>
      <c r="K105" s="264"/>
      <c r="Q105" s="11"/>
      <c r="R105" s="11"/>
      <c r="S105" s="11"/>
    </row>
    <row r="106" spans="1:19" ht="14" customHeight="1" x14ac:dyDescent="0.3">
      <c r="A106" s="264"/>
      <c r="B106" s="282" t="s">
        <v>140</v>
      </c>
      <c r="C106" s="264"/>
      <c r="D106" s="268" t="s">
        <v>187</v>
      </c>
      <c r="E106" s="268" t="s">
        <v>210</v>
      </c>
      <c r="F106" s="270">
        <v>0.61426383566582665</v>
      </c>
      <c r="G106" s="264"/>
      <c r="H106" s="268" t="s">
        <v>236</v>
      </c>
      <c r="I106" s="268" t="s">
        <v>258</v>
      </c>
      <c r="J106" s="270">
        <v>0.59315356137979847</v>
      </c>
      <c r="K106" s="264"/>
      <c r="Q106" s="11"/>
      <c r="R106" s="11"/>
      <c r="S106" s="11"/>
    </row>
    <row r="107" spans="1:19" ht="14" customHeight="1" x14ac:dyDescent="0.3">
      <c r="A107" s="264"/>
      <c r="B107" s="282" t="s">
        <v>109</v>
      </c>
      <c r="C107" s="264"/>
      <c r="D107" s="268" t="s">
        <v>188</v>
      </c>
      <c r="E107" s="268" t="s">
        <v>211</v>
      </c>
      <c r="F107" s="270">
        <v>0.22545273113536157</v>
      </c>
      <c r="G107" s="264"/>
      <c r="H107" s="268" t="s">
        <v>217</v>
      </c>
      <c r="I107" s="268" t="s">
        <v>248</v>
      </c>
      <c r="J107" s="270">
        <v>0.58928554154325319</v>
      </c>
      <c r="K107" s="264"/>
      <c r="Q107" s="11"/>
      <c r="R107" s="11"/>
      <c r="S107" s="11"/>
    </row>
    <row r="108" spans="1:19" ht="5" customHeight="1" x14ac:dyDescent="0.3">
      <c r="A108" s="264"/>
      <c r="B108" s="265"/>
      <c r="C108" s="264"/>
      <c r="D108" s="265"/>
      <c r="E108" s="265"/>
      <c r="F108" s="265"/>
      <c r="G108" s="264"/>
      <c r="H108" s="264"/>
      <c r="I108" s="264"/>
      <c r="J108" s="264"/>
      <c r="K108" s="264"/>
      <c r="Q108" s="11"/>
      <c r="R108" s="11"/>
      <c r="S108" s="11"/>
    </row>
    <row r="109" spans="1:19" ht="14" customHeight="1" x14ac:dyDescent="0.3">
      <c r="A109" s="264"/>
      <c r="B109" s="267" t="s">
        <v>146</v>
      </c>
      <c r="C109" s="264"/>
      <c r="D109" s="268" t="s">
        <v>142</v>
      </c>
      <c r="E109" s="268" t="s">
        <v>143</v>
      </c>
      <c r="F109" s="269"/>
      <c r="G109" s="264"/>
      <c r="H109" s="268" t="s">
        <v>144</v>
      </c>
      <c r="I109" s="268" t="s">
        <v>145</v>
      </c>
      <c r="J109" s="269"/>
      <c r="K109" s="264"/>
      <c r="Q109" s="11"/>
      <c r="R109" s="11"/>
      <c r="S109" s="11"/>
    </row>
    <row r="110" spans="1:19" ht="5" customHeight="1" x14ac:dyDescent="0.3">
      <c r="A110" s="264"/>
      <c r="B110" s="280"/>
      <c r="C110" s="264"/>
      <c r="D110" s="280"/>
      <c r="E110" s="280"/>
      <c r="F110" s="280"/>
      <c r="G110" s="264"/>
      <c r="H110" s="280"/>
      <c r="I110" s="280"/>
      <c r="J110" s="280"/>
      <c r="K110" s="264"/>
      <c r="Q110" s="11"/>
      <c r="R110" s="11"/>
      <c r="S110" s="11"/>
    </row>
    <row r="111" spans="1:19" ht="14" customHeight="1" x14ac:dyDescent="0.3">
      <c r="A111" s="264"/>
      <c r="B111" s="280" t="s">
        <v>147</v>
      </c>
      <c r="C111" s="264"/>
      <c r="D111" s="278"/>
      <c r="E111" s="278"/>
      <c r="F111" s="271"/>
      <c r="G111" s="264"/>
      <c r="H111" s="278"/>
      <c r="I111" s="278"/>
      <c r="J111" s="271"/>
      <c r="K111" s="264"/>
      <c r="Q111" s="11"/>
      <c r="R111" s="11"/>
      <c r="S111" s="11"/>
    </row>
    <row r="112" spans="1:19" ht="14" customHeight="1" x14ac:dyDescent="0.3">
      <c r="A112" s="264"/>
      <c r="B112" s="279" t="s">
        <v>148</v>
      </c>
      <c r="C112" s="264"/>
      <c r="D112" s="268" t="s">
        <v>150</v>
      </c>
      <c r="E112" s="268" t="s">
        <v>151</v>
      </c>
      <c r="F112" s="270">
        <v>0.15921636198787451</v>
      </c>
      <c r="G112" s="264"/>
      <c r="H112" s="268" t="s">
        <v>157</v>
      </c>
      <c r="I112" s="268" t="s">
        <v>158</v>
      </c>
      <c r="J112" s="270">
        <v>0.73057103489661734</v>
      </c>
      <c r="K112" s="264"/>
      <c r="Q112" s="11"/>
      <c r="R112" s="11"/>
      <c r="S112" s="11"/>
    </row>
    <row r="113" spans="1:19" ht="14" customHeight="1" x14ac:dyDescent="0.3">
      <c r="A113" s="264"/>
      <c r="B113" s="279" t="s">
        <v>154</v>
      </c>
      <c r="C113" s="264"/>
      <c r="D113" s="268" t="s">
        <v>152</v>
      </c>
      <c r="E113" s="268" t="s">
        <v>153</v>
      </c>
      <c r="F113" s="270">
        <v>8.3635371195810326E-2</v>
      </c>
      <c r="G113" s="264"/>
      <c r="H113" s="268" t="s">
        <v>159</v>
      </c>
      <c r="I113" s="296" t="s">
        <v>160</v>
      </c>
      <c r="J113" s="295">
        <v>6.6720037344456294E-3</v>
      </c>
      <c r="K113" s="264"/>
      <c r="Q113" s="11"/>
      <c r="R113" s="11"/>
      <c r="S113" s="11"/>
    </row>
    <row r="114" spans="1:19" ht="14" customHeight="1" x14ac:dyDescent="0.3">
      <c r="A114" s="264"/>
      <c r="B114" s="279" t="s">
        <v>149</v>
      </c>
      <c r="C114" s="264"/>
      <c r="D114" s="268" t="s">
        <v>155</v>
      </c>
      <c r="E114" s="268" t="s">
        <v>156</v>
      </c>
      <c r="F114" s="270">
        <v>0.76659072997907596</v>
      </c>
      <c r="G114" s="264"/>
      <c r="H114" s="268" t="s">
        <v>161</v>
      </c>
      <c r="I114" s="268" t="s">
        <v>162</v>
      </c>
      <c r="J114" s="270">
        <v>0.81881615956784437</v>
      </c>
      <c r="K114" s="264"/>
      <c r="Q114" s="11"/>
      <c r="R114" s="11"/>
      <c r="S114" s="11"/>
    </row>
    <row r="115" spans="1:19" ht="5" customHeight="1" x14ac:dyDescent="0.3">
      <c r="A115" s="264"/>
      <c r="B115" s="265"/>
      <c r="C115" s="264"/>
      <c r="D115" s="265"/>
      <c r="E115" s="265"/>
      <c r="F115" s="264"/>
      <c r="G115" s="264"/>
      <c r="H115" s="264"/>
      <c r="I115" s="264"/>
      <c r="J115" s="264"/>
      <c r="K115" s="11"/>
      <c r="L115" s="11"/>
      <c r="M115" s="11"/>
      <c r="N115" s="11"/>
      <c r="Q115" s="11"/>
      <c r="R115" s="11"/>
      <c r="S115" s="11"/>
    </row>
    <row r="116" spans="1:19" ht="43.5" customHeight="1" x14ac:dyDescent="0.3">
      <c r="B116" s="297" t="s">
        <v>273</v>
      </c>
      <c r="C116" s="297"/>
      <c r="D116" s="297"/>
      <c r="E116" s="297"/>
      <c r="F116" s="297"/>
      <c r="G116" s="297"/>
      <c r="H116" s="297"/>
      <c r="I116" s="297"/>
      <c r="J116" s="297"/>
      <c r="K116" s="11"/>
      <c r="L116" s="11"/>
      <c r="M116" s="11"/>
      <c r="N116" s="11"/>
    </row>
    <row r="117" spans="1:19" x14ac:dyDescent="0.3">
      <c r="B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9" x14ac:dyDescent="0.3">
      <c r="B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9" x14ac:dyDescent="0.3">
      <c r="B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9" x14ac:dyDescent="0.3">
      <c r="B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9" x14ac:dyDescent="0.3">
      <c r="B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9" x14ac:dyDescent="0.3">
      <c r="B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9" x14ac:dyDescent="0.3">
      <c r="B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9" x14ac:dyDescent="0.3">
      <c r="B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9" x14ac:dyDescent="0.3">
      <c r="B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9" x14ac:dyDescent="0.3"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9" x14ac:dyDescent="0.3"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9" x14ac:dyDescent="0.3"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6:14" x14ac:dyDescent="0.3"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6:14" x14ac:dyDescent="0.3"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6:14" x14ac:dyDescent="0.3"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6:14" x14ac:dyDescent="0.3"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6:14" x14ac:dyDescent="0.3"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6:14" x14ac:dyDescent="0.3"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6:14" x14ac:dyDescent="0.3"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6:14" x14ac:dyDescent="0.3"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6:14" x14ac:dyDescent="0.3"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6:14" x14ac:dyDescent="0.3"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6:14" x14ac:dyDescent="0.3"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6:14" x14ac:dyDescent="0.3"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6:14" x14ac:dyDescent="0.3"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6:14" x14ac:dyDescent="0.3"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6:14" x14ac:dyDescent="0.3"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6:14" x14ac:dyDescent="0.3"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6:14" x14ac:dyDescent="0.3"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6:14" x14ac:dyDescent="0.3"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6:14" x14ac:dyDescent="0.3"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6:14" x14ac:dyDescent="0.3"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6:14" x14ac:dyDescent="0.3"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6:14" x14ac:dyDescent="0.3"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6:14" x14ac:dyDescent="0.3"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6:14" x14ac:dyDescent="0.3"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6:14" x14ac:dyDescent="0.3"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6:14" x14ac:dyDescent="0.3"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6:14" x14ac:dyDescent="0.3"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6:14" x14ac:dyDescent="0.3"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6:14" x14ac:dyDescent="0.3"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6:14" x14ac:dyDescent="0.3"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6:14" x14ac:dyDescent="0.3"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6:14" x14ac:dyDescent="0.3"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6:14" x14ac:dyDescent="0.3"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6:14" x14ac:dyDescent="0.3"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6:14" x14ac:dyDescent="0.3"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6:14" x14ac:dyDescent="0.3">
      <c r="F164" s="11"/>
      <c r="G164" s="11"/>
      <c r="H164" s="11"/>
      <c r="I164" s="11"/>
      <c r="J164" s="11"/>
      <c r="K164" s="11"/>
      <c r="L164" s="11"/>
      <c r="M164" s="11"/>
      <c r="N164" s="11"/>
    </row>
  </sheetData>
  <mergeCells count="5">
    <mergeCell ref="B116:J116"/>
    <mergeCell ref="B2:F2"/>
    <mergeCell ref="B3:F3"/>
    <mergeCell ref="C41:D41"/>
    <mergeCell ref="B65:J65"/>
  </mergeCells>
  <phoneticPr fontId="2" type="noConversion"/>
  <pageMargins left="0.17" right="0.17" top="0.21" bottom="0.7" header="0" footer="0"/>
  <pageSetup paperSize="9" scale="85" orientation="landscape" r:id="rId1"/>
  <headerFooter alignWithMargins="0"/>
  <ignoredErrors>
    <ignoredError sqref="B8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Baseline PEACE-1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2022-06-13T06:35:55Z</dcterms:modified>
</cp:coreProperties>
</file>