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oa\Desktop\VÑ VULCAN\"/>
    </mc:Choice>
  </mc:AlternateContent>
  <xr:revisionPtr revIDLastSave="0" documentId="13_ncr:1_{ADF7ED42-D503-4FD9-96FF-6103D2C7224D}" xr6:coauthVersionLast="47" xr6:coauthVersionMax="47" xr10:uidLastSave="{00000000-0000-0000-0000-000000000000}"/>
  <bookViews>
    <workbookView xWindow="-110" yWindow="-110" windowWidth="19420" windowHeight="10420" tabRatio="564" xr2:uid="{00000000-000D-0000-FFFF-FFFF00000000}"/>
  </bookViews>
  <sheets>
    <sheet name="Inc Acumul" sheetId="1" r:id="rId1"/>
  </sheets>
  <definedNames>
    <definedName name="ArticleComments" localSheetId="0">'Inc Acumul'!#REF!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" l="1"/>
  <c r="C51" i="1"/>
  <c r="B48" i="1"/>
  <c r="F56" i="1" s="1"/>
  <c r="E37" i="1"/>
  <c r="E36" i="1"/>
  <c r="I22" i="1"/>
  <c r="I21" i="1"/>
  <c r="C21" i="1"/>
  <c r="B21" i="1"/>
  <c r="I20" i="1"/>
  <c r="C20" i="1"/>
  <c r="B20" i="1"/>
  <c r="G14" i="1"/>
  <c r="K14" i="1" s="1"/>
  <c r="D14" i="1"/>
  <c r="B14" i="1"/>
  <c r="F9" i="1"/>
  <c r="D9" i="1"/>
  <c r="E8" i="1"/>
  <c r="E7" i="1"/>
  <c r="E38" i="1" l="1"/>
  <c r="D20" i="1"/>
  <c r="G20" i="1"/>
  <c r="E21" i="1"/>
  <c r="G21" i="1"/>
  <c r="N20" i="1"/>
  <c r="C22" i="1"/>
  <c r="G22" i="1" s="1"/>
  <c r="C36" i="1"/>
  <c r="C41" i="1" s="1"/>
  <c r="E56" i="1"/>
  <c r="C14" i="1"/>
  <c r="E14" i="1" s="1"/>
  <c r="H14" i="1" s="1"/>
  <c r="B22" i="1"/>
  <c r="C37" i="1"/>
  <c r="C42" i="1" s="1"/>
  <c r="E20" i="1"/>
  <c r="E49" i="1"/>
  <c r="J20" i="1"/>
  <c r="F20" i="1"/>
  <c r="G56" i="1"/>
  <c r="D21" i="1"/>
  <c r="N22" i="1"/>
  <c r="E9" i="1"/>
  <c r="K50" i="1" l="1"/>
  <c r="C53" i="1" s="1"/>
  <c r="C57" i="1" s="1"/>
  <c r="W20" i="1"/>
  <c r="D22" i="1"/>
  <c r="Q27" i="1" s="1"/>
  <c r="K20" i="1"/>
  <c r="L50" i="1" s="1"/>
  <c r="C38" i="1"/>
  <c r="F14" i="1"/>
  <c r="I14" i="1" s="1"/>
  <c r="E51" i="1" s="1"/>
  <c r="E22" i="1"/>
  <c r="J21" i="1"/>
  <c r="K51" i="1" s="1"/>
  <c r="J25" i="1"/>
  <c r="D36" i="1"/>
  <c r="D37" i="1"/>
  <c r="D42" i="1" s="1"/>
  <c r="E50" i="1"/>
  <c r="L14" i="1"/>
  <c r="L20" i="1"/>
  <c r="M50" i="1" s="1"/>
  <c r="F21" i="1"/>
  <c r="W21" i="1" l="1"/>
  <c r="W22" i="1" s="1"/>
  <c r="W23" i="1" s="1"/>
  <c r="W24" i="1" s="1"/>
  <c r="J22" i="1"/>
  <c r="K52" i="1" s="1"/>
  <c r="F22" i="1"/>
  <c r="L22" i="1" s="1"/>
  <c r="M52" i="1" s="1"/>
  <c r="N50" i="1"/>
  <c r="E53" i="1"/>
  <c r="E57" i="1" s="1"/>
  <c r="M14" i="1"/>
  <c r="N21" i="1"/>
  <c r="N23" i="1" s="1"/>
  <c r="N24" i="1" s="1"/>
  <c r="N25" i="1" s="1"/>
  <c r="J26" i="1"/>
  <c r="F49" i="1"/>
  <c r="N30" i="1"/>
  <c r="N31" i="1" s="1"/>
  <c r="L21" i="1"/>
  <c r="M51" i="1" s="1"/>
  <c r="K21" i="1"/>
  <c r="L51" i="1" s="1"/>
  <c r="D53" i="1"/>
  <c r="D57" i="1" s="1"/>
  <c r="D38" i="1"/>
  <c r="K37" i="1"/>
  <c r="I36" i="1" s="1"/>
  <c r="D41" i="1"/>
  <c r="C44" i="1" s="1"/>
  <c r="K22" i="1" l="1"/>
  <c r="L52" i="1" s="1"/>
  <c r="N52" i="1" s="1"/>
  <c r="N51" i="1"/>
  <c r="L25" i="1"/>
  <c r="K25" i="1"/>
  <c r="N32" i="1"/>
  <c r="H51" i="1"/>
  <c r="H53" i="1" s="1"/>
  <c r="H57" i="1" s="1"/>
  <c r="G49" i="1"/>
  <c r="G42" i="1"/>
  <c r="C45" i="1"/>
  <c r="J57" i="1" s="1"/>
  <c r="M57" i="1" l="1"/>
  <c r="L57" i="1"/>
  <c r="F51" i="1"/>
  <c r="K26" i="1"/>
  <c r="L26" i="1"/>
  <c r="F50" i="1"/>
  <c r="F53" i="1" l="1"/>
  <c r="F57" i="1" s="1"/>
  <c r="G51" i="1"/>
  <c r="G50" i="1"/>
  <c r="G53" i="1" l="1"/>
  <c r="G57" i="1" s="1"/>
</calcChain>
</file>

<file path=xl/sharedStrings.xml><?xml version="1.0" encoding="utf-8"?>
<sst xmlns="http://schemas.openxmlformats.org/spreadsheetml/2006/main" count="216" uniqueCount="185">
  <si>
    <t>Límite inferior del IC</t>
  </si>
  <si>
    <t>Límite superior del IC</t>
  </si>
  <si>
    <t>Sin eventos</t>
  </si>
  <si>
    <t>Con eventos</t>
  </si>
  <si>
    <t>RR</t>
  </si>
  <si>
    <t>Z α/2 (0,05)</t>
  </si>
  <si>
    <t>pM = proporción "media" de los eventos = nº total eventos / nº suma de ambos grupos; qM= complementario</t>
  </si>
  <si>
    <t>C= 2(n+z^2)</t>
  </si>
  <si>
    <t>IC = (A+-B)/C</t>
  </si>
  <si>
    <t>A= 2*eventos + z^2</t>
  </si>
  <si>
    <t>p (proporción) = eventos / n</t>
  </si>
  <si>
    <t>Operar</t>
  </si>
  <si>
    <t>A continuación, se aplica: IC = RAR - Raíz [(p1-Li1)^2 + (Ls2-p2)^2]  hasta RAR + Raíz [(p2-Li2)^2 + (Ls1-p1)^2], cuidando colocar arriba la proporción mayor y abajo la menor</t>
  </si>
  <si>
    <t>CÁLCULO DE LA POTENCIA:</t>
  </si>
  <si>
    <t>n = nº de los que hay en cada grupo (ojo, no de la suma de ambos)</t>
  </si>
  <si>
    <t>d = diferencia de proporciones de ambos grupos o RAR</t>
  </si>
  <si>
    <t>1 -β = potencia estadística resultante =&gt; probab de detectar una diferencia entre ambos, en caso de que exista</t>
  </si>
  <si>
    <t>Expuestos</t>
  </si>
  <si>
    <t>No expuestos</t>
  </si>
  <si>
    <t>a</t>
  </si>
  <si>
    <t>Enferman</t>
  </si>
  <si>
    <t>No enferman</t>
  </si>
  <si>
    <t>Total</t>
  </si>
  <si>
    <t>RAR =</t>
  </si>
  <si>
    <t>NNT =</t>
  </si>
  <si>
    <t>ln RR</t>
  </si>
  <si>
    <t>n (de muestra)</t>
  </si>
  <si>
    <t>Aunque es mejor calcularlo por ji^2 de Pearson, puede utilizarse una aproximación al cálculo de la "p de la diferencia"</t>
  </si>
  <si>
    <t>Coinciden z^2 de una distribución normal tipificada (=&gt; muestras grandes) con ji^2 con un grado de libertad (EA, pág 254)</t>
  </si>
  <si>
    <t>Totales</t>
  </si>
  <si>
    <t xml:space="preserve">χ² teórico alfa 0,05, y 1 g.l = </t>
  </si>
  <si>
    <t>Grados de libertad = (Nº filas - 1 ) x (Nº columnas -1) =</t>
  </si>
  <si>
    <t>Esperadas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</si>
  <si>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</si>
  <si>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</si>
  <si>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</si>
  <si>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</si>
  <si>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t>χ² cal - χ² teórico =</t>
  </si>
  <si>
    <t>χ² cal=</t>
  </si>
  <si>
    <t>χ² cal= Suma [(ao-ae)^2/ae +(bo-be)^2/be + (co-ce)^2/ce + (do-de)^2/de)]</t>
  </si>
  <si>
    <t>Es &lt; 0 =&gt;Acepto Ho =&gt; Homogeneidad o independencia (o tratamiento no eficaz)</t>
  </si>
  <si>
    <t>Es &gt; 0 =&gt;Rechazo Ho =&gt; Heterogenicidad o dependencia (o tratamiento eficaz)</t>
  </si>
  <si>
    <t>Z α/2 = Dif Proporc / EE Dif proporc</t>
  </si>
  <si>
    <t>RRR</t>
  </si>
  <si>
    <t>(</t>
  </si>
  <si>
    <t>)</t>
  </si>
  <si>
    <t>-</t>
  </si>
  <si>
    <t>%</t>
  </si>
  <si>
    <t>NNT</t>
  </si>
  <si>
    <t>/</t>
  </si>
  <si>
    <t>RAR</t>
  </si>
  <si>
    <t>potencia</t>
  </si>
  <si>
    <t>Potencia</t>
  </si>
  <si>
    <t xml:space="preserve"> </t>
  </si>
  <si>
    <t>Nº event Interv (%)</t>
  </si>
  <si>
    <t>Nº event Control (%)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</si>
  <si>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</si>
  <si>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</si>
  <si>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</si>
  <si>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Cálculo por incidencias acumuladas de RR, RAR, NNT con sus IC 95%, potencia estadística y valor de p</t>
  </si>
  <si>
    <t>EE del ln RR = Raíz (varianza del ln RR) = Raíz [b/ a(a+b)]+[d / c(c+d)]. También es igual a Raíz (1/a + 1/c - 1/a+b -1/c+d)</t>
  </si>
  <si>
    <t>EE del ln RR = Raíz (varianza del ln RR) = Raíz [b / a(a+b)]+[d/ c(c+d)]</t>
  </si>
  <si>
    <t>ln del LI IC</t>
  </si>
  <si>
    <t>ln del LS IC</t>
  </si>
  <si>
    <t>IC</t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</si>
  <si>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</si>
  <si>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LI del IC</t>
  </si>
  <si>
    <t>LS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</si>
  <si>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</si>
  <si>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</si>
  <si>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r>
      <t>p</t>
    </r>
    <r>
      <rPr>
        <sz val="10"/>
        <rFont val="Calibri"/>
        <family val="2"/>
      </rPr>
      <t xml:space="preserve"> = eventos / n</t>
    </r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</si>
  <si>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</si>
  <si>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eventos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</si>
  <si>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</si>
  <si>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Proporción</t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</si>
  <si>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</si>
  <si>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</si>
  <si>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</si>
  <si>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</si>
  <si>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</si>
  <si>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</si>
  <si>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</si>
  <si>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</si>
  <si>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1-α = nivel e confianza =  p (no rechazar Ho │ Ho verdadera)</t>
  </si>
  <si>
    <t xml:space="preserve"> β =&gt; probabilidad de no detectar una diferencia que sí exista.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</si>
  <si>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</si>
  <si>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</si>
  <si>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</si>
  <si>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</si>
  <si>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</si>
  <si>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</si>
  <si>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</si>
  <si>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</si>
  <si>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Chi cuadrado de Pearson</t>
  </si>
  <si>
    <t>Cálculo por incidencias acumuladas</t>
  </si>
  <si>
    <t>Estimación puntual e IC de cada proporción</t>
  </si>
  <si>
    <t>% Intervención (Fact Box)</t>
  </si>
  <si>
    <t>% Control (Fact Box)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</si>
  <si>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>: Riesgo Absoluto;</t>
    </r>
    <r>
      <rPr>
        <b/>
        <sz val="10"/>
        <rFont val="Calibri"/>
        <family val="2"/>
      </rPr>
      <t xml:space="preserve"> RR</t>
    </r>
    <r>
      <rPr>
        <sz val="10"/>
        <rFont val="Calibri"/>
        <family val="2"/>
      </rPr>
      <t xml:space="preserve">: Riesgo Relativo;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con la intervención, para evitar un evento más que con el control; </t>
    </r>
    <r>
      <rPr>
        <b/>
        <sz val="10"/>
        <rFont val="Calibri"/>
        <family val="2"/>
      </rPr>
      <t>IC</t>
    </r>
    <r>
      <rPr>
        <sz val="10"/>
        <rFont val="Calibri"/>
        <family val="2"/>
      </rPr>
      <t>: intervalo de confianza.</t>
    </r>
  </si>
  <si>
    <t>valor de p para la diferencia</t>
  </si>
  <si>
    <t>Las variables dicotómicas se informan en Número y Porcentaje, Nº (%). Las variables continuas en Media y Desviación Estándar, media (DE), salvo que se informen en Mediana y Rango Intercuatílico, mediana [IQR].</t>
  </si>
  <si>
    <t xml:space="preserve">Michaels JA, Campbell B, King B, Palfreyman SJ, Shackley P, Stevenson M. Randomized controlled trial and cost-effectiveness analysis of silver-donating antimicrobial dressings for venous leg ulcers (VULCAN trial). Br J Surg. 2009 Oct;96(10):1147-56. </t>
  </si>
  <si>
    <t>Apósito CON Plata; n= 107</t>
  </si>
  <si>
    <t>Apósito SIN Plata; n= 106</t>
  </si>
  <si>
    <t>Edad, años, media [DE]</t>
  </si>
  <si>
    <t>Mujeres</t>
  </si>
  <si>
    <t>68,8 (DE 16,7)</t>
  </si>
  <si>
    <t>72,4 (DE 13,7)</t>
  </si>
  <si>
    <t>Localización de la úlcera</t>
  </si>
  <si>
    <t>Pierna izquerda</t>
  </si>
  <si>
    <t>Pierna derecha</t>
  </si>
  <si>
    <t>Yorkshire del Sur</t>
  </si>
  <si>
    <t>Osteoartritis</t>
  </si>
  <si>
    <t>Anemia</t>
  </si>
  <si>
    <t>Artritis reumatoide</t>
  </si>
  <si>
    <t>Fumador</t>
  </si>
  <si>
    <t>Ex-fumador</t>
  </si>
  <si>
    <t>Warfarina</t>
  </si>
  <si>
    <t>Atenolol</t>
  </si>
  <si>
    <t>Historia de la lesión ulcerosa venosa</t>
  </si>
  <si>
    <t>Úlcera previa la pierna índice o afectada</t>
  </si>
  <si>
    <t>Cirugía por venas varicosas en cualquier pierna</t>
  </si>
  <si>
    <t>Venas varicosas en cualquier pierna</t>
  </si>
  <si>
    <t>Flebitis previa en cualquier pierna</t>
  </si>
  <si>
    <t>Úlcera previa en cualquier pierna</t>
  </si>
  <si>
    <t>Historia familiar de úlceras en las piernas</t>
  </si>
  <si>
    <r>
      <t xml:space="preserve">Método de Katz: 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</si>
  <si>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r>
      <t>χ² cal= Sumat (observado</t>
    </r>
    <r>
      <rPr>
        <vertAlign val="subscript"/>
        <sz val="10"/>
        <color theme="1"/>
        <rFont val="Calibri"/>
        <family val="2"/>
      </rPr>
      <t xml:space="preserve"> i </t>
    </r>
    <r>
      <rPr>
        <sz val="10"/>
        <color theme="1"/>
        <rFont val="Calibri"/>
        <family val="2"/>
      </rPr>
      <t xml:space="preserve">- esperado </t>
    </r>
    <r>
      <rPr>
        <vertAlign val="subscript"/>
        <sz val="10"/>
        <color theme="1"/>
        <rFont val="Calibri"/>
        <family val="2"/>
      </rPr>
      <t>i</t>
    </r>
    <r>
      <rPr>
        <sz val="10"/>
        <color theme="1"/>
        <rFont val="Calibri"/>
        <family val="2"/>
      </rPr>
      <t>)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/ esperado </t>
    </r>
    <r>
      <rPr>
        <vertAlign val="subscript"/>
        <sz val="10"/>
        <color theme="1"/>
        <rFont val="Calibri"/>
        <family val="2"/>
      </rPr>
      <t>i</t>
    </r>
    <r>
      <rPr>
        <sz val="10"/>
        <color theme="1"/>
        <rFont val="Calibri"/>
        <family val="2"/>
      </rPr>
      <t>)</t>
    </r>
  </si>
  <si>
    <r>
      <t>Corresponde a</t>
    </r>
    <r>
      <rPr>
        <b/>
        <i/>
        <sz val="10"/>
        <color theme="1"/>
        <rFont val="Calibri"/>
        <family val="2"/>
      </rPr>
      <t xml:space="preserve"> p</t>
    </r>
    <r>
      <rPr>
        <sz val="10"/>
        <color theme="1"/>
        <rFont val="Calibri"/>
        <family val="2"/>
      </rPr>
      <t>=</t>
    </r>
  </si>
  <si>
    <t>Presencia de la úlcera desde hace más de 12 meses</t>
  </si>
  <si>
    <t>Historia clínica</t>
  </si>
  <si>
    <t>53 (49,5%)</t>
  </si>
  <si>
    <t>56 (52,3%)</t>
  </si>
  <si>
    <t>51 (47,7%)</t>
  </si>
  <si>
    <t>77 (72%)</t>
  </si>
  <si>
    <t>30 (28%)</t>
  </si>
  <si>
    <t>39 (36,4%)</t>
  </si>
  <si>
    <t>62 (58,5%)</t>
  </si>
  <si>
    <t>60 (56,6%)</t>
  </si>
  <si>
    <t>46 (43,4%)</t>
  </si>
  <si>
    <t>58 (54,7%)</t>
  </si>
  <si>
    <t>48 (45,3%)</t>
  </si>
  <si>
    <t>76 (71,7%)</t>
  </si>
  <si>
    <t>30 (28,3%)</t>
  </si>
  <si>
    <t>43 (40,6%)</t>
  </si>
  <si>
    <t>61 (57,0%</t>
  </si>
  <si>
    <t>52 (49,0%)</t>
  </si>
  <si>
    <t>58 (54,2%)</t>
  </si>
  <si>
    <t>23 (21,5%)</t>
  </si>
  <si>
    <t>25 (23,6%)</t>
  </si>
  <si>
    <t>25 (23,3%)</t>
  </si>
  <si>
    <t>20 (18,9%)</t>
  </si>
  <si>
    <t>44 (41,5%)</t>
  </si>
  <si>
    <t>21 (19,6%)</t>
  </si>
  <si>
    <t>18 (17,0%)</t>
  </si>
  <si>
    <t>35 (32,7%)</t>
  </si>
  <si>
    <t>29 (27,3%)</t>
  </si>
  <si>
    <t>16 (14,9%)</t>
  </si>
  <si>
    <t>14 (13,2%)</t>
  </si>
  <si>
    <t>12 (11,2%)</t>
  </si>
  <si>
    <t>6 (5,6%)</t>
  </si>
  <si>
    <t>14 (13,0%)</t>
  </si>
  <si>
    <t>20 (18,8%)</t>
  </si>
  <si>
    <t>10 (9,3%)</t>
  </si>
  <si>
    <t>7 (6,6%)</t>
  </si>
  <si>
    <t>18 (16,8%)</t>
  </si>
  <si>
    <t>21 (19,8%)</t>
  </si>
  <si>
    <t>31 (28,9%)</t>
  </si>
  <si>
    <t>24 (22,6%)</t>
  </si>
  <si>
    <t>3 (2,8%)</t>
  </si>
  <si>
    <t>10 (9,4%)</t>
  </si>
  <si>
    <t>Devon del Norte</t>
  </si>
  <si>
    <t>20091031-ECA VULCAN 12w, ÚlcVen, após [plata vs norm] =Curac +Cost. Michaels</t>
  </si>
  <si>
    <t>Condado del centro donde se hace el tratamiento</t>
  </si>
  <si>
    <t>Utilización concomitante de warfarina y atenolol</t>
  </si>
  <si>
    <r>
      <rPr>
        <b/>
        <sz val="12"/>
        <color indexed="60"/>
        <rFont val="Calibri"/>
        <family val="2"/>
      </rPr>
      <t>Suplemento 1:</t>
    </r>
    <r>
      <rPr>
        <b/>
        <sz val="12"/>
        <rFont val="Calibri"/>
        <family val="2"/>
      </rPr>
      <t xml:space="preserve"> Características sociodemográficas y clínicas en el inicio (baseline), ECA VULCAN.</t>
    </r>
  </si>
  <si>
    <t>Tamaño del diámetro mayor de la úlcera actual</t>
  </si>
  <si>
    <t>de 1 a ≤ 3 cm</t>
  </si>
  <si>
    <t>&gt; 3 cm</t>
  </si>
  <si>
    <t>Infarto de miocardio o Insuficiencia cardíaca</t>
  </si>
  <si>
    <r>
      <rPr>
        <u/>
        <sz val="10"/>
        <rFont val="Calibri"/>
        <family val="2"/>
      </rPr>
      <t>Abreviaturas y Glosario de términos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Apósitos CON plata</t>
    </r>
    <r>
      <rPr>
        <sz val="10"/>
        <rFont val="Calibri"/>
        <family val="2"/>
      </rPr>
      <t>: Son apósitos que contienen determinadas sales de plata, es decir sales con plata catiónica (Ag</t>
    </r>
    <r>
      <rPr>
        <vertAlign val="superscript"/>
        <sz val="10"/>
        <rFont val="Calibri"/>
        <family val="2"/>
      </rPr>
      <t>+</t>
    </r>
    <r>
      <rPr>
        <sz val="10"/>
        <rFont val="Calibri"/>
        <family val="2"/>
      </rPr>
      <t>);</t>
    </r>
    <r>
      <rPr>
        <b/>
        <sz val="10"/>
        <rFont val="Calibri"/>
        <family val="2"/>
      </rPr>
      <t xml:space="preserve"> ECA:</t>
    </r>
    <r>
      <rPr>
        <sz val="10"/>
        <rFont val="Calibri"/>
        <family val="2"/>
      </rPr>
      <t xml:space="preserve"> estudio controlado y aleatorizado (ensayo clínico).</t>
    </r>
  </si>
  <si>
    <t>Apósito CON Plata</t>
  </si>
  <si>
    <t>Apósito Normal (SIN Plata)</t>
  </si>
  <si>
    <t>Trombosis Venosa Profunda en cualquier pierna</t>
  </si>
  <si>
    <t>Ictus o ataque isquémico transitorio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</si>
</sst>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0\ _€_-;\-* #,##0.000\ _€_-;_-* &quot;-&quot;??\ _€_-;_-@_-"/>
    <numFmt numFmtId="167" formatCode="_-* #,##0.0000\ _€_-;\-* #,##0.0000\ _€_-;_-* &quot;-&quot;??\ _€_-;_-@_-"/>
    <numFmt numFmtId="168" formatCode="0.0%"/>
    <numFmt numFmtId="169" formatCode="_-* #,##0.000000\ _€_-;\-* #,##0.000000\ _€_-;_-* &quot;-&quot;??\ _€_-;_-@_-"/>
    <numFmt numFmtId="170" formatCode="_-* #,##0.000\ _€_-;\-* #,##0.000\ _€_-;_-* &quot;-&quot;???\ _€_-;_-@_-"/>
    <numFmt numFmtId="171" formatCode="_-* #,##0.0\ _€_-;\-* #,##0.0\ _€_-;_-* &quot;-&quot;??\ _€_-;_-@_-"/>
    <numFmt numFmtId="172" formatCode="_-* #,##0.0000\ _€_-;\-* #,##0.0000\ _€_-;_-* &quot;-&quot;?\ _€_-;_-@_-"/>
    <numFmt numFmtId="173" formatCode="0.000"/>
    <numFmt numFmtId="174" formatCode="0.0000"/>
    <numFmt numFmtId="175" formatCode="#,##0.00_ ;\-#,##0.00\ 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9"/>
      <name val="Calibri"/>
      <family val="2"/>
    </font>
    <font>
      <b/>
      <i/>
      <sz val="10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0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</font>
    <font>
      <b/>
      <sz val="12"/>
      <color indexed="60"/>
      <name val="Calibri"/>
      <family val="2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</font>
    <font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b/>
      <i/>
      <sz val="10"/>
      <color theme="1"/>
      <name val="Calibri"/>
      <family val="2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284">
    <xf numFmtId="0" fontId="0" fillId="0" borderId="0" xfId="0"/>
    <xf numFmtId="0" fontId="11" fillId="0" borderId="0" xfId="0" applyFont="1" applyFill="1" applyBorder="1" applyAlignment="1">
      <alignment horizontal="center"/>
    </xf>
    <xf numFmtId="10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/>
    <xf numFmtId="2" fontId="11" fillId="0" borderId="0" xfId="0" applyNumberFormat="1" applyFont="1"/>
    <xf numFmtId="10" fontId="11" fillId="0" borderId="0" xfId="2" applyNumberFormat="1" applyFont="1" applyBorder="1" applyAlignment="1">
      <alignment horizontal="center"/>
    </xf>
    <xf numFmtId="10" fontId="12" fillId="0" borderId="0" xfId="2" applyNumberFormat="1" applyFont="1" applyBorder="1" applyAlignment="1">
      <alignment horizontal="center"/>
    </xf>
    <xf numFmtId="0" fontId="13" fillId="0" borderId="0" xfId="0" applyFont="1" applyFill="1" applyBorder="1" applyAlignment="1">
      <alignment vertical="distributed"/>
    </xf>
    <xf numFmtId="0" fontId="11" fillId="0" borderId="0" xfId="0" applyFont="1" applyFill="1" applyAlignment="1">
      <alignment horizontal="center"/>
    </xf>
    <xf numFmtId="10" fontId="11" fillId="0" borderId="0" xfId="0" applyNumberFormat="1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Border="1" applyAlignment="1">
      <alignment horizontal="center"/>
    </xf>
    <xf numFmtId="18" fontId="11" fillId="0" borderId="0" xfId="1" applyNumberFormat="1" applyFont="1" applyBorder="1" applyAlignment="1">
      <alignment horizontal="center"/>
    </xf>
    <xf numFmtId="164" fontId="11" fillId="0" borderId="0" xfId="1" applyFont="1" applyFill="1" applyAlignment="1">
      <alignment horizontal="center"/>
    </xf>
    <xf numFmtId="164" fontId="11" fillId="0" borderId="0" xfId="0" applyNumberFormat="1" applyFont="1"/>
    <xf numFmtId="164" fontId="14" fillId="0" borderId="0" xfId="1" applyFont="1" applyFill="1" applyBorder="1" applyAlignment="1">
      <alignment horizontal="center"/>
    </xf>
    <xf numFmtId="164" fontId="11" fillId="0" borderId="0" xfId="1" applyFont="1" applyFill="1"/>
    <xf numFmtId="0" fontId="15" fillId="0" borderId="0" xfId="0" applyFont="1" applyFill="1"/>
    <xf numFmtId="0" fontId="11" fillId="0" borderId="0" xfId="0" applyFont="1" applyBorder="1"/>
    <xf numFmtId="164" fontId="11" fillId="0" borderId="0" xfId="1" applyFont="1" applyFill="1" applyBorder="1"/>
    <xf numFmtId="10" fontId="11" fillId="0" borderId="0" xfId="2" applyNumberFormat="1" applyFont="1" applyFill="1"/>
    <xf numFmtId="0" fontId="1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10" fontId="11" fillId="0" borderId="0" xfId="2" applyNumberFormat="1" applyFont="1" applyFill="1" applyBorder="1" applyAlignment="1">
      <alignment horizontal="center"/>
    </xf>
    <xf numFmtId="164" fontId="17" fillId="0" borderId="0" xfId="1" applyFont="1" applyFill="1" applyBorder="1"/>
    <xf numFmtId="0" fontId="16" fillId="0" borderId="0" xfId="0" applyFont="1" applyFill="1" applyBorder="1" applyAlignment="1">
      <alignment horizontal="left"/>
    </xf>
    <xf numFmtId="164" fontId="11" fillId="0" borderId="0" xfId="1" applyFont="1" applyFill="1" applyBorder="1" applyAlignment="1">
      <alignment horizontal="center"/>
    </xf>
    <xf numFmtId="169" fontId="11" fillId="0" borderId="0" xfId="1" applyNumberFormat="1" applyFont="1" applyFill="1" applyBorder="1" applyAlignment="1">
      <alignment horizontal="center"/>
    </xf>
    <xf numFmtId="164" fontId="16" fillId="0" borderId="0" xfId="1" applyFont="1" applyFill="1" applyBorder="1" applyAlignment="1"/>
    <xf numFmtId="0" fontId="11" fillId="0" borderId="0" xfId="0" applyFont="1" applyFill="1" applyBorder="1" applyAlignment="1">
      <alignment horizontal="left"/>
    </xf>
    <xf numFmtId="169" fontId="11" fillId="0" borderId="0" xfId="0" applyNumberFormat="1" applyFont="1" applyBorder="1"/>
    <xf numFmtId="0" fontId="22" fillId="0" borderId="0" xfId="0" applyFont="1" applyBorder="1"/>
    <xf numFmtId="49" fontId="23" fillId="0" borderId="0" xfId="0" applyNumberFormat="1" applyFont="1"/>
    <xf numFmtId="10" fontId="11" fillId="0" borderId="0" xfId="0" applyNumberFormat="1" applyFont="1"/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5" fillId="0" borderId="0" xfId="0" applyFont="1"/>
    <xf numFmtId="9" fontId="11" fillId="0" borderId="0" xfId="0" applyNumberFormat="1" applyFont="1" applyBorder="1"/>
    <xf numFmtId="0" fontId="11" fillId="0" borderId="20" xfId="0" applyFont="1" applyBorder="1"/>
    <xf numFmtId="0" fontId="11" fillId="0" borderId="0" xfId="0" applyFont="1" applyAlignment="1">
      <alignment horizontal="left" vertical="center"/>
    </xf>
    <xf numFmtId="2" fontId="11" fillId="0" borderId="4" xfId="1" applyNumberFormat="1" applyFont="1" applyBorder="1" applyAlignment="1">
      <alignment horizontal="center" vertical="center" wrapText="1"/>
    </xf>
    <xf numFmtId="2" fontId="11" fillId="0" borderId="4" xfId="1" applyNumberFormat="1" applyFont="1" applyFill="1" applyBorder="1" applyAlignment="1">
      <alignment horizontal="center" vertical="center" wrapText="1"/>
    </xf>
    <xf numFmtId="2" fontId="11" fillId="0" borderId="6" xfId="1" applyNumberFormat="1" applyFont="1" applyFill="1" applyBorder="1" applyAlignment="1">
      <alignment horizontal="center" vertical="center" wrapText="1"/>
    </xf>
    <xf numFmtId="0" fontId="11" fillId="0" borderId="13" xfId="0" applyFont="1" applyBorder="1"/>
    <xf numFmtId="0" fontId="11" fillId="0" borderId="21" xfId="0" applyFont="1" applyFill="1" applyBorder="1"/>
    <xf numFmtId="165" fontId="16" fillId="0" borderId="0" xfId="1" applyNumberFormat="1" applyFont="1" applyFill="1" applyBorder="1" applyAlignment="1"/>
    <xf numFmtId="165" fontId="28" fillId="0" borderId="0" xfId="1" applyNumberFormat="1" applyFont="1" applyFill="1" applyBorder="1" applyAlignment="1"/>
    <xf numFmtId="165" fontId="27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/>
    <xf numFmtId="0" fontId="19" fillId="0" borderId="0" xfId="0" applyFont="1" applyFill="1" applyBorder="1" applyAlignment="1">
      <alignment horizontal="right"/>
    </xf>
    <xf numFmtId="0" fontId="23" fillId="0" borderId="0" xfId="0" applyFont="1" applyBorder="1" applyAlignment="1">
      <alignment vertical="distributed"/>
    </xf>
    <xf numFmtId="0" fontId="11" fillId="0" borderId="4" xfId="0" applyFont="1" applyBorder="1" applyAlignment="1">
      <alignment horizontal="center" vertical="center"/>
    </xf>
    <xf numFmtId="9" fontId="11" fillId="5" borderId="4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171" fontId="16" fillId="0" borderId="15" xfId="1" applyNumberFormat="1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6" fillId="0" borderId="10" xfId="0" applyFont="1" applyBorder="1"/>
    <xf numFmtId="164" fontId="11" fillId="0" borderId="0" xfId="1" applyFont="1" applyFill="1" applyBorder="1" applyAlignment="1">
      <alignment horizontal="center" vertical="center" wrapText="1"/>
    </xf>
    <xf numFmtId="165" fontId="16" fillId="0" borderId="10" xfId="0" applyNumberFormat="1" applyFont="1" applyBorder="1" applyAlignment="1">
      <alignment horizontal="right"/>
    </xf>
    <xf numFmtId="165" fontId="16" fillId="0" borderId="16" xfId="0" applyNumberFormat="1" applyFont="1" applyBorder="1" applyAlignment="1">
      <alignment horizontal="right"/>
    </xf>
    <xf numFmtId="165" fontId="16" fillId="0" borderId="22" xfId="0" applyNumberFormat="1" applyFont="1" applyBorder="1" applyAlignment="1">
      <alignment horizontal="right"/>
    </xf>
    <xf numFmtId="0" fontId="16" fillId="0" borderId="0" xfId="0" applyFont="1" applyAlignment="1">
      <alignment horizontal="left" vertical="center"/>
    </xf>
    <xf numFmtId="10" fontId="11" fillId="0" borderId="0" xfId="2" applyNumberFormat="1" applyFont="1" applyFill="1" applyBorder="1" applyAlignment="1">
      <alignment horizontal="center" vertical="center" wrapText="1"/>
    </xf>
    <xf numFmtId="164" fontId="16" fillId="0" borderId="5" xfId="1" applyFont="1" applyFill="1" applyBorder="1" applyAlignment="1">
      <alignment horizontal="center" vertical="center" wrapText="1"/>
    </xf>
    <xf numFmtId="164" fontId="16" fillId="0" borderId="5" xfId="1" applyFont="1" applyBorder="1" applyAlignment="1">
      <alignment horizontal="center" vertical="center" wrapText="1"/>
    </xf>
    <xf numFmtId="175" fontId="11" fillId="0" borderId="4" xfId="1" applyNumberFormat="1" applyFont="1" applyFill="1" applyBorder="1" applyAlignment="1">
      <alignment horizontal="center" vertical="center"/>
    </xf>
    <xf numFmtId="168" fontId="16" fillId="0" borderId="4" xfId="2" applyNumberFormat="1" applyFont="1" applyFill="1" applyBorder="1" applyAlignment="1">
      <alignment horizontal="center" vertical="center" wrapText="1"/>
    </xf>
    <xf numFmtId="164" fontId="11" fillId="0" borderId="0" xfId="1" applyFont="1" applyBorder="1" applyAlignment="1">
      <alignment horizontal="center"/>
    </xf>
    <xf numFmtId="169" fontId="11" fillId="0" borderId="0" xfId="1" applyNumberFormat="1" applyFont="1" applyBorder="1" applyAlignment="1">
      <alignment horizontal="center"/>
    </xf>
    <xf numFmtId="10" fontId="16" fillId="0" borderId="0" xfId="2" applyNumberFormat="1" applyFont="1" applyFill="1" applyBorder="1" applyAlignment="1"/>
    <xf numFmtId="0" fontId="24" fillId="0" borderId="0" xfId="0" applyFont="1"/>
    <xf numFmtId="0" fontId="16" fillId="0" borderId="4" xfId="0" applyFont="1" applyBorder="1" applyAlignment="1">
      <alignment horizontal="center" vertical="center" wrapText="1"/>
    </xf>
    <xf numFmtId="164" fontId="20" fillId="0" borderId="13" xfId="1" applyFont="1" applyFill="1" applyBorder="1" applyAlignment="1">
      <alignment horizontal="right"/>
    </xf>
    <xf numFmtId="0" fontId="11" fillId="0" borderId="13" xfId="0" applyFont="1" applyFill="1" applyBorder="1" applyAlignment="1">
      <alignment horizontal="left"/>
    </xf>
    <xf numFmtId="169" fontId="11" fillId="0" borderId="13" xfId="1" applyNumberFormat="1" applyFont="1" applyFill="1" applyBorder="1" applyAlignment="1">
      <alignment horizontal="center"/>
    </xf>
    <xf numFmtId="164" fontId="11" fillId="0" borderId="13" xfId="1" applyFont="1" applyFill="1" applyBorder="1" applyAlignment="1">
      <alignment horizontal="center"/>
    </xf>
    <xf numFmtId="164" fontId="16" fillId="0" borderId="13" xfId="1" applyFont="1" applyFill="1" applyBorder="1" applyAlignment="1"/>
    <xf numFmtId="164" fontId="16" fillId="0" borderId="20" xfId="1" applyFont="1" applyFill="1" applyBorder="1" applyAlignment="1"/>
    <xf numFmtId="0" fontId="11" fillId="0" borderId="15" xfId="0" applyFont="1" applyFill="1" applyBorder="1"/>
    <xf numFmtId="10" fontId="16" fillId="0" borderId="4" xfId="2" applyNumberFormat="1" applyFont="1" applyBorder="1" applyAlignment="1">
      <alignment horizontal="center"/>
    </xf>
    <xf numFmtId="164" fontId="16" fillId="0" borderId="4" xfId="1" applyFont="1" applyBorder="1" applyAlignment="1">
      <alignment horizontal="center"/>
    </xf>
    <xf numFmtId="164" fontId="16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0" fontId="16" fillId="8" borderId="4" xfId="2" applyNumberFormat="1" applyFont="1" applyFill="1" applyBorder="1" applyAlignment="1"/>
    <xf numFmtId="164" fontId="16" fillId="0" borderId="21" xfId="1" applyFont="1" applyFill="1" applyBorder="1" applyAlignment="1"/>
    <xf numFmtId="10" fontId="11" fillId="0" borderId="12" xfId="2" applyNumberFormat="1" applyFont="1" applyFill="1" applyBorder="1"/>
    <xf numFmtId="0" fontId="11" fillId="0" borderId="21" xfId="0" applyFont="1" applyBorder="1"/>
    <xf numFmtId="2" fontId="11" fillId="0" borderId="12" xfId="1" applyNumberFormat="1" applyFont="1" applyFill="1" applyBorder="1" applyAlignment="1">
      <alignment horizontal="center" vertical="center" wrapText="1"/>
    </xf>
    <xf numFmtId="172" fontId="11" fillId="0" borderId="12" xfId="0" applyNumberFormat="1" applyFont="1" applyBorder="1"/>
    <xf numFmtId="168" fontId="11" fillId="0" borderId="12" xfId="2" applyNumberFormat="1" applyFont="1" applyFill="1" applyBorder="1" applyAlignment="1">
      <alignment horizontal="center" vertical="center" wrapText="1"/>
    </xf>
    <xf numFmtId="166" fontId="16" fillId="0" borderId="12" xfId="1" applyNumberFormat="1" applyFont="1" applyFill="1" applyBorder="1"/>
    <xf numFmtId="0" fontId="16" fillId="0" borderId="0" xfId="0" applyFont="1" applyAlignment="1">
      <alignment horizontal="left"/>
    </xf>
    <xf numFmtId="167" fontId="11" fillId="2" borderId="12" xfId="1" applyNumberFormat="1" applyFont="1" applyFill="1" applyBorder="1"/>
    <xf numFmtId="168" fontId="11" fillId="0" borderId="0" xfId="2" applyNumberFormat="1" applyFont="1" applyAlignment="1">
      <alignment horizontal="center" vertical="center" wrapText="1"/>
    </xf>
    <xf numFmtId="10" fontId="11" fillId="6" borderId="12" xfId="2" applyNumberFormat="1" applyFont="1" applyFill="1" applyBorder="1" applyAlignment="1">
      <alignment horizontal="center" vertical="center" wrapText="1"/>
    </xf>
    <xf numFmtId="10" fontId="21" fillId="0" borderId="12" xfId="0" applyNumberFormat="1" applyFont="1" applyBorder="1"/>
    <xf numFmtId="10" fontId="11" fillId="0" borderId="10" xfId="2" applyNumberFormat="1" applyFont="1" applyBorder="1" applyAlignment="1">
      <alignment horizontal="center" vertical="center" wrapText="1"/>
    </xf>
    <xf numFmtId="0" fontId="22" fillId="0" borderId="11" xfId="0" applyFont="1" applyBorder="1"/>
    <xf numFmtId="0" fontId="11" fillId="0" borderId="11" xfId="0" applyFont="1" applyBorder="1"/>
    <xf numFmtId="170" fontId="11" fillId="0" borderId="11" xfId="0" applyNumberFormat="1" applyFont="1" applyBorder="1"/>
    <xf numFmtId="0" fontId="11" fillId="0" borderId="22" xfId="0" applyFont="1" applyBorder="1"/>
    <xf numFmtId="0" fontId="11" fillId="0" borderId="10" xfId="0" applyFont="1" applyFill="1" applyBorder="1"/>
    <xf numFmtId="0" fontId="11" fillId="0" borderId="11" xfId="0" applyFont="1" applyFill="1" applyBorder="1"/>
    <xf numFmtId="0" fontId="11" fillId="0" borderId="22" xfId="0" applyFont="1" applyFill="1" applyBorder="1"/>
    <xf numFmtId="1" fontId="11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174" fontId="11" fillId="0" borderId="13" xfId="1" applyNumberFormat="1" applyFont="1" applyBorder="1" applyAlignment="1">
      <alignment horizontal="center" vertical="center"/>
    </xf>
    <xf numFmtId="2" fontId="11" fillId="0" borderId="13" xfId="0" applyNumberFormat="1" applyFont="1" applyBorder="1"/>
    <xf numFmtId="164" fontId="16" fillId="0" borderId="12" xfId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64" fontId="11" fillId="0" borderId="11" xfId="1" applyFont="1" applyFill="1" applyBorder="1" applyAlignment="1">
      <alignment horizontal="center"/>
    </xf>
    <xf numFmtId="164" fontId="16" fillId="0" borderId="11" xfId="1" applyFont="1" applyFill="1" applyBorder="1" applyAlignment="1"/>
    <xf numFmtId="164" fontId="14" fillId="0" borderId="0" xfId="1" applyFont="1" applyFill="1" applyBorder="1" applyAlignment="1">
      <alignment horizontal="center" vertical="center" wrapText="1"/>
    </xf>
    <xf numFmtId="164" fontId="16" fillId="0" borderId="0" xfId="1" applyFont="1" applyFill="1" applyBorder="1" applyAlignment="1">
      <alignment horizontal="center" vertical="center" wrapText="1"/>
    </xf>
    <xf numFmtId="164" fontId="11" fillId="0" borderId="4" xfId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right" vertical="center"/>
    </xf>
    <xf numFmtId="165" fontId="16" fillId="0" borderId="4" xfId="0" applyNumberFormat="1" applyFont="1" applyBorder="1" applyAlignment="1">
      <alignment horizontal="center" vertical="center" wrapText="1"/>
    </xf>
    <xf numFmtId="165" fontId="11" fillId="0" borderId="0" xfId="1" applyNumberFormat="1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171" fontId="11" fillId="0" borderId="0" xfId="0" applyNumberFormat="1" applyFont="1" applyAlignment="1">
      <alignment horizontal="center" vertical="center" wrapText="1"/>
    </xf>
    <xf numFmtId="9" fontId="11" fillId="0" borderId="0" xfId="2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9" fontId="16" fillId="3" borderId="4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66" fontId="11" fillId="0" borderId="0" xfId="0" applyNumberFormat="1" applyFont="1" applyAlignment="1">
      <alignment vertical="center"/>
    </xf>
    <xf numFmtId="173" fontId="11" fillId="0" borderId="4" xfId="0" applyNumberFormat="1" applyFont="1" applyBorder="1" applyAlignment="1">
      <alignment horizontal="center" vertical="center"/>
    </xf>
    <xf numFmtId="10" fontId="11" fillId="0" borderId="4" xfId="2" applyNumberFormat="1" applyFont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left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27" fillId="7" borderId="2" xfId="0" applyFont="1" applyFill="1" applyBorder="1" applyAlignment="1">
      <alignment horizontal="center" vertical="center" wrapText="1"/>
    </xf>
    <xf numFmtId="0" fontId="33" fillId="0" borderId="0" xfId="0" applyFont="1"/>
    <xf numFmtId="0" fontId="11" fillId="0" borderId="1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6" fillId="7" borderId="0" xfId="0" applyFont="1" applyFill="1" applyAlignment="1">
      <alignment vertical="center" wrapText="1"/>
    </xf>
    <xf numFmtId="0" fontId="2" fillId="7" borderId="0" xfId="0" applyFont="1" applyFill="1"/>
    <xf numFmtId="0" fontId="34" fillId="0" borderId="0" xfId="0" applyFont="1" applyAlignment="1">
      <alignment vertical="center"/>
    </xf>
    <xf numFmtId="0" fontId="31" fillId="7" borderId="4" xfId="0" applyFont="1" applyFill="1" applyBorder="1" applyAlignment="1">
      <alignment horizontal="left" vertical="center"/>
    </xf>
    <xf numFmtId="0" fontId="31" fillId="7" borderId="4" xfId="0" applyFont="1" applyFill="1" applyBorder="1" applyAlignment="1">
      <alignment horizontal="center" vertical="center"/>
    </xf>
    <xf numFmtId="173" fontId="37" fillId="7" borderId="4" xfId="0" applyNumberFormat="1" applyFont="1" applyFill="1" applyBorder="1" applyAlignment="1">
      <alignment horizontal="center" vertical="center"/>
    </xf>
    <xf numFmtId="0" fontId="26" fillId="0" borderId="0" xfId="0" applyFont="1"/>
    <xf numFmtId="0" fontId="38" fillId="7" borderId="4" xfId="0" applyFont="1" applyFill="1" applyBorder="1" applyAlignment="1">
      <alignment horizontal="left" vertical="center"/>
    </xf>
    <xf numFmtId="0" fontId="26" fillId="0" borderId="4" xfId="0" applyFont="1" applyBorder="1" applyAlignment="1">
      <alignment horizontal="center" vertical="center"/>
    </xf>
    <xf numFmtId="166" fontId="11" fillId="0" borderId="0" xfId="0" applyNumberFormat="1" applyFont="1" applyAlignment="1">
      <alignment horizontal="left" vertical="center"/>
    </xf>
    <xf numFmtId="0" fontId="16" fillId="0" borderId="20" xfId="0" applyFont="1" applyBorder="1"/>
    <xf numFmtId="0" fontId="12" fillId="0" borderId="0" xfId="0" applyFont="1" applyAlignment="1">
      <alignment vertical="center"/>
    </xf>
    <xf numFmtId="165" fontId="11" fillId="0" borderId="0" xfId="0" applyNumberFormat="1" applyFont="1" applyAlignment="1">
      <alignment horizontal="center"/>
    </xf>
    <xf numFmtId="0" fontId="11" fillId="0" borderId="6" xfId="0" applyFont="1" applyBorder="1" applyAlignment="1">
      <alignment horizontal="right" vertical="center"/>
    </xf>
    <xf numFmtId="165" fontId="11" fillId="4" borderId="4" xfId="0" applyNumberFormat="1" applyFont="1" applyFill="1" applyBorder="1" applyAlignment="1">
      <alignment vertical="center"/>
    </xf>
    <xf numFmtId="165" fontId="11" fillId="0" borderId="4" xfId="0" applyNumberFormat="1" applyFont="1" applyBorder="1" applyAlignment="1">
      <alignment vertical="center"/>
    </xf>
    <xf numFmtId="165" fontId="11" fillId="4" borderId="4" xfId="1" applyNumberFormat="1" applyFont="1" applyFill="1" applyBorder="1" applyAlignment="1">
      <alignment vertical="center"/>
    </xf>
    <xf numFmtId="0" fontId="40" fillId="0" borderId="0" xfId="3" applyFont="1"/>
    <xf numFmtId="0" fontId="41" fillId="0" borderId="4" xfId="0" applyFont="1" applyBorder="1" applyAlignment="1">
      <alignment horizontal="right"/>
    </xf>
    <xf numFmtId="168" fontId="1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" fontId="11" fillId="0" borderId="0" xfId="0" applyNumberFormat="1" applyFont="1" applyAlignment="1">
      <alignment horizontal="right"/>
    </xf>
    <xf numFmtId="0" fontId="16" fillId="0" borderId="0" xfId="0" applyFont="1" applyAlignment="1">
      <alignment horizontal="center"/>
    </xf>
    <xf numFmtId="10" fontId="11" fillId="0" borderId="0" xfId="0" applyNumberFormat="1" applyFont="1" applyAlignment="1">
      <alignment horizontal="center"/>
    </xf>
    <xf numFmtId="2" fontId="16" fillId="0" borderId="4" xfId="0" applyNumberFormat="1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166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textRotation="90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/>
    </xf>
    <xf numFmtId="165" fontId="16" fillId="0" borderId="4" xfId="0" applyNumberFormat="1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1" fontId="11" fillId="0" borderId="12" xfId="0" applyNumberFormat="1" applyFont="1" applyBorder="1" applyAlignment="1">
      <alignment horizontal="center" vertical="center" wrapText="1"/>
    </xf>
    <xf numFmtId="171" fontId="11" fillId="0" borderId="0" xfId="0" applyNumberFormat="1" applyFont="1"/>
    <xf numFmtId="173" fontId="11" fillId="0" borderId="12" xfId="0" applyNumberFormat="1" applyFont="1" applyBorder="1" applyAlignment="1">
      <alignment horizontal="center" vertical="center" wrapText="1"/>
    </xf>
    <xf numFmtId="0" fontId="16" fillId="0" borderId="0" xfId="0" applyFont="1"/>
    <xf numFmtId="0" fontId="11" fillId="0" borderId="13" xfId="0" applyFont="1" applyBorder="1" applyAlignment="1">
      <alignment horizontal="right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49" fontId="31" fillId="0" borderId="0" xfId="1" applyNumberFormat="1" applyFont="1" applyFill="1" applyBorder="1" applyAlignment="1">
      <alignment horizontal="right"/>
    </xf>
    <xf numFmtId="1" fontId="31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/>
    <xf numFmtId="1" fontId="30" fillId="0" borderId="0" xfId="0" applyNumberFormat="1" applyFont="1" applyAlignment="1">
      <alignment horizontal="center" vertical="distributed"/>
    </xf>
    <xf numFmtId="164" fontId="11" fillId="0" borderId="0" xfId="0" applyNumberFormat="1" applyFont="1" applyAlignment="1">
      <alignment horizontal="left" vertical="center"/>
    </xf>
    <xf numFmtId="166" fontId="11" fillId="0" borderId="0" xfId="0" applyNumberFormat="1" applyFont="1"/>
    <xf numFmtId="165" fontId="30" fillId="0" borderId="0" xfId="0" applyNumberFormat="1" applyFont="1" applyAlignment="1">
      <alignment horizontal="center" vertical="center" wrapText="1"/>
    </xf>
    <xf numFmtId="164" fontId="32" fillId="0" borderId="0" xfId="1" applyFont="1" applyFill="1" applyBorder="1"/>
    <xf numFmtId="164" fontId="30" fillId="0" borderId="0" xfId="1" applyFont="1" applyFill="1" applyBorder="1" applyAlignment="1">
      <alignment horizontal="right"/>
    </xf>
    <xf numFmtId="49" fontId="30" fillId="0" borderId="0" xfId="0" applyNumberFormat="1" applyFont="1" applyAlignment="1">
      <alignment horizontal="center" vertical="center" wrapText="1"/>
    </xf>
    <xf numFmtId="49" fontId="30" fillId="0" borderId="0" xfId="0" applyNumberFormat="1" applyFont="1"/>
    <xf numFmtId="1" fontId="30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42" fillId="0" borderId="0" xfId="0" applyFont="1"/>
    <xf numFmtId="49" fontId="43" fillId="0" borderId="0" xfId="0" applyNumberFormat="1" applyFont="1"/>
    <xf numFmtId="165" fontId="43" fillId="0" borderId="0" xfId="0" applyNumberFormat="1" applyFont="1" applyAlignment="1">
      <alignment horizontal="center" vertical="center" wrapText="1"/>
    </xf>
    <xf numFmtId="0" fontId="43" fillId="0" borderId="0" xfId="0" applyFont="1" applyAlignment="1">
      <alignment horizontal="left" vertical="center"/>
    </xf>
    <xf numFmtId="0" fontId="43" fillId="0" borderId="15" xfId="0" applyFont="1" applyBorder="1" applyAlignment="1">
      <alignment horizontal="center"/>
    </xf>
    <xf numFmtId="0" fontId="43" fillId="0" borderId="5" xfId="0" applyFont="1" applyBorder="1" applyAlignment="1">
      <alignment horizontal="center"/>
    </xf>
    <xf numFmtId="0" fontId="43" fillId="0" borderId="0" xfId="0" applyFont="1"/>
    <xf numFmtId="49" fontId="43" fillId="0" borderId="0" xfId="0" applyNumberFormat="1" applyFont="1" applyAlignment="1">
      <alignment horizontal="center" vertical="center" wrapText="1"/>
    </xf>
    <xf numFmtId="2" fontId="16" fillId="0" borderId="0" xfId="0" applyNumberFormat="1" applyFont="1" applyAlignment="1">
      <alignment horizontal="center" vertical="center" wrapText="1"/>
    </xf>
    <xf numFmtId="0" fontId="44" fillId="0" borderId="0" xfId="0" applyFont="1" applyAlignment="1">
      <alignment horizontal="left" vertical="center"/>
    </xf>
    <xf numFmtId="0" fontId="43" fillId="0" borderId="10" xfId="0" applyFont="1" applyBorder="1" applyAlignment="1">
      <alignment horizontal="center"/>
    </xf>
    <xf numFmtId="0" fontId="43" fillId="0" borderId="16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center" vertical="center" wrapText="1"/>
    </xf>
    <xf numFmtId="0" fontId="43" fillId="0" borderId="4" xfId="0" applyFont="1" applyBorder="1" applyAlignment="1">
      <alignment horizontal="left" vertical="center"/>
    </xf>
    <xf numFmtId="165" fontId="43" fillId="0" borderId="4" xfId="1" applyNumberFormat="1" applyFont="1" applyFill="1" applyBorder="1"/>
    <xf numFmtId="0" fontId="43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right" vertical="center"/>
    </xf>
    <xf numFmtId="165" fontId="16" fillId="0" borderId="0" xfId="0" applyNumberFormat="1" applyFont="1"/>
    <xf numFmtId="0" fontId="43" fillId="0" borderId="6" xfId="0" applyFont="1" applyBorder="1" applyAlignment="1">
      <alignment horizontal="center" vertical="center" wrapText="1"/>
    </xf>
    <xf numFmtId="165" fontId="44" fillId="0" borderId="4" xfId="1" applyNumberFormat="1" applyFont="1" applyFill="1" applyBorder="1"/>
    <xf numFmtId="0" fontId="16" fillId="0" borderId="0" xfId="0" applyFont="1" applyAlignment="1">
      <alignment horizontal="right" vertical="center"/>
    </xf>
    <xf numFmtId="165" fontId="16" fillId="0" borderId="0" xfId="0" applyNumberFormat="1" applyFont="1" applyAlignment="1">
      <alignment horizontal="center"/>
    </xf>
    <xf numFmtId="165" fontId="43" fillId="0" borderId="0" xfId="1" applyNumberFormat="1" applyFont="1" applyFill="1" applyBorder="1"/>
    <xf numFmtId="165" fontId="44" fillId="0" borderId="0" xfId="1" applyNumberFormat="1" applyFont="1" applyFill="1" applyBorder="1"/>
    <xf numFmtId="165" fontId="24" fillId="0" borderId="0" xfId="0" applyNumberFormat="1" applyFont="1"/>
    <xf numFmtId="0" fontId="43" fillId="0" borderId="1" xfId="0" applyFont="1" applyBorder="1" applyAlignment="1">
      <alignment horizontal="left" vertical="center"/>
    </xf>
    <xf numFmtId="164" fontId="43" fillId="0" borderId="4" xfId="1" applyFont="1" applyBorder="1"/>
    <xf numFmtId="0" fontId="44" fillId="0" borderId="0" xfId="0" applyFont="1" applyAlignment="1">
      <alignment horizontal="right"/>
    </xf>
    <xf numFmtId="164" fontId="44" fillId="0" borderId="0" xfId="1" applyFont="1" applyAlignment="1">
      <alignment horizontal="center" vertical="center" wrapText="1"/>
    </xf>
    <xf numFmtId="164" fontId="43" fillId="0" borderId="0" xfId="0" applyNumberFormat="1" applyFont="1"/>
    <xf numFmtId="164" fontId="43" fillId="6" borderId="0" xfId="0" applyNumberFormat="1" applyFont="1" applyFill="1" applyAlignment="1">
      <alignment horizontal="center" vertical="center" wrapText="1"/>
    </xf>
    <xf numFmtId="164" fontId="43" fillId="0" borderId="0" xfId="1" applyFont="1" applyBorder="1"/>
    <xf numFmtId="0" fontId="43" fillId="0" borderId="0" xfId="0" applyFont="1" applyAlignment="1">
      <alignment horizontal="center" vertical="center"/>
    </xf>
    <xf numFmtId="164" fontId="44" fillId="0" borderId="4" xfId="0" applyNumberFormat="1" applyFont="1" applyBorder="1"/>
    <xf numFmtId="166" fontId="44" fillId="6" borderId="4" xfId="1" applyNumberFormat="1" applyFont="1" applyFill="1" applyBorder="1"/>
    <xf numFmtId="169" fontId="11" fillId="0" borderId="0" xfId="0" applyNumberFormat="1" applyFont="1" applyAlignment="1">
      <alignment horizontal="center" vertical="center" wrapText="1"/>
    </xf>
    <xf numFmtId="0" fontId="44" fillId="0" borderId="0" xfId="0" applyFont="1" applyAlignment="1">
      <alignment horizontal="center"/>
    </xf>
    <xf numFmtId="49" fontId="11" fillId="0" borderId="15" xfId="0" applyNumberFormat="1" applyFont="1" applyBorder="1" applyAlignment="1">
      <alignment horizontal="left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49" fontId="11" fillId="0" borderId="0" xfId="0" applyNumberFormat="1" applyFont="1"/>
    <xf numFmtId="49" fontId="11" fillId="0" borderId="12" xfId="0" applyNumberFormat="1" applyFont="1" applyBorder="1" applyAlignment="1">
      <alignment horizontal="left" vertical="center"/>
    </xf>
    <xf numFmtId="165" fontId="11" fillId="0" borderId="0" xfId="0" applyNumberFormat="1" applyFont="1"/>
    <xf numFmtId="0" fontId="11" fillId="0" borderId="21" xfId="0" applyFont="1" applyBorder="1" applyAlignment="1">
      <alignment horizontal="center" vertical="center" wrapText="1"/>
    </xf>
    <xf numFmtId="49" fontId="11" fillId="0" borderId="12" xfId="0" applyNumberFormat="1" applyFont="1" applyBorder="1"/>
    <xf numFmtId="166" fontId="11" fillId="0" borderId="0" xfId="0" applyNumberFormat="1" applyFont="1" applyAlignment="1">
      <alignment horizontal="center" vertical="center"/>
    </xf>
    <xf numFmtId="10" fontId="11" fillId="0" borderId="21" xfId="0" applyNumberFormat="1" applyFont="1" applyBorder="1" applyAlignment="1">
      <alignment horizontal="center" vertical="center" wrapText="1"/>
    </xf>
    <xf numFmtId="166" fontId="11" fillId="0" borderId="0" xfId="0" applyNumberFormat="1" applyFont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/>
    </xf>
    <xf numFmtId="0" fontId="11" fillId="0" borderId="4" xfId="0" applyFont="1" applyBorder="1" applyAlignment="1">
      <alignment horizontal="center"/>
    </xf>
    <xf numFmtId="0" fontId="11" fillId="0" borderId="12" xfId="0" applyFont="1" applyBorder="1"/>
    <xf numFmtId="49" fontId="11" fillId="0" borderId="10" xfId="0" applyNumberFormat="1" applyFont="1" applyBorder="1" applyAlignment="1">
      <alignment horizontal="left" vertical="center"/>
    </xf>
    <xf numFmtId="0" fontId="11" fillId="0" borderId="22" xfId="0" applyFont="1" applyBorder="1" applyAlignment="1">
      <alignment horizontal="center" vertical="center" wrapText="1"/>
    </xf>
    <xf numFmtId="49" fontId="11" fillId="0" borderId="10" xfId="0" applyNumberFormat="1" applyFont="1" applyBorder="1"/>
    <xf numFmtId="0" fontId="16" fillId="6" borderId="4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left" vertical="center"/>
    </xf>
    <xf numFmtId="0" fontId="31" fillId="7" borderId="5" xfId="0" applyFont="1" applyFill="1" applyBorder="1" applyAlignment="1">
      <alignment horizontal="center" vertical="center"/>
    </xf>
    <xf numFmtId="173" fontId="37" fillId="7" borderId="5" xfId="0" applyNumberFormat="1" applyFont="1" applyFill="1" applyBorder="1" applyAlignment="1">
      <alignment horizontal="center" vertical="center"/>
    </xf>
    <xf numFmtId="0" fontId="26" fillId="7" borderId="4" xfId="0" applyFont="1" applyFill="1" applyBorder="1" applyAlignment="1">
      <alignment horizontal="center" vertical="center"/>
    </xf>
    <xf numFmtId="173" fontId="49" fillId="7" borderId="4" xfId="0" applyNumberFormat="1" applyFont="1" applyFill="1" applyBorder="1" applyAlignment="1">
      <alignment horizontal="center" vertical="center"/>
    </xf>
    <xf numFmtId="0" fontId="50" fillId="7" borderId="0" xfId="0" applyFont="1" applyFill="1" applyAlignment="1">
      <alignment wrapText="1"/>
    </xf>
    <xf numFmtId="0" fontId="11" fillId="0" borderId="0" xfId="0" applyFont="1" applyAlignment="1"/>
    <xf numFmtId="0" fontId="11" fillId="0" borderId="0" xfId="0" applyFont="1" applyFill="1" applyAlignment="1"/>
    <xf numFmtId="0" fontId="50" fillId="7" borderId="0" xfId="0" applyFont="1" applyFill="1" applyAlignment="1"/>
    <xf numFmtId="0" fontId="16" fillId="0" borderId="0" xfId="0" applyFont="1" applyBorder="1" applyAlignment="1">
      <alignment horizontal="left"/>
    </xf>
    <xf numFmtId="0" fontId="14" fillId="0" borderId="0" xfId="0" applyFont="1" applyBorder="1"/>
    <xf numFmtId="0" fontId="11" fillId="0" borderId="0" xfId="0" applyFont="1" applyBorder="1" applyAlignment="1">
      <alignment horizontal="left"/>
    </xf>
    <xf numFmtId="49" fontId="11" fillId="0" borderId="0" xfId="0" applyNumberFormat="1" applyFont="1" applyBorder="1" applyAlignment="1">
      <alignment horizontal="center"/>
    </xf>
    <xf numFmtId="10" fontId="11" fillId="0" borderId="4" xfId="2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0" fontId="23" fillId="0" borderId="7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43" fillId="0" borderId="6" xfId="0" applyFont="1" applyBorder="1" applyAlignment="1">
      <alignment horizontal="center" vertical="distributed"/>
    </xf>
    <xf numFmtId="0" fontId="43" fillId="0" borderId="14" xfId="0" applyFont="1" applyBorder="1" applyAlignment="1">
      <alignment horizontal="center" vertical="distributed"/>
    </xf>
    <xf numFmtId="0" fontId="35" fillId="7" borderId="7" xfId="0" applyFont="1" applyFill="1" applyBorder="1" applyAlignment="1">
      <alignment horizontal="left" vertical="center" wrapText="1"/>
    </xf>
    <xf numFmtId="0" fontId="35" fillId="7" borderId="17" xfId="0" applyFont="1" applyFill="1" applyBorder="1" applyAlignment="1">
      <alignment horizontal="left" vertical="center" wrapText="1"/>
    </xf>
    <xf numFmtId="0" fontId="35" fillId="7" borderId="18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  <color rgb="FF008000"/>
      <color rgb="FF009900"/>
      <color rgb="FF0070C0"/>
      <color rgb="FFFFFF99"/>
      <color rgb="FF9933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6-4F5B-AF9C-CF233A2A2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5552"/>
        <c:axId val="1"/>
      </c:lineChart>
      <c:catAx>
        <c:axId val="210136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5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2-4E39-B32D-34499DA47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6800"/>
        <c:axId val="1"/>
      </c:lineChart>
      <c:catAx>
        <c:axId val="210136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6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5-40ED-B162-756C1D16C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59728"/>
        <c:axId val="1"/>
      </c:lineChart>
      <c:catAx>
        <c:axId val="210135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5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1-4EE2-B66A-7D6ADB957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0144"/>
        <c:axId val="1"/>
      </c:lineChart>
      <c:catAx>
        <c:axId val="210136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0</xdr:rowOff>
    </xdr:from>
    <xdr:to>
      <xdr:col>1</xdr:col>
      <xdr:colOff>0</xdr:colOff>
      <xdr:row>39</xdr:row>
      <xdr:rowOff>38100</xdr:rowOff>
    </xdr:to>
    <xdr:graphicFrame macro="">
      <xdr:nvGraphicFramePr>
        <xdr:cNvPr id="1590" name="Gráfico 10">
          <a:extLst>
            <a:ext uri="{FF2B5EF4-FFF2-40B4-BE49-F238E27FC236}">
              <a16:creationId xmlns:a16="http://schemas.microsoft.com/office/drawing/2014/main" id="{A65AC891-D1C9-43FB-9808-A52C8E566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graphicFrame macro="">
      <xdr:nvGraphicFramePr>
        <xdr:cNvPr id="1591" name="Gráfico 11">
          <a:extLst>
            <a:ext uri="{FF2B5EF4-FFF2-40B4-BE49-F238E27FC236}">
              <a16:creationId xmlns:a16="http://schemas.microsoft.com/office/drawing/2014/main" id="{AA57A113-58A5-4E94-BDE8-AEAF8A4C8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graphicFrame macro="">
      <xdr:nvGraphicFramePr>
        <xdr:cNvPr id="1592" name="Gráfico 12">
          <a:extLst>
            <a:ext uri="{FF2B5EF4-FFF2-40B4-BE49-F238E27FC236}">
              <a16:creationId xmlns:a16="http://schemas.microsoft.com/office/drawing/2014/main" id="{1FE8F15B-BF78-4A40-AA0A-D79F66512D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39</xdr:row>
      <xdr:rowOff>28575</xdr:rowOff>
    </xdr:to>
    <xdr:graphicFrame macro="">
      <xdr:nvGraphicFramePr>
        <xdr:cNvPr id="1593" name="Gráfico 13">
          <a:extLst>
            <a:ext uri="{FF2B5EF4-FFF2-40B4-BE49-F238E27FC236}">
              <a16:creationId xmlns:a16="http://schemas.microsoft.com/office/drawing/2014/main" id="{C29DCF90-53A0-4DFA-9B4C-C76C012EA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99"/>
  <sheetViews>
    <sheetView tabSelected="1" zoomScale="85" zoomScaleNormal="85" workbookViewId="0"/>
  </sheetViews>
  <sheetFormatPr baseColWidth="10" defaultColWidth="11.453125" defaultRowHeight="13" x14ac:dyDescent="0.3"/>
  <cols>
    <col min="1" max="1" width="1" style="4" customWidth="1"/>
    <col min="2" max="2" width="47.1796875" style="4" customWidth="1"/>
    <col min="3" max="3" width="20.26953125" style="4" customWidth="1"/>
    <col min="4" max="4" width="18.36328125" style="4" customWidth="1"/>
    <col min="5" max="5" width="15.54296875" style="4" customWidth="1"/>
    <col min="6" max="6" width="20.1796875" style="4" customWidth="1"/>
    <col min="7" max="7" width="16.54296875" style="4" customWidth="1"/>
    <col min="8" max="8" width="8.7265625" style="4" customWidth="1"/>
    <col min="9" max="9" width="4.54296875" style="4" customWidth="1"/>
    <col min="10" max="10" width="13.81640625" style="4" customWidth="1"/>
    <col min="11" max="11" width="5.453125" style="4" customWidth="1"/>
    <col min="12" max="13" width="14.26953125" style="4" customWidth="1"/>
    <col min="14" max="14" width="14.7265625" style="4" bestFit="1" customWidth="1"/>
    <col min="15" max="15" width="14.26953125" style="11" bestFit="1" customWidth="1"/>
    <col min="16" max="16" width="14.26953125" style="11" customWidth="1"/>
    <col min="17" max="17" width="14" style="4" bestFit="1" customWidth="1"/>
    <col min="18" max="18" width="11.54296875" style="4" bestFit="1" customWidth="1"/>
    <col min="19" max="19" width="13.81640625" style="4" bestFit="1" customWidth="1"/>
    <col min="20" max="20" width="11.453125" style="4"/>
    <col min="21" max="22" width="11.453125" style="11"/>
    <col min="23" max="16384" width="11.453125" style="4"/>
  </cols>
  <sheetData>
    <row r="1" spans="2:30" s="3" customFormat="1" ht="8.25" customHeight="1" thickBot="1" x14ac:dyDescent="0.35">
      <c r="B1" s="46"/>
      <c r="C1" s="47"/>
      <c r="D1" s="46"/>
      <c r="E1" s="48"/>
      <c r="F1" s="4"/>
      <c r="G1" s="4"/>
      <c r="H1" s="49"/>
      <c r="I1" s="49"/>
      <c r="J1" s="49"/>
      <c r="K1" s="49"/>
      <c r="L1" s="7"/>
      <c r="M1" s="12"/>
      <c r="N1" s="12"/>
      <c r="O1" s="1"/>
      <c r="P1" s="1"/>
      <c r="Q1" s="2"/>
      <c r="R1" s="1"/>
      <c r="S1" s="1"/>
      <c r="T1" s="1"/>
      <c r="U1" s="50"/>
      <c r="V1" s="50"/>
      <c r="W1" s="50"/>
      <c r="X1" s="50"/>
      <c r="Y1" s="50"/>
      <c r="Z1" s="50"/>
      <c r="AA1" s="50"/>
      <c r="AB1" s="50"/>
      <c r="AC1" s="50"/>
    </row>
    <row r="2" spans="2:30" ht="24.75" customHeight="1" thickBot="1" x14ac:dyDescent="0.35">
      <c r="B2" s="270" t="s">
        <v>59</v>
      </c>
      <c r="C2" s="271"/>
      <c r="D2" s="271"/>
      <c r="E2" s="271"/>
      <c r="F2" s="272"/>
      <c r="G2" s="51"/>
      <c r="H2" s="52" t="s">
        <v>64</v>
      </c>
      <c r="I2" s="53">
        <v>0.95</v>
      </c>
      <c r="J2" s="51"/>
      <c r="K2" s="6"/>
      <c r="L2" s="7"/>
      <c r="M2" s="8"/>
      <c r="N2" s="8"/>
      <c r="O2" s="9"/>
      <c r="P2" s="9"/>
      <c r="Q2" s="10"/>
      <c r="R2" s="9"/>
      <c r="S2" s="9"/>
      <c r="T2" s="9"/>
      <c r="U2" s="9"/>
      <c r="V2" s="9"/>
      <c r="W2" s="9"/>
      <c r="X2" s="11"/>
      <c r="Y2" s="11"/>
      <c r="Z2" s="11"/>
      <c r="AA2" s="11"/>
      <c r="AB2" s="11"/>
      <c r="AC2" s="11"/>
      <c r="AD2" s="11"/>
    </row>
    <row r="3" spans="2:30" ht="28.5" customHeight="1" x14ac:dyDescent="0.3">
      <c r="B3" s="273" t="s">
        <v>98</v>
      </c>
      <c r="C3" s="274"/>
      <c r="D3" s="274"/>
      <c r="E3" s="274"/>
      <c r="F3" s="275"/>
      <c r="G3" s="54"/>
      <c r="H3" s="54"/>
      <c r="I3" s="54"/>
      <c r="J3" s="54"/>
      <c r="K3" s="6"/>
      <c r="L3" s="7"/>
      <c r="M3" s="8"/>
      <c r="N3" s="8"/>
      <c r="O3" s="9"/>
      <c r="P3" s="9"/>
      <c r="Q3" s="10"/>
      <c r="R3" s="9"/>
      <c r="S3" s="9"/>
      <c r="T3" s="9"/>
      <c r="U3" s="9"/>
      <c r="V3" s="9"/>
      <c r="W3" s="9"/>
      <c r="X3" s="11"/>
      <c r="Y3" s="11"/>
      <c r="Z3" s="11"/>
      <c r="AA3" s="11"/>
      <c r="AB3" s="11"/>
      <c r="AC3" s="11"/>
      <c r="AD3" s="11"/>
    </row>
    <row r="4" spans="2:30" ht="12.75" customHeight="1" x14ac:dyDescent="0.7">
      <c r="B4" s="37"/>
      <c r="C4" s="13"/>
      <c r="D4" s="12"/>
      <c r="E4" s="12"/>
      <c r="F4" s="5"/>
      <c r="G4" s="14"/>
      <c r="J4" s="54"/>
      <c r="K4" s="38"/>
      <c r="L4" s="15"/>
      <c r="O4" s="9"/>
      <c r="P4" s="9"/>
      <c r="Q4" s="16"/>
      <c r="R4" s="9"/>
      <c r="S4" s="9"/>
      <c r="T4" s="14"/>
      <c r="V4" s="17"/>
      <c r="W4" s="17"/>
      <c r="X4" s="11"/>
      <c r="Y4" s="17"/>
      <c r="Z4" s="18"/>
      <c r="AA4" s="11"/>
      <c r="AB4" s="11"/>
      <c r="AC4" s="11"/>
      <c r="AD4" s="11"/>
    </row>
    <row r="5" spans="2:30" x14ac:dyDescent="0.3">
      <c r="B5" s="149" t="s">
        <v>53</v>
      </c>
      <c r="C5" s="55"/>
      <c r="D5" s="35" t="s">
        <v>20</v>
      </c>
      <c r="E5" s="35" t="s">
        <v>21</v>
      </c>
      <c r="F5" s="150"/>
      <c r="I5" s="36"/>
      <c r="J5" s="151"/>
      <c r="K5" s="151"/>
      <c r="L5" s="151"/>
      <c r="M5" s="151"/>
      <c r="N5" s="151"/>
      <c r="O5" s="151"/>
      <c r="P5" s="151"/>
      <c r="Q5" s="151"/>
      <c r="R5" s="151"/>
      <c r="S5" s="152"/>
      <c r="T5" s="14"/>
      <c r="V5" s="17"/>
      <c r="W5" s="17"/>
      <c r="X5" s="11"/>
      <c r="Y5" s="17"/>
      <c r="Z5" s="18"/>
      <c r="AA5" s="11"/>
      <c r="AB5" s="11"/>
      <c r="AC5" s="11"/>
      <c r="AD5" s="11"/>
    </row>
    <row r="6" spans="2:30" x14ac:dyDescent="0.3">
      <c r="B6" s="40"/>
      <c r="C6" s="57"/>
      <c r="D6" s="138" t="s">
        <v>3</v>
      </c>
      <c r="E6" s="138" t="s">
        <v>2</v>
      </c>
      <c r="F6" s="139" t="s">
        <v>22</v>
      </c>
      <c r="I6" s="36"/>
      <c r="J6" s="151"/>
      <c r="K6" s="151"/>
      <c r="L6" s="151"/>
      <c r="M6" s="151"/>
      <c r="N6" s="151"/>
      <c r="O6" s="151"/>
      <c r="P6" s="151"/>
      <c r="Q6" s="151"/>
      <c r="R6" s="151"/>
      <c r="S6" s="36"/>
      <c r="T6" s="14"/>
      <c r="V6" s="17"/>
      <c r="W6" s="17"/>
      <c r="X6" s="11"/>
      <c r="Y6" s="17"/>
      <c r="Z6" s="11"/>
      <c r="AA6" s="11"/>
      <c r="AB6" s="11"/>
      <c r="AC6" s="11"/>
      <c r="AD6" s="11"/>
    </row>
    <row r="7" spans="2:30" ht="12.75" customHeight="1" x14ac:dyDescent="0.3">
      <c r="B7" s="40"/>
      <c r="C7" s="153" t="s">
        <v>181</v>
      </c>
      <c r="D7" s="154">
        <v>53</v>
      </c>
      <c r="E7" s="155">
        <f>F7-D7</f>
        <v>54</v>
      </c>
      <c r="F7" s="156">
        <v>107</v>
      </c>
      <c r="I7" s="36"/>
      <c r="J7" s="151"/>
      <c r="K7" s="151"/>
      <c r="L7" s="151"/>
      <c r="M7" s="151"/>
      <c r="N7" s="151"/>
      <c r="O7" s="151"/>
      <c r="P7" s="151"/>
      <c r="Q7" s="151"/>
      <c r="R7" s="151"/>
      <c r="S7" s="36"/>
      <c r="T7" s="14"/>
      <c r="V7" s="17"/>
      <c r="W7" s="17"/>
      <c r="X7" s="11"/>
      <c r="Y7" s="17"/>
      <c r="Z7" s="11"/>
      <c r="AA7" s="11"/>
      <c r="AB7" s="11"/>
      <c r="AC7" s="11"/>
      <c r="AD7" s="11"/>
    </row>
    <row r="8" spans="2:30" ht="12.75" customHeight="1" x14ac:dyDescent="0.3">
      <c r="B8" s="40"/>
      <c r="C8" s="153" t="s">
        <v>182</v>
      </c>
      <c r="D8" s="154">
        <v>62</v>
      </c>
      <c r="E8" s="155">
        <f>F8-D8</f>
        <v>44</v>
      </c>
      <c r="F8" s="156">
        <v>106</v>
      </c>
      <c r="I8" s="157"/>
      <c r="L8" s="151"/>
      <c r="M8" s="151"/>
      <c r="N8" s="151"/>
      <c r="O8" s="151"/>
      <c r="P8" s="151"/>
      <c r="Q8" s="151"/>
      <c r="R8" s="151"/>
      <c r="T8" s="14"/>
      <c r="V8" s="17"/>
      <c r="W8" s="17"/>
      <c r="X8" s="11"/>
      <c r="Y8" s="17"/>
      <c r="Z8" s="11"/>
      <c r="AA8" s="11"/>
      <c r="AB8" s="11"/>
      <c r="AC8" s="11"/>
      <c r="AD8" s="11"/>
    </row>
    <row r="9" spans="2:30" x14ac:dyDescent="0.3">
      <c r="B9" s="40"/>
      <c r="C9" s="158" t="s">
        <v>22</v>
      </c>
      <c r="D9" s="59">
        <f>SUM(D7:D8)</f>
        <v>115</v>
      </c>
      <c r="E9" s="60">
        <f>SUM(E7:E8)</f>
        <v>98</v>
      </c>
      <c r="F9" s="61">
        <f>SUM(F7:F8)</f>
        <v>213</v>
      </c>
      <c r="G9" s="159"/>
      <c r="H9" s="56"/>
      <c r="I9" s="56"/>
      <c r="J9" s="160"/>
      <c r="K9" s="56"/>
      <c r="L9" s="151"/>
      <c r="M9" s="151"/>
      <c r="N9" s="151"/>
      <c r="O9" s="151"/>
      <c r="P9" s="151"/>
      <c r="Q9" s="151"/>
      <c r="R9" s="151"/>
      <c r="T9" s="17"/>
      <c r="V9" s="17"/>
      <c r="W9" s="17"/>
      <c r="X9" s="11"/>
      <c r="Y9" s="17"/>
      <c r="Z9" s="11"/>
      <c r="AA9" s="11"/>
      <c r="AB9" s="11"/>
      <c r="AC9" s="11"/>
      <c r="AD9" s="11"/>
    </row>
    <row r="10" spans="2:30" ht="12.75" customHeight="1" x14ac:dyDescent="0.3">
      <c r="B10" s="40"/>
      <c r="C10" s="22"/>
      <c r="D10" s="161"/>
      <c r="E10" s="23"/>
      <c r="F10" s="23"/>
      <c r="G10" s="56"/>
      <c r="H10" s="56"/>
      <c r="I10" s="56"/>
      <c r="J10" s="56"/>
      <c r="K10" s="56"/>
      <c r="L10" s="56"/>
      <c r="M10" s="58"/>
      <c r="N10" s="56"/>
      <c r="O10" s="4"/>
      <c r="P10" s="21"/>
      <c r="Q10" s="34"/>
      <c r="R10" s="34"/>
      <c r="T10" s="17"/>
      <c r="V10" s="17"/>
      <c r="W10" s="17"/>
      <c r="X10" s="11"/>
      <c r="Y10" s="17"/>
      <c r="Z10" s="11"/>
      <c r="AA10" s="11"/>
      <c r="AB10" s="11"/>
      <c r="AC10" s="11"/>
      <c r="AD10" s="11"/>
    </row>
    <row r="11" spans="2:30" s="3" customFormat="1" ht="14.25" hidden="1" customHeight="1" x14ac:dyDescent="0.3">
      <c r="B11" s="62" t="s">
        <v>126</v>
      </c>
      <c r="C11" s="162"/>
      <c r="D11" s="23"/>
      <c r="E11" s="36"/>
      <c r="F11" s="20"/>
      <c r="G11" s="122"/>
      <c r="H11" s="58"/>
      <c r="I11" s="122"/>
      <c r="J11" s="58"/>
      <c r="K11" s="56"/>
      <c r="L11" s="56"/>
      <c r="M11" s="122"/>
      <c r="N11" s="56"/>
      <c r="O11" s="4"/>
      <c r="P11" s="36"/>
      <c r="Q11" s="24"/>
      <c r="R11" s="24"/>
      <c r="S11" s="4"/>
      <c r="T11" s="1"/>
      <c r="U11" s="1"/>
      <c r="V11" s="1"/>
      <c r="W11" s="1"/>
    </row>
    <row r="12" spans="2:30" s="3" customFormat="1" ht="12.75" hidden="1" customHeight="1" x14ac:dyDescent="0.3">
      <c r="B12" s="40" t="s">
        <v>60</v>
      </c>
      <c r="C12" s="162"/>
      <c r="D12" s="23"/>
      <c r="E12" s="36"/>
      <c r="F12" s="20"/>
      <c r="G12" s="122"/>
      <c r="H12" s="58"/>
      <c r="I12" s="122"/>
      <c r="J12" s="58"/>
      <c r="K12" s="63"/>
      <c r="L12" s="56"/>
      <c r="M12" s="56"/>
      <c r="N12" s="56"/>
      <c r="O12" s="4"/>
      <c r="P12" s="36"/>
      <c r="Q12" s="163"/>
      <c r="R12" s="163"/>
      <c r="S12" s="4"/>
      <c r="T12" s="1"/>
      <c r="U12" s="1"/>
      <c r="V12" s="1"/>
      <c r="W12" s="1"/>
    </row>
    <row r="13" spans="2:30" s="3" customFormat="1" ht="45" hidden="1" customHeight="1" x14ac:dyDescent="0.3">
      <c r="B13" s="72" t="s">
        <v>25</v>
      </c>
      <c r="C13" s="72" t="s">
        <v>61</v>
      </c>
      <c r="D13" s="72" t="s">
        <v>65</v>
      </c>
      <c r="E13" s="72" t="s">
        <v>62</v>
      </c>
      <c r="F13" s="72" t="s">
        <v>63</v>
      </c>
      <c r="G13" s="72" t="s">
        <v>4</v>
      </c>
      <c r="H13" s="72" t="s">
        <v>66</v>
      </c>
      <c r="I13" s="72" t="s">
        <v>67</v>
      </c>
      <c r="J13" s="58"/>
      <c r="K13" s="64" t="s">
        <v>43</v>
      </c>
      <c r="L13" s="65" t="s">
        <v>0</v>
      </c>
      <c r="M13" s="65" t="s">
        <v>1</v>
      </c>
      <c r="N13" s="56"/>
      <c r="O13" s="4"/>
      <c r="P13" s="36"/>
      <c r="Q13" s="36"/>
      <c r="R13" s="36"/>
      <c r="S13" s="4"/>
      <c r="T13" s="1"/>
      <c r="U13" s="1"/>
      <c r="V13" s="1"/>
      <c r="W13" s="1"/>
    </row>
    <row r="14" spans="2:30" s="3" customFormat="1" ht="12.75" hidden="1" customHeight="1" x14ac:dyDescent="0.3">
      <c r="B14" s="41">
        <f>LN((D7/F7)/(D8/F8))</f>
        <v>-0.16623221184280867</v>
      </c>
      <c r="C14" s="41">
        <f>SQRT((E7/(D7*F7)+(E8/(D8*F8))))</f>
        <v>0.12734677117890383</v>
      </c>
      <c r="D14" s="66">
        <f>-NORMSINV((1-I2)/2)</f>
        <v>1.9599639845400536</v>
      </c>
      <c r="E14" s="42">
        <f>B14-(D14*C14)</f>
        <v>-0.41582729690092346</v>
      </c>
      <c r="F14" s="43">
        <f>B14+(D14*C14)</f>
        <v>8.3362873215306138E-2</v>
      </c>
      <c r="G14" s="164">
        <f>(D7/F7)/(D8/F8)</f>
        <v>0.84684956285800428</v>
      </c>
      <c r="H14" s="164">
        <f>EXP(E14)</f>
        <v>0.65979420914999853</v>
      </c>
      <c r="I14" s="164">
        <f>EXP(F14)</f>
        <v>1.0869361570127909</v>
      </c>
      <c r="J14" s="58"/>
      <c r="K14" s="67">
        <f>1-G14</f>
        <v>0.15315043714199572</v>
      </c>
      <c r="L14" s="164">
        <f>1-H14</f>
        <v>0.34020579085000147</v>
      </c>
      <c r="M14" s="164">
        <f>1-I14</f>
        <v>-8.6936157012790893E-2</v>
      </c>
      <c r="N14" s="165"/>
      <c r="O14" s="4"/>
      <c r="P14" s="36"/>
      <c r="Q14" s="36"/>
      <c r="R14" s="36"/>
      <c r="S14" s="4"/>
      <c r="T14" s="1"/>
      <c r="U14" s="1"/>
      <c r="V14" s="1"/>
      <c r="W14" s="1"/>
    </row>
    <row r="15" spans="2:30" s="3" customFormat="1" ht="12.75" hidden="1" customHeight="1" x14ac:dyDescent="0.3">
      <c r="B15" s="40"/>
      <c r="C15" s="162"/>
      <c r="D15" s="162"/>
      <c r="E15" s="162"/>
      <c r="F15" s="25"/>
      <c r="G15" s="166"/>
      <c r="H15" s="58"/>
      <c r="I15" s="122"/>
      <c r="J15" s="58"/>
      <c r="K15" s="122"/>
      <c r="L15" s="122"/>
      <c r="M15" s="122"/>
      <c r="N15" s="56"/>
      <c r="O15" s="4"/>
      <c r="P15" s="36"/>
      <c r="Q15" s="36"/>
      <c r="R15" s="36"/>
      <c r="S15" s="4"/>
      <c r="T15" s="1"/>
      <c r="U15" s="1"/>
      <c r="V15" s="1"/>
      <c r="W15" s="1"/>
    </row>
    <row r="16" spans="2:30" ht="15.75" hidden="1" customHeight="1" x14ac:dyDescent="0.3">
      <c r="B16" s="92" t="s">
        <v>68</v>
      </c>
      <c r="C16" s="36"/>
      <c r="D16" s="68"/>
      <c r="E16" s="68"/>
      <c r="F16" s="36"/>
      <c r="G16" s="36"/>
      <c r="H16" s="69"/>
      <c r="I16" s="27"/>
      <c r="J16" s="70"/>
      <c r="K16" s="70"/>
      <c r="M16" s="56"/>
      <c r="N16" s="58"/>
      <c r="O16" s="27"/>
      <c r="P16" s="36"/>
      <c r="Q16" s="36"/>
      <c r="R16" s="28"/>
      <c r="T16" s="29"/>
      <c r="U16" s="29"/>
      <c r="V16" s="29"/>
      <c r="W16" s="11"/>
      <c r="X16" s="11"/>
      <c r="Y16" s="11"/>
      <c r="Z16" s="11"/>
      <c r="AA16" s="11"/>
      <c r="AB16" s="11"/>
      <c r="AC16" s="11"/>
    </row>
    <row r="17" spans="2:30" ht="12.75" hidden="1" customHeight="1" x14ac:dyDescent="0.3">
      <c r="B17" s="167" t="s">
        <v>69</v>
      </c>
      <c r="C17" s="36"/>
      <c r="D17" s="27"/>
      <c r="E17" s="27"/>
      <c r="F17" s="36"/>
      <c r="G17" s="36"/>
      <c r="H17" s="28"/>
      <c r="I17" s="27"/>
      <c r="J17" s="29"/>
      <c r="K17" s="29"/>
      <c r="L17" s="29"/>
      <c r="M17" s="56"/>
      <c r="N17" s="58"/>
      <c r="O17" s="36"/>
      <c r="P17" s="36"/>
      <c r="Q17" s="28"/>
      <c r="R17" s="27"/>
      <c r="T17" s="29"/>
      <c r="U17" s="29"/>
      <c r="W17" s="11" t="s">
        <v>27</v>
      </c>
      <c r="X17" s="11"/>
      <c r="Y17" s="11"/>
      <c r="Z17" s="11"/>
      <c r="AA17" s="11"/>
      <c r="AB17" s="11"/>
    </row>
    <row r="18" spans="2:30" ht="25.5" hidden="1" customHeight="1" x14ac:dyDescent="0.3">
      <c r="B18" s="71" t="s">
        <v>70</v>
      </c>
      <c r="C18" s="4" t="s">
        <v>9</v>
      </c>
      <c r="E18" s="4" t="s">
        <v>71</v>
      </c>
      <c r="G18" s="4" t="s">
        <v>7</v>
      </c>
      <c r="I18" s="4" t="s">
        <v>8</v>
      </c>
      <c r="J18" s="29"/>
      <c r="K18" s="29"/>
      <c r="L18" s="29"/>
      <c r="M18" s="56"/>
      <c r="N18" s="56"/>
      <c r="O18" s="4"/>
      <c r="P18" s="4"/>
      <c r="T18" s="11"/>
      <c r="V18" s="4"/>
      <c r="W18" s="4" t="s">
        <v>28</v>
      </c>
      <c r="Y18" s="11"/>
      <c r="Z18" s="11"/>
      <c r="AA18" s="11"/>
      <c r="AB18" s="11"/>
      <c r="AC18" s="11"/>
      <c r="AD18" s="11"/>
    </row>
    <row r="19" spans="2:30" ht="38.25" hidden="1" customHeight="1" x14ac:dyDescent="0.4">
      <c r="B19" s="72" t="s">
        <v>72</v>
      </c>
      <c r="C19" s="72" t="s">
        <v>26</v>
      </c>
      <c r="D19" s="72" t="s">
        <v>10</v>
      </c>
      <c r="E19" s="72" t="s">
        <v>9</v>
      </c>
      <c r="F19" s="72" t="s">
        <v>73</v>
      </c>
      <c r="G19" s="72" t="s">
        <v>7</v>
      </c>
      <c r="H19" s="72" t="s">
        <v>8</v>
      </c>
      <c r="I19" s="168" t="s">
        <v>5</v>
      </c>
      <c r="J19" s="72" t="s">
        <v>74</v>
      </c>
      <c r="K19" s="72" t="s">
        <v>66</v>
      </c>
      <c r="L19" s="72" t="s">
        <v>67</v>
      </c>
      <c r="M19" s="169"/>
      <c r="N19" s="170"/>
      <c r="O19" s="73" t="s">
        <v>13</v>
      </c>
      <c r="P19" s="171" t="s">
        <v>56</v>
      </c>
      <c r="Q19" s="75"/>
      <c r="R19" s="76"/>
      <c r="S19" s="44"/>
      <c r="T19" s="77"/>
      <c r="U19" s="78"/>
      <c r="W19" s="79"/>
      <c r="X19" s="73" t="s">
        <v>57</v>
      </c>
      <c r="Y19" s="74" t="s">
        <v>75</v>
      </c>
      <c r="Z19" s="44"/>
      <c r="AA19" s="44"/>
      <c r="AB19" s="44" t="s">
        <v>76</v>
      </c>
      <c r="AC19" s="44"/>
      <c r="AD19" s="39"/>
    </row>
    <row r="20" spans="2:30" ht="12.75" hidden="1" customHeight="1" x14ac:dyDescent="0.3">
      <c r="B20" s="172">
        <f>D7</f>
        <v>53</v>
      </c>
      <c r="C20" s="173">
        <f>F7</f>
        <v>107</v>
      </c>
      <c r="D20" s="80">
        <f>B20/C20</f>
        <v>0.49532710280373832</v>
      </c>
      <c r="E20" s="81">
        <f>2*B20+I20^2</f>
        <v>109.84145882069413</v>
      </c>
      <c r="F20" s="81">
        <f>I20*SQRT((I20^2)+(4*B20*(1-D20)))</f>
        <v>20.633879863008175</v>
      </c>
      <c r="G20" s="82">
        <f>2*(C20+I20^2)</f>
        <v>221.68291764138826</v>
      </c>
      <c r="H20" s="83" t="s">
        <v>11</v>
      </c>
      <c r="I20" s="66">
        <f>-NORMSINV((1-I2)/2)</f>
        <v>1.9599639845400536</v>
      </c>
      <c r="J20" s="84">
        <f>D20</f>
        <v>0.49532710280373832</v>
      </c>
      <c r="K20" s="84">
        <f>(E20-F20)/G20</f>
        <v>0.40241070402183698</v>
      </c>
      <c r="L20" s="84">
        <f>(E20+F20)/G20</f>
        <v>0.58856740100637572</v>
      </c>
      <c r="M20" s="169"/>
      <c r="N20" s="174">
        <f>F9/2</f>
        <v>106.5</v>
      </c>
      <c r="O20" s="19" t="s">
        <v>14</v>
      </c>
      <c r="P20" s="12"/>
      <c r="Q20" s="28"/>
      <c r="R20" s="27"/>
      <c r="S20" s="19"/>
      <c r="T20" s="29"/>
      <c r="U20" s="85"/>
      <c r="W20" s="86">
        <f>ABS(D20-D21)</f>
        <v>8.9578557573620154E-2</v>
      </c>
      <c r="X20" s="19" t="s">
        <v>77</v>
      </c>
      <c r="Y20" s="1"/>
      <c r="Z20" s="19"/>
      <c r="AA20" s="19"/>
      <c r="AB20" s="19" t="s">
        <v>78</v>
      </c>
      <c r="AC20" s="19"/>
      <c r="AD20" s="87"/>
    </row>
    <row r="21" spans="2:30" ht="14.25" hidden="1" customHeight="1" x14ac:dyDescent="0.4">
      <c r="B21" s="172">
        <f>D8</f>
        <v>62</v>
      </c>
      <c r="C21" s="173">
        <f>F8</f>
        <v>106</v>
      </c>
      <c r="D21" s="80">
        <f>B21/C21</f>
        <v>0.58490566037735847</v>
      </c>
      <c r="E21" s="81">
        <f>2*B21+I21^2</f>
        <v>127.84145882069413</v>
      </c>
      <c r="F21" s="81">
        <f>I21*SQRT((I21^2)+(4*B21*(1-D21)))</f>
        <v>20.253632349217291</v>
      </c>
      <c r="G21" s="82">
        <f>2*(C21+I21^2)</f>
        <v>219.68291764138826</v>
      </c>
      <c r="H21" s="83" t="s">
        <v>11</v>
      </c>
      <c r="I21" s="66">
        <f>-NORMSINV((1-I2)/2)</f>
        <v>1.9599639845400536</v>
      </c>
      <c r="J21" s="84">
        <f>D21</f>
        <v>0.58490566037735847</v>
      </c>
      <c r="K21" s="84">
        <f>(E21-F21)/G21</f>
        <v>0.48974143108889268</v>
      </c>
      <c r="L21" s="84">
        <f>(E21+F21)/G21</f>
        <v>0.67413111934202719</v>
      </c>
      <c r="M21" s="169"/>
      <c r="N21" s="88">
        <f>J25</f>
        <v>8.9578557573620154E-2</v>
      </c>
      <c r="O21" s="19" t="s">
        <v>15</v>
      </c>
      <c r="P21" s="19"/>
      <c r="Q21" s="19"/>
      <c r="R21" s="19"/>
      <c r="S21" s="19"/>
      <c r="T21" s="19"/>
      <c r="U21" s="45"/>
      <c r="W21" s="89">
        <f>SQRT((D22*(1-D22)/C20)+(D22*(1-D22)/C21))</f>
        <v>6.8301042865676911E-2</v>
      </c>
      <c r="X21" s="30" t="s">
        <v>79</v>
      </c>
      <c r="Y21" s="19"/>
      <c r="Z21" s="19"/>
      <c r="AA21" s="19"/>
      <c r="AB21" s="19"/>
      <c r="AC21" s="19"/>
      <c r="AD21" s="87"/>
    </row>
    <row r="22" spans="2:30" ht="12.75" hidden="1" customHeight="1" x14ac:dyDescent="0.3">
      <c r="B22" s="172">
        <f>D9</f>
        <v>115</v>
      </c>
      <c r="C22" s="173">
        <f>F9</f>
        <v>213</v>
      </c>
      <c r="D22" s="80">
        <f>B22/C22</f>
        <v>0.539906103286385</v>
      </c>
      <c r="E22" s="81">
        <f>2*B22+I22^2</f>
        <v>233.84145882069413</v>
      </c>
      <c r="F22" s="81">
        <f>I22*SQRT((I22^2)+(4*B22*(1-D22)))</f>
        <v>28.771086432301971</v>
      </c>
      <c r="G22" s="82">
        <f>2*(C22+I22^2)</f>
        <v>433.68291764138826</v>
      </c>
      <c r="H22" s="83" t="s">
        <v>11</v>
      </c>
      <c r="I22" s="66">
        <f>-NORMSINV((1-I2)/2)</f>
        <v>1.9599639845400536</v>
      </c>
      <c r="J22" s="84">
        <f>D22</f>
        <v>0.539906103286385</v>
      </c>
      <c r="K22" s="84">
        <f>(E22-F22)/G22</f>
        <v>0.47285785085490628</v>
      </c>
      <c r="L22" s="84">
        <f>(E22+F22)/G22</f>
        <v>0.60554044111589844</v>
      </c>
      <c r="M22" s="169"/>
      <c r="N22" s="90">
        <f>(B20+B21)/(C20+C21)</f>
        <v>0.539906103286385</v>
      </c>
      <c r="O22" s="19" t="s">
        <v>6</v>
      </c>
      <c r="P22" s="12"/>
      <c r="Q22" s="28"/>
      <c r="R22" s="27"/>
      <c r="S22" s="19"/>
      <c r="T22" s="29"/>
      <c r="U22" s="87"/>
      <c r="W22" s="91">
        <f>W20/W21</f>
        <v>1.3115254733341086</v>
      </c>
      <c r="X22" s="19" t="s">
        <v>42</v>
      </c>
      <c r="Y22" s="1"/>
      <c r="Z22" s="19"/>
      <c r="AA22" s="19"/>
      <c r="AB22" s="19"/>
      <c r="AC22" s="19"/>
      <c r="AD22" s="87"/>
    </row>
    <row r="23" spans="2:30" ht="15" hidden="1" customHeight="1" x14ac:dyDescent="0.3">
      <c r="B23" s="40"/>
      <c r="C23" s="92" t="s">
        <v>12</v>
      </c>
      <c r="F23" s="175"/>
      <c r="G23" s="123"/>
      <c r="H23" s="123"/>
      <c r="I23" s="123"/>
      <c r="J23" s="123"/>
      <c r="K23" s="56"/>
      <c r="L23" s="56"/>
      <c r="M23" s="169"/>
      <c r="N23" s="176">
        <f>SQRT(N20*N21^2/(2*N22*(1-N22)))-I20</f>
        <v>-0.6484240569843982</v>
      </c>
      <c r="O23" s="19" t="s">
        <v>80</v>
      </c>
      <c r="P23" s="19"/>
      <c r="Q23" s="19"/>
      <c r="R23" s="19"/>
      <c r="S23" s="19"/>
      <c r="T23" s="3"/>
      <c r="U23" s="85"/>
      <c r="W23" s="93">
        <f>NORMSDIST(-W22)</f>
        <v>9.4840146668793202E-2</v>
      </c>
      <c r="X23" s="26" t="s">
        <v>81</v>
      </c>
      <c r="Y23" s="19"/>
      <c r="Z23" s="3"/>
      <c r="AA23" s="3"/>
      <c r="AB23" s="3"/>
      <c r="AC23" s="3"/>
      <c r="AD23" s="45"/>
    </row>
    <row r="24" spans="2:30" ht="13.5" hidden="1" customHeight="1" x14ac:dyDescent="0.3">
      <c r="B24" s="40"/>
      <c r="C24" s="92" t="s">
        <v>82</v>
      </c>
      <c r="D24" s="23"/>
      <c r="E24" s="177"/>
      <c r="F24" s="175"/>
      <c r="G24" s="123"/>
      <c r="H24" s="56"/>
      <c r="I24" s="56"/>
      <c r="J24" s="94"/>
      <c r="K24" s="94"/>
      <c r="L24" s="94"/>
      <c r="M24" s="169"/>
      <c r="N24" s="95">
        <f>NORMSDIST(N23)</f>
        <v>0.25835535741172599</v>
      </c>
      <c r="O24" s="264" t="s">
        <v>16</v>
      </c>
      <c r="P24" s="31"/>
      <c r="Q24" s="19"/>
      <c r="R24" s="19"/>
      <c r="S24" s="19"/>
      <c r="T24" s="19"/>
      <c r="U24" s="87"/>
      <c r="W24" s="96">
        <f>1-W23</f>
        <v>0.90515985333120685</v>
      </c>
      <c r="X24" s="32" t="s">
        <v>83</v>
      </c>
      <c r="Y24" s="31"/>
      <c r="Z24" s="3"/>
      <c r="AA24" s="3"/>
      <c r="AB24" s="3"/>
      <c r="AC24" s="3"/>
      <c r="AD24" s="45"/>
    </row>
    <row r="25" spans="2:30" ht="15" hidden="1" customHeight="1" x14ac:dyDescent="0.35">
      <c r="F25" s="33"/>
      <c r="G25" s="56"/>
      <c r="H25" s="56"/>
      <c r="I25" s="52" t="s">
        <v>23</v>
      </c>
      <c r="J25" s="268">
        <f>D21-D20</f>
        <v>8.9578557573620154E-2</v>
      </c>
      <c r="K25" s="268">
        <f>J25+SQRT((D21-K21)^2+(L20-D20)^2)</f>
        <v>0.22280762251436212</v>
      </c>
      <c r="L25" s="268">
        <f>J25-SQRT((D20-K20)^2+(L21-D21)^2)</f>
        <v>-3.9241625977146061E-2</v>
      </c>
      <c r="M25" s="56"/>
      <c r="N25" s="97">
        <f>1-N24</f>
        <v>0.74164464258827401</v>
      </c>
      <c r="O25" s="98" t="s">
        <v>84</v>
      </c>
      <c r="P25" s="99"/>
      <c r="Q25" s="100"/>
      <c r="R25" s="99"/>
      <c r="S25" s="99"/>
      <c r="T25" s="99"/>
      <c r="U25" s="101"/>
      <c r="W25" s="102"/>
      <c r="X25" s="103"/>
      <c r="Y25" s="99"/>
      <c r="Z25" s="103"/>
      <c r="AA25" s="103"/>
      <c r="AB25" s="103"/>
      <c r="AC25" s="103"/>
      <c r="AD25" s="104"/>
    </row>
    <row r="26" spans="2:30" ht="13.5" hidden="1" customHeight="1" x14ac:dyDescent="0.3">
      <c r="F26" s="34"/>
      <c r="G26" s="56"/>
      <c r="H26" s="56"/>
      <c r="I26" s="52" t="s">
        <v>24</v>
      </c>
      <c r="J26" s="269">
        <f>1/J25</f>
        <v>11.163385826771655</v>
      </c>
      <c r="K26" s="269">
        <f>1/K25</f>
        <v>4.4881767899818614</v>
      </c>
      <c r="L26" s="269">
        <f>1/L25</f>
        <v>-25.483143858065162</v>
      </c>
      <c r="M26" s="56"/>
      <c r="N26" s="56"/>
      <c r="O26" s="4"/>
      <c r="P26" s="4"/>
      <c r="U26" s="4"/>
      <c r="V26" s="4"/>
      <c r="W26" s="11"/>
      <c r="X26" s="11"/>
      <c r="Y26" s="11"/>
      <c r="Z26" s="11"/>
      <c r="AA26" s="11"/>
      <c r="AB26" s="11"/>
      <c r="AC26" s="11"/>
    </row>
    <row r="27" spans="2:30" ht="14.25" hidden="1" customHeight="1" x14ac:dyDescent="0.4">
      <c r="G27" s="56"/>
      <c r="H27" s="56"/>
      <c r="K27" s="105"/>
      <c r="L27" s="105"/>
      <c r="M27" s="106"/>
      <c r="N27" s="170"/>
      <c r="O27" s="178"/>
      <c r="P27" s="178" t="s">
        <v>79</v>
      </c>
      <c r="Q27" s="107">
        <f>SQRT((D22*(1-D22)/C20)+(D22*(1-D22)/C21))</f>
        <v>6.8301042865676911E-2</v>
      </c>
      <c r="R27" s="108"/>
      <c r="S27" s="44"/>
      <c r="T27" s="108"/>
      <c r="U27" s="39"/>
      <c r="V27" s="4"/>
    </row>
    <row r="28" spans="2:30" ht="31.5" hidden="1" customHeight="1" x14ac:dyDescent="0.35">
      <c r="G28" s="179"/>
      <c r="H28" s="180"/>
      <c r="I28" s="181"/>
      <c r="J28" s="182"/>
      <c r="K28" s="182"/>
      <c r="L28" s="182"/>
      <c r="M28" s="56"/>
      <c r="N28" s="109" t="s">
        <v>85</v>
      </c>
      <c r="O28" s="265"/>
      <c r="P28" s="19" t="s">
        <v>86</v>
      </c>
      <c r="Q28" s="19"/>
      <c r="R28" s="28"/>
      <c r="S28" s="19"/>
      <c r="T28" s="19"/>
      <c r="U28" s="87"/>
      <c r="V28" s="4"/>
    </row>
    <row r="29" spans="2:30" s="3" customFormat="1" ht="14.25" hidden="1" customHeight="1" x14ac:dyDescent="0.4">
      <c r="B29" s="4"/>
      <c r="C29" s="4"/>
      <c r="D29" s="4"/>
      <c r="E29" s="4"/>
      <c r="F29" s="4"/>
      <c r="G29" s="183"/>
      <c r="H29" s="184"/>
      <c r="I29" s="180"/>
      <c r="J29" s="185"/>
      <c r="K29" s="185"/>
      <c r="L29" s="185"/>
      <c r="M29" s="56"/>
      <c r="N29" s="110"/>
      <c r="O29" s="266" t="s">
        <v>87</v>
      </c>
      <c r="P29" s="19"/>
      <c r="Q29" s="267" t="s">
        <v>88</v>
      </c>
      <c r="R29" s="266" t="s">
        <v>89</v>
      </c>
      <c r="S29" s="19"/>
      <c r="T29" s="19"/>
      <c r="U29" s="45"/>
    </row>
    <row r="30" spans="2:30" s="3" customFormat="1" ht="14.25" hidden="1" customHeight="1" x14ac:dyDescent="0.4">
      <c r="B30" s="4"/>
      <c r="C30" s="4"/>
      <c r="D30" s="4"/>
      <c r="E30" s="4"/>
      <c r="F30" s="4"/>
      <c r="G30" s="183"/>
      <c r="H30" s="184"/>
      <c r="I30" s="180"/>
      <c r="J30" s="185"/>
      <c r="K30" s="185"/>
      <c r="L30" s="185"/>
      <c r="M30" s="56"/>
      <c r="N30" s="176">
        <f>ABS((J25/Q27))-I20</f>
        <v>-0.64843851120594498</v>
      </c>
      <c r="O30" s="266" t="s">
        <v>90</v>
      </c>
      <c r="P30" s="19"/>
      <c r="Q30" s="19"/>
      <c r="R30" s="27"/>
      <c r="S30" s="19"/>
      <c r="T30" s="29"/>
      <c r="U30" s="85"/>
    </row>
    <row r="31" spans="2:30" s="3" customFormat="1" ht="12.75" hidden="1" customHeight="1" x14ac:dyDescent="0.3">
      <c r="B31" s="186"/>
      <c r="C31" s="187"/>
      <c r="D31" s="4"/>
      <c r="E31" s="15"/>
      <c r="F31" s="4"/>
      <c r="G31" s="188"/>
      <c r="H31" s="189"/>
      <c r="I31" s="190"/>
      <c r="J31" s="185"/>
      <c r="K31" s="185"/>
      <c r="L31" s="185"/>
      <c r="M31" s="56"/>
      <c r="N31" s="95">
        <f>NORMSDIST(N30)</f>
        <v>0.25835068434089015</v>
      </c>
      <c r="O31" s="266" t="s">
        <v>91</v>
      </c>
      <c r="P31" s="31"/>
      <c r="Q31" s="19"/>
      <c r="R31" s="19"/>
      <c r="S31" s="19"/>
      <c r="T31" s="19"/>
      <c r="U31" s="45"/>
    </row>
    <row r="32" spans="2:30" s="3" customFormat="1" ht="12.75" hidden="1" customHeight="1" x14ac:dyDescent="0.3">
      <c r="B32" s="186"/>
      <c r="C32" s="4"/>
      <c r="D32" s="4"/>
      <c r="E32" s="4"/>
      <c r="F32" s="4"/>
      <c r="G32" s="191"/>
      <c r="H32" s="192"/>
      <c r="I32" s="192"/>
      <c r="J32" s="193"/>
      <c r="K32" s="193"/>
      <c r="L32" s="193"/>
      <c r="M32" s="56"/>
      <c r="N32" s="97">
        <f>1-N31</f>
        <v>0.74164931565910985</v>
      </c>
      <c r="O32" s="99" t="s">
        <v>92</v>
      </c>
      <c r="P32" s="99"/>
      <c r="Q32" s="100"/>
      <c r="R32" s="111"/>
      <c r="S32" s="99"/>
      <c r="T32" s="112"/>
      <c r="U32" s="101"/>
    </row>
    <row r="33" spans="2:22" ht="15.75" hidden="1" customHeight="1" x14ac:dyDescent="0.35">
      <c r="B33" s="194" t="s">
        <v>93</v>
      </c>
      <c r="C33" s="195"/>
      <c r="D33" s="195"/>
      <c r="E33" s="195"/>
      <c r="G33" s="197"/>
      <c r="H33" s="189"/>
      <c r="I33" s="190"/>
      <c r="J33" s="185"/>
      <c r="K33" s="185"/>
      <c r="L33" s="185"/>
      <c r="M33" s="56"/>
      <c r="N33" s="56"/>
      <c r="O33" s="4"/>
      <c r="P33" s="4"/>
      <c r="T33" s="19"/>
      <c r="U33" s="19"/>
      <c r="V33" s="19"/>
    </row>
    <row r="34" spans="2:22" s="11" customFormat="1" ht="12.75" hidden="1" customHeight="1" x14ac:dyDescent="0.3">
      <c r="B34" s="198"/>
      <c r="C34" s="199" t="s">
        <v>20</v>
      </c>
      <c r="D34" s="200" t="s">
        <v>21</v>
      </c>
      <c r="E34" s="201"/>
      <c r="F34" s="196"/>
      <c r="G34" s="202"/>
      <c r="H34" s="113"/>
      <c r="I34" s="114"/>
      <c r="J34" s="203"/>
      <c r="K34" s="203"/>
      <c r="L34" s="203"/>
      <c r="M34" s="56"/>
      <c r="N34" s="56"/>
      <c r="O34" s="4"/>
      <c r="P34" s="4"/>
      <c r="Q34" s="4"/>
      <c r="R34" s="4"/>
      <c r="S34" s="4"/>
    </row>
    <row r="35" spans="2:22" ht="12.75" hidden="1" customHeight="1" x14ac:dyDescent="0.3">
      <c r="B35" s="204" t="s">
        <v>32</v>
      </c>
      <c r="C35" s="205" t="s">
        <v>3</v>
      </c>
      <c r="D35" s="206" t="s">
        <v>2</v>
      </c>
      <c r="E35" s="207" t="s">
        <v>22</v>
      </c>
      <c r="F35" s="201"/>
      <c r="G35" s="208"/>
      <c r="H35" s="56"/>
      <c r="I35" s="56"/>
      <c r="J35" s="56"/>
      <c r="K35" s="56"/>
      <c r="L35" s="56"/>
      <c r="M35" s="56"/>
      <c r="N35" s="56"/>
      <c r="O35" s="4"/>
      <c r="P35" s="4"/>
      <c r="U35" s="4"/>
      <c r="V35" s="4"/>
    </row>
    <row r="36" spans="2:22" ht="12.75" hidden="1" customHeight="1" x14ac:dyDescent="0.3">
      <c r="B36" s="209" t="s">
        <v>17</v>
      </c>
      <c r="C36" s="210">
        <f>F7*D9/F9</f>
        <v>57.769953051643192</v>
      </c>
      <c r="D36" s="210">
        <f>F7*E9/F9</f>
        <v>49.230046948356808</v>
      </c>
      <c r="E36" s="210">
        <f>F7</f>
        <v>107</v>
      </c>
      <c r="F36" s="201"/>
      <c r="G36" s="211"/>
      <c r="H36" s="212" t="s">
        <v>30</v>
      </c>
      <c r="I36" s="115">
        <f>CHIINV(0.05,K37)</f>
        <v>3.8414588206941236</v>
      </c>
      <c r="J36" s="56"/>
      <c r="K36" s="56"/>
      <c r="L36" s="56"/>
      <c r="M36" s="56"/>
      <c r="N36" s="56"/>
      <c r="O36" s="213"/>
      <c r="P36" s="213"/>
      <c r="Q36" s="213"/>
      <c r="U36" s="4"/>
      <c r="V36" s="4"/>
    </row>
    <row r="37" spans="2:22" ht="12.75" hidden="1" customHeight="1" x14ac:dyDescent="0.3">
      <c r="B37" s="209" t="s">
        <v>18</v>
      </c>
      <c r="C37" s="210">
        <f>F8*D9/F9</f>
        <v>57.230046948356808</v>
      </c>
      <c r="D37" s="210">
        <f>F8*E9/F9</f>
        <v>48.769953051643192</v>
      </c>
      <c r="E37" s="210">
        <f>F8</f>
        <v>106</v>
      </c>
      <c r="F37" s="201"/>
      <c r="G37" s="214"/>
      <c r="H37" s="116"/>
      <c r="I37" s="117"/>
      <c r="J37" s="118" t="s">
        <v>31</v>
      </c>
      <c r="K37" s="119">
        <f>(COUNT(C36:D36)-1)*(COUNT(C36:C37)-1)</f>
        <v>1</v>
      </c>
      <c r="L37" s="56"/>
      <c r="M37" s="56"/>
      <c r="N37" s="56"/>
      <c r="O37" s="213"/>
      <c r="P37" s="213"/>
      <c r="Q37" s="213"/>
      <c r="U37" s="4"/>
      <c r="V37" s="4"/>
    </row>
    <row r="38" spans="2:22" ht="12.75" hidden="1" customHeight="1" x14ac:dyDescent="0.3">
      <c r="B38" s="198" t="s">
        <v>29</v>
      </c>
      <c r="C38" s="210">
        <f>SUM(C36:C37)</f>
        <v>115</v>
      </c>
      <c r="D38" s="210">
        <f>SUM(D36:D37)</f>
        <v>98</v>
      </c>
      <c r="E38" s="215">
        <f>SUM(E36:E37)</f>
        <v>213</v>
      </c>
      <c r="F38" s="201"/>
      <c r="G38" s="208"/>
      <c r="H38" s="216" t="s">
        <v>33</v>
      </c>
      <c r="I38" s="40" t="s">
        <v>34</v>
      </c>
      <c r="J38" s="56"/>
      <c r="K38" s="56"/>
      <c r="L38" s="56"/>
      <c r="M38" s="56"/>
      <c r="N38" s="56"/>
      <c r="O38" s="213"/>
      <c r="P38" s="217"/>
      <c r="Q38" s="213"/>
      <c r="U38" s="4"/>
      <c r="V38" s="4"/>
    </row>
    <row r="39" spans="2:22" ht="12.75" hidden="1" customHeight="1" x14ac:dyDescent="0.3">
      <c r="B39" s="198"/>
      <c r="C39" s="218"/>
      <c r="D39" s="218"/>
      <c r="E39" s="219"/>
      <c r="F39" s="201"/>
      <c r="G39" s="208"/>
      <c r="H39" s="216" t="s">
        <v>35</v>
      </c>
      <c r="I39" s="40" t="s">
        <v>36</v>
      </c>
      <c r="J39" s="56"/>
      <c r="K39" s="56"/>
      <c r="L39" s="56"/>
      <c r="M39" s="56"/>
      <c r="N39" s="56"/>
      <c r="O39" s="220"/>
      <c r="P39" s="220"/>
      <c r="Q39" s="220"/>
      <c r="U39" s="4"/>
      <c r="V39" s="4"/>
    </row>
    <row r="40" spans="2:22" ht="26.25" hidden="1" customHeight="1" x14ac:dyDescent="0.3">
      <c r="B40" s="221"/>
      <c r="C40" s="276" t="s">
        <v>127</v>
      </c>
      <c r="D40" s="277"/>
      <c r="E40" s="201"/>
      <c r="F40" s="201"/>
      <c r="G40" s="208"/>
      <c r="H40" s="120"/>
      <c r="I40" s="56"/>
      <c r="J40" s="56"/>
      <c r="K40" s="56"/>
      <c r="L40" s="56"/>
      <c r="M40" s="56"/>
      <c r="N40" s="56"/>
      <c r="O40" s="4"/>
      <c r="P40" s="4"/>
      <c r="U40" s="4"/>
      <c r="V40" s="4"/>
    </row>
    <row r="41" spans="2:22" ht="12.75" hidden="1" customHeight="1" x14ac:dyDescent="0.3">
      <c r="B41" s="221"/>
      <c r="C41" s="222">
        <f>(D7-C36)^2/C36</f>
        <v>0.39384577817712169</v>
      </c>
      <c r="D41" s="222">
        <f>(E7-D36)^2/D36</f>
        <v>0.46216596418743872</v>
      </c>
      <c r="E41" s="201"/>
      <c r="F41" s="223"/>
      <c r="G41" s="224"/>
      <c r="H41" s="56"/>
      <c r="I41" s="56"/>
      <c r="J41" s="56"/>
      <c r="K41" s="56"/>
      <c r="L41" s="121"/>
      <c r="M41" s="56"/>
      <c r="N41" s="56"/>
      <c r="O41" s="4"/>
      <c r="P41" s="4"/>
      <c r="U41" s="4"/>
      <c r="V41" s="4"/>
    </row>
    <row r="42" spans="2:22" ht="12.75" hidden="1" customHeight="1" x14ac:dyDescent="0.3">
      <c r="B42" s="221"/>
      <c r="C42" s="222">
        <f>(D8-C37)^2/C37</f>
        <v>0.3975613043863398</v>
      </c>
      <c r="D42" s="222">
        <f>(E8-D37)^2/D37</f>
        <v>0.46652602045335795</v>
      </c>
      <c r="E42" s="225"/>
      <c r="F42" s="223" t="s">
        <v>37</v>
      </c>
      <c r="G42" s="226">
        <f>C44-I36</f>
        <v>-2.1213597534898656</v>
      </c>
      <c r="H42" s="56"/>
      <c r="I42" s="56"/>
      <c r="J42" s="56"/>
      <c r="K42" s="56"/>
      <c r="L42" s="56"/>
      <c r="M42" s="56"/>
      <c r="N42" s="56"/>
      <c r="O42" s="4"/>
      <c r="P42" s="4"/>
      <c r="U42" s="4"/>
      <c r="V42" s="4"/>
    </row>
    <row r="43" spans="2:22" ht="12.75" hidden="1" customHeight="1" x14ac:dyDescent="0.3">
      <c r="B43" s="198" t="s">
        <v>39</v>
      </c>
      <c r="C43" s="201"/>
      <c r="D43" s="227"/>
      <c r="E43" s="201"/>
      <c r="F43" s="201"/>
      <c r="G43" s="228" t="s">
        <v>40</v>
      </c>
      <c r="H43" s="56"/>
      <c r="I43" s="56"/>
      <c r="J43" s="56"/>
      <c r="K43" s="56"/>
      <c r="L43" s="56"/>
      <c r="M43" s="56"/>
      <c r="N43" s="56"/>
      <c r="O43" s="4"/>
      <c r="P43" s="4"/>
      <c r="U43" s="4"/>
      <c r="V43" s="4"/>
    </row>
    <row r="44" spans="2:22" ht="13.5" hidden="1" customHeight="1" x14ac:dyDescent="0.3">
      <c r="B44" s="204" t="s">
        <v>38</v>
      </c>
      <c r="C44" s="229">
        <f>SUM(C41:D42)</f>
        <v>1.720099067204258</v>
      </c>
      <c r="D44" s="201"/>
      <c r="E44" s="201"/>
      <c r="F44" s="201"/>
      <c r="G44" s="228" t="s">
        <v>41</v>
      </c>
      <c r="H44" s="56"/>
      <c r="I44" s="122"/>
      <c r="J44" s="56"/>
      <c r="K44" s="56"/>
      <c r="L44" s="123"/>
      <c r="M44" s="56"/>
      <c r="N44" s="56"/>
      <c r="O44" s="4"/>
      <c r="P44" s="4"/>
      <c r="U44" s="4"/>
      <c r="V44" s="4"/>
    </row>
    <row r="45" spans="2:22" ht="12.75" hidden="1" customHeight="1" x14ac:dyDescent="0.3">
      <c r="B45" s="209" t="s">
        <v>128</v>
      </c>
      <c r="C45" s="230">
        <f>CHIDIST(C44,1)</f>
        <v>0.1896802933375864</v>
      </c>
      <c r="D45" s="201"/>
      <c r="E45" s="201"/>
      <c r="F45" s="201"/>
      <c r="G45" s="208"/>
      <c r="H45" s="231"/>
      <c r="I45" s="56"/>
      <c r="J45" s="56"/>
      <c r="K45" s="56"/>
      <c r="L45" s="56"/>
      <c r="M45" s="56"/>
      <c r="N45" s="56"/>
      <c r="O45" s="4"/>
      <c r="P45" s="4"/>
      <c r="U45" s="4"/>
      <c r="V45" s="4"/>
    </row>
    <row r="46" spans="2:22" s="3" customFormat="1" ht="12.75" hidden="1" customHeight="1" x14ac:dyDescent="0.3">
      <c r="B46" s="198"/>
      <c r="C46" s="201"/>
      <c r="D46" s="201"/>
      <c r="E46" s="232"/>
      <c r="F46" s="232"/>
      <c r="G46" s="208"/>
      <c r="H46" s="56"/>
      <c r="I46" s="124"/>
      <c r="J46" s="56"/>
      <c r="K46" s="56"/>
      <c r="L46" s="56"/>
      <c r="M46" s="56"/>
      <c r="N46" s="56"/>
      <c r="O46" s="4"/>
      <c r="P46" s="4"/>
      <c r="Q46" s="4"/>
      <c r="R46" s="4"/>
      <c r="S46" s="4"/>
    </row>
    <row r="47" spans="2:22" ht="12.75" hidden="1" customHeight="1" x14ac:dyDescent="0.3">
      <c r="B47" s="233" t="s">
        <v>94</v>
      </c>
      <c r="C47" s="44"/>
      <c r="D47" s="44"/>
      <c r="E47" s="44"/>
      <c r="F47" s="44"/>
      <c r="G47" s="44"/>
      <c r="H47" s="234"/>
      <c r="I47" s="56"/>
      <c r="J47" s="235" t="s">
        <v>95</v>
      </c>
      <c r="K47" s="125"/>
      <c r="L47" s="125"/>
      <c r="M47" s="125"/>
      <c r="N47" s="125"/>
      <c r="O47" s="39"/>
      <c r="P47" s="4"/>
      <c r="U47" s="4"/>
      <c r="V47" s="4"/>
    </row>
    <row r="48" spans="2:22" ht="12.75" hidden="1" customHeight="1" x14ac:dyDescent="0.3">
      <c r="B48" s="236">
        <f>I2*100</f>
        <v>95</v>
      </c>
      <c r="C48" s="237"/>
      <c r="D48" s="237"/>
      <c r="H48" s="87"/>
      <c r="I48" s="56"/>
      <c r="J48" s="110"/>
      <c r="K48" s="56"/>
      <c r="L48" s="56"/>
      <c r="M48" s="56"/>
      <c r="N48" s="56"/>
      <c r="O48" s="87"/>
      <c r="P48" s="4"/>
      <c r="U48" s="4"/>
      <c r="V48" s="4"/>
    </row>
    <row r="49" spans="2:22" ht="12.75" hidden="1" customHeight="1" x14ac:dyDescent="0.3">
      <c r="B49" s="238" t="s">
        <v>44</v>
      </c>
      <c r="C49" s="239"/>
      <c r="D49" s="239"/>
      <c r="E49" s="5">
        <f>ROUND(G14,2)</f>
        <v>0.85</v>
      </c>
      <c r="F49" s="34">
        <f>ROUND(J25,4)</f>
        <v>8.9599999999999999E-2</v>
      </c>
      <c r="G49" s="105">
        <f>ROUND(J26,0)</f>
        <v>11</v>
      </c>
      <c r="H49" s="240"/>
      <c r="I49" s="56"/>
      <c r="J49" s="241" t="s">
        <v>44</v>
      </c>
      <c r="N49" s="56"/>
      <c r="O49" s="87"/>
      <c r="P49" s="4"/>
      <c r="U49" s="4"/>
      <c r="V49" s="4"/>
    </row>
    <row r="50" spans="2:22" ht="12.75" hidden="1" customHeight="1" x14ac:dyDescent="0.3">
      <c r="B50" s="238" t="s">
        <v>46</v>
      </c>
      <c r="E50" s="5">
        <f>ROUND(H14,2)</f>
        <v>0.66</v>
      </c>
      <c r="F50" s="34">
        <f>ROUND(L25,4)</f>
        <v>-3.9199999999999999E-2</v>
      </c>
      <c r="G50" s="105">
        <f>ROUND(L26,0)</f>
        <v>-25</v>
      </c>
      <c r="H50" s="240"/>
      <c r="I50" s="56"/>
      <c r="J50" s="241" t="s">
        <v>46</v>
      </c>
      <c r="K50" s="242" t="str">
        <f>ROUND(J20,4)*100&amp;J52</f>
        <v>49,53%</v>
      </c>
      <c r="L50" s="242" t="str">
        <f>ROUND(K20,4)*100&amp;J52</f>
        <v>40,24%</v>
      </c>
      <c r="M50" s="242" t="str">
        <f>ROUND(L20,4)*100&amp;J52</f>
        <v>58,86%</v>
      </c>
      <c r="N50" s="4" t="str">
        <f>CONCATENATE(K50," ",J49,L50," ",J53," ",M50,J51)</f>
        <v>49,53% (40,24% a 58,86%)</v>
      </c>
      <c r="O50" s="87"/>
      <c r="P50" s="4"/>
      <c r="U50" s="4"/>
      <c r="V50" s="4"/>
    </row>
    <row r="51" spans="2:22" s="11" customFormat="1" ht="12.75" hidden="1" customHeight="1" x14ac:dyDescent="0.3">
      <c r="B51" s="238" t="s">
        <v>45</v>
      </c>
      <c r="C51" s="239">
        <f>ROUND(D7,0)</f>
        <v>53</v>
      </c>
      <c r="D51" s="239">
        <f>ROUND(D8,0)</f>
        <v>62</v>
      </c>
      <c r="E51" s="5">
        <f>ROUND(I14,2)</f>
        <v>1.0900000000000001</v>
      </c>
      <c r="F51" s="34">
        <f>ROUND(K25,4)</f>
        <v>0.2228</v>
      </c>
      <c r="G51" s="105">
        <f>ROUND(K26,0)</f>
        <v>4</v>
      </c>
      <c r="H51" s="243">
        <f>ROUND(N31,4)</f>
        <v>0.25840000000000002</v>
      </c>
      <c r="I51" s="56"/>
      <c r="J51" s="241" t="s">
        <v>45</v>
      </c>
      <c r="K51" s="244" t="str">
        <f>ROUND(J21,4)*100&amp;J52</f>
        <v>58,49%</v>
      </c>
      <c r="L51" s="244" t="str">
        <f>ROUND(K21,4)*100&amp;J52</f>
        <v>48,97%</v>
      </c>
      <c r="M51" s="244" t="str">
        <f>ROUND(L21,4)*100&amp;J52</f>
        <v>67,41%</v>
      </c>
      <c r="N51" s="4" t="str">
        <f>CONCATENATE(K51," ",J49,L51," ",J53," ",M51,J51)</f>
        <v>58,49% (48,97% a 67,41%)</v>
      </c>
      <c r="O51" s="87"/>
      <c r="P51" s="4"/>
      <c r="Q51" s="4"/>
      <c r="R51" s="4"/>
      <c r="S51" s="4"/>
    </row>
    <row r="52" spans="2:22" ht="12.75" hidden="1" customHeight="1" x14ac:dyDescent="0.3">
      <c r="B52" s="238" t="s">
        <v>47</v>
      </c>
      <c r="C52" s="245" t="s">
        <v>54</v>
      </c>
      <c r="D52" s="245" t="s">
        <v>55</v>
      </c>
      <c r="E52" s="245" t="s">
        <v>4</v>
      </c>
      <c r="F52" s="245" t="s">
        <v>50</v>
      </c>
      <c r="G52" s="246" t="s">
        <v>48</v>
      </c>
      <c r="H52" s="247" t="s">
        <v>51</v>
      </c>
      <c r="I52" s="56"/>
      <c r="J52" s="241" t="s">
        <v>47</v>
      </c>
      <c r="K52" s="244" t="str">
        <f>ROUND(J22,4)*100&amp;J52</f>
        <v>53,99%</v>
      </c>
      <c r="L52" s="244" t="str">
        <f>ROUND(K22,4)*100&amp;J52</f>
        <v>47,29%</v>
      </c>
      <c r="M52" s="244" t="str">
        <f>ROUND(L22,4)*100&amp;J52</f>
        <v>60,55%</v>
      </c>
      <c r="N52" s="4" t="str">
        <f>CONCATENATE(K52," ",J49,L52," ",J53," ",M52,J51)</f>
        <v>53,99% (47,29% a 60,55%)</v>
      </c>
      <c r="O52" s="87"/>
      <c r="P52" s="4"/>
    </row>
    <row r="53" spans="2:22" ht="12.75" hidden="1" customHeight="1" x14ac:dyDescent="0.3">
      <c r="B53" s="248" t="s">
        <v>19</v>
      </c>
      <c r="C53" s="249" t="str">
        <f>CONCATENATE(C51,B54,C20," ",B49,K50,B51)</f>
        <v>53/107 (49,53%)</v>
      </c>
      <c r="D53" s="52" t="str">
        <f>CONCATENATE(D51,B54,C21," ",B49,K51,B51)</f>
        <v>62/106 (58,49%)</v>
      </c>
      <c r="E53" s="249" t="str">
        <f>CONCATENATE(E49," ",B49,E50,B50,E51,B51)</f>
        <v>0,85 (0,66-1,09)</v>
      </c>
      <c r="F53" s="249" t="str">
        <f>CONCATENATE(F49*100,B52," ",B49,F50*100,B52," ",B53," ",F51*100,B52,B51)</f>
        <v>8,96% (-3,92% a 22,28%)</v>
      </c>
      <c r="G53" s="247" t="str">
        <f>CONCATENATE(G49," ",B49,G51," ",B53," ",G50,B51)</f>
        <v>11 (4 a -25)</v>
      </c>
      <c r="H53" s="247" t="str">
        <f>CONCATENATE(H51*100,B52)</f>
        <v>25,84%</v>
      </c>
      <c r="I53" s="56"/>
      <c r="J53" s="250" t="s">
        <v>19</v>
      </c>
      <c r="N53" s="56"/>
      <c r="O53" s="87"/>
      <c r="P53" s="4"/>
      <c r="U53" s="4"/>
      <c r="V53" s="4"/>
    </row>
    <row r="54" spans="2:22" ht="13.5" hidden="1" customHeight="1" x14ac:dyDescent="0.3">
      <c r="B54" s="251" t="s">
        <v>49</v>
      </c>
      <c r="C54" s="99"/>
      <c r="D54" s="99"/>
      <c r="E54" s="99"/>
      <c r="F54" s="99"/>
      <c r="G54" s="126"/>
      <c r="H54" s="252"/>
      <c r="I54" s="56"/>
      <c r="J54" s="253" t="s">
        <v>49</v>
      </c>
      <c r="K54" s="99"/>
      <c r="L54" s="99"/>
      <c r="M54" s="99"/>
      <c r="N54" s="126"/>
      <c r="O54" s="101"/>
      <c r="P54" s="4"/>
      <c r="U54" s="4"/>
      <c r="V54" s="4"/>
    </row>
    <row r="55" spans="2:22" hidden="1" x14ac:dyDescent="0.3">
      <c r="B55" s="40"/>
      <c r="G55" s="56"/>
      <c r="H55" s="56"/>
      <c r="I55" s="56"/>
      <c r="J55" s="56"/>
      <c r="K55" s="56"/>
      <c r="L55" s="56"/>
      <c r="M55" s="56"/>
      <c r="N55" s="56"/>
      <c r="O55" s="4"/>
      <c r="P55" s="4"/>
      <c r="U55" s="4"/>
      <c r="V55" s="4"/>
    </row>
    <row r="56" spans="2:22" ht="27" customHeight="1" x14ac:dyDescent="0.3">
      <c r="B56" s="40"/>
      <c r="C56" s="127" t="s">
        <v>54</v>
      </c>
      <c r="D56" s="127" t="s">
        <v>55</v>
      </c>
      <c r="E56" s="128" t="str">
        <f>CONCATENATE(E52," ",B49,H2," ",B48,B52,B51)</f>
        <v>RR (IC 95%)</v>
      </c>
      <c r="F56" s="128" t="str">
        <f>CONCATENATE(F52," ",B49,H2," ",B48,B52,B51)</f>
        <v>RAR (IC 95%)</v>
      </c>
      <c r="G56" s="128" t="str">
        <f>CONCATENATE(G52," ",B49,H2," ",B48,B52,B51)</f>
        <v>NNT (IC 95%)</v>
      </c>
      <c r="H56" s="128" t="s">
        <v>52</v>
      </c>
      <c r="I56" s="129"/>
      <c r="J56" s="128" t="s">
        <v>58</v>
      </c>
      <c r="L56" s="254" t="s">
        <v>96</v>
      </c>
      <c r="M56" s="254" t="s">
        <v>97</v>
      </c>
      <c r="O56" s="4"/>
      <c r="P56" s="4"/>
      <c r="U56" s="4"/>
      <c r="V56" s="4"/>
    </row>
    <row r="57" spans="2:22" ht="21" customHeight="1" x14ac:dyDescent="0.3">
      <c r="B57" s="40"/>
      <c r="C57" s="52" t="str">
        <f t="shared" ref="C57:H57" si="0">C53</f>
        <v>53/107 (49,53%)</v>
      </c>
      <c r="D57" s="52" t="str">
        <f t="shared" si="0"/>
        <v>62/106 (58,49%)</v>
      </c>
      <c r="E57" s="52" t="str">
        <f t="shared" si="0"/>
        <v>0,85 (0,66-1,09)</v>
      </c>
      <c r="F57" s="52" t="str">
        <f t="shared" si="0"/>
        <v>8,96% (-3,92% a 22,28%)</v>
      </c>
      <c r="G57" s="52" t="str">
        <f t="shared" si="0"/>
        <v>11 (4 a -25)</v>
      </c>
      <c r="H57" s="52" t="str">
        <f t="shared" si="0"/>
        <v>25,84%</v>
      </c>
      <c r="I57" s="130"/>
      <c r="J57" s="131">
        <f>C45</f>
        <v>0.1896802933375864</v>
      </c>
      <c r="L57" s="132">
        <f>IF((K25*L25&lt;0),J22,J20)</f>
        <v>0.539906103286385</v>
      </c>
      <c r="M57" s="132">
        <f>IF((K25*L25&lt;0),J22,J21)</f>
        <v>0.539906103286385</v>
      </c>
      <c r="O57" s="4"/>
      <c r="P57" s="4"/>
      <c r="U57" s="4"/>
      <c r="V57" s="4"/>
    </row>
    <row r="58" spans="2:22" x14ac:dyDescent="0.3">
      <c r="L58" s="3"/>
    </row>
    <row r="59" spans="2:22" x14ac:dyDescent="0.3">
      <c r="B59" s="142" t="s">
        <v>172</v>
      </c>
    </row>
    <row r="60" spans="2:22" x14ac:dyDescent="0.3">
      <c r="B60" s="137" t="s">
        <v>101</v>
      </c>
    </row>
    <row r="61" spans="2:22" ht="13.5" thickBot="1" x14ac:dyDescent="0.35"/>
    <row r="62" spans="2:22" ht="39.5" customHeight="1" thickBot="1" x14ac:dyDescent="0.35">
      <c r="B62" s="278" t="s">
        <v>175</v>
      </c>
      <c r="C62" s="279"/>
      <c r="D62" s="279"/>
      <c r="E62" s="280"/>
    </row>
    <row r="63" spans="2:22" ht="61" customHeight="1" thickBot="1" x14ac:dyDescent="0.35">
      <c r="B63" s="133" t="s">
        <v>100</v>
      </c>
      <c r="C63" s="134" t="s">
        <v>102</v>
      </c>
      <c r="D63" s="135" t="s">
        <v>103</v>
      </c>
      <c r="E63" s="136" t="s">
        <v>99</v>
      </c>
    </row>
    <row r="64" spans="2:22" ht="6.5" customHeight="1" x14ac:dyDescent="0.3">
      <c r="B64" s="140"/>
      <c r="C64" s="140"/>
      <c r="D64" s="140"/>
      <c r="E64" s="140"/>
      <c r="Q64" s="11"/>
    </row>
    <row r="65" spans="2:22" ht="16" customHeight="1" x14ac:dyDescent="0.3">
      <c r="B65" s="143" t="s">
        <v>104</v>
      </c>
      <c r="C65" s="144" t="s">
        <v>106</v>
      </c>
      <c r="D65" s="144" t="s">
        <v>107</v>
      </c>
      <c r="E65" s="145">
        <v>8.6796918380238994E-2</v>
      </c>
      <c r="Q65" s="11"/>
    </row>
    <row r="66" spans="2:22" ht="16" customHeight="1" x14ac:dyDescent="0.3">
      <c r="B66" s="143" t="s">
        <v>105</v>
      </c>
      <c r="C66" s="144" t="s">
        <v>131</v>
      </c>
      <c r="D66" s="144" t="s">
        <v>137</v>
      </c>
      <c r="E66" s="145">
        <v>0.1896802933375864</v>
      </c>
      <c r="Q66" s="11"/>
    </row>
    <row r="67" spans="2:22" s="261" customFormat="1" ht="18" customHeight="1" x14ac:dyDescent="0.35">
      <c r="B67" s="260" t="s">
        <v>108</v>
      </c>
      <c r="C67" s="260"/>
      <c r="D67" s="260"/>
      <c r="E67" s="260"/>
      <c r="O67" s="262"/>
      <c r="P67" s="262"/>
      <c r="U67" s="262"/>
      <c r="V67" s="262"/>
    </row>
    <row r="68" spans="2:22" ht="16" customHeight="1" x14ac:dyDescent="0.3">
      <c r="B68" s="143" t="s">
        <v>109</v>
      </c>
      <c r="C68" s="144" t="s">
        <v>132</v>
      </c>
      <c r="D68" s="144" t="s">
        <v>138</v>
      </c>
      <c r="E68" s="145">
        <v>0.53178641363684087</v>
      </c>
    </row>
    <row r="69" spans="2:22" ht="16" customHeight="1" x14ac:dyDescent="0.3">
      <c r="B69" s="143" t="s">
        <v>110</v>
      </c>
      <c r="C69" s="144" t="s">
        <v>133</v>
      </c>
      <c r="D69" s="144" t="s">
        <v>139</v>
      </c>
      <c r="E69" s="145">
        <v>0.53178641363684087</v>
      </c>
      <c r="Q69" s="11"/>
    </row>
    <row r="70" spans="2:22" s="261" customFormat="1" ht="18" customHeight="1" x14ac:dyDescent="0.35">
      <c r="B70" s="260" t="s">
        <v>173</v>
      </c>
      <c r="C70" s="260"/>
      <c r="D70" s="260"/>
      <c r="E70" s="260"/>
      <c r="O70" s="262"/>
      <c r="P70" s="262"/>
      <c r="U70" s="262"/>
      <c r="V70" s="262"/>
    </row>
    <row r="71" spans="2:22" ht="16" customHeight="1" x14ac:dyDescent="0.3">
      <c r="B71" s="143" t="s">
        <v>111</v>
      </c>
      <c r="C71" s="144" t="s">
        <v>132</v>
      </c>
      <c r="D71" s="144" t="s">
        <v>140</v>
      </c>
      <c r="E71" s="145">
        <v>0.72762377850760762</v>
      </c>
    </row>
    <row r="72" spans="2:22" ht="16" customHeight="1" x14ac:dyDescent="0.3">
      <c r="B72" s="143" t="s">
        <v>171</v>
      </c>
      <c r="C72" s="144" t="s">
        <v>133</v>
      </c>
      <c r="D72" s="144" t="s">
        <v>141</v>
      </c>
      <c r="E72" s="145">
        <v>0.72762377850760762</v>
      </c>
    </row>
    <row r="73" spans="2:22" s="261" customFormat="1" ht="18" customHeight="1" x14ac:dyDescent="0.35">
      <c r="B73" s="260" t="s">
        <v>176</v>
      </c>
      <c r="C73" s="260"/>
      <c r="D73" s="260"/>
      <c r="E73" s="260"/>
      <c r="O73" s="262"/>
      <c r="P73" s="262"/>
      <c r="U73" s="262"/>
      <c r="V73" s="262"/>
    </row>
    <row r="74" spans="2:22" ht="16" customHeight="1" x14ac:dyDescent="0.3">
      <c r="B74" s="147" t="s">
        <v>177</v>
      </c>
      <c r="C74" s="144" t="s">
        <v>134</v>
      </c>
      <c r="D74" s="144" t="s">
        <v>142</v>
      </c>
      <c r="E74" s="145">
        <v>0.96577434997622247</v>
      </c>
    </row>
    <row r="75" spans="2:22" ht="16" customHeight="1" x14ac:dyDescent="0.3">
      <c r="B75" s="147" t="s">
        <v>178</v>
      </c>
      <c r="C75" s="144" t="s">
        <v>135</v>
      </c>
      <c r="D75" s="144" t="s">
        <v>143</v>
      </c>
      <c r="E75" s="145">
        <v>0.96577434997622247</v>
      </c>
    </row>
    <row r="76" spans="2:22" ht="6.5" customHeight="1" x14ac:dyDescent="0.3">
      <c r="B76" s="140"/>
      <c r="C76" s="140"/>
      <c r="D76" s="140"/>
      <c r="E76" s="140"/>
      <c r="Q76" s="11"/>
    </row>
    <row r="77" spans="2:22" ht="16" customHeight="1" x14ac:dyDescent="0.3">
      <c r="B77" s="143" t="s">
        <v>129</v>
      </c>
      <c r="C77" s="144" t="s">
        <v>136</v>
      </c>
      <c r="D77" s="144" t="s">
        <v>144</v>
      </c>
      <c r="E77" s="145">
        <v>0.53692155234164796</v>
      </c>
    </row>
    <row r="78" spans="2:22" s="261" customFormat="1" ht="18" customHeight="1" x14ac:dyDescent="0.35">
      <c r="B78" s="260" t="s">
        <v>119</v>
      </c>
      <c r="C78" s="260"/>
      <c r="D78" s="260"/>
      <c r="E78" s="260"/>
      <c r="O78" s="262"/>
      <c r="P78" s="262"/>
      <c r="U78" s="262"/>
      <c r="V78" s="262"/>
    </row>
    <row r="79" spans="2:22" ht="16" customHeight="1" x14ac:dyDescent="0.3">
      <c r="B79" s="143" t="s">
        <v>120</v>
      </c>
      <c r="C79" s="144" t="s">
        <v>132</v>
      </c>
      <c r="D79" s="258" t="s">
        <v>152</v>
      </c>
      <c r="E79" s="259">
        <v>0.11340218222510517</v>
      </c>
    </row>
    <row r="80" spans="2:22" ht="16" customHeight="1" x14ac:dyDescent="0.3">
      <c r="B80" s="143" t="s">
        <v>124</v>
      </c>
      <c r="C80" s="144" t="s">
        <v>145</v>
      </c>
      <c r="D80" s="258" t="s">
        <v>146</v>
      </c>
      <c r="E80" s="259">
        <v>0.24490275467570563</v>
      </c>
    </row>
    <row r="81" spans="2:22" ht="16" customHeight="1" x14ac:dyDescent="0.3">
      <c r="B81" s="143" t="s">
        <v>122</v>
      </c>
      <c r="C81" s="144" t="s">
        <v>147</v>
      </c>
      <c r="D81" s="258" t="s">
        <v>140</v>
      </c>
      <c r="E81" s="259">
        <v>0.94027008045452309</v>
      </c>
    </row>
    <row r="82" spans="2:22" ht="16" customHeight="1" x14ac:dyDescent="0.3">
      <c r="B82" s="143" t="s">
        <v>121</v>
      </c>
      <c r="C82" s="144" t="s">
        <v>148</v>
      </c>
      <c r="D82" s="258" t="s">
        <v>149</v>
      </c>
      <c r="E82" s="259">
        <v>0.71515038128771924</v>
      </c>
    </row>
    <row r="83" spans="2:22" ht="16" customHeight="1" x14ac:dyDescent="0.3">
      <c r="B83" s="143" t="s">
        <v>123</v>
      </c>
      <c r="C83" s="144" t="s">
        <v>150</v>
      </c>
      <c r="D83" s="258" t="s">
        <v>151</v>
      </c>
      <c r="E83" s="259">
        <v>0.42150580087539452</v>
      </c>
    </row>
    <row r="84" spans="2:22" ht="16" customHeight="1" x14ac:dyDescent="0.3">
      <c r="B84" s="143" t="s">
        <v>183</v>
      </c>
      <c r="C84" s="144" t="s">
        <v>153</v>
      </c>
      <c r="D84" s="258" t="s">
        <v>168</v>
      </c>
      <c r="E84" s="259">
        <v>0.58986850802469493</v>
      </c>
    </row>
    <row r="85" spans="2:22" ht="16" customHeight="1" x14ac:dyDescent="0.3">
      <c r="B85" s="143" t="s">
        <v>125</v>
      </c>
      <c r="C85" s="258" t="s">
        <v>153</v>
      </c>
      <c r="D85" s="258" t="s">
        <v>154</v>
      </c>
      <c r="E85" s="259">
        <v>0.61773181738227245</v>
      </c>
    </row>
    <row r="86" spans="2:22" s="261" customFormat="1" ht="18" customHeight="1" x14ac:dyDescent="0.35">
      <c r="B86" s="260" t="s">
        <v>130</v>
      </c>
      <c r="C86" s="260"/>
      <c r="D86" s="260"/>
      <c r="E86" s="260"/>
      <c r="O86" s="262"/>
      <c r="P86" s="262"/>
      <c r="U86" s="262"/>
      <c r="V86" s="262"/>
    </row>
    <row r="87" spans="2:22" ht="16" customHeight="1" x14ac:dyDescent="0.3">
      <c r="B87" s="143" t="s">
        <v>112</v>
      </c>
      <c r="C87" s="148" t="s">
        <v>155</v>
      </c>
      <c r="D87" s="148" t="s">
        <v>156</v>
      </c>
      <c r="E87" s="257">
        <v>0.39431104542103146</v>
      </c>
    </row>
    <row r="88" spans="2:22" ht="16" customHeight="1" x14ac:dyDescent="0.3">
      <c r="B88" s="255" t="s">
        <v>179</v>
      </c>
      <c r="C88" s="256" t="s">
        <v>157</v>
      </c>
      <c r="D88" s="256" t="s">
        <v>158</v>
      </c>
      <c r="E88" s="257">
        <v>0.71421228224058719</v>
      </c>
    </row>
    <row r="89" spans="2:22" ht="16" customHeight="1" x14ac:dyDescent="0.3">
      <c r="B89" s="143" t="s">
        <v>113</v>
      </c>
      <c r="C89" s="144" t="s">
        <v>159</v>
      </c>
      <c r="D89" s="144" t="s">
        <v>160</v>
      </c>
      <c r="E89" s="145">
        <v>0.1450493206861907</v>
      </c>
    </row>
    <row r="90" spans="2:22" ht="16" customHeight="1" x14ac:dyDescent="0.3">
      <c r="B90" s="143" t="s">
        <v>114</v>
      </c>
      <c r="C90" s="144" t="s">
        <v>161</v>
      </c>
      <c r="D90" s="144" t="s">
        <v>162</v>
      </c>
      <c r="E90" s="145">
        <v>0.2491789792445599</v>
      </c>
    </row>
    <row r="91" spans="2:22" ht="16" customHeight="1" x14ac:dyDescent="0.3">
      <c r="B91" s="143" t="s">
        <v>184</v>
      </c>
      <c r="C91" s="144" t="s">
        <v>163</v>
      </c>
      <c r="D91" s="144" t="s">
        <v>164</v>
      </c>
      <c r="E91" s="145">
        <v>0.4603115052590151</v>
      </c>
    </row>
    <row r="92" spans="2:22" ht="6.5" customHeight="1" x14ac:dyDescent="0.3">
      <c r="B92" s="140"/>
      <c r="C92" s="140"/>
      <c r="D92" s="140"/>
      <c r="E92" s="140"/>
      <c r="Q92" s="11"/>
    </row>
    <row r="93" spans="2:22" ht="16" customHeight="1" x14ac:dyDescent="0.3">
      <c r="B93" s="143" t="s">
        <v>115</v>
      </c>
      <c r="C93" s="144" t="s">
        <v>165</v>
      </c>
      <c r="D93" s="144" t="s">
        <v>166</v>
      </c>
      <c r="E93" s="145">
        <v>0.5727906795103892</v>
      </c>
    </row>
    <row r="94" spans="2:22" ht="16" customHeight="1" x14ac:dyDescent="0.3">
      <c r="B94" s="143" t="s">
        <v>116</v>
      </c>
      <c r="C94" s="144" t="s">
        <v>167</v>
      </c>
      <c r="D94" s="144" t="s">
        <v>168</v>
      </c>
      <c r="E94" s="145">
        <v>0.29119526679387947</v>
      </c>
    </row>
    <row r="95" spans="2:22" s="261" customFormat="1" ht="18" customHeight="1" x14ac:dyDescent="0.35">
      <c r="B95" s="263" t="s">
        <v>174</v>
      </c>
      <c r="C95" s="260"/>
      <c r="D95" s="260"/>
      <c r="E95" s="260"/>
      <c r="O95" s="262"/>
      <c r="P95" s="262"/>
      <c r="U95" s="262"/>
      <c r="V95" s="262"/>
    </row>
    <row r="96" spans="2:22" ht="16" customHeight="1" x14ac:dyDescent="0.3">
      <c r="B96" s="143" t="s">
        <v>117</v>
      </c>
      <c r="C96" s="144" t="s">
        <v>169</v>
      </c>
      <c r="D96" s="144" t="s">
        <v>170</v>
      </c>
      <c r="E96" s="145">
        <v>4.3275028319233501E-2</v>
      </c>
    </row>
    <row r="97" spans="2:12" ht="16" customHeight="1" x14ac:dyDescent="0.35">
      <c r="B97" s="143" t="s">
        <v>118</v>
      </c>
      <c r="C97" s="144" t="s">
        <v>163</v>
      </c>
      <c r="D97" s="258" t="s">
        <v>170</v>
      </c>
      <c r="E97" s="259">
        <v>0.98240228925517148</v>
      </c>
      <c r="K97" s="146"/>
      <c r="L97" s="146"/>
    </row>
    <row r="98" spans="2:12" ht="5.5" customHeight="1" x14ac:dyDescent="0.3">
      <c r="B98" s="141"/>
      <c r="C98" s="141"/>
      <c r="D98" s="141"/>
      <c r="E98" s="141"/>
    </row>
    <row r="99" spans="2:12" ht="31" customHeight="1" x14ac:dyDescent="0.3">
      <c r="B99" s="281" t="s">
        <v>180</v>
      </c>
      <c r="C99" s="282"/>
      <c r="D99" s="282"/>
      <c r="E99" s="283"/>
    </row>
  </sheetData>
  <mergeCells count="5">
    <mergeCell ref="B2:F2"/>
    <mergeCell ref="B3:F3"/>
    <mergeCell ref="C40:D40"/>
    <mergeCell ref="B62:E62"/>
    <mergeCell ref="B99:E99"/>
  </mergeCells>
  <phoneticPr fontId="3" type="noConversion"/>
  <pageMargins left="0.17" right="0.17" top="0.21" bottom="0.7" header="0" footer="0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Inc Acumul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gasanchez</dc:creator>
  <cp:lastModifiedBy>Galo Agustín Sánchez Robles</cp:lastModifiedBy>
  <cp:lastPrinted>2012-06-13T14:26:24Z</cp:lastPrinted>
  <dcterms:created xsi:type="dcterms:W3CDTF">2009-05-28T14:19:22Z</dcterms:created>
  <dcterms:modified xsi:type="dcterms:W3CDTF">2022-07-31T11:20:27Z</dcterms:modified>
</cp:coreProperties>
</file>