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aloa\Desktop\20220801-VÑ ASCENT\"/>
    </mc:Choice>
  </mc:AlternateContent>
  <xr:revisionPtr revIDLastSave="0" documentId="13_ncr:1_{C8C41B31-499B-4CC3-9377-3A03006A81EE}" xr6:coauthVersionLast="47" xr6:coauthVersionMax="47" xr10:uidLastSave="{00000000-0000-0000-0000-000000000000}"/>
  <bookViews>
    <workbookView xWindow="-110" yWindow="-110" windowWidth="19420" windowHeight="10420" tabRatio="564" xr2:uid="{00000000-000D-0000-FFFF-FFFF00000000}"/>
  </bookViews>
  <sheets>
    <sheet name="Baseline ASCENT" sheetId="1" r:id="rId1"/>
  </sheets>
  <definedNames>
    <definedName name="ArticleComments" localSheetId="0">'Baseline ASCENT'!#REF!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7" i="1" l="1"/>
  <c r="F9" i="1"/>
  <c r="D9" i="1"/>
  <c r="E8" i="1"/>
  <c r="AC5" i="1" l="1"/>
  <c r="AD5" i="1" s="1"/>
  <c r="AE3" i="1"/>
  <c r="AD3" i="1" l="1"/>
  <c r="G14" i="1" l="1"/>
  <c r="B23" i="1" l="1"/>
  <c r="D54" i="1"/>
  <c r="B51" i="1"/>
  <c r="E39" i="1"/>
  <c r="E38" i="1"/>
  <c r="I23" i="1"/>
  <c r="I22" i="1"/>
  <c r="C22" i="1"/>
  <c r="B22" i="1"/>
  <c r="I21" i="1"/>
  <c r="C21" i="1"/>
  <c r="D14" i="1"/>
  <c r="C23" i="1"/>
  <c r="B14" i="1"/>
  <c r="E52" i="1"/>
  <c r="E9" i="1"/>
  <c r="B21" i="1"/>
  <c r="C54" i="1"/>
  <c r="G59" i="1" l="1"/>
  <c r="E59" i="1"/>
  <c r="F59" i="1"/>
  <c r="G21" i="1"/>
  <c r="E21" i="1"/>
  <c r="G23" i="1"/>
  <c r="E22" i="1"/>
  <c r="E23" i="1"/>
  <c r="G22" i="1"/>
  <c r="D21" i="1"/>
  <c r="J21" i="1" s="1"/>
  <c r="D38" i="1"/>
  <c r="C14" i="1"/>
  <c r="E14" i="1" s="1"/>
  <c r="H14" i="1" s="1"/>
  <c r="L14" i="1" s="1"/>
  <c r="K14" i="1"/>
  <c r="N21" i="1"/>
  <c r="E40" i="1"/>
  <c r="D22" i="1"/>
  <c r="F22" i="1" s="1"/>
  <c r="N23" i="1"/>
  <c r="D23" i="1"/>
  <c r="C39" i="1"/>
  <c r="C44" i="1" s="1"/>
  <c r="C38" i="1"/>
  <c r="K53" i="1" l="1"/>
  <c r="C56" i="1" s="1"/>
  <c r="C60" i="1" s="1"/>
  <c r="F21" i="1"/>
  <c r="L21" i="1" s="1"/>
  <c r="M53" i="1" s="1"/>
  <c r="D39" i="1"/>
  <c r="D44" i="1" s="1"/>
  <c r="F14" i="1"/>
  <c r="I14" i="1" s="1"/>
  <c r="E54" i="1" s="1"/>
  <c r="E53" i="1"/>
  <c r="W21" i="1"/>
  <c r="J26" i="1"/>
  <c r="N22" i="1" s="1"/>
  <c r="N24" i="1" s="1"/>
  <c r="N25" i="1" s="1"/>
  <c r="N26" i="1" s="1"/>
  <c r="J22" i="1"/>
  <c r="K54" i="1" s="1"/>
  <c r="K22" i="1"/>
  <c r="L54" i="1" s="1"/>
  <c r="L22" i="1"/>
  <c r="Q28" i="1"/>
  <c r="F23" i="1"/>
  <c r="W22" i="1"/>
  <c r="J23" i="1"/>
  <c r="K55" i="1" s="1"/>
  <c r="D43" i="1"/>
  <c r="C40" i="1"/>
  <c r="C43" i="1"/>
  <c r="K39" i="1"/>
  <c r="I38" i="1" s="1"/>
  <c r="D56" i="1" l="1"/>
  <c r="D60" i="1" s="1"/>
  <c r="E56" i="1"/>
  <c r="E60" i="1" s="1"/>
  <c r="K21" i="1"/>
  <c r="D40" i="1"/>
  <c r="W23" i="1"/>
  <c r="W24" i="1" s="1"/>
  <c r="W25" i="1" s="1"/>
  <c r="M14" i="1"/>
  <c r="N31" i="1"/>
  <c r="N32" i="1" s="1"/>
  <c r="H54" i="1" s="1"/>
  <c r="H56" i="1" s="1"/>
  <c r="H60" i="1" s="1"/>
  <c r="F52" i="1"/>
  <c r="J27" i="1"/>
  <c r="G52" i="1" s="1"/>
  <c r="K26" i="1"/>
  <c r="M54" i="1"/>
  <c r="C46" i="1"/>
  <c r="G44" i="1" s="1"/>
  <c r="K23" i="1"/>
  <c r="L55" i="1" s="1"/>
  <c r="L23" i="1"/>
  <c r="M55" i="1" s="1"/>
  <c r="L53" i="1" l="1"/>
  <c r="N53" i="1" s="1"/>
  <c r="N55" i="1"/>
  <c r="N54" i="1"/>
  <c r="L26" i="1"/>
  <c r="F53" i="1" s="1"/>
  <c r="N33" i="1"/>
  <c r="K27" i="1"/>
  <c r="G54" i="1" s="1"/>
  <c r="F54" i="1"/>
  <c r="C47" i="1"/>
  <c r="J60" i="1" s="1"/>
  <c r="F56" i="1" l="1"/>
  <c r="F60" i="1" s="1"/>
  <c r="L60" i="1"/>
  <c r="M60" i="1"/>
  <c r="L27" i="1"/>
  <c r="G53" i="1" s="1"/>
  <c r="G56" i="1" s="1"/>
  <c r="G60" i="1" l="1"/>
</calcChain>
</file>

<file path=xl/sharedStrings.xml><?xml version="1.0" encoding="utf-8"?>
<sst xmlns="http://schemas.openxmlformats.org/spreadsheetml/2006/main" count="235" uniqueCount="205">
  <si>
    <t>Límite inferior del IC</t>
  </si>
  <si>
    <t>Límite superior del IC</t>
  </si>
  <si>
    <t>Sin eventos</t>
  </si>
  <si>
    <t>Con eventos</t>
  </si>
  <si>
    <t>RR</t>
  </si>
  <si>
    <t>Z α/2 (0,05)</t>
  </si>
  <si>
    <t>pM = proporción "media" de los eventos = nº total eventos / nº suma de ambos grupos; qM= complementario</t>
  </si>
  <si>
    <t>C= 2(n+z^2)</t>
  </si>
  <si>
    <t>IC = (A+-B)/C</t>
  </si>
  <si>
    <t>A= 2*eventos + z^2</t>
  </si>
  <si>
    <t>p (proporción) = eventos / n</t>
  </si>
  <si>
    <t>Operar</t>
  </si>
  <si>
    <t>A continuación, se aplica: IC = RAR - Raíz [(p1-Li1)^2 + (Ls2-p2)^2]  hasta RAR + Raíz [(p2-Li2)^2 + (Ls1-p1)^2], cuidando colocar arriba la proporción mayor y abajo la menor</t>
  </si>
  <si>
    <t>CÁLCULO DE LA POTENCIA:</t>
  </si>
  <si>
    <t>n = nº de los que hay en cada grupo (ojo, no de la suma de ambos)</t>
  </si>
  <si>
    <t>d = diferencia de proporciones de ambos grupos o RAR</t>
  </si>
  <si>
    <t>1 -β = potencia estadística resultante =&gt; probab de detectar una diferencia entre ambos, en caso de que exista</t>
  </si>
  <si>
    <t>Expuestos</t>
  </si>
  <si>
    <t>No expuestos</t>
  </si>
  <si>
    <t>a</t>
  </si>
  <si>
    <t>Enferman</t>
  </si>
  <si>
    <t>No enferman</t>
  </si>
  <si>
    <t>Total</t>
  </si>
  <si>
    <t>RAR =</t>
  </si>
  <si>
    <t>NNT =</t>
  </si>
  <si>
    <t>ln RR</t>
  </si>
  <si>
    <t>n (de muestra)</t>
  </si>
  <si>
    <t>Aunque es mejor calcularlo por ji^2 de Pearson, puede utilizarse una aproximación al cálculo de la "p de la diferencia"</t>
  </si>
  <si>
    <t>Coinciden z^2 de una distribución normal tipificada (=&gt; muestras grandes) con ji^2 con un grado de libertad (EA, pág 254)</t>
  </si>
  <si>
    <t>Totales</t>
  </si>
  <si>
    <t xml:space="preserve">χ² teórico alfa 0,05, y 1 g.l = </t>
  </si>
  <si>
    <t>Grados de libertad = (Nº filas - 1 ) x (Nº columnas -1) =</t>
  </si>
  <si>
    <t>Esperadas</t>
  </si>
  <si>
    <t>Si χ² cal &lt; χ² teórico =&gt;</t>
  </si>
  <si>
    <t>Se acepta Ho =&gt; existe homogeneidad o independencia de la intervención estudiada</t>
  </si>
  <si>
    <t>Si χ² cal &gt; χ² teórico =&gt;</t>
  </si>
  <si>
    <t>Se rechaza Ho =&gt; existe heterogenicidad o dependencia de la intervención estudiada</t>
  </si>
  <si>
    <t>χ² cal - χ² teórico =</t>
  </si>
  <si>
    <t>χ² cal=</t>
  </si>
  <si>
    <t>χ² cal= Suma [(ao-ae)^2/ae +(bo-be)^2/be + (co-ce)^2/ce + (do-de)^2/de)]</t>
  </si>
  <si>
    <t>Es &lt; 0 =&gt;Acepto Ho =&gt; Homogeneidad o independencia (o tratamiento no eficaz)</t>
  </si>
  <si>
    <t>Es &gt; 0 =&gt;Rechazo Ho =&gt; Heterogenicidad o dependencia (o tratamiento eficaz)</t>
  </si>
  <si>
    <t>Z α/2 = Dif Proporc / EE Dif proporc</t>
  </si>
  <si>
    <t>RRR</t>
  </si>
  <si>
    <t>(</t>
  </si>
  <si>
    <t>)</t>
  </si>
  <si>
    <t>-</t>
  </si>
  <si>
    <t>%</t>
  </si>
  <si>
    <t>NNT</t>
  </si>
  <si>
    <t>/</t>
  </si>
  <si>
    <t>RAR</t>
  </si>
  <si>
    <t>potencia</t>
  </si>
  <si>
    <t>Potencia</t>
  </si>
  <si>
    <t xml:space="preserve"> </t>
  </si>
  <si>
    <t>Nº event Interv (%)</t>
  </si>
  <si>
    <t>Nº event Control (%)</t>
  </si>
  <si>
    <r>
      <t>Zβ = [Raíz (nd^2 /2</t>
    </r>
    <r>
      <rPr>
        <i/>
        <sz val="10"/>
        <rFont val="Calibri"/>
        <family val="2"/>
      </rPr>
      <t>p</t>
    </r>
    <r>
      <rPr>
        <sz val="10"/>
        <rFont val="Calibri"/>
        <family val="2"/>
      </rPr>
      <t>m*</t>
    </r>
    <r>
      <rPr>
        <i/>
        <sz val="10"/>
        <rFont val="Calibri"/>
        <family val="2"/>
      </rPr>
      <t>q</t>
    </r>
    <r>
      <rPr>
        <sz val="10"/>
        <rFont val="Calibri"/>
        <family val="2"/>
      </rPr>
      <t>m)] - Z α/2 (0,05)</t>
    </r>
  </si>
  <si>
    <r>
      <t xml:space="preserve">CÁLCULO DE LA </t>
    </r>
    <r>
      <rPr>
        <b/>
        <i/>
        <sz val="9"/>
        <rFont val="Calibri"/>
        <family val="2"/>
      </rPr>
      <t>p</t>
    </r>
  </si>
  <si>
    <r>
      <t>Corresponde a</t>
    </r>
    <r>
      <rPr>
        <b/>
        <i/>
        <sz val="10"/>
        <rFont val="Calibri"/>
        <family val="2"/>
      </rPr>
      <t xml:space="preserve"> p</t>
    </r>
    <r>
      <rPr>
        <sz val="10"/>
        <rFont val="Calibri"/>
        <family val="2"/>
      </rPr>
      <t>=</t>
    </r>
  </si>
  <si>
    <r>
      <t xml:space="preserve">Valor de </t>
    </r>
    <r>
      <rPr>
        <i/>
        <sz val="10"/>
        <rFont val="Calibri"/>
        <family val="2"/>
      </rPr>
      <t xml:space="preserve">p </t>
    </r>
    <r>
      <rPr>
        <b/>
        <sz val="10"/>
        <rFont val="Calibri"/>
        <family val="2"/>
      </rPr>
      <t>para la diferencia</t>
    </r>
  </si>
  <si>
    <t>EE del ln RR = Raíz (varianza del ln RR) = Raíz [b/ a(a+b)]+[d / c(c+d)]. También es igual a Raíz (1/a + 1/c - 1/a+b -1/c+d)</t>
  </si>
  <si>
    <t>EE del ln RR = Raíz (varianza del ln RR) = Raíz [b / a(a+b)]+[d/ c(c+d)]</t>
  </si>
  <si>
    <t>ln del LI IC</t>
  </si>
  <si>
    <t>ln del LS IC</t>
  </si>
  <si>
    <t>IC</t>
  </si>
  <si>
    <t>LI del IC</t>
  </si>
  <si>
    <t>LS del IC</t>
  </si>
  <si>
    <r>
      <t xml:space="preserve">MÉTODO DE NEWCOMBE-WILSON: </t>
    </r>
    <r>
      <rPr>
        <sz val="10"/>
        <rFont val="Calibri"/>
        <family val="2"/>
      </rPr>
      <t>Que puede utilizarse sin necesidad de estar pendientes del tamaño del amuestra o de proporciones cuyo p &lt;5 / n. Por ello puede utilizarse para las excepciones anteriores y para todas todas</t>
    </r>
  </si>
  <si>
    <t>Para calcular el IC 95% se sigue la iteración de calcular tres valores, que denominamos A, B y C. Pues bien, el IC = (A+-B) / C; y sale directamente sin sumar ni restar a la estimación puntual. Se observará que los extremos tienen distinta extensión.</t>
  </si>
  <si>
    <r>
      <t>p</t>
    </r>
    <r>
      <rPr>
        <sz val="10"/>
        <rFont val="Calibri"/>
        <family val="2"/>
      </rPr>
      <t xml:space="preserve"> = eventos / n</t>
    </r>
  </si>
  <si>
    <r>
      <t xml:space="preserve">B= z * Raíz [z^2 + 4*eventos (1 - </t>
    </r>
    <r>
      <rPr>
        <i/>
        <sz val="10"/>
        <rFont val="Calibri"/>
        <family val="2"/>
      </rPr>
      <t>p</t>
    </r>
    <r>
      <rPr>
        <sz val="10"/>
        <rFont val="Calibri"/>
        <family val="2"/>
      </rPr>
      <t xml:space="preserve">)] </t>
    </r>
  </si>
  <si>
    <t>eventos</t>
  </si>
  <si>
    <r>
      <t xml:space="preserve">B= z * Raíz [z^2 + 4*eventos (1 - </t>
    </r>
    <r>
      <rPr>
        <b/>
        <i/>
        <sz val="10"/>
        <rFont val="Calibri"/>
        <family val="2"/>
      </rPr>
      <t>p</t>
    </r>
    <r>
      <rPr>
        <b/>
        <sz val="10"/>
        <rFont val="Calibri"/>
        <family val="2"/>
      </rPr>
      <t xml:space="preserve">)] </t>
    </r>
  </si>
  <si>
    <t>Proporción</t>
  </si>
  <si>
    <r>
      <t xml:space="preserve">Z </t>
    </r>
    <r>
      <rPr>
        <vertAlign val="subscript"/>
        <sz val="10"/>
        <rFont val="Calibri"/>
        <family val="2"/>
      </rPr>
      <t>α/2</t>
    </r>
    <r>
      <rPr>
        <sz val="10"/>
        <rFont val="Calibri"/>
        <family val="2"/>
      </rPr>
      <t xml:space="preserve"> = Dif Proporc / EE</t>
    </r>
    <r>
      <rPr>
        <vertAlign val="subscript"/>
        <sz val="10"/>
        <rFont val="Calibri"/>
        <family val="2"/>
      </rPr>
      <t xml:space="preserve"> dif proporc</t>
    </r>
  </si>
  <si>
    <t xml:space="preserve"> p (no rechazar Ho │ Ho verdadera)</t>
  </si>
  <si>
    <t>Dif Proporc =  RAR</t>
  </si>
  <si>
    <r>
      <t xml:space="preserve">1-α =  p (no rechazar Ho </t>
    </r>
    <r>
      <rPr>
        <sz val="10"/>
        <rFont val="Calibri"/>
        <family val="2"/>
      </rPr>
      <t>│ Ho verdadera)</t>
    </r>
  </si>
  <si>
    <r>
      <t xml:space="preserve">EE </t>
    </r>
    <r>
      <rPr>
        <vertAlign val="subscript"/>
        <sz val="10"/>
        <rFont val="Calibri"/>
        <family val="2"/>
      </rPr>
      <t>dif proporc</t>
    </r>
    <r>
      <rPr>
        <sz val="10"/>
        <rFont val="Calibri"/>
        <family val="2"/>
      </rPr>
      <t xml:space="preserve"> = Raíz{ [PM*(1-PM)/n</t>
    </r>
    <r>
      <rPr>
        <vertAlign val="subscript"/>
        <sz val="10"/>
        <rFont val="Calibri"/>
        <family val="2"/>
      </rPr>
      <t>1</t>
    </r>
    <r>
      <rPr>
        <sz val="10"/>
        <rFont val="Calibri"/>
        <family val="2"/>
      </rPr>
      <t>] + [PM*(1-PM)/n</t>
    </r>
    <r>
      <rPr>
        <vertAlign val="subscript"/>
        <sz val="10"/>
        <rFont val="Calibri"/>
        <family val="2"/>
      </rPr>
      <t>2</t>
    </r>
    <r>
      <rPr>
        <sz val="10"/>
        <rFont val="Calibri"/>
        <family val="2"/>
      </rPr>
      <t xml:space="preserve">] }= </t>
    </r>
  </si>
  <si>
    <r>
      <t>Zβ = [Raíz (n* Dif Proporc</t>
    </r>
    <r>
      <rPr>
        <vertAlign val="superscript"/>
        <sz val="10"/>
        <rFont val="Calibri"/>
        <family val="2"/>
      </rPr>
      <t>2</t>
    </r>
    <r>
      <rPr>
        <sz val="10"/>
        <rFont val="Calibri"/>
        <family val="2"/>
      </rPr>
      <t xml:space="preserve"> /2PM</t>
    </r>
    <r>
      <rPr>
        <sz val="10"/>
        <rFont val="Calibri"/>
        <family val="2"/>
      </rPr>
      <t>*(1-PM)] - Z α/2</t>
    </r>
  </si>
  <si>
    <t>α = probab de que la diferencia detectada entre ambos sea debida al azar, en caso de que no exista</t>
  </si>
  <si>
    <r>
      <t>Ls1:</t>
    </r>
    <r>
      <rPr>
        <sz val="10"/>
        <rFont val="Calibri"/>
        <family val="2"/>
      </rPr>
      <t xml:space="preserve"> límite superior del grupo 1; </t>
    </r>
    <r>
      <rPr>
        <b/>
        <sz val="10"/>
        <rFont val="Calibri"/>
        <family val="2"/>
      </rPr>
      <t xml:space="preserve">Li2: </t>
    </r>
    <r>
      <rPr>
        <sz val="10"/>
        <rFont val="Calibri"/>
        <family val="2"/>
      </rPr>
      <t>límite inferior del grupo 2</t>
    </r>
  </si>
  <si>
    <t>1-α = nivel e confianza =  p (no rechazar Ho │ Ho verdadera)</t>
  </si>
  <si>
    <t xml:space="preserve"> β =&gt; probabilidad de no detectar una diferencia que sí exista.</t>
  </si>
  <si>
    <t>Potencia de contraste</t>
  </si>
  <si>
    <r>
      <t xml:space="preserve">1 -β =  p (rechazar Ho </t>
    </r>
    <r>
      <rPr>
        <sz val="10"/>
        <rFont val="Calibri"/>
        <family val="2"/>
      </rPr>
      <t>│ Ho falsa)</t>
    </r>
  </si>
  <si>
    <t>DM: diferencia de proporciones</t>
  </si>
  <si>
    <r>
      <t>Z</t>
    </r>
    <r>
      <rPr>
        <vertAlign val="subscript"/>
        <sz val="10"/>
        <rFont val="Calibri"/>
        <family val="2"/>
      </rPr>
      <t>1-</t>
    </r>
    <r>
      <rPr>
        <vertAlign val="subscript"/>
        <sz val="10"/>
        <rFont val="Calibri"/>
        <family val="2"/>
      </rPr>
      <t>α/2</t>
    </r>
    <r>
      <rPr>
        <sz val="10"/>
        <rFont val="Calibri"/>
        <family val="2"/>
      </rPr>
      <t xml:space="preserve"> * EE</t>
    </r>
    <r>
      <rPr>
        <vertAlign val="subscript"/>
        <sz val="10"/>
        <rFont val="Calibri"/>
        <family val="2"/>
      </rPr>
      <t>DM</t>
    </r>
    <r>
      <rPr>
        <sz val="10"/>
        <rFont val="Calibri"/>
        <family val="2"/>
      </rPr>
      <t xml:space="preserve"> + Z</t>
    </r>
    <r>
      <rPr>
        <vertAlign val="subscript"/>
        <sz val="10"/>
        <rFont val="Calibri"/>
        <family val="2"/>
      </rPr>
      <t>β</t>
    </r>
    <r>
      <rPr>
        <sz val="10"/>
        <rFont val="Calibri"/>
        <family val="2"/>
      </rPr>
      <t xml:space="preserve"> * EE</t>
    </r>
    <r>
      <rPr>
        <vertAlign val="subscript"/>
        <sz val="10"/>
        <rFont val="Calibri"/>
        <family val="2"/>
      </rPr>
      <t>DM</t>
    </r>
    <r>
      <rPr>
        <sz val="10"/>
        <rFont val="Calibri"/>
        <family val="2"/>
      </rPr>
      <t xml:space="preserve"> = DM</t>
    </r>
  </si>
  <si>
    <t>=&gt;</t>
  </si>
  <si>
    <r>
      <t>EEDM (Z</t>
    </r>
    <r>
      <rPr>
        <vertAlign val="subscript"/>
        <sz val="10"/>
        <rFont val="Calibri"/>
        <family val="2"/>
      </rPr>
      <t>1-</t>
    </r>
    <r>
      <rPr>
        <vertAlign val="subscript"/>
        <sz val="10"/>
        <rFont val="Calibri"/>
        <family val="2"/>
      </rPr>
      <t>α/2</t>
    </r>
    <r>
      <rPr>
        <sz val="10"/>
        <rFont val="Calibri"/>
        <family val="2"/>
      </rPr>
      <t xml:space="preserve"> + Z</t>
    </r>
    <r>
      <rPr>
        <vertAlign val="subscript"/>
        <sz val="10"/>
        <rFont val="Calibri"/>
        <family val="2"/>
      </rPr>
      <t>β</t>
    </r>
    <r>
      <rPr>
        <sz val="10"/>
        <rFont val="Calibri"/>
        <family val="2"/>
      </rPr>
      <t xml:space="preserve">) </t>
    </r>
    <r>
      <rPr>
        <sz val="10"/>
        <rFont val="Calibri"/>
        <family val="2"/>
      </rPr>
      <t>= DM</t>
    </r>
  </si>
  <si>
    <r>
      <t>Z</t>
    </r>
    <r>
      <rPr>
        <vertAlign val="subscript"/>
        <sz val="10"/>
        <rFont val="Calibri"/>
        <family val="2"/>
      </rPr>
      <t>β</t>
    </r>
    <r>
      <rPr>
        <sz val="10"/>
        <rFont val="Calibri"/>
        <family val="2"/>
      </rPr>
      <t xml:space="preserve">  =  (DM/EE</t>
    </r>
    <r>
      <rPr>
        <vertAlign val="subscript"/>
        <sz val="10"/>
        <rFont val="Calibri"/>
        <family val="2"/>
      </rPr>
      <t>DM</t>
    </r>
    <r>
      <rPr>
        <sz val="10"/>
        <rFont val="Calibri"/>
        <family val="2"/>
      </rPr>
      <t>) - Z</t>
    </r>
    <r>
      <rPr>
        <vertAlign val="subscript"/>
        <sz val="10"/>
        <rFont val="Calibri"/>
        <family val="2"/>
      </rPr>
      <t>1-α/2</t>
    </r>
    <r>
      <rPr>
        <sz val="10"/>
        <rFont val="Calibri"/>
        <family val="2"/>
      </rPr>
      <t xml:space="preserve"> </t>
    </r>
  </si>
  <si>
    <t>1 -β =  potencia estadística resultante =  p de detectar una diferencia entre ambos, en caso de que exista</t>
  </si>
  <si>
    <t>β =  probabilidad de no detectar una diferencia que sí exista =  p (no rechazar Ho │ Ho falsa)</t>
  </si>
  <si>
    <t>Chi cuadrado de Pearson</t>
  </si>
  <si>
    <r>
      <t>χ² cal= Sumat (observado</t>
    </r>
    <r>
      <rPr>
        <vertAlign val="subscript"/>
        <sz val="10"/>
        <rFont val="Calibri"/>
        <family val="2"/>
      </rPr>
      <t xml:space="preserve"> i </t>
    </r>
    <r>
      <rPr>
        <sz val="10"/>
        <rFont val="Calibri"/>
        <family val="2"/>
      </rPr>
      <t xml:space="preserve">- esperado </t>
    </r>
    <r>
      <rPr>
        <vertAlign val="subscript"/>
        <sz val="10"/>
        <rFont val="Calibri"/>
        <family val="2"/>
      </rPr>
      <t>i</t>
    </r>
    <r>
      <rPr>
        <sz val="10"/>
        <rFont val="Calibri"/>
        <family val="2"/>
      </rPr>
      <t>)</t>
    </r>
    <r>
      <rPr>
        <vertAlign val="superscript"/>
        <sz val="10"/>
        <rFont val="Calibri"/>
        <family val="2"/>
      </rPr>
      <t>2</t>
    </r>
    <r>
      <rPr>
        <sz val="10"/>
        <rFont val="Calibri"/>
        <family val="2"/>
      </rPr>
      <t xml:space="preserve"> / esperado </t>
    </r>
    <r>
      <rPr>
        <vertAlign val="subscript"/>
        <sz val="10"/>
        <rFont val="Calibri"/>
        <family val="2"/>
      </rPr>
      <t>i</t>
    </r>
    <r>
      <rPr>
        <sz val="10"/>
        <rFont val="Calibri"/>
        <family val="2"/>
      </rPr>
      <t>)</t>
    </r>
  </si>
  <si>
    <t>Cálculo por incidencias acumuladas</t>
  </si>
  <si>
    <t>Estimación puntual e IC de cada proporción</t>
  </si>
  <si>
    <t>% Intervención (Fact Box)</t>
  </si>
  <si>
    <t>% Control (Fact Box)</t>
  </si>
  <si>
    <r>
      <t>Abreviaturas</t>
    </r>
    <r>
      <rPr>
        <sz val="10"/>
        <rFont val="Calibri"/>
        <family val="2"/>
      </rPr>
      <t xml:space="preserve">: </t>
    </r>
    <r>
      <rPr>
        <b/>
        <sz val="10"/>
        <rFont val="Calibri"/>
        <family val="2"/>
      </rPr>
      <t>RA</t>
    </r>
    <r>
      <rPr>
        <sz val="10"/>
        <rFont val="Calibri"/>
        <family val="2"/>
      </rPr>
      <t>: Riesgo Absoluto;</t>
    </r>
    <r>
      <rPr>
        <b/>
        <sz val="10"/>
        <rFont val="Calibri"/>
        <family val="2"/>
      </rPr>
      <t xml:space="preserve"> RR</t>
    </r>
    <r>
      <rPr>
        <sz val="10"/>
        <rFont val="Calibri"/>
        <family val="2"/>
      </rPr>
      <t xml:space="preserve">: Riesgo Relativo; </t>
    </r>
    <r>
      <rPr>
        <b/>
        <sz val="10"/>
        <rFont val="Calibri"/>
        <family val="2"/>
      </rPr>
      <t>RAR</t>
    </r>
    <r>
      <rPr>
        <sz val="10"/>
        <rFont val="Calibri"/>
        <family val="2"/>
      </rPr>
      <t xml:space="preserve">: Reducción Absoluta del Riesgo; </t>
    </r>
    <r>
      <rPr>
        <b/>
        <sz val="10"/>
        <rFont val="Calibri"/>
        <family val="2"/>
      </rPr>
      <t>NNT</t>
    </r>
    <r>
      <rPr>
        <sz val="10"/>
        <rFont val="Calibri"/>
        <family val="2"/>
      </rPr>
      <t xml:space="preserve">: Número Necesario a Tratar con la intervención, para evitar un evento más que con el control; </t>
    </r>
    <r>
      <rPr>
        <b/>
        <sz val="10"/>
        <rFont val="Calibri"/>
        <family val="2"/>
      </rPr>
      <t>IC</t>
    </r>
    <r>
      <rPr>
        <sz val="10"/>
        <rFont val="Calibri"/>
        <family val="2"/>
      </rPr>
      <t>: intervalo de confianza.</t>
    </r>
  </si>
  <si>
    <r>
      <t>Cálculo por incidencias acumuladas de RR, RAR, NNT con sus IC 95%, potencia estadística y valor de</t>
    </r>
    <r>
      <rPr>
        <b/>
        <i/>
        <sz val="12"/>
        <rFont val="Calibri"/>
        <family val="2"/>
        <scheme val="minor"/>
      </rPr>
      <t xml:space="preserve"> p</t>
    </r>
  </si>
  <si>
    <t>Muertos COVI Extª</t>
  </si>
  <si>
    <r>
      <t xml:space="preserve">Método de Katz: Los límites del intervalos de confianza son los exponentes neperianos o antilogaritmos de la ecuación [ ln RR + - Z </t>
    </r>
    <r>
      <rPr>
        <b/>
        <vertAlign val="subscript"/>
        <sz val="10"/>
        <rFont val="Calibri"/>
        <family val="2"/>
      </rPr>
      <t>α/2</t>
    </r>
    <r>
      <rPr>
        <b/>
        <sz val="10"/>
        <rFont val="Calibri"/>
        <family val="2"/>
      </rPr>
      <t xml:space="preserve"> * EE (ln RR) ]</t>
    </r>
  </si>
  <si>
    <r>
      <t xml:space="preserve">Z </t>
    </r>
    <r>
      <rPr>
        <b/>
        <vertAlign val="subscript"/>
        <sz val="9"/>
        <rFont val="Calibri"/>
        <family val="2"/>
      </rPr>
      <t>α/2</t>
    </r>
  </si>
  <si>
    <r>
      <t>Valor de</t>
    </r>
    <r>
      <rPr>
        <i/>
        <sz val="10"/>
        <color indexed="8"/>
        <rFont val="Calibri"/>
        <family val="2"/>
      </rPr>
      <t xml:space="preserve"> p</t>
    </r>
    <r>
      <rPr>
        <sz val="10"/>
        <color indexed="8"/>
        <rFont val="Calibri"/>
        <family val="2"/>
      </rPr>
      <t xml:space="preserve"> para la diferencia</t>
    </r>
  </si>
  <si>
    <t>Mujer</t>
  </si>
  <si>
    <t>Varón</t>
  </si>
  <si>
    <t>Sexo; nº (%)</t>
  </si>
  <si>
    <t>0</t>
  </si>
  <si>
    <t>Las variables dicotómicas se informan en Número y Porcentaje; nº (%). Las variables continuas en Media y Desviación Estándar, media (DE), salvo que se informen en Mediana y Rango; mediana [rango], o Mediana y Rango Intercuatílico; mediana [IQR].</t>
  </si>
  <si>
    <t>Estatus de rendimiento funcional en la escala ECOG; nº (%)</t>
  </si>
  <si>
    <t>Bardia A, Hurvitz SA, Tolaney SM, Loirat D, on behalf of the ASCENT Clinical Trial Investigators. Sacituzumab Govitecan in Metastatic Triple-Negative Breast Cancer. N Engl J Med. 2021 Apr 22;384(16):1529-1541.</t>
  </si>
  <si>
    <r>
      <rPr>
        <b/>
        <sz val="12"/>
        <color indexed="60"/>
        <rFont val="Calibri"/>
        <family val="2"/>
      </rPr>
      <t>Suplemento 1:</t>
    </r>
    <r>
      <rPr>
        <b/>
        <sz val="12"/>
        <color indexed="8"/>
        <rFont val="Calibri"/>
        <family val="2"/>
      </rPr>
      <t xml:space="preserve"> Características sociodemográficas y clínicas en el inicio de pacientes con Cáncer de mama triple negativo, avanzado o metastásico (ECA ASCENT)</t>
    </r>
    <r>
      <rPr>
        <b/>
        <sz val="12"/>
        <color theme="1"/>
        <rFont val="Calibri"/>
        <family val="2"/>
      </rPr>
      <t>.</t>
    </r>
  </si>
  <si>
    <t>QMT; n= 233</t>
  </si>
  <si>
    <t>QMT</t>
  </si>
  <si>
    <t>Años de edad; mediana [rango]</t>
  </si>
  <si>
    <t>54 [rango, 29 a 82]</t>
  </si>
  <si>
    <t>53 [rango, 27 a 81]</t>
  </si>
  <si>
    <t>233/235 (99,1%)</t>
  </si>
  <si>
    <t>233/233 (100%)</t>
  </si>
  <si>
    <t>2/235 (0,9%)</t>
  </si>
  <si>
    <t>0/233 (0%)</t>
  </si>
  <si>
    <t>Raza o grupo étnico</t>
  </si>
  <si>
    <t>Blanca</t>
  </si>
  <si>
    <t>Negra</t>
  </si>
  <si>
    <t>Asiática</t>
  </si>
  <si>
    <t>Otras o no especificado</t>
  </si>
  <si>
    <t>188/235 (80%)</t>
  </si>
  <si>
    <t>181/233 (77,7%)</t>
  </si>
  <si>
    <t>29/235 (12,3%)</t>
  </si>
  <si>
    <t>28/233 (12%)</t>
  </si>
  <si>
    <t>9/235 (3,8%)</t>
  </si>
  <si>
    <t>9/233 (3,9%)</t>
  </si>
  <si>
    <t>10/235 (4,3%)</t>
  </si>
  <si>
    <t>15/233 (6,4%)</t>
  </si>
  <si>
    <t>108/235 (46%)</t>
  </si>
  <si>
    <t>98/233 (42,1%)</t>
  </si>
  <si>
    <t>127/235 (54%)</t>
  </si>
  <si>
    <t>135/233 (57,9%)</t>
  </si>
  <si>
    <t>Estatus de mutación BRCA1 o BRCA2 en la línea germinal</t>
  </si>
  <si>
    <t>Negativo</t>
  </si>
  <si>
    <t>Positivo</t>
  </si>
  <si>
    <t>133/235 (56,6%)</t>
  </si>
  <si>
    <t>125/233 (53,6%)</t>
  </si>
  <si>
    <t>Pacientes que no se habían sometido al test genético o que el resultado no había sido concluyente</t>
  </si>
  <si>
    <t>16/235 (6,8%)</t>
  </si>
  <si>
    <t>18/233 (7,7%)</t>
  </si>
  <si>
    <t>86/235 (36,6%)</t>
  </si>
  <si>
    <t>90/233 (38,6%)</t>
  </si>
  <si>
    <t>165/235 (70,2%)</t>
  </si>
  <si>
    <t>157/233 (67,4%)</t>
  </si>
  <si>
    <t>Sí</t>
  </si>
  <si>
    <t>No</t>
  </si>
  <si>
    <t>70/235 (29,8%)</t>
  </si>
  <si>
    <t>76/233 (32,6%)</t>
  </si>
  <si>
    <t>Meses desde el diagnóstico de la enfermedad metastásica hasta ser enrolado en este ensayo, mediana [rango]</t>
  </si>
  <si>
    <t>15,8 [rango, 0 a 202]</t>
  </si>
  <si>
    <t>15,2 [rango, 0 a 140]</t>
  </si>
  <si>
    <t>Triple negativo en el diagnóstico inicial; nº (%)</t>
  </si>
  <si>
    <t>Localizaciones del tumor mayor; nº (%)</t>
  </si>
  <si>
    <t>Pulmón</t>
  </si>
  <si>
    <t>Hígado</t>
  </si>
  <si>
    <t>Nódulos linfáticos de la axila</t>
  </si>
  <si>
    <t>Hueso</t>
  </si>
  <si>
    <t>97/233 (41,6%)</t>
  </si>
  <si>
    <t>98/235 (41,7%)</t>
  </si>
  <si>
    <t>101/233 (43,3%)</t>
  </si>
  <si>
    <t>57/235 (24,3%)</t>
  </si>
  <si>
    <t>73/233 (31,3%)</t>
  </si>
  <si>
    <t>48/235 (20,4%)</t>
  </si>
  <si>
    <t>55/233 (23,6%)</t>
  </si>
  <si>
    <t>Número de de tratamientos anticáncer previos, mediana [rango]</t>
  </si>
  <si>
    <t>3 [rango, 1 a 16]</t>
  </si>
  <si>
    <t>3 [rango, 1 a 12]</t>
  </si>
  <si>
    <t>166/235 (70,6%)</t>
  </si>
  <si>
    <t>164/233 (70,4%)</t>
  </si>
  <si>
    <t>2 ó 3</t>
  </si>
  <si>
    <t>&gt; 3</t>
  </si>
  <si>
    <t>69/235 (29,4%)</t>
  </si>
  <si>
    <t>69/233 (29,6%)</t>
  </si>
  <si>
    <t>Taxanos</t>
  </si>
  <si>
    <t>Antraciclinas</t>
  </si>
  <si>
    <t>Ciclofosfamida</t>
  </si>
  <si>
    <t>Carboplatino</t>
  </si>
  <si>
    <t>Capecitabina</t>
  </si>
  <si>
    <t>Tratados con regímenes de quimioterapia previos; nº (%)</t>
  </si>
  <si>
    <t>Fármacos utilizados en las quimioterapias previas; nº (%)</t>
  </si>
  <si>
    <t>Tratados con inhibidores de la PARP previos; nº (%)</t>
  </si>
  <si>
    <t>Tratados con inhibidores de PD-1 o PD-L1 previos; nº (%)</t>
  </si>
  <si>
    <t>17/235 (7,2%)</t>
  </si>
  <si>
    <t>67/235 (28,5%)</t>
  </si>
  <si>
    <t>60/233 (25,8%)</t>
  </si>
  <si>
    <t>235/235 (100%)</t>
  </si>
  <si>
    <t>191/235 (81,3%)</t>
  </si>
  <si>
    <t>193/233 (82,8%)</t>
  </si>
  <si>
    <t>192/235 (81,7%)</t>
  </si>
  <si>
    <t>192/233 (82,4%)</t>
  </si>
  <si>
    <t>147/235 (62,6%)</t>
  </si>
  <si>
    <t>160/233 (68,7%)</t>
  </si>
  <si>
    <t>159/233 (68,2%)</t>
  </si>
  <si>
    <t>20210422-ECA ASCENT, CáMa-TN-m refr, [SaciTZM-Gv vs QMT], +PFS. Bardia</t>
  </si>
  <si>
    <t>Sacituzumab Govitecán; n= 235</t>
  </si>
  <si>
    <r>
      <rPr>
        <u/>
        <sz val="10"/>
        <rFont val="Calibri"/>
        <family val="2"/>
      </rPr>
      <t>Abreviaturas</t>
    </r>
    <r>
      <rPr>
        <sz val="10"/>
        <rFont val="Calibri"/>
        <family val="2"/>
      </rPr>
      <t xml:space="preserve">: </t>
    </r>
    <r>
      <rPr>
        <b/>
        <sz val="10"/>
        <rFont val="Calibri"/>
        <family val="2"/>
      </rPr>
      <t>estatus ECOG:</t>
    </r>
    <r>
      <rPr>
        <sz val="10"/>
        <rFont val="Calibri"/>
        <family val="2"/>
      </rPr>
      <t xml:space="preserve"> puntuación de mejor (0) a peor (5) la escala funcional del Eastern Cooperative Oncology Group (Grupo de Oncología Cooperativo del Este, de EE.UU); </t>
    </r>
    <r>
      <rPr>
        <b/>
        <sz val="10"/>
        <rFont val="Calibri"/>
        <family val="2"/>
      </rPr>
      <t>QMT:</t>
    </r>
    <r>
      <rPr>
        <sz val="10"/>
        <rFont val="Calibri"/>
        <family val="2"/>
      </rPr>
      <t xml:space="preserve"> quimioterapia (eribulina, vinorelbina, capecitabina, o gemcitabina); </t>
    </r>
    <r>
      <rPr>
        <b/>
        <sz val="10"/>
        <rFont val="Calibri"/>
        <family val="2"/>
      </rPr>
      <t xml:space="preserve">SaciTZM-Gv: </t>
    </r>
    <r>
      <rPr>
        <sz val="10"/>
        <rFont val="Calibri"/>
        <family val="2"/>
      </rPr>
      <t>sacituzumab govitecán.</t>
    </r>
  </si>
  <si>
    <t>SaciTZM-Gv</t>
  </si>
  <si>
    <r>
      <t>PARP:</t>
    </r>
    <r>
      <rPr>
        <sz val="10"/>
        <color theme="1"/>
        <rFont val="Calibri"/>
        <family val="2"/>
      </rPr>
      <t xml:space="preserve"> proteínas reparadoras Poli ADP-ribosa Polimerasas; </t>
    </r>
    <r>
      <rPr>
        <b/>
        <sz val="10"/>
        <color theme="1"/>
        <rFont val="Calibri"/>
        <family val="2"/>
      </rPr>
      <t xml:space="preserve">PD-1: </t>
    </r>
    <r>
      <rPr>
        <sz val="10"/>
        <color theme="1"/>
        <rFont val="Calibri"/>
        <family val="2"/>
      </rPr>
      <t xml:space="preserve">molécula 1 de muerte programada, que expresan en su superficie los linfocitos T para inducir la apoptosis de una célula tumoral reconocida por un antígeno de superficie, si tal molécula PD-1 no es inhibida (neutralizada, apagada); </t>
    </r>
    <r>
      <rPr>
        <b/>
        <sz val="10"/>
        <color theme="1"/>
        <rFont val="Calibri"/>
        <family val="2"/>
      </rPr>
      <t xml:space="preserve">PD-L1: </t>
    </r>
    <r>
      <rPr>
        <sz val="10"/>
        <color theme="1"/>
        <rFont val="Calibri"/>
        <family val="2"/>
      </rPr>
      <t>ligando que se expresa en la superficie de la célula tumoral para neutralizar la molécula de muerte programada PD-1 de los linfocitos T que fueron previamente activados contra esa célula tumoral.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</si>
</sst>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7">
    <numFmt numFmtId="164" formatCode="_-* #,##0.00\ _€_-;\-* #,##0.00\ _€_-;_-* &quot;-&quot;??\ _€_-;_-@_-"/>
    <numFmt numFmtId="165" formatCode="_-* #,##0\ _€_-;\-* #,##0\ _€_-;_-* &quot;-&quot;??\ _€_-;_-@_-"/>
    <numFmt numFmtId="166" formatCode="_-* #,##0.000\ _€_-;\-* #,##0.000\ _€_-;_-* &quot;-&quot;??\ _€_-;_-@_-"/>
    <numFmt numFmtId="167" formatCode="_-* #,##0.0000\ _€_-;\-* #,##0.0000\ _€_-;_-* &quot;-&quot;??\ _€_-;_-@_-"/>
    <numFmt numFmtId="168" formatCode="0.0%"/>
    <numFmt numFmtId="169" formatCode="_-* #,##0.00000\ _€_-;\-* #,##0.00000\ _€_-;_-* &quot;-&quot;??\ _€_-;_-@_-"/>
    <numFmt numFmtId="170" formatCode="_-* #,##0.000000\ _€_-;\-* #,##0.000000\ _€_-;_-* &quot;-&quot;??\ _€_-;_-@_-"/>
    <numFmt numFmtId="171" formatCode="_-* #,##0.000\ _€_-;\-* #,##0.000\ _€_-;_-* &quot;-&quot;???\ _€_-;_-@_-"/>
    <numFmt numFmtId="172" formatCode="_-* #,##0.0\ _€_-;\-* #,##0.0\ _€_-;_-* &quot;-&quot;??\ _€_-;_-@_-"/>
    <numFmt numFmtId="173" formatCode="_-* #,##0.0\ _€_-;\-* #,##0.0\ _€_-;_-* &quot;-&quot;?\ _€_-;_-@_-"/>
    <numFmt numFmtId="174" formatCode="_-* #,##0.0000\ _€_-;\-* #,##0.0000\ _€_-;_-* &quot;-&quot;?\ _€_-;_-@_-"/>
    <numFmt numFmtId="175" formatCode="0.000"/>
    <numFmt numFmtId="176" formatCode="0.0000"/>
    <numFmt numFmtId="177" formatCode="#,##0.00_ ;\-#,##0.00\ "/>
    <numFmt numFmtId="178" formatCode="0.000%"/>
    <numFmt numFmtId="179" formatCode="0.0000%"/>
    <numFmt numFmtId="180" formatCode="0.00000%"/>
  </numFmts>
  <fonts count="5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i/>
      <sz val="10"/>
      <name val="Calibri"/>
      <family val="2"/>
    </font>
    <font>
      <b/>
      <i/>
      <sz val="9"/>
      <name val="Calibri"/>
      <family val="2"/>
    </font>
    <font>
      <b/>
      <i/>
      <sz val="10"/>
      <name val="Calibri"/>
      <family val="2"/>
    </font>
    <font>
      <vertAlign val="subscript"/>
      <sz val="10"/>
      <name val="Calibri"/>
      <family val="2"/>
    </font>
    <font>
      <vertAlign val="superscript"/>
      <sz val="10"/>
      <name val="Calibri"/>
      <family val="2"/>
    </font>
    <font>
      <sz val="10"/>
      <name val="Calibri"/>
      <family val="2"/>
      <scheme val="minor"/>
    </font>
    <font>
      <sz val="10"/>
      <color indexed="12"/>
      <name val="Calibri"/>
      <family val="2"/>
      <scheme val="minor"/>
    </font>
    <font>
      <b/>
      <sz val="10"/>
      <color indexed="12"/>
      <name val="Calibri"/>
      <family val="2"/>
      <scheme val="minor"/>
    </font>
    <font>
      <sz val="8"/>
      <name val="Calibri"/>
      <family val="2"/>
      <scheme val="minor"/>
    </font>
    <font>
      <b/>
      <sz val="10"/>
      <color indexed="57"/>
      <name val="Calibri"/>
      <family val="2"/>
      <scheme val="minor"/>
    </font>
    <font>
      <b/>
      <sz val="10"/>
      <name val="Calibri"/>
      <family val="2"/>
      <scheme val="minor"/>
    </font>
    <font>
      <sz val="10"/>
      <color indexed="20"/>
      <name val="Calibri"/>
      <family val="2"/>
      <scheme val="minor"/>
    </font>
    <font>
      <sz val="10"/>
      <color indexed="63"/>
      <name val="Calibri"/>
      <family val="2"/>
      <scheme val="minor"/>
    </font>
    <font>
      <sz val="10"/>
      <color indexed="52"/>
      <name val="Calibri"/>
      <family val="2"/>
      <scheme val="minor"/>
    </font>
    <font>
      <b/>
      <sz val="9"/>
      <name val="Calibri"/>
      <family val="2"/>
      <scheme val="minor"/>
    </font>
    <font>
      <b/>
      <sz val="10"/>
      <color indexed="14"/>
      <name val="Calibri"/>
      <family val="2"/>
      <scheme val="minor"/>
    </font>
    <font>
      <sz val="10"/>
      <color indexed="14"/>
      <name val="Calibri"/>
      <family val="2"/>
      <scheme val="minor"/>
    </font>
    <font>
      <b/>
      <sz val="12"/>
      <name val="Calibri"/>
      <family val="2"/>
      <scheme val="minor"/>
    </font>
    <font>
      <i/>
      <sz val="10"/>
      <name val="Calibri"/>
      <family val="2"/>
      <scheme val="minor"/>
    </font>
    <font>
      <sz val="12"/>
      <name val="Calibri"/>
      <family val="2"/>
      <scheme val="minor"/>
    </font>
    <font>
      <sz val="10"/>
      <color indexed="61"/>
      <name val="Calibri"/>
      <family val="2"/>
      <scheme val="minor"/>
    </font>
    <font>
      <sz val="11"/>
      <name val="Calibri"/>
      <family val="2"/>
      <scheme val="minor"/>
    </font>
    <font>
      <b/>
      <i/>
      <sz val="10"/>
      <name val="Calibri"/>
      <family val="2"/>
      <scheme val="minor"/>
    </font>
    <font>
      <b/>
      <sz val="10"/>
      <color indexed="50"/>
      <name val="Calibri"/>
      <family val="2"/>
      <scheme val="minor"/>
    </font>
    <font>
      <b/>
      <vertAlign val="subscript"/>
      <sz val="10"/>
      <name val="Calibri"/>
      <family val="2"/>
    </font>
    <font>
      <b/>
      <sz val="10"/>
      <color rgb="FF0000FF"/>
      <name val="Calibri"/>
      <family val="2"/>
      <scheme val="minor"/>
    </font>
    <font>
      <b/>
      <i/>
      <sz val="12"/>
      <name val="Calibri"/>
      <family val="2"/>
      <scheme val="minor"/>
    </font>
    <font>
      <sz val="10"/>
      <color rgb="FF0000FF"/>
      <name val="Calibri"/>
      <family val="2"/>
      <scheme val="minor"/>
    </font>
    <font>
      <b/>
      <sz val="12"/>
      <color theme="1"/>
      <name val="Calibri"/>
      <family val="2"/>
    </font>
    <font>
      <b/>
      <sz val="12"/>
      <color indexed="60"/>
      <name val="Calibri"/>
      <family val="2"/>
    </font>
    <font>
      <b/>
      <sz val="12"/>
      <color indexed="8"/>
      <name val="Calibri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u/>
      <sz val="10"/>
      <name val="Calibri"/>
      <family val="2"/>
    </font>
    <font>
      <sz val="9"/>
      <color theme="1"/>
      <name val="Calibri"/>
      <family val="2"/>
      <scheme val="minor"/>
    </font>
    <font>
      <b/>
      <vertAlign val="subscript"/>
      <sz val="9"/>
      <name val="Calibri"/>
      <family val="2"/>
    </font>
    <font>
      <sz val="10"/>
      <color theme="1"/>
      <name val="Calibri"/>
      <family val="2"/>
    </font>
    <font>
      <b/>
      <sz val="11"/>
      <color theme="1"/>
      <name val="Calibri"/>
      <family val="2"/>
      <scheme val="minor"/>
    </font>
    <font>
      <i/>
      <sz val="10"/>
      <color indexed="8"/>
      <name val="Calibri"/>
      <family val="2"/>
    </font>
    <font>
      <sz val="10"/>
      <color indexed="8"/>
      <name val="Calibri"/>
      <family val="2"/>
    </font>
    <font>
      <b/>
      <sz val="11"/>
      <name val="Calibri"/>
      <family val="2"/>
    </font>
    <font>
      <b/>
      <sz val="10"/>
      <color theme="1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7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320">
    <xf numFmtId="0" fontId="0" fillId="0" borderId="0" xfId="0"/>
    <xf numFmtId="2" fontId="13" fillId="0" borderId="0" xfId="0" applyNumberFormat="1" applyFont="1" applyFill="1" applyBorder="1"/>
    <xf numFmtId="0" fontId="13" fillId="0" borderId="0" xfId="0" applyFont="1" applyFill="1" applyBorder="1" applyAlignment="1">
      <alignment horizontal="center"/>
    </xf>
    <xf numFmtId="10" fontId="13" fillId="0" borderId="0" xfId="0" applyNumberFormat="1" applyFont="1" applyFill="1" applyBorder="1" applyAlignment="1">
      <alignment horizontal="center"/>
    </xf>
    <xf numFmtId="0" fontId="13" fillId="0" borderId="0" xfId="0" applyFont="1" applyFill="1" applyBorder="1"/>
    <xf numFmtId="0" fontId="13" fillId="0" borderId="0" xfId="0" applyFont="1"/>
    <xf numFmtId="10" fontId="13" fillId="0" borderId="0" xfId="2" applyNumberFormat="1" applyFont="1" applyBorder="1" applyAlignment="1">
      <alignment horizontal="center"/>
    </xf>
    <xf numFmtId="10" fontId="14" fillId="0" borderId="0" xfId="2" applyNumberFormat="1" applyFont="1" applyBorder="1" applyAlignment="1">
      <alignment horizontal="center"/>
    </xf>
    <xf numFmtId="0" fontId="15" fillId="0" borderId="0" xfId="0" applyFont="1" applyFill="1" applyBorder="1" applyAlignment="1">
      <alignment vertical="distributed"/>
    </xf>
    <xf numFmtId="0" fontId="13" fillId="0" borderId="0" xfId="0" applyFont="1" applyFill="1" applyAlignment="1">
      <alignment horizontal="center"/>
    </xf>
    <xf numFmtId="10" fontId="13" fillId="0" borderId="0" xfId="0" applyNumberFormat="1" applyFont="1" applyFill="1" applyAlignment="1">
      <alignment horizontal="center"/>
    </xf>
    <xf numFmtId="0" fontId="13" fillId="0" borderId="0" xfId="0" applyFont="1" applyFill="1"/>
    <xf numFmtId="0" fontId="13" fillId="0" borderId="0" xfId="0" applyFont="1" applyBorder="1" applyAlignment="1">
      <alignment horizontal="center"/>
    </xf>
    <xf numFmtId="164" fontId="13" fillId="0" borderId="0" xfId="1" applyFont="1" applyFill="1" applyAlignment="1">
      <alignment horizontal="center"/>
    </xf>
    <xf numFmtId="164" fontId="16" fillId="0" borderId="0" xfId="1" applyFont="1" applyFill="1" applyBorder="1" applyAlignment="1">
      <alignment horizontal="center"/>
    </xf>
    <xf numFmtId="164" fontId="13" fillId="0" borderId="0" xfId="1" applyFont="1" applyFill="1"/>
    <xf numFmtId="0" fontId="17" fillId="0" borderId="0" xfId="0" applyFont="1" applyFill="1"/>
    <xf numFmtId="0" fontId="13" fillId="0" borderId="0" xfId="0" applyFont="1" applyBorder="1"/>
    <xf numFmtId="164" fontId="13" fillId="0" borderId="0" xfId="1" applyFont="1" applyFill="1" applyBorder="1"/>
    <xf numFmtId="0" fontId="13" fillId="0" borderId="0" xfId="0" applyFont="1" applyBorder="1" applyAlignment="1">
      <alignment horizontal="right"/>
    </xf>
    <xf numFmtId="10" fontId="13" fillId="0" borderId="0" xfId="2" applyNumberFormat="1" applyFont="1" applyFill="1"/>
    <xf numFmtId="10" fontId="13" fillId="0" borderId="0" xfId="0" applyNumberFormat="1" applyFont="1" applyFill="1"/>
    <xf numFmtId="0" fontId="20" fillId="0" borderId="0" xfId="0" applyFont="1" applyAlignment="1">
      <alignment horizontal="right"/>
    </xf>
    <xf numFmtId="1" fontId="13" fillId="0" borderId="0" xfId="0" applyNumberFormat="1" applyFont="1" applyBorder="1" applyAlignment="1">
      <alignment horizontal="right"/>
    </xf>
    <xf numFmtId="0" fontId="13" fillId="0" borderId="0" xfId="0" applyFont="1" applyAlignment="1">
      <alignment horizontal="right"/>
    </xf>
    <xf numFmtId="0" fontId="18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right"/>
    </xf>
    <xf numFmtId="164" fontId="13" fillId="0" borderId="0" xfId="0" applyNumberFormat="1" applyFont="1" applyFill="1" applyBorder="1"/>
    <xf numFmtId="10" fontId="13" fillId="0" borderId="0" xfId="2" applyNumberFormat="1" applyFont="1" applyFill="1" applyBorder="1" applyAlignment="1">
      <alignment horizontal="center"/>
    </xf>
    <xf numFmtId="164" fontId="19" fillId="0" borderId="0" xfId="1" applyFont="1" applyFill="1" applyBorder="1"/>
    <xf numFmtId="0" fontId="18" fillId="0" borderId="0" xfId="0" applyFont="1" applyFill="1" applyAlignment="1">
      <alignment horizontal="center"/>
    </xf>
    <xf numFmtId="164" fontId="19" fillId="0" borderId="0" xfId="1" applyFont="1" applyFill="1" applyAlignment="1">
      <alignment horizontal="right"/>
    </xf>
    <xf numFmtId="0" fontId="19" fillId="0" borderId="0" xfId="0" applyFont="1" applyFill="1" applyBorder="1"/>
    <xf numFmtId="164" fontId="13" fillId="0" borderId="0" xfId="0" applyNumberFormat="1" applyFont="1" applyFill="1"/>
    <xf numFmtId="172" fontId="13" fillId="0" borderId="0" xfId="0" applyNumberFormat="1" applyFont="1" applyFill="1" applyBorder="1"/>
    <xf numFmtId="0" fontId="18" fillId="0" borderId="0" xfId="0" applyFont="1" applyBorder="1"/>
    <xf numFmtId="0" fontId="18" fillId="0" borderId="0" xfId="0" applyFont="1" applyFill="1" applyBorder="1" applyAlignment="1">
      <alignment horizontal="left"/>
    </xf>
    <xf numFmtId="164" fontId="13" fillId="0" borderId="0" xfId="1" applyFont="1" applyFill="1" applyBorder="1" applyAlignment="1">
      <alignment horizontal="center"/>
    </xf>
    <xf numFmtId="170" fontId="13" fillId="0" borderId="0" xfId="1" applyNumberFormat="1" applyFont="1" applyFill="1" applyBorder="1" applyAlignment="1">
      <alignment horizontal="center"/>
    </xf>
    <xf numFmtId="164" fontId="18" fillId="0" borderId="0" xfId="1" applyFont="1" applyFill="1" applyBorder="1" applyAlignment="1"/>
    <xf numFmtId="0" fontId="13" fillId="0" borderId="0" xfId="0" applyFont="1" applyFill="1" applyBorder="1" applyAlignment="1">
      <alignment horizontal="left"/>
    </xf>
    <xf numFmtId="170" fontId="13" fillId="0" borderId="0" xfId="0" applyNumberFormat="1" applyFont="1" applyBorder="1"/>
    <xf numFmtId="0" fontId="24" fillId="0" borderId="0" xfId="0" applyFont="1" applyBorder="1"/>
    <xf numFmtId="49" fontId="25" fillId="0" borderId="0" xfId="0" applyNumberFormat="1" applyFont="1"/>
    <xf numFmtId="10" fontId="13" fillId="0" borderId="0" xfId="0" applyNumberFormat="1" applyFont="1"/>
    <xf numFmtId="10" fontId="13" fillId="0" borderId="0" xfId="0" applyNumberFormat="1" applyFont="1" applyFill="1" applyBorder="1"/>
    <xf numFmtId="166" fontId="13" fillId="0" borderId="0" xfId="0" applyNumberFormat="1" applyFont="1" applyFill="1" applyBorder="1"/>
    <xf numFmtId="49" fontId="13" fillId="0" borderId="0" xfId="0" applyNumberFormat="1" applyFont="1" applyFill="1" applyBorder="1"/>
    <xf numFmtId="165" fontId="18" fillId="0" borderId="0" xfId="0" applyNumberFormat="1" applyFont="1" applyFill="1" applyBorder="1"/>
    <xf numFmtId="165" fontId="18" fillId="0" borderId="0" xfId="0" applyNumberFormat="1" applyFont="1" applyFill="1" applyBorder="1" applyAlignment="1">
      <alignment horizontal="center"/>
    </xf>
    <xf numFmtId="165" fontId="26" fillId="0" borderId="0" xfId="0" applyNumberFormat="1" applyFont="1" applyFill="1" applyBorder="1"/>
    <xf numFmtId="0" fontId="27" fillId="0" borderId="0" xfId="0" applyFont="1" applyFill="1" applyBorder="1"/>
    <xf numFmtId="0" fontId="13" fillId="0" borderId="12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15" fillId="0" borderId="0" xfId="0" applyFont="1" applyAlignment="1">
      <alignment horizontal="right"/>
    </xf>
    <xf numFmtId="165" fontId="14" fillId="0" borderId="0" xfId="1" applyNumberFormat="1" applyFont="1" applyFill="1" applyBorder="1"/>
    <xf numFmtId="165" fontId="15" fillId="0" borderId="0" xfId="1" applyNumberFormat="1" applyFont="1" applyFill="1" applyBorder="1"/>
    <xf numFmtId="164" fontId="28" fillId="0" borderId="2" xfId="1" applyFont="1" applyBorder="1"/>
    <xf numFmtId="164" fontId="13" fillId="0" borderId="0" xfId="1" applyFont="1" applyBorder="1"/>
    <xf numFmtId="0" fontId="18" fillId="0" borderId="0" xfId="0" applyFont="1" applyBorder="1" applyAlignment="1">
      <alignment horizontal="center"/>
    </xf>
    <xf numFmtId="166" fontId="13" fillId="0" borderId="0" xfId="0" applyNumberFormat="1" applyFont="1" applyFill="1" applyBorder="1" applyAlignment="1">
      <alignment horizontal="center"/>
    </xf>
    <xf numFmtId="0" fontId="13" fillId="0" borderId="0" xfId="0" applyFont="1" applyBorder="1" applyAlignment="1">
      <alignment horizontal="left"/>
    </xf>
    <xf numFmtId="0" fontId="13" fillId="0" borderId="0" xfId="0" applyFont="1" applyBorder="1" applyAlignment="1">
      <alignment horizontal="left" vertical="center"/>
    </xf>
    <xf numFmtId="0" fontId="13" fillId="0" borderId="17" xfId="0" applyFont="1" applyBorder="1"/>
    <xf numFmtId="0" fontId="13" fillId="0" borderId="0" xfId="0" applyFont="1" applyFill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Fill="1" applyBorder="1" applyAlignment="1"/>
    <xf numFmtId="0" fontId="13" fillId="0" borderId="0" xfId="0" applyFont="1" applyAlignment="1">
      <alignment horizontal="center" vertical="center"/>
    </xf>
    <xf numFmtId="0" fontId="18" fillId="0" borderId="2" xfId="0" applyFont="1" applyFill="1" applyBorder="1" applyAlignment="1">
      <alignment horizontal="center" vertical="center" wrapText="1"/>
    </xf>
    <xf numFmtId="2" fontId="13" fillId="0" borderId="2" xfId="1" applyNumberFormat="1" applyFont="1" applyBorder="1" applyAlignment="1">
      <alignment horizontal="center" vertical="center" wrapText="1"/>
    </xf>
    <xf numFmtId="2" fontId="13" fillId="0" borderId="2" xfId="1" applyNumberFormat="1" applyFont="1" applyFill="1" applyBorder="1" applyAlignment="1">
      <alignment horizontal="center" vertical="center" wrapText="1"/>
    </xf>
    <xf numFmtId="2" fontId="13" fillId="0" borderId="4" xfId="1" applyNumberFormat="1" applyFont="1" applyFill="1" applyBorder="1" applyAlignment="1">
      <alignment horizontal="center" vertical="center" wrapText="1"/>
    </xf>
    <xf numFmtId="0" fontId="13" fillId="0" borderId="10" xfId="0" applyFont="1" applyBorder="1"/>
    <xf numFmtId="0" fontId="13" fillId="0" borderId="10" xfId="0" applyFont="1" applyFill="1" applyBorder="1"/>
    <xf numFmtId="0" fontId="13" fillId="0" borderId="18" xfId="0" applyFont="1" applyFill="1" applyBorder="1"/>
    <xf numFmtId="0" fontId="18" fillId="0" borderId="0" xfId="0" applyFont="1" applyBorder="1" applyAlignment="1">
      <alignment horizontal="left" vertical="center"/>
    </xf>
    <xf numFmtId="165" fontId="18" fillId="0" borderId="0" xfId="1" applyNumberFormat="1" applyFont="1" applyFill="1" applyBorder="1" applyAlignment="1"/>
    <xf numFmtId="165" fontId="31" fillId="0" borderId="0" xfId="1" applyNumberFormat="1" applyFont="1" applyFill="1" applyBorder="1" applyAlignment="1"/>
    <xf numFmtId="165" fontId="30" fillId="0" borderId="0" xfId="0" applyNumberFormat="1" applyFont="1" applyFill="1" applyBorder="1" applyAlignment="1">
      <alignment horizontal="left"/>
    </xf>
    <xf numFmtId="2" fontId="13" fillId="0" borderId="0" xfId="0" applyNumberFormat="1" applyFont="1" applyBorder="1"/>
    <xf numFmtId="0" fontId="21" fillId="0" borderId="0" xfId="0" applyFont="1" applyFill="1" applyBorder="1" applyAlignment="1">
      <alignment horizontal="right"/>
    </xf>
    <xf numFmtId="0" fontId="25" fillId="0" borderId="0" xfId="0" applyFont="1" applyBorder="1" applyAlignment="1">
      <alignment vertical="distributed"/>
    </xf>
    <xf numFmtId="0" fontId="13" fillId="0" borderId="2" xfId="0" applyFont="1" applyBorder="1" applyAlignment="1">
      <alignment horizontal="center" vertical="center"/>
    </xf>
    <xf numFmtId="9" fontId="13" fillId="7" borderId="2" xfId="0" applyNumberFormat="1" applyFont="1" applyFill="1" applyBorder="1" applyAlignment="1">
      <alignment horizontal="center" vertical="center"/>
    </xf>
    <xf numFmtId="0" fontId="14" fillId="0" borderId="0" xfId="0" applyFont="1" applyBorder="1" applyAlignment="1">
      <alignment vertical="center" wrapText="1"/>
    </xf>
    <xf numFmtId="166" fontId="13" fillId="0" borderId="0" xfId="0" applyNumberFormat="1" applyFont="1" applyBorder="1" applyAlignment="1">
      <alignment horizontal="left" vertical="center"/>
    </xf>
    <xf numFmtId="172" fontId="18" fillId="0" borderId="12" xfId="1" applyNumberFormat="1" applyFont="1" applyBorder="1" applyAlignment="1">
      <alignment horizontal="center"/>
    </xf>
    <xf numFmtId="0" fontId="18" fillId="0" borderId="17" xfId="0" applyFont="1" applyBorder="1"/>
    <xf numFmtId="0" fontId="13" fillId="0" borderId="0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164" fontId="13" fillId="0" borderId="0" xfId="1" applyFont="1" applyFill="1" applyBorder="1" applyAlignment="1">
      <alignment horizontal="center" vertical="center" wrapText="1"/>
    </xf>
    <xf numFmtId="0" fontId="18" fillId="0" borderId="0" xfId="0" applyFont="1" applyAlignment="1">
      <alignment horizontal="left" vertical="center"/>
    </xf>
    <xf numFmtId="164" fontId="13" fillId="0" borderId="0" xfId="0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10" fontId="13" fillId="0" borderId="0" xfId="2" applyNumberFormat="1" applyFont="1" applyFill="1" applyBorder="1" applyAlignment="1">
      <alignment horizontal="center" vertical="center" wrapText="1"/>
    </xf>
    <xf numFmtId="177" fontId="13" fillId="0" borderId="2" xfId="1" applyNumberFormat="1" applyFont="1" applyFill="1" applyBorder="1" applyAlignment="1">
      <alignment horizontal="center" vertical="center"/>
    </xf>
    <xf numFmtId="2" fontId="18" fillId="0" borderId="2" xfId="0" applyNumberFormat="1" applyFont="1" applyFill="1" applyBorder="1" applyAlignment="1">
      <alignment horizontal="center" vertical="center" wrapText="1"/>
    </xf>
    <xf numFmtId="168" fontId="18" fillId="0" borderId="2" xfId="2" applyNumberFormat="1" applyFont="1" applyFill="1" applyBorder="1" applyAlignment="1">
      <alignment horizontal="center" vertical="center" wrapText="1"/>
    </xf>
    <xf numFmtId="164" fontId="18" fillId="0" borderId="0" xfId="0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left" vertical="center"/>
    </xf>
    <xf numFmtId="166" fontId="13" fillId="0" borderId="0" xfId="0" applyNumberFormat="1" applyFont="1" applyFill="1" applyBorder="1" applyAlignment="1">
      <alignment horizontal="center" vertical="center" wrapText="1"/>
    </xf>
    <xf numFmtId="167" fontId="13" fillId="0" borderId="0" xfId="0" applyNumberFormat="1" applyFont="1" applyFill="1" applyBorder="1" applyAlignment="1">
      <alignment horizontal="center" vertical="center" wrapText="1"/>
    </xf>
    <xf numFmtId="169" fontId="13" fillId="0" borderId="0" xfId="1" applyNumberFormat="1" applyFont="1" applyFill="1" applyBorder="1" applyAlignment="1">
      <alignment horizontal="center" vertical="center" wrapText="1"/>
    </xf>
    <xf numFmtId="172" fontId="13" fillId="0" borderId="0" xfId="0" applyNumberFormat="1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173" fontId="13" fillId="0" borderId="0" xfId="0" applyNumberFormat="1" applyFont="1" applyFill="1" applyAlignment="1">
      <alignment horizontal="center" vertical="center" wrapText="1"/>
    </xf>
    <xf numFmtId="164" fontId="13" fillId="0" borderId="0" xfId="1" applyFont="1" applyBorder="1" applyAlignment="1">
      <alignment horizontal="center"/>
    </xf>
    <xf numFmtId="170" fontId="13" fillId="0" borderId="0" xfId="1" applyNumberFormat="1" applyFont="1" applyBorder="1" applyAlignment="1">
      <alignment horizontal="center"/>
    </xf>
    <xf numFmtId="10" fontId="18" fillId="0" borderId="0" xfId="2" applyNumberFormat="1" applyFont="1" applyFill="1" applyBorder="1" applyAlignment="1"/>
    <xf numFmtId="0" fontId="26" fillId="0" borderId="0" xfId="0" applyFont="1"/>
    <xf numFmtId="0" fontId="18" fillId="0" borderId="2" xfId="0" applyFont="1" applyBorder="1" applyAlignment="1">
      <alignment horizontal="center" vertical="center" wrapText="1"/>
    </xf>
    <xf numFmtId="0" fontId="18" fillId="0" borderId="3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textRotation="90" wrapText="1"/>
    </xf>
    <xf numFmtId="0" fontId="13" fillId="0" borderId="12" xfId="0" applyFont="1" applyFill="1" applyBorder="1" applyAlignment="1">
      <alignment horizontal="center" vertical="center" wrapText="1"/>
    </xf>
    <xf numFmtId="164" fontId="22" fillId="0" borderId="10" xfId="1" applyFont="1" applyFill="1" applyBorder="1" applyAlignment="1">
      <alignment horizontal="right"/>
    </xf>
    <xf numFmtId="0" fontId="13" fillId="0" borderId="10" xfId="0" applyFont="1" applyFill="1" applyBorder="1" applyAlignment="1">
      <alignment horizontal="left"/>
    </xf>
    <xf numFmtId="170" fontId="13" fillId="0" borderId="10" xfId="1" applyNumberFormat="1" applyFont="1" applyFill="1" applyBorder="1" applyAlignment="1">
      <alignment horizontal="center"/>
    </xf>
    <xf numFmtId="164" fontId="13" fillId="0" borderId="10" xfId="1" applyFont="1" applyFill="1" applyBorder="1" applyAlignment="1">
      <alignment horizontal="center"/>
    </xf>
    <xf numFmtId="164" fontId="18" fillId="0" borderId="10" xfId="1" applyFont="1" applyFill="1" applyBorder="1" applyAlignment="1"/>
    <xf numFmtId="164" fontId="18" fillId="0" borderId="17" xfId="1" applyFont="1" applyFill="1" applyBorder="1" applyAlignment="1"/>
    <xf numFmtId="0" fontId="13" fillId="0" borderId="12" xfId="0" applyFont="1" applyFill="1" applyBorder="1"/>
    <xf numFmtId="165" fontId="18" fillId="0" borderId="2" xfId="0" applyNumberFormat="1" applyFont="1" applyFill="1" applyBorder="1" applyAlignment="1">
      <alignment horizontal="center"/>
    </xf>
    <xf numFmtId="1" fontId="18" fillId="0" borderId="2" xfId="0" applyNumberFormat="1" applyFont="1" applyFill="1" applyBorder="1" applyAlignment="1">
      <alignment horizontal="center"/>
    </xf>
    <xf numFmtId="10" fontId="18" fillId="0" borderId="2" xfId="2" applyNumberFormat="1" applyFont="1" applyBorder="1" applyAlignment="1">
      <alignment horizontal="center"/>
    </xf>
    <xf numFmtId="164" fontId="18" fillId="0" borderId="2" xfId="1" applyFont="1" applyBorder="1" applyAlignment="1">
      <alignment horizontal="center"/>
    </xf>
    <xf numFmtId="0" fontId="18" fillId="0" borderId="2" xfId="0" applyFont="1" applyBorder="1" applyAlignment="1">
      <alignment horizontal="center"/>
    </xf>
    <xf numFmtId="10" fontId="18" fillId="10" borderId="2" xfId="2" applyNumberFormat="1" applyFont="1" applyFill="1" applyBorder="1" applyAlignment="1"/>
    <xf numFmtId="1" fontId="13" fillId="0" borderId="9" xfId="0" applyNumberFormat="1" applyFont="1" applyFill="1" applyBorder="1" applyAlignment="1">
      <alignment horizontal="center" vertical="center" wrapText="1"/>
    </xf>
    <xf numFmtId="164" fontId="18" fillId="0" borderId="18" xfId="1" applyFont="1" applyFill="1" applyBorder="1" applyAlignment="1"/>
    <xf numFmtId="10" fontId="13" fillId="0" borderId="9" xfId="2" applyNumberFormat="1" applyFont="1" applyFill="1" applyBorder="1"/>
    <xf numFmtId="0" fontId="13" fillId="0" borderId="18" xfId="0" applyFont="1" applyBorder="1"/>
    <xf numFmtId="2" fontId="13" fillId="0" borderId="9" xfId="1" applyNumberFormat="1" applyFont="1" applyFill="1" applyBorder="1" applyAlignment="1">
      <alignment horizontal="center" vertical="center" wrapText="1"/>
    </xf>
    <xf numFmtId="174" fontId="13" fillId="0" borderId="9" xfId="0" applyNumberFormat="1" applyFont="1" applyBorder="1"/>
    <xf numFmtId="168" fontId="13" fillId="0" borderId="9" xfId="2" applyNumberFormat="1" applyFont="1" applyFill="1" applyBorder="1" applyAlignment="1">
      <alignment horizontal="center" vertical="center" wrapText="1"/>
    </xf>
    <xf numFmtId="166" fontId="18" fillId="0" borderId="9" xfId="1" applyNumberFormat="1" applyFont="1" applyFill="1" applyBorder="1"/>
    <xf numFmtId="0" fontId="18" fillId="0" borderId="0" xfId="0" applyFont="1" applyAlignment="1">
      <alignment horizontal="left"/>
    </xf>
    <xf numFmtId="175" fontId="13" fillId="0" borderId="9" xfId="0" applyNumberFormat="1" applyFont="1" applyFill="1" applyBorder="1" applyAlignment="1">
      <alignment horizontal="center" vertical="center" wrapText="1"/>
    </xf>
    <xf numFmtId="167" fontId="13" fillId="2" borderId="9" xfId="1" applyNumberFormat="1" applyFont="1" applyFill="1" applyBorder="1"/>
    <xf numFmtId="168" fontId="13" fillId="0" borderId="0" xfId="2" applyNumberFormat="1" applyFont="1" applyAlignment="1">
      <alignment horizontal="center" vertical="center" wrapText="1"/>
    </xf>
    <xf numFmtId="10" fontId="13" fillId="8" borderId="9" xfId="2" applyNumberFormat="1" applyFont="1" applyFill="1" applyBorder="1" applyAlignment="1">
      <alignment horizontal="center" vertical="center" wrapText="1"/>
    </xf>
    <xf numFmtId="10" fontId="23" fillId="0" borderId="9" xfId="0" applyNumberFormat="1" applyFont="1" applyBorder="1"/>
    <xf numFmtId="10" fontId="13" fillId="2" borderId="2" xfId="2" applyNumberFormat="1" applyFont="1" applyFill="1" applyBorder="1" applyAlignment="1">
      <alignment horizontal="center"/>
    </xf>
    <xf numFmtId="10" fontId="13" fillId="4" borderId="2" xfId="2" applyNumberFormat="1" applyFont="1" applyFill="1" applyBorder="1" applyAlignment="1">
      <alignment horizontal="center"/>
    </xf>
    <xf numFmtId="10" fontId="13" fillId="3" borderId="2" xfId="2" applyNumberFormat="1" applyFont="1" applyFill="1" applyBorder="1" applyAlignment="1">
      <alignment horizontal="center"/>
    </xf>
    <xf numFmtId="10" fontId="13" fillId="0" borderId="7" xfId="2" applyNumberFormat="1" applyFont="1" applyBorder="1" applyAlignment="1">
      <alignment horizontal="center" vertical="center" wrapText="1"/>
    </xf>
    <xf numFmtId="0" fontId="24" fillId="0" borderId="8" xfId="0" applyFont="1" applyBorder="1"/>
    <xf numFmtId="0" fontId="13" fillId="0" borderId="8" xfId="0" applyFont="1" applyBorder="1"/>
    <xf numFmtId="171" fontId="13" fillId="0" borderId="8" xfId="0" applyNumberFormat="1" applyFont="1" applyBorder="1"/>
    <xf numFmtId="0" fontId="13" fillId="0" borderId="19" xfId="0" applyFont="1" applyBorder="1"/>
    <xf numFmtId="0" fontId="13" fillId="0" borderId="7" xfId="0" applyFont="1" applyFill="1" applyBorder="1"/>
    <xf numFmtId="0" fontId="13" fillId="0" borderId="8" xfId="0" applyFont="1" applyFill="1" applyBorder="1"/>
    <xf numFmtId="0" fontId="13" fillId="0" borderId="19" xfId="0" applyFont="1" applyFill="1" applyBorder="1"/>
    <xf numFmtId="1" fontId="13" fillId="2" borderId="2" xfId="0" applyNumberFormat="1" applyFont="1" applyFill="1" applyBorder="1" applyAlignment="1">
      <alignment horizontal="center"/>
    </xf>
    <xf numFmtId="1" fontId="13" fillId="4" borderId="2" xfId="0" applyNumberFormat="1" applyFont="1" applyFill="1" applyBorder="1" applyAlignment="1">
      <alignment horizontal="center"/>
    </xf>
    <xf numFmtId="1" fontId="13" fillId="3" borderId="2" xfId="0" applyNumberFormat="1" applyFont="1" applyFill="1" applyBorder="1" applyAlignment="1">
      <alignment horizontal="center"/>
    </xf>
    <xf numFmtId="2" fontId="13" fillId="0" borderId="0" xfId="0" applyNumberFormat="1" applyFont="1" applyAlignment="1">
      <alignment horizontal="center" vertical="center" wrapText="1"/>
    </xf>
    <xf numFmtId="0" fontId="13" fillId="0" borderId="10" xfId="0" applyFont="1" applyFill="1" applyBorder="1" applyAlignment="1">
      <alignment horizontal="right"/>
    </xf>
    <xf numFmtId="176" fontId="13" fillId="0" borderId="10" xfId="1" applyNumberFormat="1" applyFont="1" applyBorder="1" applyAlignment="1">
      <alignment horizontal="center" vertical="center"/>
    </xf>
    <xf numFmtId="2" fontId="13" fillId="0" borderId="10" xfId="0" applyNumberFormat="1" applyFont="1" applyBorder="1"/>
    <xf numFmtId="164" fontId="18" fillId="0" borderId="9" xfId="1" applyFont="1" applyFill="1" applyBorder="1" applyAlignment="1">
      <alignment horizontal="center" vertical="center" wrapText="1"/>
    </xf>
    <xf numFmtId="0" fontId="16" fillId="0" borderId="0" xfId="0" applyFont="1" applyFill="1" applyBorder="1"/>
    <xf numFmtId="164" fontId="13" fillId="0" borderId="0" xfId="1" applyFont="1" applyFill="1" applyBorder="1" applyAlignment="1"/>
    <xf numFmtId="0" fontId="13" fillId="0" borderId="9" xfId="0" applyFont="1" applyBorder="1" applyAlignment="1">
      <alignment horizontal="center" vertical="center" wrapText="1"/>
    </xf>
    <xf numFmtId="49" fontId="13" fillId="0" borderId="0" xfId="0" applyNumberFormat="1" applyFont="1" applyBorder="1" applyAlignment="1">
      <alignment horizontal="center"/>
    </xf>
    <xf numFmtId="164" fontId="13" fillId="0" borderId="0" xfId="0" applyNumberFormat="1" applyFont="1" applyFill="1" applyBorder="1" applyAlignment="1">
      <alignment horizontal="left" vertical="center"/>
    </xf>
    <xf numFmtId="164" fontId="13" fillId="0" borderId="8" xfId="1" applyFont="1" applyFill="1" applyBorder="1" applyAlignment="1">
      <alignment horizontal="center"/>
    </xf>
    <xf numFmtId="164" fontId="18" fillId="0" borderId="8" xfId="1" applyFont="1" applyFill="1" applyBorder="1" applyAlignment="1"/>
    <xf numFmtId="0" fontId="29" fillId="0" borderId="0" xfId="0" applyFont="1" applyFill="1" applyAlignment="1">
      <alignment horizontal="left" vertical="center"/>
    </xf>
    <xf numFmtId="49" fontId="13" fillId="0" borderId="0" xfId="0" applyNumberFormat="1" applyFont="1" applyFill="1" applyBorder="1" applyAlignment="1">
      <alignment horizontal="center" vertical="center" wrapText="1"/>
    </xf>
    <xf numFmtId="164" fontId="16" fillId="0" borderId="0" xfId="1" applyFont="1" applyFill="1" applyBorder="1" applyAlignment="1">
      <alignment horizontal="center" vertical="center" wrapText="1"/>
    </xf>
    <xf numFmtId="164" fontId="18" fillId="0" borderId="0" xfId="1" applyFont="1" applyFill="1" applyBorder="1" applyAlignment="1">
      <alignment horizontal="center" vertical="center" wrapText="1"/>
    </xf>
    <xf numFmtId="2" fontId="18" fillId="0" borderId="0" xfId="0" applyNumberFormat="1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30" fillId="0" borderId="2" xfId="0" applyFont="1" applyFill="1" applyBorder="1" applyAlignment="1">
      <alignment horizontal="right" vertical="center"/>
    </xf>
    <xf numFmtId="164" fontId="13" fillId="0" borderId="2" xfId="1" applyFont="1" applyFill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right" vertical="center"/>
    </xf>
    <xf numFmtId="165" fontId="18" fillId="0" borderId="2" xfId="0" applyNumberFormat="1" applyFont="1" applyBorder="1" applyAlignment="1">
      <alignment horizontal="center" vertical="center" wrapText="1"/>
    </xf>
    <xf numFmtId="0" fontId="14" fillId="0" borderId="0" xfId="0" applyFont="1" applyAlignment="1">
      <alignment horizontal="left" vertical="center"/>
    </xf>
    <xf numFmtId="0" fontId="18" fillId="0" borderId="0" xfId="0" applyFont="1" applyBorder="1" applyAlignment="1">
      <alignment horizontal="right" vertical="center"/>
    </xf>
    <xf numFmtId="0" fontId="28" fillId="0" borderId="1" xfId="0" applyFont="1" applyBorder="1" applyAlignment="1">
      <alignment horizontal="left" vertical="center"/>
    </xf>
    <xf numFmtId="165" fontId="13" fillId="0" borderId="0" xfId="1" applyNumberFormat="1" applyFont="1" applyAlignment="1">
      <alignment horizontal="center" vertical="center" wrapText="1"/>
    </xf>
    <xf numFmtId="164" fontId="18" fillId="0" borderId="0" xfId="1" applyFont="1" applyAlignment="1">
      <alignment horizontal="center" vertical="center" wrapText="1"/>
    </xf>
    <xf numFmtId="165" fontId="13" fillId="0" borderId="0" xfId="0" applyNumberFormat="1" applyFont="1" applyAlignment="1">
      <alignment horizontal="center" vertical="center" wrapText="1"/>
    </xf>
    <xf numFmtId="164" fontId="13" fillId="0" borderId="0" xfId="0" applyNumberFormat="1" applyFont="1" applyAlignment="1">
      <alignment horizontal="center" vertical="center" wrapText="1"/>
    </xf>
    <xf numFmtId="172" fontId="13" fillId="0" borderId="0" xfId="0" applyNumberFormat="1" applyFont="1" applyAlignment="1">
      <alignment horizontal="center" vertical="center" wrapText="1"/>
    </xf>
    <xf numFmtId="0" fontId="13" fillId="0" borderId="2" xfId="0" applyFont="1" applyFill="1" applyBorder="1" applyAlignment="1">
      <alignment horizontal="left" vertical="center"/>
    </xf>
    <xf numFmtId="170" fontId="13" fillId="0" borderId="0" xfId="0" applyNumberFormat="1" applyFont="1" applyFill="1" applyBorder="1" applyAlignment="1">
      <alignment horizontal="center" vertical="center" wrapText="1"/>
    </xf>
    <xf numFmtId="9" fontId="13" fillId="0" borderId="0" xfId="2" applyFont="1" applyFill="1" applyBorder="1" applyAlignment="1">
      <alignment horizontal="center" vertical="center" wrapText="1"/>
    </xf>
    <xf numFmtId="49" fontId="13" fillId="0" borderId="12" xfId="0" applyNumberFormat="1" applyFont="1" applyFill="1" applyBorder="1" applyAlignment="1">
      <alignment horizontal="left" vertical="center"/>
    </xf>
    <xf numFmtId="0" fontId="13" fillId="0" borderId="17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left" vertical="center"/>
    </xf>
    <xf numFmtId="0" fontId="13" fillId="0" borderId="10" xfId="0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left" vertical="center" wrapText="1"/>
    </xf>
    <xf numFmtId="0" fontId="13" fillId="0" borderId="9" xfId="0" applyFont="1" applyFill="1" applyBorder="1" applyAlignment="1">
      <alignment horizontal="center" vertical="center" wrapText="1"/>
    </xf>
    <xf numFmtId="49" fontId="13" fillId="0" borderId="9" xfId="0" applyNumberFormat="1" applyFont="1" applyFill="1" applyBorder="1" applyAlignment="1">
      <alignment horizontal="left" vertical="center"/>
    </xf>
    <xf numFmtId="165" fontId="13" fillId="0" borderId="0" xfId="0" applyNumberFormat="1" applyFont="1" applyFill="1" applyBorder="1"/>
    <xf numFmtId="1" fontId="13" fillId="0" borderId="0" xfId="0" applyNumberFormat="1" applyFont="1" applyFill="1" applyBorder="1" applyAlignment="1">
      <alignment horizontal="center" vertical="center" wrapText="1"/>
    </xf>
    <xf numFmtId="0" fontId="13" fillId="0" borderId="18" xfId="0" applyFont="1" applyFill="1" applyBorder="1" applyAlignment="1">
      <alignment horizontal="center" vertical="center" wrapText="1"/>
    </xf>
    <xf numFmtId="49" fontId="13" fillId="0" borderId="9" xfId="0" applyNumberFormat="1" applyFont="1" applyFill="1" applyBorder="1"/>
    <xf numFmtId="166" fontId="13" fillId="0" borderId="0" xfId="0" applyNumberFormat="1" applyFont="1" applyFill="1" applyBorder="1" applyAlignment="1">
      <alignment horizontal="center" vertical="center"/>
    </xf>
    <xf numFmtId="10" fontId="13" fillId="0" borderId="18" xfId="0" applyNumberFormat="1" applyFont="1" applyFill="1" applyBorder="1" applyAlignment="1">
      <alignment horizontal="center" vertical="center" wrapText="1"/>
    </xf>
    <xf numFmtId="49" fontId="13" fillId="0" borderId="2" xfId="0" applyNumberFormat="1" applyFont="1" applyFill="1" applyBorder="1" applyAlignment="1">
      <alignment horizontal="center"/>
    </xf>
    <xf numFmtId="49" fontId="13" fillId="0" borderId="2" xfId="0" applyNumberFormat="1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left" vertical="center"/>
    </xf>
    <xf numFmtId="0" fontId="13" fillId="0" borderId="2" xfId="0" applyFont="1" applyFill="1" applyBorder="1" applyAlignment="1">
      <alignment horizontal="center"/>
    </xf>
    <xf numFmtId="0" fontId="13" fillId="0" borderId="9" xfId="0" applyFont="1" applyFill="1" applyBorder="1"/>
    <xf numFmtId="49" fontId="13" fillId="0" borderId="7" xfId="0" applyNumberFormat="1" applyFont="1" applyFill="1" applyBorder="1" applyAlignment="1">
      <alignment horizontal="left" vertical="center"/>
    </xf>
    <xf numFmtId="0" fontId="13" fillId="0" borderId="8" xfId="0" applyFont="1" applyFill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center" vertical="center" wrapText="1"/>
    </xf>
    <xf numFmtId="49" fontId="13" fillId="0" borderId="7" xfId="0" applyNumberFormat="1" applyFont="1" applyFill="1" applyBorder="1"/>
    <xf numFmtId="0" fontId="13" fillId="0" borderId="8" xfId="0" applyFont="1" applyBorder="1" applyAlignment="1">
      <alignment horizontal="center" vertical="center" wrapText="1"/>
    </xf>
    <xf numFmtId="49" fontId="18" fillId="5" borderId="2" xfId="0" applyNumberFormat="1" applyFont="1" applyFill="1" applyBorder="1" applyAlignment="1">
      <alignment horizontal="center" vertical="center" wrapText="1"/>
    </xf>
    <xf numFmtId="0" fontId="18" fillId="5" borderId="2" xfId="0" applyFont="1" applyFill="1" applyBorder="1" applyAlignment="1">
      <alignment horizontal="center" vertical="center" wrapText="1"/>
    </xf>
    <xf numFmtId="0" fontId="13" fillId="0" borderId="0" xfId="0" applyFont="1" applyAlignment="1">
      <alignment vertical="center" wrapText="1"/>
    </xf>
    <xf numFmtId="166" fontId="13" fillId="0" borderId="0" xfId="0" applyNumberFormat="1" applyFont="1" applyAlignment="1">
      <alignment vertical="center"/>
    </xf>
    <xf numFmtId="175" fontId="13" fillId="0" borderId="2" xfId="0" applyNumberFormat="1" applyFont="1" applyBorder="1" applyAlignment="1">
      <alignment horizontal="center" vertical="center"/>
    </xf>
    <xf numFmtId="10" fontId="13" fillId="0" borderId="2" xfId="2" applyNumberFormat="1" applyFont="1" applyBorder="1" applyAlignment="1">
      <alignment horizontal="center" vertical="center" wrapText="1"/>
    </xf>
    <xf numFmtId="164" fontId="13" fillId="0" borderId="0" xfId="1" applyFont="1" applyBorder="1" applyAlignment="1">
      <alignment horizontal="center" vertical="center" wrapText="1"/>
    </xf>
    <xf numFmtId="168" fontId="13" fillId="0" borderId="0" xfId="0" applyNumberFormat="1" applyFont="1" applyBorder="1" applyAlignment="1">
      <alignment horizontal="center" vertical="center" wrapText="1"/>
    </xf>
    <xf numFmtId="10" fontId="13" fillId="0" borderId="0" xfId="2" applyNumberFormat="1" applyFont="1" applyFill="1" applyAlignment="1">
      <alignment horizontal="center"/>
    </xf>
    <xf numFmtId="178" fontId="13" fillId="0" borderId="0" xfId="0" applyNumberFormat="1" applyFont="1" applyFill="1"/>
    <xf numFmtId="164" fontId="13" fillId="0" borderId="0" xfId="1" applyFont="1"/>
    <xf numFmtId="180" fontId="13" fillId="0" borderId="0" xfId="2" applyNumberFormat="1" applyFont="1" applyFill="1" applyAlignment="1">
      <alignment horizontal="center"/>
    </xf>
    <xf numFmtId="178" fontId="13" fillId="0" borderId="0" xfId="2" applyNumberFormat="1" applyFont="1" applyFill="1"/>
    <xf numFmtId="179" fontId="13" fillId="0" borderId="0" xfId="2" applyNumberFormat="1" applyFont="1" applyFill="1"/>
    <xf numFmtId="11" fontId="13" fillId="0" borderId="0" xfId="2" applyNumberFormat="1" applyFont="1" applyFill="1"/>
    <xf numFmtId="178" fontId="0" fillId="0" borderId="0" xfId="2" applyNumberFormat="1" applyFont="1"/>
    <xf numFmtId="10" fontId="13" fillId="0" borderId="0" xfId="2" applyNumberFormat="1" applyFont="1" applyBorder="1" applyAlignment="1">
      <alignment horizontal="center" vertical="center" wrapText="1"/>
    </xf>
    <xf numFmtId="0" fontId="33" fillId="0" borderId="0" xfId="0" applyFont="1"/>
    <xf numFmtId="0" fontId="35" fillId="0" borderId="0" xfId="0" applyFont="1"/>
    <xf numFmtId="0" fontId="13" fillId="9" borderId="0" xfId="0" applyFont="1" applyFill="1"/>
    <xf numFmtId="0" fontId="22" fillId="0" borderId="2" xfId="0" applyFont="1" applyFill="1" applyBorder="1" applyAlignment="1">
      <alignment horizontal="center" vertical="center" wrapText="1"/>
    </xf>
    <xf numFmtId="164" fontId="22" fillId="0" borderId="3" xfId="1" applyFont="1" applyFill="1" applyBorder="1" applyAlignment="1">
      <alignment horizontal="center" vertical="center" wrapText="1"/>
    </xf>
    <xf numFmtId="164" fontId="22" fillId="0" borderId="3" xfId="1" applyFont="1" applyBorder="1" applyAlignment="1">
      <alignment horizontal="center" vertical="center" wrapText="1"/>
    </xf>
    <xf numFmtId="165" fontId="18" fillId="0" borderId="2" xfId="0" applyNumberFormat="1" applyFont="1" applyBorder="1" applyAlignment="1">
      <alignment horizontal="center"/>
    </xf>
    <xf numFmtId="0" fontId="18" fillId="8" borderId="2" xfId="0" applyFont="1" applyFill="1" applyBorder="1" applyAlignment="1">
      <alignment horizontal="center" vertical="center" wrapText="1"/>
    </xf>
    <xf numFmtId="0" fontId="39" fillId="0" borderId="2" xfId="0" applyFont="1" applyFill="1" applyBorder="1" applyAlignment="1">
      <alignment vertical="center"/>
    </xf>
    <xf numFmtId="0" fontId="13" fillId="0" borderId="7" xfId="0" applyFont="1" applyBorder="1"/>
    <xf numFmtId="0" fontId="13" fillId="0" borderId="16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13" fillId="0" borderId="4" xfId="0" applyFont="1" applyBorder="1" applyAlignment="1">
      <alignment horizontal="right"/>
    </xf>
    <xf numFmtId="0" fontId="20" fillId="0" borderId="2" xfId="0" applyFont="1" applyBorder="1" applyAlignment="1">
      <alignment horizontal="right"/>
    </xf>
    <xf numFmtId="0" fontId="40" fillId="0" borderId="0" xfId="0" applyFont="1" applyAlignment="1">
      <alignment horizontal="left" vertical="center"/>
    </xf>
    <xf numFmtId="0" fontId="39" fillId="0" borderId="7" xfId="0" applyFont="1" applyBorder="1" applyAlignment="1">
      <alignment horizontal="center"/>
    </xf>
    <xf numFmtId="0" fontId="39" fillId="0" borderId="13" xfId="0" applyFont="1" applyBorder="1" applyAlignment="1">
      <alignment horizontal="center"/>
    </xf>
    <xf numFmtId="0" fontId="39" fillId="0" borderId="0" xfId="0" applyFont="1" applyAlignment="1">
      <alignment horizontal="center"/>
    </xf>
    <xf numFmtId="0" fontId="39" fillId="0" borderId="2" xfId="0" applyFont="1" applyBorder="1" applyAlignment="1">
      <alignment horizontal="left" vertical="center"/>
    </xf>
    <xf numFmtId="165" fontId="39" fillId="0" borderId="2" xfId="1" applyNumberFormat="1" applyFont="1" applyFill="1" applyBorder="1"/>
    <xf numFmtId="0" fontId="39" fillId="0" borderId="0" xfId="0" applyFont="1" applyAlignment="1">
      <alignment horizontal="left" vertical="center"/>
    </xf>
    <xf numFmtId="165" fontId="40" fillId="0" borderId="2" xfId="1" applyNumberFormat="1" applyFont="1" applyFill="1" applyBorder="1"/>
    <xf numFmtId="164" fontId="39" fillId="0" borderId="0" xfId="0" applyNumberFormat="1" applyFont="1"/>
    <xf numFmtId="0" fontId="39" fillId="0" borderId="0" xfId="0" applyFont="1" applyBorder="1" applyAlignment="1">
      <alignment horizontal="right"/>
    </xf>
    <xf numFmtId="164" fontId="13" fillId="0" borderId="2" xfId="0" applyNumberFormat="1" applyFont="1" applyBorder="1"/>
    <xf numFmtId="166" fontId="13" fillId="8" borderId="2" xfId="1" applyNumberFormat="1" applyFont="1" applyFill="1" applyBorder="1"/>
    <xf numFmtId="2" fontId="13" fillId="8" borderId="0" xfId="0" applyNumberFormat="1" applyFont="1" applyFill="1" applyAlignment="1">
      <alignment horizontal="center" vertical="center" wrapText="1"/>
    </xf>
    <xf numFmtId="0" fontId="36" fillId="0" borderId="0" xfId="0" applyFont="1" applyFill="1" applyBorder="1" applyAlignment="1">
      <alignment vertical="center" wrapText="1"/>
    </xf>
    <xf numFmtId="0" fontId="42" fillId="0" borderId="0" xfId="0" applyFont="1" applyFill="1" applyBorder="1" applyAlignment="1">
      <alignment horizontal="center" vertical="center" wrapText="1"/>
    </xf>
    <xf numFmtId="0" fontId="40" fillId="0" borderId="0" xfId="0" applyFont="1" applyFill="1"/>
    <xf numFmtId="0" fontId="13" fillId="0" borderId="2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175" fontId="26" fillId="0" borderId="0" xfId="0" applyNumberFormat="1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175" fontId="26" fillId="0" borderId="0" xfId="0" applyNumberFormat="1" applyFont="1" applyFill="1" applyAlignment="1">
      <alignment horizontal="center" vertical="center"/>
    </xf>
    <xf numFmtId="0" fontId="45" fillId="0" borderId="20" xfId="0" applyFont="1" applyFill="1" applyBorder="1" applyAlignment="1">
      <alignment horizontal="center" vertical="center" wrapText="1"/>
    </xf>
    <xf numFmtId="0" fontId="45" fillId="0" borderId="21" xfId="0" applyFont="1" applyFill="1" applyBorder="1" applyAlignment="1">
      <alignment horizontal="center" vertical="center" wrapText="1"/>
    </xf>
    <xf numFmtId="49" fontId="44" fillId="0" borderId="2" xfId="0" applyNumberFormat="1" applyFont="1" applyFill="1" applyBorder="1" applyAlignment="1">
      <alignment vertical="center"/>
    </xf>
    <xf numFmtId="0" fontId="39" fillId="0" borderId="22" xfId="0" applyFont="1" applyFill="1" applyBorder="1" applyAlignment="1">
      <alignment horizontal="center" vertical="center" wrapText="1"/>
    </xf>
    <xf numFmtId="0" fontId="26" fillId="0" borderId="2" xfId="0" applyFont="1" applyFill="1" applyBorder="1" applyAlignment="1">
      <alignment vertical="center"/>
    </xf>
    <xf numFmtId="175" fontId="26" fillId="0" borderId="2" xfId="0" applyNumberFormat="1" applyFont="1" applyFill="1" applyBorder="1" applyAlignment="1">
      <alignment horizontal="center" vertical="center"/>
    </xf>
    <xf numFmtId="0" fontId="40" fillId="0" borderId="0" xfId="0" applyFont="1" applyFill="1" applyAlignment="1"/>
    <xf numFmtId="0" fontId="13" fillId="9" borderId="23" xfId="0" applyFont="1" applyFill="1" applyBorder="1" applyAlignment="1">
      <alignment horizontal="left" vertical="center" wrapText="1"/>
    </xf>
    <xf numFmtId="0" fontId="45" fillId="9" borderId="0" xfId="0" applyFont="1" applyFill="1" applyAlignment="1">
      <alignment vertical="center"/>
    </xf>
    <xf numFmtId="0" fontId="45" fillId="9" borderId="0" xfId="0" applyFont="1" applyFill="1" applyAlignment="1">
      <alignment horizontal="left" vertical="center"/>
    </xf>
    <xf numFmtId="0" fontId="48" fillId="9" borderId="0" xfId="0" applyFont="1" applyFill="1" applyAlignment="1">
      <alignment horizontal="left" vertical="center"/>
    </xf>
    <xf numFmtId="49" fontId="3" fillId="9" borderId="0" xfId="0" applyNumberFormat="1" applyFont="1" applyFill="1" applyBorder="1" applyAlignment="1">
      <alignment vertical="center"/>
    </xf>
    <xf numFmtId="0" fontId="13" fillId="0" borderId="4" xfId="0" applyFont="1" applyFill="1" applyBorder="1" applyAlignment="1">
      <alignment horizontal="center" vertical="center"/>
    </xf>
    <xf numFmtId="9" fontId="13" fillId="0" borderId="2" xfId="0" applyNumberFormat="1" applyFont="1" applyFill="1" applyBorder="1" applyAlignment="1">
      <alignment horizontal="center" vertical="center"/>
    </xf>
    <xf numFmtId="0" fontId="13" fillId="9" borderId="0" xfId="0" applyFont="1" applyFill="1" applyAlignment="1">
      <alignment horizontal="center" vertical="center"/>
    </xf>
    <xf numFmtId="0" fontId="13" fillId="9" borderId="2" xfId="0" applyFont="1" applyFill="1" applyBorder="1" applyAlignment="1">
      <alignment horizontal="center" vertical="center"/>
    </xf>
    <xf numFmtId="175" fontId="26" fillId="9" borderId="0" xfId="0" applyNumberFormat="1" applyFont="1" applyFill="1" applyAlignment="1">
      <alignment horizontal="center" vertical="center"/>
    </xf>
    <xf numFmtId="175" fontId="26" fillId="9" borderId="2" xfId="0" applyNumberFormat="1" applyFont="1" applyFill="1" applyBorder="1" applyAlignment="1">
      <alignment horizontal="center" vertical="center"/>
    </xf>
    <xf numFmtId="0" fontId="2" fillId="9" borderId="2" xfId="0" applyFont="1" applyFill="1" applyBorder="1" applyAlignment="1">
      <alignment horizontal="left" vertical="center"/>
    </xf>
    <xf numFmtId="0" fontId="45" fillId="0" borderId="0" xfId="0" applyFont="1" applyFill="1" applyAlignment="1"/>
    <xf numFmtId="0" fontId="2" fillId="9" borderId="2" xfId="0" applyFont="1" applyFill="1" applyBorder="1" applyAlignment="1">
      <alignment vertical="center"/>
    </xf>
    <xf numFmtId="0" fontId="2" fillId="9" borderId="2" xfId="0" applyFont="1" applyFill="1" applyBorder="1" applyAlignment="1">
      <alignment vertical="center" wrapText="1"/>
    </xf>
    <xf numFmtId="49" fontId="2" fillId="9" borderId="2" xfId="0" applyNumberFormat="1" applyFont="1" applyFill="1" applyBorder="1" applyAlignment="1">
      <alignment horizontal="left" vertical="center"/>
    </xf>
    <xf numFmtId="49" fontId="2" fillId="9" borderId="2" xfId="0" applyNumberFormat="1" applyFont="1" applyFill="1" applyBorder="1" applyAlignment="1">
      <alignment vertical="center"/>
    </xf>
    <xf numFmtId="49" fontId="45" fillId="9" borderId="2" xfId="0" applyNumberFormat="1" applyFont="1" applyFill="1" applyBorder="1" applyAlignment="1">
      <alignment vertical="center" wrapText="1"/>
    </xf>
    <xf numFmtId="49" fontId="45" fillId="9" borderId="0" xfId="0" applyNumberFormat="1" applyFont="1" applyFill="1" applyBorder="1" applyAlignment="1">
      <alignment vertical="center" wrapText="1"/>
    </xf>
    <xf numFmtId="0" fontId="13" fillId="9" borderId="0" xfId="0" applyFont="1" applyFill="1" applyBorder="1" applyAlignment="1">
      <alignment horizontal="center" vertical="center"/>
    </xf>
    <xf numFmtId="175" fontId="26" fillId="9" borderId="0" xfId="0" applyNumberFormat="1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>
      <alignment vertical="center"/>
    </xf>
    <xf numFmtId="49" fontId="39" fillId="9" borderId="2" xfId="0" applyNumberFormat="1" applyFont="1" applyFill="1" applyBorder="1" applyAlignment="1">
      <alignment vertical="center"/>
    </xf>
    <xf numFmtId="49" fontId="45" fillId="9" borderId="2" xfId="0" applyNumberFormat="1" applyFont="1" applyFill="1" applyBorder="1" applyAlignment="1">
      <alignment vertical="center"/>
    </xf>
    <xf numFmtId="0" fontId="13" fillId="9" borderId="4" xfId="0" applyFont="1" applyFill="1" applyBorder="1" applyAlignment="1">
      <alignment horizontal="center" vertical="center"/>
    </xf>
    <xf numFmtId="49" fontId="44" fillId="9" borderId="2" xfId="0" applyNumberFormat="1" applyFont="1" applyFill="1" applyBorder="1" applyAlignment="1">
      <alignment vertical="center"/>
    </xf>
    <xf numFmtId="0" fontId="45" fillId="0" borderId="2" xfId="0" applyFont="1" applyFill="1" applyBorder="1" applyAlignment="1">
      <alignment vertical="center"/>
    </xf>
    <xf numFmtId="1" fontId="13" fillId="6" borderId="2" xfId="0" applyNumberFormat="1" applyFont="1" applyFill="1" applyBorder="1" applyAlignment="1">
      <alignment horizontal="right" vertical="center"/>
    </xf>
    <xf numFmtId="1" fontId="13" fillId="0" borderId="2" xfId="0" applyNumberFormat="1" applyFont="1" applyBorder="1" applyAlignment="1">
      <alignment horizontal="right" vertical="center"/>
    </xf>
    <xf numFmtId="1" fontId="13" fillId="6" borderId="2" xfId="1" applyNumberFormat="1" applyFont="1" applyFill="1" applyBorder="1" applyAlignment="1">
      <alignment horizontal="right" vertical="center"/>
    </xf>
    <xf numFmtId="1" fontId="18" fillId="0" borderId="7" xfId="0" applyNumberFormat="1" applyFont="1" applyBorder="1" applyAlignment="1">
      <alignment horizontal="right"/>
    </xf>
    <xf numFmtId="1" fontId="18" fillId="0" borderId="13" xfId="0" applyNumberFormat="1" applyFont="1" applyBorder="1" applyAlignment="1">
      <alignment horizontal="right"/>
    </xf>
    <xf numFmtId="0" fontId="6" fillId="9" borderId="2" xfId="0" applyFont="1" applyFill="1" applyBorder="1" applyAlignment="1">
      <alignment horizontal="left" vertical="center" wrapText="1"/>
    </xf>
    <xf numFmtId="0" fontId="25" fillId="0" borderId="5" xfId="0" applyFont="1" applyBorder="1" applyAlignment="1">
      <alignment horizontal="left" vertical="center"/>
    </xf>
    <xf numFmtId="0" fontId="25" fillId="0" borderId="14" xfId="0" applyFont="1" applyBorder="1" applyAlignment="1">
      <alignment horizontal="left" vertical="center"/>
    </xf>
    <xf numFmtId="0" fontId="25" fillId="0" borderId="15" xfId="0" applyFont="1" applyBorder="1" applyAlignment="1">
      <alignment horizontal="left" vertical="center"/>
    </xf>
    <xf numFmtId="0" fontId="14" fillId="0" borderId="7" xfId="0" applyFont="1" applyBorder="1" applyAlignment="1">
      <alignment horizontal="left" vertical="center" wrapText="1"/>
    </xf>
    <xf numFmtId="0" fontId="14" fillId="0" borderId="8" xfId="0" applyFont="1" applyBorder="1" applyAlignment="1">
      <alignment horizontal="left" vertical="center" wrapText="1"/>
    </xf>
    <xf numFmtId="0" fontId="14" fillId="0" borderId="19" xfId="0" applyFont="1" applyBorder="1" applyAlignment="1">
      <alignment horizontal="left" vertical="center" wrapText="1"/>
    </xf>
    <xf numFmtId="0" fontId="13" fillId="0" borderId="4" xfId="0" applyFont="1" applyBorder="1" applyAlignment="1">
      <alignment horizontal="center" vertical="distributed"/>
    </xf>
    <xf numFmtId="0" fontId="13" fillId="0" borderId="11" xfId="0" applyFont="1" applyBorder="1" applyAlignment="1">
      <alignment horizontal="center" vertical="distributed"/>
    </xf>
    <xf numFmtId="0" fontId="36" fillId="0" borderId="5" xfId="0" applyFont="1" applyFill="1" applyBorder="1" applyAlignment="1">
      <alignment horizontal="left" vertical="center" wrapText="1"/>
    </xf>
    <xf numFmtId="0" fontId="36" fillId="0" borderId="14" xfId="0" applyFont="1" applyFill="1" applyBorder="1" applyAlignment="1">
      <alignment horizontal="left" vertical="center" wrapText="1"/>
    </xf>
    <xf numFmtId="0" fontId="36" fillId="0" borderId="15" xfId="0" applyFont="1" applyFill="1" applyBorder="1" applyAlignment="1">
      <alignment horizontal="left" vertical="center" wrapText="1"/>
    </xf>
    <xf numFmtId="0" fontId="49" fillId="0" borderId="7" xfId="0" applyFont="1" applyBorder="1" applyAlignment="1">
      <alignment horizontal="left" vertical="center" wrapText="1"/>
    </xf>
    <xf numFmtId="0" fontId="49" fillId="0" borderId="8" xfId="0" applyFont="1" applyBorder="1" applyAlignment="1">
      <alignment horizontal="left" vertical="center" wrapText="1"/>
    </xf>
    <xf numFmtId="0" fontId="49" fillId="0" borderId="19" xfId="0" applyFont="1" applyBorder="1" applyAlignment="1">
      <alignment horizontal="left" vertical="center" wrapText="1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colors>
    <mruColors>
      <color rgb="FFCCFFFF"/>
      <color rgb="FF0000FF"/>
      <color rgb="FF008000"/>
      <color rgb="FF009900"/>
      <color rgb="FF0070C0"/>
      <color rgb="FFFFFF99"/>
      <color rgb="FF99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'Inc Acumul'!#REF!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806-4F5B-AF9C-CF233A2A26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01365552"/>
        <c:axId val="1"/>
      </c:lineChart>
      <c:catAx>
        <c:axId val="21013655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10136555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'Inc Acumul'!#REF!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602-4E39-B32D-34499DA47E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01366800"/>
        <c:axId val="1"/>
      </c:lineChart>
      <c:catAx>
        <c:axId val="21013668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10136680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'Inc Acumul'!#REF!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115-40ED-B162-756C1D16C9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01359728"/>
        <c:axId val="1"/>
      </c:lineChart>
      <c:catAx>
        <c:axId val="21013597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10135972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'Inc Acumul'!#REF!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C51-4EE2-B66A-7D6ADB957D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01360144"/>
        <c:axId val="1"/>
      </c:lineChart>
      <c:catAx>
        <c:axId val="21013601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10136014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34</xdr:row>
      <xdr:rowOff>0</xdr:rowOff>
    </xdr:from>
    <xdr:to>
      <xdr:col>1</xdr:col>
      <xdr:colOff>0</xdr:colOff>
      <xdr:row>41</xdr:row>
      <xdr:rowOff>38100</xdr:rowOff>
    </xdr:to>
    <xdr:graphicFrame macro="">
      <xdr:nvGraphicFramePr>
        <xdr:cNvPr id="1590" name="Gráfico 10">
          <a:extLst>
            <a:ext uri="{FF2B5EF4-FFF2-40B4-BE49-F238E27FC236}">
              <a16:creationId xmlns:a16="http://schemas.microsoft.com/office/drawing/2014/main" id="{00000000-0008-0000-0000-00003606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48</xdr:row>
      <xdr:rowOff>0</xdr:rowOff>
    </xdr:from>
    <xdr:to>
      <xdr:col>1</xdr:col>
      <xdr:colOff>0</xdr:colOff>
      <xdr:row>48</xdr:row>
      <xdr:rowOff>0</xdr:rowOff>
    </xdr:to>
    <xdr:graphicFrame macro="">
      <xdr:nvGraphicFramePr>
        <xdr:cNvPr id="1591" name="Gráfico 11">
          <a:extLst>
            <a:ext uri="{FF2B5EF4-FFF2-40B4-BE49-F238E27FC236}">
              <a16:creationId xmlns:a16="http://schemas.microsoft.com/office/drawing/2014/main" id="{00000000-0008-0000-0000-00003706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48</xdr:row>
      <xdr:rowOff>0</xdr:rowOff>
    </xdr:from>
    <xdr:to>
      <xdr:col>1</xdr:col>
      <xdr:colOff>0</xdr:colOff>
      <xdr:row>48</xdr:row>
      <xdr:rowOff>0</xdr:rowOff>
    </xdr:to>
    <xdr:graphicFrame macro="">
      <xdr:nvGraphicFramePr>
        <xdr:cNvPr id="1592" name="Gráfico 12">
          <a:extLst>
            <a:ext uri="{FF2B5EF4-FFF2-40B4-BE49-F238E27FC236}">
              <a16:creationId xmlns:a16="http://schemas.microsoft.com/office/drawing/2014/main" id="{00000000-0008-0000-0000-00003806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34</xdr:row>
      <xdr:rowOff>0</xdr:rowOff>
    </xdr:from>
    <xdr:to>
      <xdr:col>1</xdr:col>
      <xdr:colOff>0</xdr:colOff>
      <xdr:row>41</xdr:row>
      <xdr:rowOff>28575</xdr:rowOff>
    </xdr:to>
    <xdr:graphicFrame macro="">
      <xdr:nvGraphicFramePr>
        <xdr:cNvPr id="1593" name="Gráfico 13">
          <a:extLst>
            <a:ext uri="{FF2B5EF4-FFF2-40B4-BE49-F238E27FC236}">
              <a16:creationId xmlns:a16="http://schemas.microsoft.com/office/drawing/2014/main" id="{00000000-0008-0000-0000-00003906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160"/>
  <sheetViews>
    <sheetView tabSelected="1" zoomScale="85" zoomScaleNormal="85" workbookViewId="0"/>
  </sheetViews>
  <sheetFormatPr baseColWidth="10" defaultColWidth="11.453125" defaultRowHeight="13" x14ac:dyDescent="0.3"/>
  <cols>
    <col min="1" max="1" width="1.08984375" style="5" customWidth="1"/>
    <col min="2" max="2" width="56.08984375" style="5" customWidth="1"/>
    <col min="3" max="4" width="20.6328125" style="5" customWidth="1"/>
    <col min="5" max="5" width="17.90625" style="5" customWidth="1"/>
    <col min="6" max="6" width="19.26953125" style="5" customWidth="1"/>
    <col min="7" max="7" width="14.36328125" style="5" customWidth="1"/>
    <col min="8" max="8" width="11.453125" style="5" customWidth="1"/>
    <col min="9" max="9" width="5.6328125" style="5" customWidth="1"/>
    <col min="10" max="10" width="14.1796875" style="5" customWidth="1"/>
    <col min="11" max="11" width="6.6328125" style="5" customWidth="1"/>
    <col min="12" max="13" width="12.6328125" style="5" customWidth="1"/>
    <col min="14" max="14" width="14.7265625" style="5" bestFit="1" customWidth="1"/>
    <col min="15" max="15" width="14.26953125" style="11" bestFit="1" customWidth="1"/>
    <col min="16" max="16" width="14.26953125" style="11" customWidth="1"/>
    <col min="17" max="17" width="14" style="5" bestFit="1" customWidth="1"/>
    <col min="18" max="18" width="11.54296875" style="5" bestFit="1" customWidth="1"/>
    <col min="19" max="19" width="13.81640625" style="5" bestFit="1" customWidth="1"/>
    <col min="20" max="20" width="11.7265625" style="5" bestFit="1" customWidth="1"/>
    <col min="21" max="22" width="11.453125" style="11"/>
    <col min="23" max="24" width="11.7265625" style="5" bestFit="1" customWidth="1"/>
    <col min="25" max="25" width="12.453125" style="5" bestFit="1" customWidth="1"/>
    <col min="26" max="16384" width="11.453125" style="5"/>
  </cols>
  <sheetData>
    <row r="1" spans="2:31" s="4" customFormat="1" ht="8.25" customHeight="1" thickBot="1" x14ac:dyDescent="0.35">
      <c r="B1" s="76"/>
      <c r="C1" s="77"/>
      <c r="D1" s="76"/>
      <c r="E1" s="78"/>
      <c r="F1" s="5"/>
      <c r="G1" s="5"/>
      <c r="H1" s="79"/>
      <c r="I1" s="79"/>
      <c r="J1" s="79"/>
      <c r="K1" s="79"/>
      <c r="L1" s="7"/>
      <c r="M1" s="12"/>
      <c r="N1" s="12"/>
      <c r="O1" s="2"/>
      <c r="P1" s="2"/>
      <c r="Q1" s="3"/>
      <c r="R1" s="2"/>
      <c r="S1" s="2"/>
      <c r="T1" s="2"/>
      <c r="U1" s="80"/>
      <c r="V1" s="80"/>
      <c r="W1" s="80"/>
      <c r="X1" s="80"/>
      <c r="Y1" s="80"/>
      <c r="Z1" s="80"/>
      <c r="AA1" s="80"/>
      <c r="AB1" s="80"/>
      <c r="AC1" s="80"/>
    </row>
    <row r="2" spans="2:31" ht="24.75" customHeight="1" thickBot="1" x14ac:dyDescent="0.35">
      <c r="B2" s="306" t="s">
        <v>100</v>
      </c>
      <c r="C2" s="307"/>
      <c r="D2" s="307"/>
      <c r="E2" s="307"/>
      <c r="F2" s="308"/>
      <c r="G2" s="81"/>
      <c r="H2" s="82" t="s">
        <v>64</v>
      </c>
      <c r="I2" s="83">
        <v>0.95</v>
      </c>
      <c r="J2" s="81"/>
      <c r="K2" s="6"/>
      <c r="L2" s="7"/>
      <c r="M2" s="8"/>
      <c r="N2" s="8"/>
      <c r="O2" s="9"/>
      <c r="P2" s="9"/>
      <c r="Q2" s="10"/>
      <c r="R2" s="9"/>
      <c r="S2" s="9"/>
      <c r="T2" s="9"/>
      <c r="U2" s="9"/>
      <c r="V2" s="9"/>
      <c r="W2" s="9"/>
      <c r="X2" s="11"/>
      <c r="Y2" s="11"/>
      <c r="Z2" s="11"/>
      <c r="AA2" s="11"/>
      <c r="AB2" s="11"/>
      <c r="AC2" s="11" t="s">
        <v>101</v>
      </c>
      <c r="AD2" s="11"/>
      <c r="AE2" s="229">
        <v>8.229784350621135E-3</v>
      </c>
    </row>
    <row r="3" spans="2:31" ht="28.5" customHeight="1" x14ac:dyDescent="0.3">
      <c r="B3" s="309" t="s">
        <v>99</v>
      </c>
      <c r="C3" s="310"/>
      <c r="D3" s="310"/>
      <c r="E3" s="310"/>
      <c r="F3" s="311"/>
      <c r="G3" s="84"/>
      <c r="H3" s="84"/>
      <c r="I3" s="84"/>
      <c r="J3" s="84"/>
      <c r="K3" s="6"/>
      <c r="L3" s="7"/>
      <c r="M3" s="8"/>
      <c r="N3" s="8"/>
      <c r="O3" s="9"/>
      <c r="P3" s="9"/>
      <c r="Q3" s="10"/>
      <c r="R3" s="9"/>
      <c r="S3" s="9"/>
      <c r="T3" s="9"/>
      <c r="U3" s="9"/>
      <c r="W3" s="225"/>
      <c r="X3" s="226"/>
      <c r="Y3" s="11"/>
      <c r="Z3" s="11"/>
      <c r="AA3" s="11"/>
      <c r="AB3" s="11"/>
      <c r="AC3" s="11">
        <v>1777</v>
      </c>
      <c r="AD3" s="11" t="e">
        <f>AC3/V3</f>
        <v>#DIV/0!</v>
      </c>
      <c r="AE3" s="5">
        <f>AE2*V3</f>
        <v>0</v>
      </c>
    </row>
    <row r="4" spans="2:31" ht="10.5" customHeight="1" x14ac:dyDescent="0.3">
      <c r="B4" s="220"/>
      <c r="C4" s="220"/>
      <c r="D4" s="220"/>
      <c r="E4" s="220"/>
      <c r="F4" s="220"/>
      <c r="G4" s="220"/>
      <c r="H4" s="220"/>
      <c r="I4" s="220"/>
      <c r="J4" s="220"/>
      <c r="K4" s="220"/>
      <c r="L4" s="220"/>
      <c r="M4" s="8"/>
      <c r="N4" s="220"/>
      <c r="O4" s="9"/>
      <c r="P4" s="9"/>
      <c r="Q4" s="14"/>
      <c r="R4" s="9"/>
      <c r="S4" s="9"/>
      <c r="T4" s="13"/>
      <c r="V4" s="15"/>
      <c r="W4" s="15"/>
      <c r="X4" s="226"/>
      <c r="Y4" s="15"/>
      <c r="Z4" s="16"/>
      <c r="AA4" s="11"/>
      <c r="AB4" s="11"/>
      <c r="AC4" s="11"/>
      <c r="AD4" s="11"/>
    </row>
    <row r="5" spans="2:31" x14ac:dyDescent="0.3">
      <c r="B5" s="85" t="s">
        <v>53</v>
      </c>
      <c r="C5" s="86"/>
      <c r="D5" s="53" t="s">
        <v>20</v>
      </c>
      <c r="E5" s="53" t="s">
        <v>21</v>
      </c>
      <c r="F5" s="87"/>
      <c r="I5" s="88"/>
      <c r="J5" s="220"/>
      <c r="K5" s="88"/>
      <c r="L5" s="89"/>
      <c r="M5" s="8"/>
      <c r="N5" s="89"/>
      <c r="O5" s="9"/>
      <c r="P5" s="9"/>
      <c r="Q5" s="9"/>
      <c r="R5" s="9"/>
      <c r="S5" s="9"/>
      <c r="T5" s="13"/>
      <c r="V5" s="15"/>
      <c r="W5" s="15"/>
      <c r="X5" s="228"/>
      <c r="Y5" s="15"/>
      <c r="Z5" s="16"/>
      <c r="AA5" s="11">
        <v>8</v>
      </c>
      <c r="AB5" s="11">
        <v>1000000</v>
      </c>
      <c r="AC5" s="227">
        <f>AA5/AB5</f>
        <v>7.9999999999999996E-6</v>
      </c>
      <c r="AD5" s="11">
        <f>1/AC5</f>
        <v>125000</v>
      </c>
    </row>
    <row r="6" spans="2:31" x14ac:dyDescent="0.3">
      <c r="B6" s="85" t="s">
        <v>53</v>
      </c>
      <c r="C6" s="240"/>
      <c r="D6" s="241" t="s">
        <v>3</v>
      </c>
      <c r="E6" s="241" t="s">
        <v>2</v>
      </c>
      <c r="F6" s="242" t="s">
        <v>22</v>
      </c>
      <c r="I6" s="67"/>
      <c r="J6" s="220"/>
      <c r="K6" s="88"/>
      <c r="L6" s="89"/>
      <c r="M6" s="8"/>
      <c r="N6" s="89"/>
      <c r="O6" s="9"/>
      <c r="P6" s="9"/>
      <c r="Q6" s="9"/>
      <c r="R6" s="9"/>
      <c r="S6" s="9"/>
      <c r="T6" s="13"/>
      <c r="V6" s="15"/>
      <c r="W6" s="15"/>
      <c r="X6" s="11"/>
      <c r="Y6" s="15"/>
      <c r="Z6" s="11"/>
      <c r="AA6" s="11"/>
      <c r="AB6" s="11"/>
      <c r="AC6" s="11"/>
      <c r="AD6" s="11"/>
    </row>
    <row r="7" spans="2:31" ht="12.75" customHeight="1" x14ac:dyDescent="0.3">
      <c r="B7" s="85" t="s">
        <v>53</v>
      </c>
      <c r="C7" s="243" t="s">
        <v>203</v>
      </c>
      <c r="D7" s="300">
        <v>147</v>
      </c>
      <c r="E7" s="301">
        <f>F7-D7</f>
        <v>88</v>
      </c>
      <c r="F7" s="302">
        <v>235</v>
      </c>
      <c r="H7" s="230"/>
      <c r="I7" s="67"/>
      <c r="J7" s="230"/>
      <c r="K7" s="88"/>
      <c r="L7" s="230"/>
      <c r="M7" s="8"/>
      <c r="N7" s="89"/>
      <c r="O7" s="9"/>
      <c r="P7" s="9"/>
      <c r="Q7" s="222"/>
      <c r="R7" s="9"/>
      <c r="S7" s="9"/>
      <c r="T7" s="13"/>
      <c r="V7" s="15"/>
      <c r="W7" s="15"/>
      <c r="X7" s="11"/>
      <c r="Y7" s="15"/>
      <c r="Z7" s="11"/>
      <c r="AA7" s="11"/>
      <c r="AB7" s="11"/>
      <c r="AC7" s="11"/>
      <c r="AD7" s="11"/>
    </row>
    <row r="8" spans="2:31" ht="12.75" customHeight="1" x14ac:dyDescent="0.3">
      <c r="B8" s="85" t="s">
        <v>53</v>
      </c>
      <c r="C8" s="243" t="s">
        <v>114</v>
      </c>
      <c r="D8" s="300">
        <v>159</v>
      </c>
      <c r="E8" s="301">
        <f>F8-D8</f>
        <v>74</v>
      </c>
      <c r="F8" s="302">
        <v>233</v>
      </c>
      <c r="H8" s="230"/>
      <c r="I8" s="67"/>
      <c r="J8" s="230"/>
      <c r="K8" s="88"/>
      <c r="L8" s="230"/>
      <c r="M8" s="90"/>
      <c r="N8" s="89"/>
      <c r="O8" s="9"/>
      <c r="P8" s="9"/>
      <c r="Q8" s="9"/>
      <c r="R8" s="10"/>
      <c r="S8" s="9"/>
      <c r="T8" s="13"/>
      <c r="V8" s="15"/>
      <c r="W8" s="15"/>
      <c r="X8" s="11"/>
      <c r="Y8" s="15"/>
      <c r="Z8" s="11"/>
      <c r="AA8" s="11"/>
      <c r="AB8" s="11"/>
      <c r="AC8" s="11"/>
      <c r="AD8" s="11"/>
    </row>
    <row r="9" spans="2:31" x14ac:dyDescent="0.3">
      <c r="B9" s="65"/>
      <c r="C9" s="244" t="s">
        <v>22</v>
      </c>
      <c r="D9" s="303">
        <f>D7+D8</f>
        <v>306</v>
      </c>
      <c r="E9" s="303">
        <f t="shared" ref="E9:F9" si="0">E7+E8</f>
        <v>162</v>
      </c>
      <c r="F9" s="304">
        <f t="shared" si="0"/>
        <v>468</v>
      </c>
      <c r="G9" s="221"/>
      <c r="H9" s="88"/>
      <c r="I9" s="88"/>
      <c r="J9" s="84"/>
      <c r="K9" s="88"/>
      <c r="L9" s="89"/>
      <c r="M9" s="90"/>
      <c r="N9" s="89"/>
      <c r="P9" s="20"/>
      <c r="Q9" s="21"/>
      <c r="R9" s="21"/>
      <c r="S9" s="223"/>
      <c r="T9" s="15"/>
      <c r="V9" s="15"/>
      <c r="W9" s="15"/>
      <c r="X9" s="11"/>
      <c r="Y9" s="15"/>
      <c r="Z9" s="11"/>
      <c r="AA9" s="11"/>
      <c r="AB9" s="11"/>
      <c r="AC9" s="11"/>
      <c r="AD9" s="11"/>
    </row>
    <row r="10" spans="2:31" ht="12.75" customHeight="1" x14ac:dyDescent="0.3">
      <c r="B10" s="65"/>
      <c r="C10" s="22"/>
      <c r="D10" s="23"/>
      <c r="E10" s="19"/>
      <c r="F10" s="19"/>
      <c r="G10" s="89"/>
      <c r="H10" s="89"/>
      <c r="I10" s="88"/>
      <c r="J10" s="88"/>
      <c r="K10" s="88"/>
      <c r="L10" s="89"/>
      <c r="M10" s="90"/>
      <c r="N10" s="89"/>
      <c r="P10" s="20"/>
      <c r="Q10" s="21"/>
      <c r="R10" s="21"/>
      <c r="S10" s="21"/>
      <c r="T10" s="15"/>
      <c r="V10" s="15"/>
      <c r="W10" s="15"/>
      <c r="X10" s="11"/>
      <c r="Y10" s="15"/>
      <c r="Z10" s="11"/>
      <c r="AA10" s="11"/>
      <c r="AB10" s="11"/>
      <c r="AC10" s="11"/>
      <c r="AD10" s="11"/>
    </row>
    <row r="11" spans="2:31" s="4" customFormat="1" ht="14.25" hidden="1" customHeight="1" x14ac:dyDescent="0.3">
      <c r="B11" s="91" t="s">
        <v>102</v>
      </c>
      <c r="C11" s="25"/>
      <c r="D11" s="26"/>
      <c r="E11" s="2"/>
      <c r="F11" s="18"/>
      <c r="G11" s="92"/>
      <c r="H11" s="90"/>
      <c r="I11" s="92"/>
      <c r="J11" s="90"/>
      <c r="K11" s="93"/>
      <c r="L11" s="93"/>
      <c r="M11" s="92"/>
      <c r="N11" s="93"/>
      <c r="P11" s="2"/>
      <c r="Q11" s="28"/>
      <c r="R11" s="28"/>
      <c r="S11" s="28"/>
      <c r="T11" s="2"/>
      <c r="U11" s="2"/>
      <c r="V11" s="2"/>
      <c r="W11" s="2"/>
    </row>
    <row r="12" spans="2:31" s="4" customFormat="1" ht="12.75" hidden="1" customHeight="1" x14ac:dyDescent="0.3">
      <c r="B12" s="65" t="s">
        <v>60</v>
      </c>
      <c r="C12" s="25"/>
      <c r="D12" s="26"/>
      <c r="E12" s="2"/>
      <c r="F12" s="18"/>
      <c r="G12" s="92"/>
      <c r="H12" s="90"/>
      <c r="I12" s="92"/>
      <c r="J12" s="90"/>
      <c r="K12" s="94"/>
      <c r="L12" s="93"/>
      <c r="M12" s="93"/>
      <c r="N12" s="93"/>
      <c r="P12" s="2"/>
      <c r="Q12" s="3"/>
      <c r="R12" s="3"/>
      <c r="S12" s="3"/>
      <c r="T12" s="2"/>
      <c r="U12" s="2"/>
      <c r="V12" s="2"/>
      <c r="W12" s="2"/>
    </row>
    <row r="13" spans="2:31" s="4" customFormat="1" ht="54.75" hidden="1" customHeight="1" x14ac:dyDescent="0.3">
      <c r="B13" s="234" t="s">
        <v>25</v>
      </c>
      <c r="C13" s="234" t="s">
        <v>61</v>
      </c>
      <c r="D13" s="234" t="s">
        <v>103</v>
      </c>
      <c r="E13" s="234" t="s">
        <v>62</v>
      </c>
      <c r="F13" s="234" t="s">
        <v>63</v>
      </c>
      <c r="G13" s="234" t="s">
        <v>4</v>
      </c>
      <c r="H13" s="234" t="s">
        <v>65</v>
      </c>
      <c r="I13" s="234" t="s">
        <v>66</v>
      </c>
      <c r="J13" s="90"/>
      <c r="K13" s="235" t="s">
        <v>43</v>
      </c>
      <c r="L13" s="236" t="s">
        <v>0</v>
      </c>
      <c r="M13" s="236" t="s">
        <v>1</v>
      </c>
      <c r="N13" s="93"/>
      <c r="P13" s="2"/>
      <c r="Q13" s="2"/>
      <c r="R13" s="2"/>
      <c r="S13" s="2"/>
      <c r="T13" s="2"/>
      <c r="U13" s="2"/>
      <c r="V13" s="2"/>
      <c r="W13" s="2"/>
    </row>
    <row r="14" spans="2:31" s="4" customFormat="1" ht="12.75" hidden="1" customHeight="1" x14ac:dyDescent="0.3">
      <c r="B14" s="69">
        <f>LN((D7/F7)/(D8/F8))</f>
        <v>-8.7018676019953611E-2</v>
      </c>
      <c r="C14" s="69">
        <f>SQRT((E7/(D7*F7)+(E8/(D8*F8))))</f>
        <v>6.7415611115212784E-2</v>
      </c>
      <c r="D14" s="95">
        <f>-NORMSINV((1-I2)/2)</f>
        <v>1.9599639845400536</v>
      </c>
      <c r="E14" s="70">
        <f>B14-(D14*C14)</f>
        <v>-0.2191508458015288</v>
      </c>
      <c r="F14" s="71">
        <f>B14+(D14*C14)</f>
        <v>4.5113493761621576E-2</v>
      </c>
      <c r="G14" s="96">
        <f>(D7/F7)/(D8/F8)</f>
        <v>0.91665997591328785</v>
      </c>
      <c r="H14" s="96">
        <f>EXP(E14)</f>
        <v>0.80320054958428089</v>
      </c>
      <c r="I14" s="96">
        <f>EXP(F14)</f>
        <v>1.0461465842824094</v>
      </c>
      <c r="J14" s="90"/>
      <c r="K14" s="97">
        <f>1-G14</f>
        <v>8.334002408671215E-2</v>
      </c>
      <c r="L14" s="96">
        <f>1-H14</f>
        <v>0.19679945041571911</v>
      </c>
      <c r="M14" s="96">
        <f>1-I14</f>
        <v>-4.6146584282409364E-2</v>
      </c>
      <c r="N14" s="98"/>
      <c r="P14" s="2"/>
      <c r="Q14" s="2"/>
      <c r="R14" s="2"/>
      <c r="S14" s="2"/>
      <c r="T14" s="2"/>
      <c r="U14" s="2"/>
      <c r="V14" s="2"/>
      <c r="W14" s="2"/>
    </row>
    <row r="15" spans="2:31" s="4" customFormat="1" ht="12.75" hidden="1" customHeight="1" x14ac:dyDescent="0.3">
      <c r="B15" s="99"/>
      <c r="C15" s="25"/>
      <c r="D15" s="25"/>
      <c r="E15" s="25"/>
      <c r="F15" s="29"/>
      <c r="G15" s="100"/>
      <c r="H15" s="90"/>
      <c r="I15" s="92"/>
      <c r="J15" s="90"/>
      <c r="K15" s="92"/>
      <c r="L15" s="92"/>
      <c r="M15" s="92"/>
      <c r="N15" s="93"/>
      <c r="P15" s="2"/>
      <c r="Q15" s="2"/>
      <c r="R15" s="2"/>
      <c r="S15" s="2"/>
      <c r="T15" s="2"/>
      <c r="U15" s="2"/>
      <c r="V15" s="2"/>
      <c r="W15" s="2"/>
    </row>
    <row r="16" spans="2:31" s="11" customFormat="1" ht="12.75" hidden="1" customHeight="1" x14ac:dyDescent="0.3">
      <c r="B16" s="64"/>
      <c r="C16" s="30"/>
      <c r="D16" s="31"/>
      <c r="E16" s="32"/>
      <c r="F16" s="33"/>
      <c r="G16" s="101"/>
      <c r="H16" s="102"/>
      <c r="I16" s="103"/>
      <c r="J16" s="103"/>
      <c r="K16" s="104"/>
      <c r="L16" s="104"/>
      <c r="M16" s="105"/>
      <c r="N16" s="105"/>
    </row>
    <row r="17" spans="2:30" ht="15.75" hidden="1" customHeight="1" x14ac:dyDescent="0.3">
      <c r="B17" s="36" t="s">
        <v>67</v>
      </c>
      <c r="C17" s="2"/>
      <c r="D17" s="106"/>
      <c r="E17" s="106"/>
      <c r="F17" s="12"/>
      <c r="G17" s="12"/>
      <c r="H17" s="107"/>
      <c r="I17" s="37"/>
      <c r="J17" s="108"/>
      <c r="K17" s="108"/>
      <c r="L17" s="4"/>
      <c r="M17" s="93"/>
      <c r="N17" s="90"/>
      <c r="O17" s="37"/>
      <c r="P17" s="2"/>
      <c r="Q17" s="2"/>
      <c r="R17" s="38"/>
      <c r="S17" s="37"/>
      <c r="T17" s="39"/>
      <c r="U17" s="39"/>
      <c r="V17" s="39"/>
      <c r="W17" s="11"/>
      <c r="X17" s="11"/>
      <c r="Y17" s="11"/>
      <c r="Z17" s="11"/>
      <c r="AA17" s="11"/>
      <c r="AB17" s="11"/>
      <c r="AC17" s="11"/>
    </row>
    <row r="18" spans="2:30" ht="12.75" hidden="1" customHeight="1" x14ac:dyDescent="0.3">
      <c r="B18" s="40" t="s">
        <v>68</v>
      </c>
      <c r="C18" s="2"/>
      <c r="D18" s="37"/>
      <c r="E18" s="37"/>
      <c r="F18" s="2"/>
      <c r="G18" s="2"/>
      <c r="H18" s="38"/>
      <c r="I18" s="37"/>
      <c r="J18" s="39"/>
      <c r="K18" s="39"/>
      <c r="L18" s="39"/>
      <c r="M18" s="93"/>
      <c r="N18" s="90"/>
      <c r="O18" s="2"/>
      <c r="P18" s="2"/>
      <c r="Q18" s="38"/>
      <c r="R18" s="37"/>
      <c r="S18" s="39"/>
      <c r="T18" s="39"/>
      <c r="U18" s="39"/>
      <c r="W18" s="11" t="s">
        <v>27</v>
      </c>
      <c r="X18" s="11"/>
      <c r="Y18" s="11"/>
      <c r="Z18" s="11"/>
      <c r="AA18" s="11"/>
      <c r="AB18" s="11"/>
    </row>
    <row r="19" spans="2:30" ht="25.5" hidden="1" customHeight="1" x14ac:dyDescent="0.3">
      <c r="B19" s="109" t="s">
        <v>69</v>
      </c>
      <c r="C19" s="5" t="s">
        <v>9</v>
      </c>
      <c r="D19" s="4"/>
      <c r="E19" s="5" t="s">
        <v>70</v>
      </c>
      <c r="G19" s="5" t="s">
        <v>7</v>
      </c>
      <c r="I19" s="5" t="s">
        <v>8</v>
      </c>
      <c r="J19" s="39"/>
      <c r="K19" s="39"/>
      <c r="L19" s="39"/>
      <c r="M19" s="93"/>
      <c r="N19" s="104"/>
      <c r="P19" s="5"/>
      <c r="T19" s="11"/>
      <c r="V19" s="5"/>
      <c r="W19" s="5" t="s">
        <v>28</v>
      </c>
      <c r="Y19" s="11"/>
      <c r="Z19" s="11"/>
      <c r="AA19" s="11"/>
      <c r="AB19" s="11"/>
      <c r="AC19" s="11"/>
      <c r="AD19" s="11"/>
    </row>
    <row r="20" spans="2:30" ht="38.25" hidden="1" customHeight="1" x14ac:dyDescent="0.4">
      <c r="B20" s="68" t="s">
        <v>71</v>
      </c>
      <c r="C20" s="68" t="s">
        <v>26</v>
      </c>
      <c r="D20" s="110" t="s">
        <v>10</v>
      </c>
      <c r="E20" s="110" t="s">
        <v>9</v>
      </c>
      <c r="F20" s="110" t="s">
        <v>72</v>
      </c>
      <c r="G20" s="110" t="s">
        <v>7</v>
      </c>
      <c r="H20" s="110" t="s">
        <v>8</v>
      </c>
      <c r="I20" s="111" t="s">
        <v>5</v>
      </c>
      <c r="J20" s="110" t="s">
        <v>73</v>
      </c>
      <c r="K20" s="110" t="s">
        <v>0</v>
      </c>
      <c r="L20" s="110" t="s">
        <v>1</v>
      </c>
      <c r="M20" s="112"/>
      <c r="N20" s="113"/>
      <c r="O20" s="114" t="s">
        <v>13</v>
      </c>
      <c r="P20" s="115" t="s">
        <v>56</v>
      </c>
      <c r="Q20" s="116"/>
      <c r="R20" s="117"/>
      <c r="S20" s="118"/>
      <c r="T20" s="118"/>
      <c r="U20" s="119"/>
      <c r="W20" s="120"/>
      <c r="X20" s="114" t="s">
        <v>57</v>
      </c>
      <c r="Y20" s="115" t="s">
        <v>74</v>
      </c>
      <c r="Z20" s="72"/>
      <c r="AA20" s="72"/>
      <c r="AB20" s="72" t="s">
        <v>75</v>
      </c>
      <c r="AC20" s="72"/>
      <c r="AD20" s="63"/>
    </row>
    <row r="21" spans="2:30" ht="12.75" hidden="1" customHeight="1" x14ac:dyDescent="0.3">
      <c r="B21" s="121">
        <f>D7</f>
        <v>147</v>
      </c>
      <c r="C21" s="122">
        <f>F7</f>
        <v>235</v>
      </c>
      <c r="D21" s="123">
        <f>B21/C21</f>
        <v>0.62553191489361704</v>
      </c>
      <c r="E21" s="124">
        <f>2*B21+I21^2</f>
        <v>297.84145882069413</v>
      </c>
      <c r="F21" s="124">
        <f>I21*SQRT((I21^2)+(4*B21*(1-D21)))</f>
        <v>29.335933567692983</v>
      </c>
      <c r="G21" s="237">
        <f>2*(C21+I21^2)</f>
        <v>477.68291764138826</v>
      </c>
      <c r="H21" s="125" t="s">
        <v>11</v>
      </c>
      <c r="I21" s="95">
        <f>-NORMSINV((1-I2)/2)</f>
        <v>1.9599639845400536</v>
      </c>
      <c r="J21" s="126">
        <f>D21</f>
        <v>0.62553191489361704</v>
      </c>
      <c r="K21" s="126">
        <f>(E21-F21)/G21</f>
        <v>0.56209991049873964</v>
      </c>
      <c r="L21" s="126">
        <f>(E21+F21)/G21</f>
        <v>0.68492587929219095</v>
      </c>
      <c r="M21" s="112"/>
      <c r="N21" s="127">
        <f>F9/2</f>
        <v>234</v>
      </c>
      <c r="O21" s="17" t="s">
        <v>14</v>
      </c>
      <c r="P21" s="2"/>
      <c r="Q21" s="38"/>
      <c r="R21" s="37"/>
      <c r="S21" s="39"/>
      <c r="T21" s="39"/>
      <c r="U21" s="128"/>
      <c r="W21" s="129">
        <f>ABS(D21-D22)</f>
        <v>5.6871518582777836E-2</v>
      </c>
      <c r="X21" s="17" t="s">
        <v>76</v>
      </c>
      <c r="Y21" s="2"/>
      <c r="Z21" s="17"/>
      <c r="AA21" s="17"/>
      <c r="AB21" s="17" t="s">
        <v>77</v>
      </c>
      <c r="AC21" s="17"/>
      <c r="AD21" s="130"/>
    </row>
    <row r="22" spans="2:30" ht="14.25" hidden="1" customHeight="1" x14ac:dyDescent="0.4">
      <c r="B22" s="121">
        <f>D8</f>
        <v>159</v>
      </c>
      <c r="C22" s="122">
        <f>F8</f>
        <v>233</v>
      </c>
      <c r="D22" s="123">
        <f>B22/C22</f>
        <v>0.68240343347639487</v>
      </c>
      <c r="E22" s="124">
        <f>2*B22+I22^2</f>
        <v>321.84145882069413</v>
      </c>
      <c r="F22" s="124">
        <f>I22*SQRT((I22^2)+(4*B22*(1-D22)))</f>
        <v>28.11936190164786</v>
      </c>
      <c r="G22" s="237">
        <f>2*(C22+I22^2)</f>
        <v>473.68291764138826</v>
      </c>
      <c r="H22" s="125" t="s">
        <v>11</v>
      </c>
      <c r="I22" s="95">
        <f>-NORMSINV((1-I2)/2)</f>
        <v>1.9599639845400536</v>
      </c>
      <c r="J22" s="126">
        <f>D22</f>
        <v>0.68240343347639487</v>
      </c>
      <c r="K22" s="126">
        <f>(E22-F22)/G22</f>
        <v>0.62008167485029486</v>
      </c>
      <c r="L22" s="126">
        <f>(E22+F22)/G22</f>
        <v>0.7388081936011196</v>
      </c>
      <c r="M22" s="112"/>
      <c r="N22" s="131">
        <f>J26</f>
        <v>5.6871518582777836E-2</v>
      </c>
      <c r="O22" s="17" t="s">
        <v>15</v>
      </c>
      <c r="P22" s="17"/>
      <c r="Q22" s="17"/>
      <c r="R22" s="17"/>
      <c r="S22" s="17"/>
      <c r="T22" s="17"/>
      <c r="U22" s="74"/>
      <c r="W22" s="132">
        <f>SQRT((D23*(1-D23)/C21)+(D23*(1-D23)/C22))</f>
        <v>4.3982853542858802E-2</v>
      </c>
      <c r="X22" s="40" t="s">
        <v>78</v>
      </c>
      <c r="Y22" s="17"/>
      <c r="Z22" s="17"/>
      <c r="AA22" s="17"/>
      <c r="AB22" s="17"/>
      <c r="AC22" s="17"/>
      <c r="AD22" s="130"/>
    </row>
    <row r="23" spans="2:30" ht="12.75" hidden="1" customHeight="1" x14ac:dyDescent="0.3">
      <c r="B23" s="121">
        <f>D9</f>
        <v>306</v>
      </c>
      <c r="C23" s="122">
        <f>F9</f>
        <v>468</v>
      </c>
      <c r="D23" s="123">
        <f>B23/C23</f>
        <v>0.65384615384615385</v>
      </c>
      <c r="E23" s="124">
        <f>2*B23+I23^2</f>
        <v>615.84145882069413</v>
      </c>
      <c r="F23" s="124">
        <f>I23*SQRT((I23^2)+(4*B23*(1-D23)))</f>
        <v>40.525959069662406</v>
      </c>
      <c r="G23" s="237">
        <f>2*(C23+I23^2)</f>
        <v>943.68291764138826</v>
      </c>
      <c r="H23" s="125" t="s">
        <v>11</v>
      </c>
      <c r="I23" s="95">
        <f>-NORMSINV((1-I2)/2)</f>
        <v>1.9599639845400536</v>
      </c>
      <c r="J23" s="126">
        <f>D23</f>
        <v>0.65384615384615385</v>
      </c>
      <c r="K23" s="126">
        <f>(E23-F23)/G23</f>
        <v>0.60964916180633777</v>
      </c>
      <c r="L23" s="126">
        <f>(E23+F23)/G23</f>
        <v>0.69553809401452438</v>
      </c>
      <c r="M23" s="112"/>
      <c r="N23" s="133">
        <f>(B21+B22)/(C21+C22)</f>
        <v>0.65384615384615385</v>
      </c>
      <c r="O23" s="17" t="s">
        <v>6</v>
      </c>
      <c r="P23" s="2"/>
      <c r="Q23" s="38"/>
      <c r="R23" s="37"/>
      <c r="S23" s="39"/>
      <c r="T23" s="39"/>
      <c r="U23" s="130"/>
      <c r="W23" s="134">
        <f>W21/W22</f>
        <v>1.2930384002338493</v>
      </c>
      <c r="X23" s="17" t="s">
        <v>42</v>
      </c>
      <c r="Y23" s="2"/>
      <c r="Z23" s="17"/>
      <c r="AA23" s="17"/>
      <c r="AB23" s="17"/>
      <c r="AC23" s="17"/>
      <c r="AD23" s="130"/>
    </row>
    <row r="24" spans="2:30" ht="15" hidden="1" customHeight="1" x14ac:dyDescent="0.3">
      <c r="B24" s="65"/>
      <c r="C24" s="135" t="s">
        <v>12</v>
      </c>
      <c r="F24" s="34"/>
      <c r="G24" s="103"/>
      <c r="H24" s="103"/>
      <c r="I24" s="103"/>
      <c r="J24" s="103"/>
      <c r="K24" s="104"/>
      <c r="L24" s="89"/>
      <c r="M24" s="112"/>
      <c r="N24" s="136">
        <f>SQRT(N21*N22^2/(2*N23*(1-N23)))-I21</f>
        <v>-0.66691377686855913</v>
      </c>
      <c r="O24" s="17" t="s">
        <v>79</v>
      </c>
      <c r="P24" s="17"/>
      <c r="Q24" s="17"/>
      <c r="R24" s="17"/>
      <c r="S24" s="17"/>
      <c r="T24" s="4"/>
      <c r="U24" s="128"/>
      <c r="W24" s="137">
        <f>NORMSDIST(-W23)</f>
        <v>9.7998889126777261E-2</v>
      </c>
      <c r="X24" s="36" t="s">
        <v>80</v>
      </c>
      <c r="Y24" s="17"/>
      <c r="Z24" s="4"/>
      <c r="AA24" s="4"/>
      <c r="AB24" s="4"/>
      <c r="AC24" s="4"/>
      <c r="AD24" s="74"/>
    </row>
    <row r="25" spans="2:30" ht="13.5" hidden="1" customHeight="1" x14ac:dyDescent="0.3">
      <c r="B25" s="65"/>
      <c r="C25" s="135" t="s">
        <v>81</v>
      </c>
      <c r="D25" s="24"/>
      <c r="E25" s="35"/>
      <c r="F25" s="34"/>
      <c r="G25" s="103"/>
      <c r="H25" s="89"/>
      <c r="I25" s="89"/>
      <c r="J25" s="138"/>
      <c r="K25" s="138"/>
      <c r="L25" s="138"/>
      <c r="M25" s="112"/>
      <c r="N25" s="139">
        <f>NORMSDIST(N24)</f>
        <v>0.2524136051884297</v>
      </c>
      <c r="O25" s="36" t="s">
        <v>16</v>
      </c>
      <c r="P25" s="41"/>
      <c r="Q25" s="17"/>
      <c r="R25" s="17"/>
      <c r="S25" s="17"/>
      <c r="T25" s="17"/>
      <c r="U25" s="130"/>
      <c r="W25" s="140">
        <f>1-W24</f>
        <v>0.90200111087322277</v>
      </c>
      <c r="X25" s="42" t="s">
        <v>82</v>
      </c>
      <c r="Y25" s="41"/>
      <c r="Z25" s="4"/>
      <c r="AA25" s="4"/>
      <c r="AB25" s="4"/>
      <c r="AC25" s="4"/>
      <c r="AD25" s="74"/>
    </row>
    <row r="26" spans="2:30" ht="15" hidden="1" customHeight="1" x14ac:dyDescent="0.35">
      <c r="F26" s="43"/>
      <c r="G26" s="89"/>
      <c r="H26" s="89"/>
      <c r="I26" s="82" t="s">
        <v>23</v>
      </c>
      <c r="J26" s="141">
        <f>D22-D21</f>
        <v>5.6871518582777836E-2</v>
      </c>
      <c r="K26" s="142">
        <f>J26+SQRT((D22-K22)^2+(L21-D21)^2)</f>
        <v>0.14296242754086086</v>
      </c>
      <c r="L26" s="143">
        <f>J26-SQRT((D21-K21)^2+(L22-D22)^2)</f>
        <v>-2.8011436987109589E-2</v>
      </c>
      <c r="M26" s="88"/>
      <c r="N26" s="144">
        <f>1-N25</f>
        <v>0.7475863948115703</v>
      </c>
      <c r="O26" s="145" t="s">
        <v>83</v>
      </c>
      <c r="P26" s="146"/>
      <c r="Q26" s="147"/>
      <c r="R26" s="146"/>
      <c r="S26" s="146"/>
      <c r="T26" s="146"/>
      <c r="U26" s="148"/>
      <c r="W26" s="149"/>
      <c r="X26" s="150"/>
      <c r="Y26" s="146"/>
      <c r="Z26" s="150"/>
      <c r="AA26" s="150"/>
      <c r="AB26" s="150"/>
      <c r="AC26" s="150"/>
      <c r="AD26" s="151"/>
    </row>
    <row r="27" spans="2:30" ht="13.5" hidden="1" customHeight="1" x14ac:dyDescent="0.3">
      <c r="F27" s="44"/>
      <c r="G27" s="89"/>
      <c r="H27" s="89"/>
      <c r="I27" s="82" t="s">
        <v>24</v>
      </c>
      <c r="J27" s="152">
        <f>1/J26</f>
        <v>17.583493898522796</v>
      </c>
      <c r="K27" s="153">
        <f>1/K26</f>
        <v>6.9948448498063218</v>
      </c>
      <c r="L27" s="154">
        <f>1/L26</f>
        <v>-35.699703676758311</v>
      </c>
      <c r="M27" s="88"/>
      <c r="N27" s="89"/>
      <c r="O27" s="5"/>
      <c r="P27" s="5"/>
      <c r="U27" s="5"/>
      <c r="V27" s="5"/>
      <c r="W27" s="11"/>
      <c r="X27" s="11"/>
      <c r="Y27" s="11"/>
      <c r="Z27" s="11"/>
      <c r="AA27" s="11"/>
      <c r="AB27" s="11"/>
      <c r="AC27" s="11"/>
    </row>
    <row r="28" spans="2:30" ht="14.25" hidden="1" customHeight="1" x14ac:dyDescent="0.4">
      <c r="M28" s="155"/>
      <c r="N28" s="113"/>
      <c r="O28" s="156"/>
      <c r="P28" s="156" t="s">
        <v>78</v>
      </c>
      <c r="Q28" s="157">
        <f>SQRT((D23*(1-D23)/C21)+(D23*(1-D23)/C22))</f>
        <v>4.3982853542858802E-2</v>
      </c>
      <c r="R28" s="158"/>
      <c r="S28" s="158"/>
      <c r="T28" s="158"/>
      <c r="U28" s="63"/>
      <c r="V28" s="5"/>
    </row>
    <row r="29" spans="2:30" ht="31.5" hidden="1" customHeight="1" x14ac:dyDescent="0.3">
      <c r="M29" s="89"/>
      <c r="N29" s="159" t="s">
        <v>84</v>
      </c>
      <c r="O29" s="160"/>
      <c r="P29" s="17" t="s">
        <v>85</v>
      </c>
      <c r="Q29" s="17"/>
      <c r="R29" s="38"/>
      <c r="S29" s="161" t="s">
        <v>86</v>
      </c>
      <c r="T29" s="17"/>
      <c r="U29" s="130"/>
      <c r="V29" s="5"/>
    </row>
    <row r="30" spans="2:30" s="4" customFormat="1" ht="14.25" hidden="1" customHeight="1" x14ac:dyDescent="0.4">
      <c r="F30" s="5"/>
      <c r="G30" s="5"/>
      <c r="H30" s="5"/>
      <c r="I30" s="5"/>
      <c r="J30" s="5"/>
      <c r="K30" s="5"/>
      <c r="L30" s="5"/>
      <c r="M30" s="89"/>
      <c r="N30" s="162"/>
      <c r="O30" s="61" t="s">
        <v>87</v>
      </c>
      <c r="Q30" s="163" t="s">
        <v>88</v>
      </c>
      <c r="R30" s="61" t="s">
        <v>89</v>
      </c>
      <c r="S30" s="17"/>
      <c r="T30" s="17"/>
      <c r="U30" s="74"/>
    </row>
    <row r="31" spans="2:30" s="4" customFormat="1" ht="14.25" hidden="1" customHeight="1" x14ac:dyDescent="0.4">
      <c r="F31" s="5"/>
      <c r="G31" s="5"/>
      <c r="H31" s="5"/>
      <c r="I31" s="5"/>
      <c r="J31" s="5"/>
      <c r="K31" s="5"/>
      <c r="L31" s="5"/>
      <c r="M31" s="93"/>
      <c r="N31" s="136">
        <f>ABS((J26/Q28))-I21</f>
        <v>-0.6669255843062043</v>
      </c>
      <c r="O31" s="61" t="s">
        <v>90</v>
      </c>
      <c r="P31" s="17"/>
      <c r="Q31" s="17"/>
      <c r="R31" s="37"/>
      <c r="S31" s="39"/>
      <c r="T31" s="39"/>
      <c r="U31" s="128"/>
    </row>
    <row r="32" spans="2:30" s="4" customFormat="1" ht="12.75" hidden="1" customHeight="1" x14ac:dyDescent="0.3">
      <c r="B32" s="164"/>
      <c r="C32" s="46"/>
      <c r="E32" s="27"/>
      <c r="F32" s="5"/>
      <c r="G32" s="5"/>
      <c r="H32" s="5"/>
      <c r="I32" s="5"/>
      <c r="J32" s="5"/>
      <c r="K32" s="5"/>
      <c r="L32" s="5"/>
      <c r="M32" s="93"/>
      <c r="N32" s="139">
        <f>NORMSDIST(N31)</f>
        <v>0.25240983396231309</v>
      </c>
      <c r="O32" s="40" t="s">
        <v>91</v>
      </c>
      <c r="P32" s="41"/>
      <c r="Q32" s="17"/>
      <c r="R32" s="17"/>
      <c r="S32" s="17"/>
      <c r="T32" s="17"/>
      <c r="U32" s="74"/>
    </row>
    <row r="33" spans="2:22" s="4" customFormat="1" ht="12.75" hidden="1" customHeight="1" x14ac:dyDescent="0.3">
      <c r="B33" s="164"/>
      <c r="F33" s="5"/>
      <c r="G33" s="5"/>
      <c r="H33" s="5"/>
      <c r="I33" s="5"/>
      <c r="J33" s="5"/>
      <c r="K33" s="5"/>
      <c r="L33" s="5"/>
      <c r="M33" s="93"/>
      <c r="N33" s="144">
        <f>1-N32</f>
        <v>0.74759016603768691</v>
      </c>
      <c r="O33" s="146" t="s">
        <v>92</v>
      </c>
      <c r="P33" s="146"/>
      <c r="Q33" s="147"/>
      <c r="R33" s="165"/>
      <c r="S33" s="166"/>
      <c r="T33" s="166"/>
      <c r="U33" s="148"/>
    </row>
    <row r="34" spans="2:22" s="4" customFormat="1" ht="12.75" hidden="1" customHeight="1" x14ac:dyDescent="0.3">
      <c r="B34" s="99"/>
      <c r="F34" s="5"/>
      <c r="G34" s="5"/>
      <c r="H34" s="5"/>
      <c r="I34" s="5"/>
      <c r="J34" s="5"/>
      <c r="K34" s="5"/>
      <c r="L34" s="5"/>
      <c r="M34" s="93"/>
      <c r="N34" s="88"/>
      <c r="O34" s="17"/>
      <c r="P34" s="17"/>
      <c r="Q34" s="17"/>
      <c r="R34" s="17"/>
      <c r="S34" s="17"/>
      <c r="T34" s="17"/>
      <c r="U34" s="17"/>
      <c r="V34" s="17"/>
    </row>
    <row r="35" spans="2:22" ht="15.75" hidden="1" customHeight="1" x14ac:dyDescent="0.35">
      <c r="B35" s="167" t="s">
        <v>93</v>
      </c>
      <c r="C35" s="51"/>
      <c r="D35" s="51"/>
      <c r="E35" s="51"/>
      <c r="M35" s="89"/>
      <c r="N35" s="88"/>
      <c r="O35" s="17"/>
      <c r="P35" s="17"/>
      <c r="Q35" s="17"/>
      <c r="R35" s="17"/>
      <c r="S35" s="17"/>
      <c r="T35" s="17"/>
      <c r="U35" s="17"/>
      <c r="V35" s="17"/>
    </row>
    <row r="36" spans="2:22" s="11" customFormat="1" ht="12.75" hidden="1" customHeight="1" x14ac:dyDescent="0.3">
      <c r="B36" s="65"/>
      <c r="C36" s="52" t="s">
        <v>20</v>
      </c>
      <c r="D36" s="53" t="s">
        <v>21</v>
      </c>
      <c r="E36" s="17"/>
      <c r="F36" s="47"/>
      <c r="G36" s="168"/>
      <c r="H36" s="169"/>
      <c r="I36" s="170"/>
      <c r="J36" s="171"/>
      <c r="K36" s="171"/>
      <c r="L36" s="171"/>
      <c r="M36" s="104"/>
      <c r="N36" s="93"/>
      <c r="O36" s="4"/>
      <c r="P36" s="4"/>
      <c r="Q36" s="4"/>
      <c r="R36" s="4"/>
    </row>
    <row r="37" spans="2:22" ht="12.75" hidden="1" customHeight="1" x14ac:dyDescent="0.3">
      <c r="B37" s="245" t="s">
        <v>32</v>
      </c>
      <c r="C37" s="246" t="s">
        <v>3</v>
      </c>
      <c r="D37" s="247" t="s">
        <v>2</v>
      </c>
      <c r="E37" s="248" t="s">
        <v>22</v>
      </c>
      <c r="G37" s="89"/>
      <c r="H37" s="89"/>
      <c r="I37" s="89"/>
      <c r="J37" s="89"/>
      <c r="K37" s="89"/>
      <c r="L37" s="89"/>
      <c r="M37" s="89"/>
      <c r="N37" s="93"/>
      <c r="O37" s="4"/>
      <c r="P37" s="4"/>
      <c r="Q37" s="4"/>
      <c r="R37" s="4"/>
      <c r="U37" s="5"/>
      <c r="V37" s="5"/>
    </row>
    <row r="38" spans="2:22" ht="12.75" hidden="1" customHeight="1" x14ac:dyDescent="0.3">
      <c r="B38" s="249" t="s">
        <v>17</v>
      </c>
      <c r="C38" s="250">
        <f>F7*D9/F9</f>
        <v>153.65384615384616</v>
      </c>
      <c r="D38" s="250">
        <f>F7*E9/F9</f>
        <v>81.34615384615384</v>
      </c>
      <c r="E38" s="250">
        <f>F7</f>
        <v>235</v>
      </c>
      <c r="G38" s="172"/>
      <c r="H38" s="173" t="s">
        <v>30</v>
      </c>
      <c r="I38" s="174">
        <f>CHIINV(0.05,K39)</f>
        <v>3.8414588206941236</v>
      </c>
      <c r="J38" s="89"/>
      <c r="K38" s="89"/>
      <c r="L38" s="89"/>
      <c r="M38" s="89"/>
      <c r="N38" s="93"/>
      <c r="O38" s="48"/>
      <c r="P38" s="48"/>
      <c r="Q38" s="48"/>
      <c r="R38" s="4"/>
      <c r="U38" s="5"/>
      <c r="V38" s="5"/>
    </row>
    <row r="39" spans="2:22" ht="12.75" hidden="1" customHeight="1" x14ac:dyDescent="0.3">
      <c r="B39" s="249" t="s">
        <v>18</v>
      </c>
      <c r="C39" s="250">
        <f>F8*D9/F9</f>
        <v>152.34615384615384</v>
      </c>
      <c r="D39" s="250">
        <f>F8*E9/F9</f>
        <v>80.65384615384616</v>
      </c>
      <c r="E39" s="250">
        <f>F8</f>
        <v>233</v>
      </c>
      <c r="F39" s="11"/>
      <c r="G39" s="175"/>
      <c r="H39" s="175"/>
      <c r="I39" s="176"/>
      <c r="J39" s="177" t="s">
        <v>31</v>
      </c>
      <c r="K39" s="178">
        <f>(COUNT(C38:D38)-1)*(COUNT(C38:C39)-1)</f>
        <v>1</v>
      </c>
      <c r="L39" s="89"/>
      <c r="M39" s="89"/>
      <c r="N39" s="89"/>
      <c r="O39" s="48"/>
      <c r="P39" s="48"/>
      <c r="Q39" s="48"/>
      <c r="R39" s="4"/>
      <c r="U39" s="5"/>
      <c r="V39" s="5"/>
    </row>
    <row r="40" spans="2:22" ht="12.75" hidden="1" customHeight="1" x14ac:dyDescent="0.3">
      <c r="B40" s="251" t="s">
        <v>29</v>
      </c>
      <c r="C40" s="250">
        <f>SUM(C38:C39)</f>
        <v>306</v>
      </c>
      <c r="D40" s="250">
        <f>SUM(D38:D39)</f>
        <v>162</v>
      </c>
      <c r="E40" s="252">
        <f>SUM(E38:E39)</f>
        <v>468</v>
      </c>
      <c r="F40" s="11"/>
      <c r="G40" s="104"/>
      <c r="H40" s="180" t="s">
        <v>33</v>
      </c>
      <c r="I40" s="62" t="s">
        <v>34</v>
      </c>
      <c r="J40" s="89"/>
      <c r="K40" s="89"/>
      <c r="L40" s="89"/>
      <c r="M40" s="89"/>
      <c r="N40" s="89"/>
      <c r="O40" s="48"/>
      <c r="P40" s="49"/>
      <c r="Q40" s="48"/>
      <c r="R40" s="4"/>
      <c r="U40" s="5"/>
      <c r="V40" s="5"/>
    </row>
    <row r="41" spans="2:22" ht="12.75" hidden="1" customHeight="1" x14ac:dyDescent="0.3">
      <c r="B41" s="179"/>
      <c r="C41" s="55"/>
      <c r="D41" s="55"/>
      <c r="E41" s="56"/>
      <c r="F41" s="11"/>
      <c r="G41" s="104"/>
      <c r="H41" s="180" t="s">
        <v>35</v>
      </c>
      <c r="I41" s="62" t="s">
        <v>36</v>
      </c>
      <c r="J41" s="89"/>
      <c r="K41" s="89"/>
      <c r="L41" s="89"/>
      <c r="M41" s="89"/>
      <c r="N41" s="89"/>
      <c r="O41" s="50"/>
      <c r="P41" s="50"/>
      <c r="Q41" s="50"/>
      <c r="R41" s="4"/>
      <c r="U41" s="5"/>
      <c r="V41" s="5"/>
    </row>
    <row r="42" spans="2:22" ht="26.25" hidden="1" customHeight="1" x14ac:dyDescent="0.3">
      <c r="B42" s="181"/>
      <c r="C42" s="312" t="s">
        <v>94</v>
      </c>
      <c r="D42" s="313"/>
      <c r="G42" s="89"/>
      <c r="H42" s="182"/>
      <c r="I42" s="89"/>
      <c r="J42" s="89"/>
      <c r="K42" s="89"/>
      <c r="L42" s="89"/>
      <c r="M42" s="89"/>
      <c r="N42" s="89"/>
      <c r="O42" s="5"/>
      <c r="P42" s="5"/>
      <c r="U42" s="5"/>
      <c r="V42" s="5"/>
    </row>
    <row r="43" spans="2:22" ht="12.75" hidden="1" customHeight="1" x14ac:dyDescent="0.3">
      <c r="B43" s="181"/>
      <c r="C43" s="57">
        <f>(D7-C38)^2/C38</f>
        <v>0.28813901992875762</v>
      </c>
      <c r="D43" s="57">
        <f>(E7-D38)^2/D38</f>
        <v>0.54426259319876447</v>
      </c>
      <c r="F43" s="54"/>
      <c r="G43" s="183"/>
      <c r="H43" s="89"/>
      <c r="I43" s="89"/>
      <c r="J43" s="93"/>
      <c r="K43" s="93"/>
      <c r="L43" s="184"/>
      <c r="M43" s="89"/>
      <c r="N43" s="89"/>
      <c r="O43" s="5"/>
      <c r="P43" s="5"/>
      <c r="U43" s="5"/>
      <c r="V43" s="5"/>
    </row>
    <row r="44" spans="2:22" ht="12.75" hidden="1" customHeight="1" x14ac:dyDescent="0.3">
      <c r="B44" s="181"/>
      <c r="C44" s="57">
        <f>(D8-C39)^2/C39</f>
        <v>0.29061231623715905</v>
      </c>
      <c r="D44" s="57">
        <f>(E8-D39)^2/D39</f>
        <v>0.54893437511463361</v>
      </c>
      <c r="E44" s="253"/>
      <c r="F44" s="254" t="s">
        <v>37</v>
      </c>
      <c r="G44" s="257">
        <f>C46-I38</f>
        <v>-2.1695105162148089</v>
      </c>
      <c r="H44" s="89"/>
      <c r="I44" s="89"/>
      <c r="J44" s="93"/>
      <c r="K44" s="93"/>
      <c r="L44" s="89"/>
      <c r="M44" s="89"/>
      <c r="N44" s="89"/>
      <c r="O44" s="5"/>
      <c r="P44" s="5"/>
      <c r="U44" s="5"/>
      <c r="V44" s="5"/>
    </row>
    <row r="45" spans="2:22" ht="12.75" hidden="1" customHeight="1" x14ac:dyDescent="0.3">
      <c r="B45" s="62" t="s">
        <v>39</v>
      </c>
      <c r="D45" s="58"/>
      <c r="G45" s="67" t="s">
        <v>40</v>
      </c>
      <c r="H45" s="89"/>
      <c r="I45" s="89"/>
      <c r="J45" s="93"/>
      <c r="K45" s="93"/>
      <c r="L45" s="89"/>
      <c r="M45" s="89"/>
      <c r="N45" s="89"/>
      <c r="O45" s="5"/>
      <c r="P45" s="5"/>
      <c r="U45" s="5"/>
      <c r="V45" s="5"/>
    </row>
    <row r="46" spans="2:22" ht="13.5" hidden="1" customHeight="1" x14ac:dyDescent="0.3">
      <c r="B46" s="75" t="s">
        <v>38</v>
      </c>
      <c r="C46" s="255">
        <f>SUM(C43:D44)</f>
        <v>1.6719483044793146</v>
      </c>
      <c r="D46" s="17"/>
      <c r="G46" s="67" t="s">
        <v>41</v>
      </c>
      <c r="H46" s="89"/>
      <c r="I46" s="185"/>
      <c r="J46" s="93"/>
      <c r="K46" s="93"/>
      <c r="L46" s="186"/>
      <c r="M46" s="89"/>
      <c r="N46" s="89"/>
      <c r="O46" s="5"/>
      <c r="P46" s="5"/>
      <c r="U46" s="5"/>
      <c r="V46" s="5"/>
    </row>
    <row r="47" spans="2:22" ht="12.75" hidden="1" customHeight="1" x14ac:dyDescent="0.3">
      <c r="B47" s="187" t="s">
        <v>58</v>
      </c>
      <c r="C47" s="256">
        <f>CHIDIST(C46,1)</f>
        <v>0.19599777825355422</v>
      </c>
      <c r="E47" s="17"/>
      <c r="F47" s="17"/>
      <c r="G47" s="88"/>
      <c r="H47" s="188"/>
      <c r="I47" s="88"/>
      <c r="J47" s="93"/>
      <c r="K47" s="93"/>
      <c r="L47" s="88"/>
      <c r="M47" s="89"/>
      <c r="N47" s="89"/>
      <c r="O47" s="5"/>
      <c r="P47" s="5"/>
      <c r="U47" s="5"/>
      <c r="V47" s="5"/>
    </row>
    <row r="48" spans="2:22" s="4" customFormat="1" ht="12.75" hidden="1" customHeight="1" x14ac:dyDescent="0.3">
      <c r="B48" s="99"/>
      <c r="E48" s="59"/>
      <c r="F48" s="59"/>
      <c r="G48" s="93"/>
      <c r="H48" s="93"/>
      <c r="I48" s="189"/>
      <c r="J48" s="93"/>
      <c r="K48" s="93"/>
      <c r="L48" s="93"/>
      <c r="M48" s="93"/>
      <c r="N48" s="93"/>
    </row>
    <row r="49" spans="2:22" ht="13.5" hidden="1" customHeight="1" x14ac:dyDescent="0.3">
      <c r="B49" s="65"/>
      <c r="G49" s="89"/>
      <c r="H49" s="89"/>
      <c r="I49" s="89"/>
      <c r="J49" s="93"/>
      <c r="K49" s="93"/>
      <c r="L49" s="89"/>
      <c r="M49" s="89"/>
      <c r="N49" s="89"/>
      <c r="O49" s="5"/>
      <c r="P49" s="5"/>
      <c r="U49" s="5"/>
      <c r="V49" s="5"/>
    </row>
    <row r="50" spans="2:22" ht="12.75" hidden="1" customHeight="1" x14ac:dyDescent="0.3">
      <c r="B50" s="190" t="s">
        <v>95</v>
      </c>
      <c r="C50" s="73"/>
      <c r="D50" s="73"/>
      <c r="E50" s="73"/>
      <c r="F50" s="73"/>
      <c r="G50" s="73"/>
      <c r="H50" s="191"/>
      <c r="I50" s="89"/>
      <c r="J50" s="192" t="s">
        <v>96</v>
      </c>
      <c r="K50" s="193"/>
      <c r="L50" s="194"/>
      <c r="M50" s="194"/>
      <c r="N50" s="194"/>
      <c r="O50" s="63"/>
      <c r="P50" s="5"/>
      <c r="U50" s="5"/>
      <c r="V50" s="5"/>
    </row>
    <row r="51" spans="2:22" ht="12.75" hidden="1" customHeight="1" x14ac:dyDescent="0.3">
      <c r="B51" s="195">
        <f>I2*100</f>
        <v>95</v>
      </c>
      <c r="C51" s="47"/>
      <c r="D51" s="47"/>
      <c r="E51" s="4"/>
      <c r="F51" s="4"/>
      <c r="G51" s="4"/>
      <c r="H51" s="74"/>
      <c r="I51" s="89"/>
      <c r="J51" s="196"/>
      <c r="K51" s="93"/>
      <c r="L51" s="88"/>
      <c r="M51" s="88"/>
      <c r="N51" s="88"/>
      <c r="O51" s="130"/>
      <c r="P51" s="5"/>
      <c r="U51" s="5"/>
      <c r="V51" s="5"/>
    </row>
    <row r="52" spans="2:22" ht="12.75" hidden="1" customHeight="1" x14ac:dyDescent="0.3">
      <c r="B52" s="197" t="s">
        <v>44</v>
      </c>
      <c r="C52" s="198"/>
      <c r="D52" s="198"/>
      <c r="E52" s="1">
        <f>ROUND(G14,2)</f>
        <v>0.92</v>
      </c>
      <c r="F52" s="45">
        <f>ROUND(J26,4)</f>
        <v>5.6899999999999999E-2</v>
      </c>
      <c r="G52" s="199">
        <f>ROUND(J27,0)</f>
        <v>18</v>
      </c>
      <c r="H52" s="200"/>
      <c r="I52" s="89"/>
      <c r="J52" s="201" t="s">
        <v>44</v>
      </c>
      <c r="K52" s="4"/>
      <c r="L52" s="4"/>
      <c r="M52" s="4"/>
      <c r="N52" s="88"/>
      <c r="O52" s="130"/>
      <c r="P52" s="5"/>
      <c r="U52" s="5"/>
      <c r="V52" s="5"/>
    </row>
    <row r="53" spans="2:22" ht="12.75" hidden="1" customHeight="1" x14ac:dyDescent="0.3">
      <c r="B53" s="197" t="s">
        <v>46</v>
      </c>
      <c r="C53" s="17"/>
      <c r="D53" s="17"/>
      <c r="E53" s="1">
        <f>ROUND(H14,2)</f>
        <v>0.8</v>
      </c>
      <c r="F53" s="45">
        <f>ROUND(L26,4)</f>
        <v>-2.8000000000000001E-2</v>
      </c>
      <c r="G53" s="199">
        <f>ROUND(L27,0)</f>
        <v>-36</v>
      </c>
      <c r="H53" s="200"/>
      <c r="I53" s="89"/>
      <c r="J53" s="201" t="s">
        <v>46</v>
      </c>
      <c r="K53" s="202" t="str">
        <f>ROUND(J21,3)*100&amp;J55</f>
        <v>62,6%</v>
      </c>
      <c r="L53" s="202" t="str">
        <f>ROUND(K21,3)*100&amp;J55</f>
        <v>56,2%</v>
      </c>
      <c r="M53" s="202" t="str">
        <f>ROUND(L21,4)*100&amp;J55</f>
        <v>68,49%</v>
      </c>
      <c r="N53" s="66" t="str">
        <f>CONCATENATE(K53," ",J52,L53," ",J56," ",M53,J54)</f>
        <v>62,6% (56,2% a 68,49%)</v>
      </c>
      <c r="O53" s="130"/>
      <c r="P53" s="5"/>
      <c r="U53" s="5"/>
      <c r="V53" s="5"/>
    </row>
    <row r="54" spans="2:22" s="11" customFormat="1" ht="12.75" hidden="1" customHeight="1" x14ac:dyDescent="0.3">
      <c r="B54" s="197" t="s">
        <v>45</v>
      </c>
      <c r="C54" s="198">
        <f>ROUND(D7,0)</f>
        <v>147</v>
      </c>
      <c r="D54" s="198">
        <f>ROUND(D8,0)</f>
        <v>159</v>
      </c>
      <c r="E54" s="1">
        <f>ROUND(I14,2)</f>
        <v>1.05</v>
      </c>
      <c r="F54" s="45">
        <f>ROUND(K26,4)</f>
        <v>0.14299999999999999</v>
      </c>
      <c r="G54" s="199">
        <f>ROUND(K27,0)</f>
        <v>7</v>
      </c>
      <c r="H54" s="203">
        <f>ROUND(N32,4)</f>
        <v>0.25240000000000001</v>
      </c>
      <c r="I54" s="104"/>
      <c r="J54" s="201" t="s">
        <v>45</v>
      </c>
      <c r="K54" s="60" t="str">
        <f>ROUND(J22,3)*100&amp;J55</f>
        <v>68,2%</v>
      </c>
      <c r="L54" s="60" t="str">
        <f>ROUND(K22,3)*100&amp;J55</f>
        <v>62%</v>
      </c>
      <c r="M54" s="60" t="str">
        <f>ROUND(L22,4)*100&amp;J55</f>
        <v>73,88%</v>
      </c>
      <c r="N54" s="66" t="str">
        <f>CONCATENATE(K54," ",J52,L54," ",J56," ",M54,J54)</f>
        <v>68,2% (62% a 73,88%)</v>
      </c>
      <c r="O54" s="74"/>
    </row>
    <row r="55" spans="2:22" ht="12.75" hidden="1" customHeight="1" x14ac:dyDescent="0.3">
      <c r="B55" s="197" t="s">
        <v>47</v>
      </c>
      <c r="C55" s="204" t="s">
        <v>54</v>
      </c>
      <c r="D55" s="204" t="s">
        <v>55</v>
      </c>
      <c r="E55" s="204" t="s">
        <v>4</v>
      </c>
      <c r="F55" s="204" t="s">
        <v>50</v>
      </c>
      <c r="G55" s="205" t="s">
        <v>48</v>
      </c>
      <c r="H55" s="172" t="s">
        <v>51</v>
      </c>
      <c r="I55" s="89"/>
      <c r="J55" s="201" t="s">
        <v>47</v>
      </c>
      <c r="K55" s="60" t="str">
        <f>ROUND(J23,3)*100&amp;J55</f>
        <v>65,4%</v>
      </c>
      <c r="L55" s="60" t="str">
        <f>ROUND(K23,3)*100&amp;J55</f>
        <v>61%</v>
      </c>
      <c r="M55" s="60" t="str">
        <f>ROUND(L23,4)*100&amp;J55</f>
        <v>69,55%</v>
      </c>
      <c r="N55" s="66" t="str">
        <f>CONCATENATE(K55," ",J52,L55," ",J56," ",M55,J54)</f>
        <v>65,4% (61% a 69,55%)</v>
      </c>
      <c r="O55" s="74"/>
    </row>
    <row r="56" spans="2:22" ht="12.75" hidden="1" customHeight="1" x14ac:dyDescent="0.3">
      <c r="B56" s="206" t="s">
        <v>19</v>
      </c>
      <c r="C56" s="207" t="str">
        <f>CONCATENATE(C54,B57,C21," ",B52,K53,B54)</f>
        <v>147/235 (62,6%)</v>
      </c>
      <c r="D56" s="82" t="str">
        <f>CONCATENATE(D54,B57,C22," ",B52,K54,B54)</f>
        <v>159/233 (68,2%)</v>
      </c>
      <c r="E56" s="207" t="str">
        <f>CONCATENATE(E52," ",B52,E53,B53,E54,B54)</f>
        <v>0,92 (0,8-1,05)</v>
      </c>
      <c r="F56" s="207" t="str">
        <f>CONCATENATE(F52*100,B55," ",B52,F53*100,B55," ",B56," ",F54*100,B55,B54)</f>
        <v>5,69% (-2,8% a 14,3%)</v>
      </c>
      <c r="G56" s="172" t="str">
        <f>CONCATENATE(G52," ",B52,G54," ",B56," ",G53,B54)</f>
        <v>18 (7 a -36)</v>
      </c>
      <c r="H56" s="172" t="str">
        <f>CONCATENATE(H54*100,B55)</f>
        <v>25,24%</v>
      </c>
      <c r="I56" s="89"/>
      <c r="J56" s="208" t="s">
        <v>19</v>
      </c>
      <c r="K56" s="17"/>
      <c r="L56" s="17"/>
      <c r="M56" s="17"/>
      <c r="N56" s="88"/>
      <c r="O56" s="130"/>
      <c r="P56" s="5"/>
      <c r="U56" s="5"/>
      <c r="V56" s="5"/>
    </row>
    <row r="57" spans="2:22" ht="13.5" hidden="1" customHeight="1" x14ac:dyDescent="0.3">
      <c r="B57" s="209" t="s">
        <v>49</v>
      </c>
      <c r="C57" s="150"/>
      <c r="D57" s="150"/>
      <c r="E57" s="150"/>
      <c r="F57" s="150"/>
      <c r="G57" s="210"/>
      <c r="H57" s="211"/>
      <c r="I57" s="89"/>
      <c r="J57" s="212" t="s">
        <v>49</v>
      </c>
      <c r="K57" s="150"/>
      <c r="L57" s="150"/>
      <c r="M57" s="150"/>
      <c r="N57" s="213"/>
      <c r="O57" s="148"/>
      <c r="P57" s="5"/>
      <c r="U57" s="5"/>
      <c r="V57" s="5"/>
    </row>
    <row r="58" spans="2:22" hidden="1" x14ac:dyDescent="0.3">
      <c r="B58" s="65"/>
      <c r="G58" s="89"/>
      <c r="H58" s="89"/>
      <c r="I58" s="89"/>
      <c r="J58" s="89"/>
      <c r="K58" s="89"/>
      <c r="L58" s="93"/>
      <c r="M58" s="89"/>
      <c r="N58" s="89"/>
      <c r="O58" s="5"/>
      <c r="P58" s="5"/>
      <c r="T58" s="224"/>
      <c r="U58" s="5"/>
      <c r="V58" s="5"/>
    </row>
    <row r="59" spans="2:22" ht="27" customHeight="1" x14ac:dyDescent="0.3">
      <c r="B59" s="65"/>
      <c r="C59" s="214" t="s">
        <v>54</v>
      </c>
      <c r="D59" s="214" t="s">
        <v>55</v>
      </c>
      <c r="E59" s="215" t="str">
        <f>CONCATENATE(E55," ",B52,H2," ",B51,B55,B54)</f>
        <v>RR (IC 95%)</v>
      </c>
      <c r="F59" s="215" t="str">
        <f>CONCATENATE(F55," ",B52,H2," ",B51,B55,B54)</f>
        <v>RAR (IC 95%)</v>
      </c>
      <c r="G59" s="215" t="str">
        <f>CONCATENATE(G55," ",B52,H2," ",B51,B55,B54)</f>
        <v>NNT (IC 95%)</v>
      </c>
      <c r="H59" s="215" t="s">
        <v>52</v>
      </c>
      <c r="I59" s="216"/>
      <c r="J59" s="215" t="s">
        <v>59</v>
      </c>
      <c r="L59" s="238" t="s">
        <v>97</v>
      </c>
      <c r="M59" s="238" t="s">
        <v>98</v>
      </c>
      <c r="O59" s="5"/>
      <c r="P59" s="5"/>
      <c r="U59" s="5"/>
      <c r="V59" s="5"/>
    </row>
    <row r="60" spans="2:22" ht="21" customHeight="1" x14ac:dyDescent="0.3">
      <c r="B60" s="65"/>
      <c r="C60" s="82" t="str">
        <f t="shared" ref="C60:H60" si="1">C56</f>
        <v>147/235 (62,6%)</v>
      </c>
      <c r="D60" s="82" t="str">
        <f t="shared" si="1"/>
        <v>159/233 (68,2%)</v>
      </c>
      <c r="E60" s="82" t="str">
        <f t="shared" si="1"/>
        <v>0,92 (0,8-1,05)</v>
      </c>
      <c r="F60" s="82" t="str">
        <f t="shared" si="1"/>
        <v>5,69% (-2,8% a 14,3%)</v>
      </c>
      <c r="G60" s="82" t="str">
        <f t="shared" si="1"/>
        <v>18 (7 a -36)</v>
      </c>
      <c r="H60" s="82" t="str">
        <f t="shared" si="1"/>
        <v>25,24%</v>
      </c>
      <c r="I60" s="217"/>
      <c r="J60" s="218">
        <f>C47</f>
        <v>0.19599777825355422</v>
      </c>
      <c r="L60" s="219">
        <f>IF((K26*L26&lt;0),J23,J21)</f>
        <v>0.65384615384615385</v>
      </c>
      <c r="M60" s="219">
        <f>IF((K26*L26&lt;0),J23,J22)</f>
        <v>0.65384615384615385</v>
      </c>
      <c r="O60" s="5"/>
      <c r="P60" s="5"/>
      <c r="U60" s="5"/>
      <c r="V60" s="5"/>
    </row>
    <row r="61" spans="2:22" x14ac:dyDescent="0.3">
      <c r="L61" s="4"/>
    </row>
    <row r="62" spans="2:22" x14ac:dyDescent="0.3">
      <c r="L62" s="4"/>
    </row>
    <row r="64" spans="2:22" x14ac:dyDescent="0.3">
      <c r="B64" s="231" t="s">
        <v>200</v>
      </c>
    </row>
    <row r="65" spans="1:14" ht="13.5" thickBot="1" x14ac:dyDescent="0.35">
      <c r="B65" s="232" t="s">
        <v>111</v>
      </c>
    </row>
    <row r="66" spans="1:14" ht="37" customHeight="1" thickBot="1" x14ac:dyDescent="0.35">
      <c r="A66" s="11"/>
      <c r="B66" s="314" t="s">
        <v>112</v>
      </c>
      <c r="C66" s="315"/>
      <c r="D66" s="315"/>
      <c r="E66" s="316"/>
      <c r="F66" s="258"/>
      <c r="G66" s="258"/>
      <c r="H66" s="258"/>
      <c r="I66" s="258"/>
      <c r="J66" s="258"/>
      <c r="K66" s="11"/>
      <c r="L66" s="11"/>
      <c r="M66" s="11"/>
      <c r="N66" s="11"/>
    </row>
    <row r="67" spans="1:14" ht="7" customHeight="1" thickBot="1" x14ac:dyDescent="0.35">
      <c r="A67" s="11"/>
      <c r="B67" s="11"/>
      <c r="C67" s="11"/>
      <c r="D67" s="11"/>
      <c r="E67" s="11"/>
      <c r="F67" s="11"/>
      <c r="G67" s="4"/>
      <c r="H67" s="4"/>
      <c r="I67" s="4"/>
      <c r="J67" s="4"/>
      <c r="K67" s="11"/>
      <c r="L67" s="11"/>
      <c r="M67" s="11"/>
      <c r="N67" s="11"/>
    </row>
    <row r="68" spans="1:14" ht="59" customHeight="1" thickBot="1" x14ac:dyDescent="0.35">
      <c r="A68" s="11"/>
      <c r="B68" s="273" t="s">
        <v>109</v>
      </c>
      <c r="C68" s="266" t="s">
        <v>201</v>
      </c>
      <c r="D68" s="267" t="s">
        <v>113</v>
      </c>
      <c r="E68" s="269" t="s">
        <v>104</v>
      </c>
      <c r="F68" s="11"/>
      <c r="G68" s="11"/>
      <c r="H68" s="11"/>
      <c r="I68" s="11"/>
      <c r="J68" s="11"/>
      <c r="K68" s="11"/>
      <c r="L68" s="11"/>
      <c r="M68" s="11"/>
      <c r="N68" s="11"/>
    </row>
    <row r="69" spans="1:14" ht="5" customHeight="1" x14ac:dyDescent="0.3">
      <c r="A69" s="11"/>
      <c r="B69" s="260"/>
      <c r="C69" s="260"/>
      <c r="D69" s="260"/>
      <c r="E69" s="260"/>
      <c r="F69" s="11"/>
      <c r="G69" s="11"/>
      <c r="H69" s="11"/>
      <c r="I69" s="11"/>
      <c r="J69" s="11"/>
      <c r="K69" s="11"/>
      <c r="L69" s="11"/>
      <c r="M69" s="11"/>
      <c r="N69" s="11"/>
    </row>
    <row r="70" spans="1:14" ht="16.5" customHeight="1" x14ac:dyDescent="0.3">
      <c r="A70" s="11"/>
      <c r="B70" s="299" t="s">
        <v>115</v>
      </c>
      <c r="C70" s="261" t="s">
        <v>116</v>
      </c>
      <c r="D70" s="261" t="s">
        <v>117</v>
      </c>
      <c r="E70" s="270"/>
      <c r="F70" s="11"/>
      <c r="G70" s="11"/>
      <c r="H70" s="11"/>
      <c r="I70" s="11"/>
      <c r="J70" s="11"/>
      <c r="K70" s="11"/>
      <c r="L70" s="11"/>
      <c r="M70" s="11"/>
      <c r="N70" s="11"/>
    </row>
    <row r="71" spans="1:14" ht="16.5" customHeight="1" x14ac:dyDescent="0.3">
      <c r="A71" s="11"/>
      <c r="B71" s="272" t="s">
        <v>107</v>
      </c>
      <c r="C71" s="264"/>
      <c r="D71" s="264"/>
      <c r="E71" s="265"/>
      <c r="F71" s="11"/>
      <c r="G71" s="11"/>
      <c r="H71" s="11"/>
      <c r="I71" s="11"/>
      <c r="J71" s="11"/>
      <c r="K71" s="11"/>
      <c r="L71" s="11"/>
      <c r="M71" s="11"/>
      <c r="N71" s="11"/>
    </row>
    <row r="72" spans="1:14" ht="16.5" customHeight="1" x14ac:dyDescent="0.3">
      <c r="A72" s="11"/>
      <c r="B72" s="239" t="s">
        <v>105</v>
      </c>
      <c r="C72" s="261" t="s">
        <v>118</v>
      </c>
      <c r="D72" s="261" t="s">
        <v>119</v>
      </c>
      <c r="E72" s="271">
        <v>0.15818524058767222</v>
      </c>
      <c r="F72" s="11"/>
      <c r="G72" s="11"/>
      <c r="H72" s="11"/>
      <c r="I72" s="11"/>
      <c r="J72" s="11"/>
      <c r="K72" s="11"/>
      <c r="L72" s="11"/>
      <c r="M72" s="11"/>
      <c r="N72" s="11"/>
    </row>
    <row r="73" spans="1:14" ht="16.5" customHeight="1" x14ac:dyDescent="0.3">
      <c r="A73" s="11"/>
      <c r="B73" s="239" t="s">
        <v>106</v>
      </c>
      <c r="C73" s="261" t="s">
        <v>120</v>
      </c>
      <c r="D73" s="261" t="s">
        <v>121</v>
      </c>
      <c r="E73" s="271">
        <v>0.15818524058767222</v>
      </c>
      <c r="F73" s="11"/>
      <c r="G73" s="11"/>
      <c r="H73" s="11"/>
      <c r="I73" s="11"/>
      <c r="J73" s="11"/>
      <c r="K73" s="11"/>
      <c r="L73" s="11"/>
      <c r="M73" s="11"/>
      <c r="N73" s="11"/>
    </row>
    <row r="74" spans="1:14" ht="16.5" customHeight="1" x14ac:dyDescent="0.3">
      <c r="A74" s="11"/>
      <c r="B74" s="274" t="s">
        <v>122</v>
      </c>
      <c r="C74" s="280"/>
      <c r="D74" s="280"/>
      <c r="E74" s="282"/>
      <c r="F74" s="11"/>
      <c r="G74" s="11"/>
      <c r="H74" s="11"/>
      <c r="I74" s="11"/>
      <c r="J74" s="11"/>
      <c r="K74" s="11"/>
      <c r="L74" s="11"/>
      <c r="M74" s="11"/>
      <c r="N74" s="11"/>
    </row>
    <row r="75" spans="1:14" ht="16.5" customHeight="1" x14ac:dyDescent="0.3">
      <c r="A75" s="11"/>
      <c r="B75" s="284" t="s">
        <v>123</v>
      </c>
      <c r="C75" s="281" t="s">
        <v>127</v>
      </c>
      <c r="D75" s="281" t="s">
        <v>128</v>
      </c>
      <c r="E75" s="283">
        <v>0.53933349328850144</v>
      </c>
      <c r="F75" s="11"/>
      <c r="G75" s="11"/>
      <c r="H75" s="11"/>
      <c r="I75" s="11"/>
      <c r="J75" s="11"/>
      <c r="K75" s="11"/>
      <c r="L75" s="11"/>
      <c r="M75" s="11"/>
      <c r="N75" s="11"/>
    </row>
    <row r="76" spans="1:14" ht="16.5" customHeight="1" x14ac:dyDescent="0.3">
      <c r="A76" s="11"/>
      <c r="B76" s="284" t="s">
        <v>124</v>
      </c>
      <c r="C76" s="281" t="s">
        <v>129</v>
      </c>
      <c r="D76" s="281" t="s">
        <v>130</v>
      </c>
      <c r="E76" s="283">
        <v>0.91485888912078273</v>
      </c>
      <c r="F76" s="11"/>
      <c r="G76" s="11"/>
      <c r="H76" s="11"/>
      <c r="I76" s="11"/>
      <c r="J76" s="11"/>
      <c r="K76" s="11"/>
      <c r="L76" s="11"/>
      <c r="M76" s="11"/>
      <c r="N76" s="11"/>
    </row>
    <row r="77" spans="1:14" ht="16.5" customHeight="1" x14ac:dyDescent="0.3">
      <c r="A77" s="11"/>
      <c r="B77" s="284" t="s">
        <v>125</v>
      </c>
      <c r="C77" s="281" t="s">
        <v>131</v>
      </c>
      <c r="D77" s="281" t="s">
        <v>132</v>
      </c>
      <c r="E77" s="283">
        <v>0.98524781513571624</v>
      </c>
      <c r="F77" s="11"/>
      <c r="G77" s="11"/>
      <c r="H77" s="11"/>
      <c r="I77" s="11"/>
      <c r="J77" s="11"/>
      <c r="K77" s="11"/>
      <c r="L77" s="11"/>
      <c r="M77" s="11"/>
      <c r="N77" s="11"/>
    </row>
    <row r="78" spans="1:14" ht="16.5" customHeight="1" x14ac:dyDescent="0.3">
      <c r="A78" s="11"/>
      <c r="B78" s="284" t="s">
        <v>126</v>
      </c>
      <c r="C78" s="281" t="s">
        <v>133</v>
      </c>
      <c r="D78" s="281" t="s">
        <v>134</v>
      </c>
      <c r="E78" s="283">
        <v>0.29380951469130312</v>
      </c>
      <c r="F78" s="11"/>
      <c r="G78" s="11"/>
      <c r="H78" s="11"/>
      <c r="I78" s="11"/>
      <c r="J78" s="11"/>
      <c r="K78" s="11"/>
      <c r="L78" s="11"/>
      <c r="M78" s="11"/>
      <c r="N78" s="11"/>
    </row>
    <row r="79" spans="1:14" ht="16.5" customHeight="1" x14ac:dyDescent="0.35">
      <c r="A79" s="11"/>
      <c r="B79" s="285" t="s">
        <v>110</v>
      </c>
      <c r="C79" s="264"/>
      <c r="D79" s="264"/>
      <c r="E79" s="265"/>
      <c r="F79" s="11"/>
      <c r="G79" s="11"/>
      <c r="H79" s="11"/>
      <c r="I79" s="11"/>
      <c r="J79" s="11"/>
      <c r="K79" s="11"/>
      <c r="L79" s="11"/>
      <c r="M79" s="11"/>
      <c r="N79" s="11"/>
    </row>
    <row r="80" spans="1:14" ht="16.5" customHeight="1" x14ac:dyDescent="0.3">
      <c r="A80" s="11"/>
      <c r="B80" s="294" t="s">
        <v>108</v>
      </c>
      <c r="C80" s="261" t="s">
        <v>135</v>
      </c>
      <c r="D80" s="261" t="s">
        <v>136</v>
      </c>
      <c r="E80" s="271">
        <v>0.39575781982804881</v>
      </c>
      <c r="F80" s="11"/>
      <c r="G80" s="11"/>
      <c r="H80" s="11"/>
      <c r="I80" s="11"/>
      <c r="J80" s="11"/>
      <c r="K80" s="11"/>
      <c r="L80" s="11"/>
      <c r="M80" s="11"/>
      <c r="N80" s="11"/>
    </row>
    <row r="81" spans="1:14" ht="16.5" customHeight="1" x14ac:dyDescent="0.3">
      <c r="A81" s="11"/>
      <c r="B81" s="294">
        <v>1</v>
      </c>
      <c r="C81" s="261" t="s">
        <v>137</v>
      </c>
      <c r="D81" s="261" t="s">
        <v>138</v>
      </c>
      <c r="E81" s="271">
        <v>0.39575781982804897</v>
      </c>
      <c r="F81" s="11"/>
      <c r="G81" s="11"/>
      <c r="H81" s="11"/>
      <c r="I81" s="11"/>
      <c r="J81" s="11"/>
      <c r="K81" s="11"/>
      <c r="L81" s="11"/>
      <c r="M81" s="11"/>
      <c r="N81" s="11"/>
    </row>
    <row r="82" spans="1:14" ht="16.5" customHeight="1" x14ac:dyDescent="0.3">
      <c r="A82" s="11"/>
      <c r="B82" s="275" t="s">
        <v>139</v>
      </c>
      <c r="C82" s="262"/>
      <c r="D82" s="262"/>
      <c r="E82" s="263"/>
      <c r="F82" s="11"/>
      <c r="G82" s="11"/>
      <c r="H82" s="11"/>
      <c r="I82" s="11"/>
      <c r="J82" s="11"/>
      <c r="K82" s="11"/>
      <c r="L82" s="11"/>
      <c r="M82" s="11"/>
      <c r="N82" s="11"/>
    </row>
    <row r="83" spans="1:14" ht="16.5" customHeight="1" x14ac:dyDescent="0.3">
      <c r="A83" s="11"/>
      <c r="B83" s="286" t="s">
        <v>140</v>
      </c>
      <c r="C83" s="279" t="s">
        <v>142</v>
      </c>
      <c r="D83" s="279" t="s">
        <v>143</v>
      </c>
      <c r="E83" s="271">
        <v>0.52148716728145428</v>
      </c>
      <c r="F83" s="11"/>
      <c r="G83" s="11"/>
      <c r="H83" s="11"/>
      <c r="I83" s="11"/>
      <c r="J83" s="11"/>
      <c r="K83" s="11"/>
      <c r="L83" s="11"/>
      <c r="M83" s="11"/>
      <c r="N83" s="11"/>
    </row>
    <row r="84" spans="1:14" ht="16.5" customHeight="1" x14ac:dyDescent="0.3">
      <c r="A84" s="11"/>
      <c r="B84" s="286" t="s">
        <v>141</v>
      </c>
      <c r="C84" s="279" t="s">
        <v>145</v>
      </c>
      <c r="D84" s="279" t="s">
        <v>146</v>
      </c>
      <c r="E84" s="271">
        <v>0.70241760616189342</v>
      </c>
      <c r="F84" s="11"/>
      <c r="G84" s="11"/>
      <c r="H84" s="11"/>
      <c r="I84" s="11"/>
      <c r="J84" s="11"/>
      <c r="K84" s="11"/>
      <c r="L84" s="11"/>
      <c r="M84" s="11"/>
      <c r="N84" s="11"/>
    </row>
    <row r="85" spans="1:14" ht="30.5" customHeight="1" x14ac:dyDescent="0.3">
      <c r="A85" s="11"/>
      <c r="B85" s="287" t="s">
        <v>144</v>
      </c>
      <c r="C85" s="261" t="s">
        <v>147</v>
      </c>
      <c r="D85" s="261" t="s">
        <v>148</v>
      </c>
      <c r="E85" s="271">
        <v>0.65019568111865922</v>
      </c>
      <c r="F85" s="11"/>
      <c r="G85" s="11"/>
      <c r="H85" s="11"/>
      <c r="I85" s="11"/>
      <c r="J85" s="11"/>
      <c r="K85" s="11"/>
      <c r="L85" s="11"/>
      <c r="M85" s="11"/>
      <c r="N85" s="11"/>
    </row>
    <row r="86" spans="1:14" ht="16.5" customHeight="1" x14ac:dyDescent="0.3">
      <c r="A86" s="11"/>
      <c r="B86" s="276" t="s">
        <v>158</v>
      </c>
      <c r="C86" s="262"/>
      <c r="D86" s="262"/>
      <c r="E86" s="263"/>
      <c r="F86" s="11"/>
      <c r="G86" s="11"/>
      <c r="H86" s="11"/>
      <c r="I86" s="11"/>
      <c r="J86" s="11"/>
      <c r="K86" s="11"/>
      <c r="L86" s="11"/>
      <c r="M86" s="11"/>
      <c r="N86" s="11"/>
    </row>
    <row r="87" spans="1:14" ht="16.5" customHeight="1" x14ac:dyDescent="0.3">
      <c r="A87" s="11"/>
      <c r="B87" s="288" t="s">
        <v>151</v>
      </c>
      <c r="C87" s="261" t="s">
        <v>149</v>
      </c>
      <c r="D87" s="261" t="s">
        <v>150</v>
      </c>
      <c r="E87" s="271">
        <v>0.508673891474273</v>
      </c>
      <c r="F87" s="11"/>
      <c r="G87" s="11"/>
      <c r="H87" s="11"/>
      <c r="I87" s="11"/>
      <c r="J87" s="11"/>
      <c r="K87" s="11"/>
      <c r="L87" s="11"/>
      <c r="M87" s="11"/>
      <c r="N87" s="11"/>
    </row>
    <row r="88" spans="1:14" ht="16.5" customHeight="1" x14ac:dyDescent="0.3">
      <c r="A88" s="11"/>
      <c r="B88" s="289" t="s">
        <v>152</v>
      </c>
      <c r="C88" s="261" t="s">
        <v>153</v>
      </c>
      <c r="D88" s="261" t="s">
        <v>154</v>
      </c>
      <c r="E88" s="271">
        <v>0.508673891474273</v>
      </c>
      <c r="F88" s="11"/>
      <c r="G88" s="11"/>
      <c r="H88" s="11"/>
      <c r="I88" s="11"/>
      <c r="J88" s="11"/>
      <c r="K88" s="11"/>
      <c r="L88" s="11"/>
      <c r="M88" s="11"/>
      <c r="N88" s="11"/>
    </row>
    <row r="89" spans="1:14" ht="5" customHeight="1" x14ac:dyDescent="0.3">
      <c r="A89" s="11"/>
      <c r="B89" s="277"/>
      <c r="C89" s="262"/>
      <c r="D89" s="262"/>
      <c r="E89" s="271"/>
      <c r="F89" s="11"/>
      <c r="G89" s="11"/>
      <c r="H89" s="11"/>
      <c r="I89" s="11"/>
      <c r="J89" s="11"/>
      <c r="K89" s="11"/>
      <c r="L89" s="11"/>
      <c r="M89" s="11"/>
      <c r="N89" s="11"/>
    </row>
    <row r="90" spans="1:14" ht="32" customHeight="1" x14ac:dyDescent="0.3">
      <c r="A90" s="11"/>
      <c r="B90" s="290" t="s">
        <v>155</v>
      </c>
      <c r="C90" s="278" t="s">
        <v>156</v>
      </c>
      <c r="D90" s="278" t="s">
        <v>157</v>
      </c>
      <c r="E90" s="271"/>
      <c r="F90" s="11"/>
      <c r="G90" s="11"/>
      <c r="H90" s="11"/>
      <c r="I90" s="11"/>
      <c r="J90" s="11"/>
      <c r="K90" s="11"/>
      <c r="L90" s="11"/>
      <c r="M90" s="11"/>
      <c r="N90" s="11"/>
    </row>
    <row r="91" spans="1:14" ht="4.5" customHeight="1" x14ac:dyDescent="0.3">
      <c r="A91" s="11"/>
      <c r="B91" s="291"/>
      <c r="C91" s="262"/>
      <c r="D91" s="262"/>
      <c r="E91" s="263"/>
      <c r="F91" s="11"/>
      <c r="G91" s="11"/>
      <c r="H91" s="11"/>
      <c r="I91" s="11"/>
      <c r="J91" s="11"/>
      <c r="K91" s="11"/>
      <c r="L91" s="11"/>
      <c r="M91" s="11"/>
      <c r="N91" s="11"/>
    </row>
    <row r="92" spans="1:14" ht="16.5" customHeight="1" x14ac:dyDescent="0.3">
      <c r="A92" s="11"/>
      <c r="B92" s="276" t="s">
        <v>159</v>
      </c>
      <c r="C92" s="292"/>
      <c r="D92" s="292"/>
      <c r="E92" s="293"/>
      <c r="F92" s="11"/>
      <c r="G92" s="11"/>
      <c r="H92" s="11"/>
      <c r="I92" s="11"/>
      <c r="J92" s="11"/>
      <c r="K92" s="11"/>
      <c r="L92" s="11"/>
      <c r="M92" s="11"/>
      <c r="N92" s="11"/>
    </row>
    <row r="93" spans="1:14" ht="16.5" customHeight="1" x14ac:dyDescent="0.3">
      <c r="A93" s="11"/>
      <c r="B93" s="268" t="s">
        <v>160</v>
      </c>
      <c r="C93" s="261" t="s">
        <v>135</v>
      </c>
      <c r="D93" s="261" t="s">
        <v>164</v>
      </c>
      <c r="E93" s="271">
        <v>0.34555917826435917</v>
      </c>
      <c r="F93" s="11"/>
      <c r="G93" s="11"/>
      <c r="H93" s="11"/>
      <c r="I93" s="11"/>
      <c r="J93" s="11"/>
      <c r="K93" s="11"/>
      <c r="L93" s="11"/>
      <c r="M93" s="11"/>
      <c r="N93" s="11"/>
    </row>
    <row r="94" spans="1:14" ht="16.5" customHeight="1" x14ac:dyDescent="0.3">
      <c r="A94" s="11"/>
      <c r="B94" s="268" t="s">
        <v>161</v>
      </c>
      <c r="C94" s="261" t="s">
        <v>165</v>
      </c>
      <c r="D94" s="261" t="s">
        <v>166</v>
      </c>
      <c r="E94" s="271">
        <v>0.71882813521897782</v>
      </c>
      <c r="F94" s="11"/>
      <c r="G94" s="11"/>
      <c r="H94" s="11"/>
      <c r="I94" s="11"/>
      <c r="J94" s="11"/>
      <c r="K94" s="11"/>
      <c r="L94" s="11"/>
      <c r="M94" s="11"/>
      <c r="N94" s="11"/>
    </row>
    <row r="95" spans="1:14" ht="16.5" customHeight="1" x14ac:dyDescent="0.3">
      <c r="A95" s="11"/>
      <c r="B95" s="268" t="s">
        <v>162</v>
      </c>
      <c r="C95" s="261" t="s">
        <v>167</v>
      </c>
      <c r="D95" s="261" t="s">
        <v>168</v>
      </c>
      <c r="E95" s="271">
        <v>8.7524906083062973E-2</v>
      </c>
      <c r="F95" s="11"/>
      <c r="G95" s="11"/>
      <c r="H95" s="11"/>
      <c r="I95" s="11"/>
      <c r="J95" s="11"/>
      <c r="K95" s="11"/>
      <c r="L95" s="11"/>
      <c r="M95" s="11"/>
      <c r="N95" s="11"/>
    </row>
    <row r="96" spans="1:14" ht="16.5" customHeight="1" x14ac:dyDescent="0.3">
      <c r="A96" s="11"/>
      <c r="B96" s="295" t="s">
        <v>163</v>
      </c>
      <c r="C96" s="281" t="s">
        <v>169</v>
      </c>
      <c r="D96" s="281" t="s">
        <v>170</v>
      </c>
      <c r="E96" s="283">
        <v>0.40646674331942317</v>
      </c>
      <c r="F96" s="11"/>
      <c r="G96" s="11"/>
      <c r="H96" s="11"/>
      <c r="I96" s="11"/>
      <c r="J96" s="11"/>
      <c r="K96" s="11"/>
      <c r="L96" s="11"/>
      <c r="M96" s="11"/>
      <c r="N96" s="11"/>
    </row>
    <row r="97" spans="1:14" ht="5" customHeight="1" x14ac:dyDescent="0.3">
      <c r="A97" s="11"/>
      <c r="B97" s="277"/>
      <c r="C97" s="292"/>
      <c r="D97" s="292"/>
      <c r="E97" s="293"/>
      <c r="F97" s="11"/>
      <c r="G97" s="11"/>
      <c r="H97" s="11"/>
      <c r="I97" s="11"/>
      <c r="J97" s="11"/>
      <c r="K97" s="11"/>
      <c r="L97" s="11"/>
      <c r="M97" s="11"/>
      <c r="N97" s="11"/>
    </row>
    <row r="98" spans="1:14" ht="16.5" customHeight="1" x14ac:dyDescent="0.3">
      <c r="A98" s="11"/>
      <c r="B98" s="296" t="s">
        <v>171</v>
      </c>
      <c r="C98" s="297" t="s">
        <v>172</v>
      </c>
      <c r="D98" s="297" t="s">
        <v>173</v>
      </c>
      <c r="E98" s="283"/>
      <c r="F98" s="11"/>
      <c r="G98" s="11"/>
      <c r="H98" s="11"/>
      <c r="I98" s="11"/>
      <c r="J98" s="11"/>
      <c r="K98" s="11"/>
      <c r="L98" s="11"/>
      <c r="M98" s="11"/>
      <c r="N98" s="11"/>
    </row>
    <row r="99" spans="1:14" ht="5" customHeight="1" x14ac:dyDescent="0.3">
      <c r="A99" s="11"/>
      <c r="B99" s="277"/>
      <c r="C99" s="292"/>
      <c r="D99" s="292"/>
      <c r="E99" s="293"/>
      <c r="F99" s="11"/>
      <c r="G99" s="11"/>
      <c r="H99" s="11"/>
      <c r="I99" s="11"/>
      <c r="J99" s="11"/>
      <c r="K99" s="11"/>
      <c r="L99" s="11"/>
      <c r="M99" s="11"/>
      <c r="N99" s="11"/>
    </row>
    <row r="100" spans="1:14" ht="16.5" customHeight="1" x14ac:dyDescent="0.3">
      <c r="A100" s="11"/>
      <c r="B100" s="276" t="s">
        <v>185</v>
      </c>
      <c r="C100" s="292"/>
      <c r="D100" s="292"/>
      <c r="E100" s="293"/>
      <c r="F100" s="11"/>
      <c r="G100" s="11"/>
      <c r="H100" s="11"/>
      <c r="I100" s="11"/>
      <c r="J100" s="11"/>
      <c r="K100" s="11"/>
      <c r="L100" s="11"/>
      <c r="M100" s="11"/>
      <c r="N100" s="11"/>
    </row>
    <row r="101" spans="1:14" ht="16.5" customHeight="1" x14ac:dyDescent="0.3">
      <c r="A101" s="11"/>
      <c r="B101" s="298" t="s">
        <v>176</v>
      </c>
      <c r="C101" s="281" t="s">
        <v>174</v>
      </c>
      <c r="D101" s="281" t="s">
        <v>175</v>
      </c>
      <c r="E101" s="283">
        <v>0.95232672176293609</v>
      </c>
      <c r="F101" s="11"/>
      <c r="G101" s="11"/>
      <c r="H101" s="11"/>
      <c r="I101" s="11"/>
      <c r="J101" s="11"/>
      <c r="K101" s="11"/>
      <c r="L101" s="11"/>
      <c r="M101" s="11"/>
      <c r="N101" s="11"/>
    </row>
    <row r="102" spans="1:14" ht="16.5" customHeight="1" x14ac:dyDescent="0.3">
      <c r="A102" s="11"/>
      <c r="B102" s="298" t="s">
        <v>177</v>
      </c>
      <c r="C102" s="281" t="s">
        <v>178</v>
      </c>
      <c r="D102" s="281" t="s">
        <v>179</v>
      </c>
      <c r="E102" s="283">
        <v>0.95232672176293609</v>
      </c>
      <c r="F102" s="11"/>
      <c r="G102" s="11"/>
      <c r="H102" s="11"/>
      <c r="I102" s="11"/>
      <c r="J102" s="11"/>
      <c r="K102" s="11"/>
      <c r="L102" s="11"/>
      <c r="M102" s="11"/>
      <c r="N102" s="11"/>
    </row>
    <row r="103" spans="1:14" ht="16.5" customHeight="1" x14ac:dyDescent="0.3">
      <c r="A103" s="11"/>
      <c r="B103" s="276" t="s">
        <v>186</v>
      </c>
      <c r="C103" s="292"/>
      <c r="D103" s="292"/>
      <c r="E103" s="293"/>
      <c r="F103" s="11"/>
      <c r="G103" s="11"/>
      <c r="H103" s="11"/>
      <c r="I103" s="11"/>
      <c r="J103" s="11"/>
      <c r="K103" s="11"/>
      <c r="L103" s="11"/>
      <c r="M103" s="11"/>
      <c r="N103" s="11"/>
    </row>
    <row r="104" spans="1:14" ht="16.5" customHeight="1" x14ac:dyDescent="0.3">
      <c r="A104" s="11"/>
      <c r="B104" s="298" t="s">
        <v>180</v>
      </c>
      <c r="C104" s="281" t="s">
        <v>192</v>
      </c>
      <c r="D104" s="281" t="s">
        <v>119</v>
      </c>
      <c r="E104" s="283">
        <v>1</v>
      </c>
      <c r="F104" s="11"/>
      <c r="G104" s="11"/>
      <c r="H104" s="11"/>
      <c r="I104" s="11"/>
      <c r="J104" s="11"/>
      <c r="K104" s="11"/>
      <c r="L104" s="11"/>
      <c r="M104" s="11"/>
      <c r="N104" s="11"/>
    </row>
    <row r="105" spans="1:14" ht="16.5" customHeight="1" x14ac:dyDescent="0.3">
      <c r="A105" s="11"/>
      <c r="B105" s="298" t="s">
        <v>181</v>
      </c>
      <c r="C105" s="281" t="s">
        <v>193</v>
      </c>
      <c r="D105" s="281" t="s">
        <v>194</v>
      </c>
      <c r="E105" s="283">
        <v>0.66096841546129015</v>
      </c>
      <c r="F105" s="11"/>
      <c r="G105" s="11"/>
      <c r="H105" s="11"/>
      <c r="I105" s="11"/>
      <c r="J105" s="11"/>
      <c r="K105" s="11"/>
      <c r="L105" s="11"/>
      <c r="M105" s="11"/>
      <c r="N105" s="11"/>
    </row>
    <row r="106" spans="1:14" ht="16.5" customHeight="1" x14ac:dyDescent="0.3">
      <c r="A106" s="11"/>
      <c r="B106" s="298" t="s">
        <v>182</v>
      </c>
      <c r="C106" s="281" t="s">
        <v>195</v>
      </c>
      <c r="D106" s="281" t="s">
        <v>196</v>
      </c>
      <c r="E106" s="283">
        <v>0.84330460150022302</v>
      </c>
      <c r="F106" s="11"/>
      <c r="G106" s="11"/>
      <c r="H106" s="11"/>
      <c r="I106" s="11"/>
      <c r="J106" s="11"/>
      <c r="K106" s="11"/>
      <c r="L106" s="11"/>
      <c r="M106" s="11"/>
      <c r="N106" s="11"/>
    </row>
    <row r="107" spans="1:14" ht="16.5" customHeight="1" x14ac:dyDescent="0.3">
      <c r="A107" s="11"/>
      <c r="B107" s="298" t="s">
        <v>183</v>
      </c>
      <c r="C107" s="281" t="s">
        <v>197</v>
      </c>
      <c r="D107" s="281" t="s">
        <v>198</v>
      </c>
      <c r="E107" s="283">
        <v>0.1637236439740721</v>
      </c>
      <c r="F107" s="11"/>
      <c r="G107" s="11"/>
      <c r="H107" s="11"/>
      <c r="I107" s="11"/>
      <c r="J107" s="11"/>
      <c r="K107" s="11"/>
      <c r="L107" s="11"/>
      <c r="M107" s="11"/>
      <c r="N107" s="11"/>
    </row>
    <row r="108" spans="1:14" ht="16.5" customHeight="1" x14ac:dyDescent="0.3">
      <c r="A108" s="11"/>
      <c r="B108" s="298" t="s">
        <v>184</v>
      </c>
      <c r="C108" s="281" t="s">
        <v>197</v>
      </c>
      <c r="D108" s="281" t="s">
        <v>199</v>
      </c>
      <c r="E108" s="283">
        <v>0.19599777825355422</v>
      </c>
      <c r="F108" s="11"/>
      <c r="G108" s="11"/>
      <c r="H108" s="11"/>
      <c r="I108" s="11"/>
      <c r="J108" s="11"/>
      <c r="K108" s="11"/>
      <c r="L108" s="11"/>
      <c r="M108" s="11"/>
      <c r="N108" s="11"/>
    </row>
    <row r="109" spans="1:14" ht="5" customHeight="1" x14ac:dyDescent="0.3">
      <c r="A109" s="11"/>
      <c r="B109" s="277"/>
      <c r="C109" s="292"/>
      <c r="D109" s="292"/>
      <c r="E109" s="293"/>
      <c r="F109" s="11"/>
      <c r="G109" s="11"/>
      <c r="H109" s="11"/>
      <c r="I109" s="11"/>
      <c r="J109" s="11"/>
      <c r="K109" s="11"/>
      <c r="L109" s="11"/>
      <c r="M109" s="11"/>
      <c r="N109" s="11"/>
    </row>
    <row r="110" spans="1:14" ht="16.5" customHeight="1" x14ac:dyDescent="0.3">
      <c r="A110" s="11"/>
      <c r="B110" s="296" t="s">
        <v>187</v>
      </c>
      <c r="C110" s="297" t="s">
        <v>189</v>
      </c>
      <c r="D110" s="297" t="s">
        <v>146</v>
      </c>
      <c r="E110" s="283">
        <v>0.83990436972610583</v>
      </c>
      <c r="F110" s="11"/>
      <c r="G110" s="11"/>
      <c r="H110" s="11"/>
      <c r="I110" s="11"/>
      <c r="J110" s="11"/>
      <c r="K110" s="11"/>
      <c r="L110" s="11"/>
      <c r="M110" s="11"/>
      <c r="N110" s="11"/>
    </row>
    <row r="111" spans="1:14" ht="5" customHeight="1" x14ac:dyDescent="0.3">
      <c r="A111" s="11"/>
      <c r="B111" s="277"/>
      <c r="C111" s="292"/>
      <c r="D111" s="292"/>
      <c r="E111" s="293"/>
      <c r="F111" s="11"/>
      <c r="G111" s="11"/>
      <c r="H111" s="11"/>
      <c r="I111" s="11"/>
      <c r="J111" s="11"/>
      <c r="K111" s="11"/>
      <c r="L111" s="11"/>
      <c r="M111" s="11"/>
      <c r="N111" s="11"/>
    </row>
    <row r="112" spans="1:14" ht="16.5" customHeight="1" x14ac:dyDescent="0.3">
      <c r="A112" s="11"/>
      <c r="B112" s="296" t="s">
        <v>188</v>
      </c>
      <c r="C112" s="281" t="s">
        <v>190</v>
      </c>
      <c r="D112" s="281" t="s">
        <v>191</v>
      </c>
      <c r="E112" s="283">
        <v>0.50204931930456176</v>
      </c>
      <c r="F112" s="11"/>
      <c r="G112" s="11"/>
      <c r="H112" s="11"/>
      <c r="I112" s="11"/>
      <c r="J112" s="11"/>
      <c r="K112" s="11"/>
      <c r="L112" s="11"/>
      <c r="M112" s="11"/>
      <c r="N112" s="11"/>
    </row>
    <row r="113" spans="2:22" ht="5.5" customHeight="1" x14ac:dyDescent="0.3">
      <c r="B113" s="233"/>
      <c r="F113" s="11"/>
      <c r="G113" s="11"/>
      <c r="H113" s="11"/>
      <c r="I113" s="11"/>
      <c r="J113" s="11"/>
      <c r="K113" s="11"/>
      <c r="L113" s="11"/>
      <c r="M113" s="11"/>
      <c r="N113" s="11"/>
    </row>
    <row r="114" spans="2:22" s="17" customFormat="1" ht="30" customHeight="1" x14ac:dyDescent="0.3">
      <c r="B114" s="305" t="s">
        <v>202</v>
      </c>
      <c r="C114" s="305"/>
      <c r="D114" s="305"/>
      <c r="E114" s="305"/>
      <c r="F114" s="11"/>
      <c r="G114" s="11"/>
      <c r="H114" s="11"/>
      <c r="I114" s="11"/>
      <c r="J114" s="11"/>
      <c r="K114" s="11"/>
      <c r="L114" s="11"/>
      <c r="M114" s="11"/>
      <c r="N114" s="11"/>
      <c r="O114" s="4"/>
      <c r="P114" s="4"/>
      <c r="U114" s="4"/>
      <c r="V114" s="4"/>
    </row>
    <row r="115" spans="2:22" ht="53" customHeight="1" x14ac:dyDescent="0.3">
      <c r="B115" s="317" t="s">
        <v>204</v>
      </c>
      <c r="C115" s="318"/>
      <c r="D115" s="318"/>
      <c r="E115" s="319"/>
      <c r="F115" s="11"/>
      <c r="G115" s="11"/>
      <c r="H115" s="11"/>
      <c r="I115" s="11"/>
      <c r="J115" s="11"/>
      <c r="K115" s="11"/>
      <c r="L115" s="11"/>
      <c r="M115" s="11"/>
      <c r="N115" s="11"/>
    </row>
    <row r="116" spans="2:22" x14ac:dyDescent="0.3">
      <c r="B116" s="11"/>
      <c r="F116" s="11"/>
      <c r="G116" s="11"/>
      <c r="H116" s="11"/>
      <c r="I116" s="11"/>
      <c r="J116" s="259"/>
      <c r="K116" s="11"/>
      <c r="L116" s="11"/>
      <c r="M116" s="11"/>
      <c r="N116" s="11"/>
    </row>
    <row r="117" spans="2:22" x14ac:dyDescent="0.3">
      <c r="B117" s="11"/>
      <c r="F117" s="11"/>
      <c r="G117" s="11"/>
      <c r="H117" s="11"/>
      <c r="I117" s="11"/>
      <c r="J117" s="259"/>
      <c r="K117" s="11"/>
      <c r="L117" s="11"/>
      <c r="M117" s="11"/>
      <c r="N117" s="11"/>
    </row>
    <row r="118" spans="2:22" x14ac:dyDescent="0.3">
      <c r="B118" s="11"/>
      <c r="F118" s="11"/>
      <c r="G118" s="11"/>
      <c r="H118" s="11"/>
      <c r="I118" s="11"/>
      <c r="J118" s="259"/>
      <c r="K118" s="11"/>
      <c r="L118" s="11"/>
      <c r="M118" s="11"/>
      <c r="N118" s="11"/>
    </row>
    <row r="119" spans="2:22" x14ac:dyDescent="0.3">
      <c r="B119" s="11"/>
      <c r="F119" s="11"/>
      <c r="G119" s="11"/>
      <c r="H119" s="11"/>
      <c r="I119" s="11"/>
      <c r="J119" s="259"/>
      <c r="K119" s="11"/>
      <c r="L119" s="11"/>
      <c r="M119" s="11"/>
      <c r="N119" s="11"/>
    </row>
    <row r="120" spans="2:22" x14ac:dyDescent="0.3">
      <c r="B120" s="11"/>
      <c r="F120" s="11"/>
      <c r="G120" s="11"/>
      <c r="H120" s="11"/>
      <c r="I120" s="11"/>
      <c r="J120" s="259"/>
      <c r="K120" s="11"/>
      <c r="L120" s="11"/>
      <c r="M120" s="11"/>
      <c r="N120" s="11"/>
    </row>
    <row r="121" spans="2:22" x14ac:dyDescent="0.3">
      <c r="F121" s="11"/>
      <c r="G121" s="11"/>
      <c r="H121" s="11"/>
      <c r="I121" s="11"/>
      <c r="J121" s="259"/>
      <c r="K121" s="11"/>
      <c r="L121" s="11"/>
      <c r="M121" s="11"/>
      <c r="N121" s="11"/>
    </row>
    <row r="122" spans="2:22" x14ac:dyDescent="0.3">
      <c r="F122" s="11"/>
      <c r="G122" s="11"/>
      <c r="H122" s="11"/>
      <c r="I122" s="11"/>
      <c r="J122" s="259"/>
      <c r="K122" s="11"/>
      <c r="L122" s="11"/>
      <c r="M122" s="11"/>
      <c r="N122" s="11"/>
    </row>
    <row r="123" spans="2:22" x14ac:dyDescent="0.3">
      <c r="F123" s="11"/>
      <c r="G123" s="11"/>
      <c r="H123" s="11"/>
      <c r="I123" s="11"/>
      <c r="J123" s="259"/>
      <c r="K123" s="11"/>
      <c r="L123" s="11"/>
      <c r="M123" s="11"/>
      <c r="N123" s="11"/>
    </row>
    <row r="124" spans="2:22" x14ac:dyDescent="0.3">
      <c r="F124" s="11"/>
      <c r="G124" s="11"/>
      <c r="H124" s="11"/>
      <c r="I124" s="11"/>
      <c r="J124" s="259"/>
      <c r="K124" s="11"/>
      <c r="L124" s="11"/>
      <c r="M124" s="11"/>
      <c r="N124" s="11"/>
    </row>
    <row r="125" spans="2:22" x14ac:dyDescent="0.3">
      <c r="F125" s="11"/>
      <c r="G125" s="11"/>
      <c r="H125" s="11"/>
      <c r="I125" s="11"/>
      <c r="J125" s="259"/>
      <c r="K125" s="11"/>
      <c r="L125" s="11"/>
      <c r="M125" s="11"/>
      <c r="N125" s="11"/>
    </row>
    <row r="126" spans="2:22" x14ac:dyDescent="0.3">
      <c r="F126" s="11"/>
      <c r="G126" s="11"/>
      <c r="H126" s="11"/>
      <c r="I126" s="11"/>
      <c r="J126" s="259"/>
      <c r="K126" s="11"/>
      <c r="L126" s="11"/>
      <c r="M126" s="11"/>
      <c r="N126" s="11"/>
    </row>
    <row r="127" spans="2:22" x14ac:dyDescent="0.3">
      <c r="F127" s="11"/>
      <c r="G127" s="11"/>
      <c r="H127" s="11"/>
      <c r="I127" s="11"/>
      <c r="J127" s="259"/>
      <c r="K127" s="11"/>
      <c r="L127" s="11"/>
      <c r="M127" s="11"/>
      <c r="N127" s="11"/>
    </row>
    <row r="128" spans="2:22" x14ac:dyDescent="0.3">
      <c r="F128" s="11"/>
      <c r="G128" s="11"/>
      <c r="H128" s="11"/>
      <c r="I128" s="11"/>
      <c r="J128" s="259"/>
      <c r="K128" s="11"/>
      <c r="L128" s="11"/>
      <c r="M128" s="11"/>
      <c r="N128" s="11"/>
    </row>
    <row r="129" spans="6:14" x14ac:dyDescent="0.3">
      <c r="F129" s="11"/>
      <c r="G129" s="11"/>
      <c r="H129" s="11"/>
      <c r="I129" s="11"/>
      <c r="J129" s="259"/>
      <c r="K129" s="11"/>
      <c r="L129" s="11"/>
      <c r="M129" s="11"/>
      <c r="N129" s="11"/>
    </row>
    <row r="130" spans="6:14" x14ac:dyDescent="0.3">
      <c r="F130" s="11"/>
      <c r="G130" s="11"/>
      <c r="H130" s="11"/>
      <c r="I130" s="11"/>
      <c r="J130" s="259"/>
      <c r="K130" s="11"/>
      <c r="L130" s="11"/>
      <c r="M130" s="11"/>
      <c r="N130" s="11"/>
    </row>
    <row r="131" spans="6:14" x14ac:dyDescent="0.3">
      <c r="F131" s="11"/>
      <c r="G131" s="11"/>
      <c r="H131" s="11"/>
      <c r="I131" s="11"/>
      <c r="J131" s="259"/>
      <c r="K131" s="11"/>
      <c r="L131" s="11"/>
      <c r="M131" s="11"/>
      <c r="N131" s="11"/>
    </row>
    <row r="132" spans="6:14" x14ac:dyDescent="0.3">
      <c r="F132" s="11"/>
      <c r="G132" s="11"/>
      <c r="H132" s="11"/>
      <c r="I132" s="11"/>
      <c r="J132" s="259"/>
      <c r="K132" s="11"/>
      <c r="L132" s="11"/>
      <c r="M132" s="11"/>
      <c r="N132" s="11"/>
    </row>
    <row r="133" spans="6:14" x14ac:dyDescent="0.3">
      <c r="F133" s="11"/>
      <c r="G133" s="11"/>
      <c r="H133" s="11"/>
      <c r="I133" s="11"/>
      <c r="J133" s="259"/>
      <c r="K133" s="11"/>
      <c r="L133" s="11"/>
      <c r="M133" s="11"/>
      <c r="N133" s="11"/>
    </row>
    <row r="134" spans="6:14" x14ac:dyDescent="0.3">
      <c r="F134" s="11"/>
      <c r="G134" s="11"/>
      <c r="H134" s="11"/>
      <c r="I134" s="11"/>
      <c r="J134" s="259"/>
      <c r="K134" s="11"/>
      <c r="L134" s="11"/>
      <c r="M134" s="11"/>
      <c r="N134" s="11"/>
    </row>
    <row r="135" spans="6:14" x14ac:dyDescent="0.3">
      <c r="F135" s="11"/>
      <c r="G135" s="11"/>
      <c r="H135" s="11"/>
      <c r="I135" s="11"/>
      <c r="J135" s="259"/>
      <c r="K135" s="11"/>
      <c r="L135" s="11"/>
      <c r="M135" s="11"/>
      <c r="N135" s="11"/>
    </row>
    <row r="136" spans="6:14" x14ac:dyDescent="0.3">
      <c r="F136" s="11"/>
      <c r="G136" s="11"/>
      <c r="H136" s="11"/>
      <c r="I136" s="11"/>
      <c r="J136" s="11"/>
      <c r="K136" s="11"/>
      <c r="L136" s="11"/>
      <c r="M136" s="11"/>
      <c r="N136" s="11"/>
    </row>
    <row r="137" spans="6:14" x14ac:dyDescent="0.3">
      <c r="F137" s="11"/>
      <c r="G137" s="11"/>
      <c r="H137" s="11"/>
      <c r="I137" s="11"/>
      <c r="J137" s="11"/>
      <c r="K137" s="11"/>
      <c r="L137" s="11"/>
      <c r="M137" s="11"/>
      <c r="N137" s="11"/>
    </row>
    <row r="138" spans="6:14" x14ac:dyDescent="0.3">
      <c r="F138" s="11"/>
      <c r="G138" s="11"/>
      <c r="H138" s="11"/>
      <c r="I138" s="11"/>
      <c r="J138" s="11"/>
      <c r="K138" s="11"/>
      <c r="L138" s="11"/>
      <c r="M138" s="11"/>
      <c r="N138" s="11"/>
    </row>
    <row r="139" spans="6:14" x14ac:dyDescent="0.3">
      <c r="F139" s="11"/>
      <c r="G139" s="11"/>
      <c r="H139" s="11"/>
      <c r="I139" s="11"/>
      <c r="J139" s="11"/>
      <c r="K139" s="11"/>
      <c r="L139" s="11"/>
      <c r="M139" s="11"/>
      <c r="N139" s="11"/>
    </row>
    <row r="140" spans="6:14" x14ac:dyDescent="0.3">
      <c r="F140" s="11"/>
      <c r="G140" s="11"/>
      <c r="H140" s="11"/>
      <c r="I140" s="11"/>
      <c r="J140" s="11"/>
      <c r="K140" s="11"/>
      <c r="L140" s="11"/>
      <c r="M140" s="11"/>
      <c r="N140" s="11"/>
    </row>
    <row r="141" spans="6:14" x14ac:dyDescent="0.3">
      <c r="F141" s="11"/>
      <c r="G141" s="11"/>
      <c r="H141" s="11"/>
      <c r="I141" s="11"/>
      <c r="J141" s="11"/>
      <c r="K141" s="11"/>
      <c r="L141" s="11"/>
      <c r="M141" s="11"/>
      <c r="N141" s="11"/>
    </row>
    <row r="142" spans="6:14" x14ac:dyDescent="0.3">
      <c r="F142" s="11"/>
      <c r="G142" s="11"/>
      <c r="H142" s="11"/>
      <c r="I142" s="11"/>
      <c r="J142" s="11"/>
      <c r="K142" s="11"/>
      <c r="L142" s="11"/>
      <c r="M142" s="11"/>
      <c r="N142" s="11"/>
    </row>
    <row r="143" spans="6:14" x14ac:dyDescent="0.3">
      <c r="F143" s="11"/>
      <c r="G143" s="11"/>
      <c r="H143" s="11"/>
      <c r="I143" s="11"/>
      <c r="J143" s="11"/>
      <c r="K143" s="11"/>
      <c r="L143" s="11"/>
      <c r="M143" s="11"/>
      <c r="N143" s="11"/>
    </row>
    <row r="144" spans="6:14" x14ac:dyDescent="0.3">
      <c r="F144" s="11"/>
      <c r="G144" s="11"/>
      <c r="H144" s="11"/>
      <c r="I144" s="11"/>
      <c r="J144" s="11"/>
      <c r="K144" s="11"/>
      <c r="L144" s="11"/>
      <c r="M144" s="11"/>
      <c r="N144" s="11"/>
    </row>
    <row r="145" spans="6:14" x14ac:dyDescent="0.3">
      <c r="F145" s="11"/>
      <c r="G145" s="11"/>
      <c r="H145" s="11"/>
      <c r="I145" s="11"/>
      <c r="J145" s="11"/>
      <c r="K145" s="11"/>
      <c r="L145" s="11"/>
      <c r="M145" s="11"/>
      <c r="N145" s="11"/>
    </row>
    <row r="146" spans="6:14" x14ac:dyDescent="0.3">
      <c r="F146" s="11"/>
      <c r="G146" s="11"/>
      <c r="H146" s="11"/>
      <c r="I146" s="11"/>
      <c r="J146" s="11"/>
      <c r="K146" s="11"/>
      <c r="L146" s="11"/>
      <c r="M146" s="11"/>
      <c r="N146" s="11"/>
    </row>
    <row r="147" spans="6:14" x14ac:dyDescent="0.3">
      <c r="F147" s="11"/>
      <c r="G147" s="11"/>
      <c r="H147" s="11"/>
      <c r="I147" s="11"/>
      <c r="J147" s="11"/>
      <c r="K147" s="11"/>
      <c r="L147" s="11"/>
      <c r="M147" s="11"/>
      <c r="N147" s="11"/>
    </row>
    <row r="148" spans="6:14" x14ac:dyDescent="0.3">
      <c r="F148" s="11"/>
      <c r="G148" s="11"/>
      <c r="H148" s="11"/>
      <c r="I148" s="11"/>
      <c r="J148" s="11"/>
      <c r="K148" s="11"/>
      <c r="L148" s="11"/>
      <c r="M148" s="11"/>
      <c r="N148" s="11"/>
    </row>
    <row r="149" spans="6:14" x14ac:dyDescent="0.3">
      <c r="F149" s="11"/>
      <c r="G149" s="11"/>
      <c r="H149" s="11"/>
      <c r="I149" s="11"/>
      <c r="J149" s="11"/>
      <c r="K149" s="11"/>
      <c r="L149" s="11"/>
      <c r="M149" s="11"/>
      <c r="N149" s="11"/>
    </row>
    <row r="150" spans="6:14" x14ac:dyDescent="0.3">
      <c r="F150" s="11"/>
      <c r="G150" s="11"/>
      <c r="H150" s="11"/>
      <c r="I150" s="11"/>
      <c r="J150" s="11"/>
      <c r="K150" s="11"/>
      <c r="L150" s="11"/>
      <c r="M150" s="11"/>
      <c r="N150" s="11"/>
    </row>
    <row r="151" spans="6:14" x14ac:dyDescent="0.3">
      <c r="F151" s="11"/>
      <c r="G151" s="11"/>
      <c r="H151" s="11"/>
      <c r="I151" s="11"/>
      <c r="J151" s="11"/>
      <c r="K151" s="11"/>
      <c r="L151" s="11"/>
      <c r="M151" s="11"/>
      <c r="N151" s="11"/>
    </row>
    <row r="152" spans="6:14" x14ac:dyDescent="0.3">
      <c r="F152" s="11"/>
      <c r="G152" s="11"/>
      <c r="H152" s="11"/>
      <c r="I152" s="11"/>
      <c r="J152" s="11"/>
      <c r="K152" s="11"/>
      <c r="L152" s="11"/>
      <c r="M152" s="11"/>
      <c r="N152" s="11"/>
    </row>
    <row r="153" spans="6:14" x14ac:dyDescent="0.3">
      <c r="F153" s="11"/>
      <c r="G153" s="11"/>
      <c r="H153" s="11"/>
      <c r="I153" s="11"/>
      <c r="J153" s="11"/>
      <c r="K153" s="11"/>
      <c r="L153" s="11"/>
      <c r="M153" s="11"/>
      <c r="N153" s="11"/>
    </row>
    <row r="154" spans="6:14" x14ac:dyDescent="0.3">
      <c r="F154" s="11"/>
      <c r="G154" s="11"/>
      <c r="H154" s="11"/>
      <c r="I154" s="11"/>
      <c r="J154" s="11"/>
      <c r="K154" s="11"/>
      <c r="L154" s="11"/>
      <c r="M154" s="11"/>
      <c r="N154" s="11"/>
    </row>
    <row r="155" spans="6:14" x14ac:dyDescent="0.3">
      <c r="F155" s="11"/>
      <c r="G155" s="11"/>
      <c r="H155" s="11"/>
      <c r="I155" s="11"/>
      <c r="J155" s="11"/>
      <c r="K155" s="11"/>
      <c r="L155" s="11"/>
      <c r="M155" s="11"/>
      <c r="N155" s="11"/>
    </row>
    <row r="156" spans="6:14" x14ac:dyDescent="0.3">
      <c r="F156" s="11"/>
      <c r="G156" s="11"/>
      <c r="H156" s="11"/>
      <c r="I156" s="11"/>
      <c r="J156" s="11"/>
      <c r="K156" s="11"/>
      <c r="L156" s="11"/>
      <c r="M156" s="11"/>
      <c r="N156" s="11"/>
    </row>
    <row r="157" spans="6:14" x14ac:dyDescent="0.3">
      <c r="F157" s="11"/>
      <c r="G157" s="11"/>
      <c r="H157" s="11"/>
      <c r="I157" s="11"/>
      <c r="J157" s="11"/>
      <c r="K157" s="11"/>
      <c r="L157" s="11"/>
      <c r="M157" s="11"/>
      <c r="N157" s="11"/>
    </row>
    <row r="158" spans="6:14" x14ac:dyDescent="0.3">
      <c r="F158" s="11"/>
      <c r="G158" s="11"/>
      <c r="H158" s="11"/>
      <c r="I158" s="11"/>
      <c r="J158" s="11"/>
      <c r="K158" s="11"/>
      <c r="L158" s="11"/>
      <c r="M158" s="11"/>
      <c r="N158" s="11"/>
    </row>
    <row r="159" spans="6:14" x14ac:dyDescent="0.3">
      <c r="F159" s="11"/>
      <c r="G159" s="11"/>
      <c r="H159" s="11"/>
      <c r="I159" s="11"/>
      <c r="J159" s="11"/>
      <c r="K159" s="11"/>
      <c r="L159" s="11"/>
      <c r="M159" s="11"/>
      <c r="N159" s="11"/>
    </row>
    <row r="160" spans="6:14" x14ac:dyDescent="0.3">
      <c r="F160" s="11"/>
      <c r="G160" s="11"/>
      <c r="H160" s="11"/>
      <c r="I160" s="11"/>
      <c r="J160" s="11"/>
      <c r="K160" s="11"/>
      <c r="L160" s="11"/>
      <c r="M160" s="11"/>
      <c r="N160" s="11"/>
    </row>
  </sheetData>
  <mergeCells count="6">
    <mergeCell ref="B115:E115"/>
    <mergeCell ref="B114:E114"/>
    <mergeCell ref="B2:F2"/>
    <mergeCell ref="B3:F3"/>
    <mergeCell ref="C42:D42"/>
    <mergeCell ref="B66:E66"/>
  </mergeCells>
  <phoneticPr fontId="5" type="noConversion"/>
  <pageMargins left="0.17" right="0.17" top="0.21" bottom="0.7" header="0" footer="0"/>
  <pageSetup paperSize="9" scale="85" orientation="landscape" r:id="rId1"/>
  <headerFooter alignWithMargins="0"/>
  <ignoredErrors>
    <ignoredError sqref="B80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Baseline ASCENT</vt:lpstr>
    </vt:vector>
  </TitlesOfParts>
  <Company>Dark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gasanchez</dc:creator>
  <cp:lastModifiedBy>Galo Agustín Sánchez Robles</cp:lastModifiedBy>
  <cp:lastPrinted>2012-06-13T14:26:24Z</cp:lastPrinted>
  <dcterms:created xsi:type="dcterms:W3CDTF">2009-05-28T14:19:22Z</dcterms:created>
  <dcterms:modified xsi:type="dcterms:W3CDTF">2022-08-05T06:48:30Z</dcterms:modified>
</cp:coreProperties>
</file>